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Users\ludde\OneDrive\Skrivbord\Portfolio\Excel\DCF\"/>
    </mc:Choice>
  </mc:AlternateContent>
  <xr:revisionPtr revIDLastSave="0" documentId="13_ncr:1_{5BB186AC-B5EF-49C8-BAB3-EED34A9212D6}" xr6:coauthVersionLast="46" xr6:coauthVersionMax="46" xr10:uidLastSave="{00000000-0000-0000-0000-000000000000}"/>
  <bookViews>
    <workbookView xWindow="-120" yWindow="-120" windowWidth="25440" windowHeight="15390" tabRatio="671" xr2:uid="{B07FFFA5-AD2A-43ED-9AF5-E49BB4379CAA}"/>
  </bookViews>
  <sheets>
    <sheet name="FSM" sheetId="1" r:id="rId1"/>
    <sheet name="DCF" sheetId="2" r:id="rId2"/>
    <sheet name="WACC" sheetId="4" r:id="rId3"/>
    <sheet name="Indata &gt;&gt;" sheetId="12" r:id="rId4"/>
    <sheet name="COMPS" sheetId="8" r:id="rId5"/>
    <sheet name="Estimates" sheetId="10" r:id="rId6"/>
  </sheets>
  <externalReferences>
    <externalReference r:id="rId7"/>
  </externalReferences>
  <calcPr calcId="191029" calcMode="autoNoTable"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5" i="4" l="1"/>
  <c r="K42" i="2"/>
  <c r="G112" i="1"/>
  <c r="G117" i="1"/>
  <c r="F70" i="4"/>
  <c r="D70" i="4"/>
  <c r="C66" i="4"/>
  <c r="C67" i="4" s="1"/>
  <c r="F62" i="4"/>
  <c r="D62" i="4"/>
  <c r="C11" i="4"/>
  <c r="I37" i="4" s="1"/>
  <c r="C21" i="4"/>
  <c r="I36" i="4"/>
  <c r="G36" i="4"/>
  <c r="G35" i="4"/>
  <c r="J35" i="4" s="1"/>
  <c r="G34" i="4"/>
  <c r="J34" i="4" s="1"/>
  <c r="G33" i="4"/>
  <c r="J33" i="4" s="1"/>
  <c r="G32" i="4"/>
  <c r="J32" i="4" s="1"/>
  <c r="G31" i="4"/>
  <c r="J31" i="4" s="1"/>
  <c r="G30" i="4"/>
  <c r="J30" i="4" s="1"/>
  <c r="G29" i="4"/>
  <c r="J29" i="4" s="1"/>
  <c r="G28" i="4"/>
  <c r="J28" i="4" s="1"/>
  <c r="G27" i="4"/>
  <c r="J27" i="4" s="1"/>
  <c r="H26" i="4"/>
  <c r="F26" i="4"/>
  <c r="G26" i="4" s="1"/>
  <c r="C46" i="4"/>
  <c r="K119" i="1"/>
  <c r="J119" i="1"/>
  <c r="I119" i="1"/>
  <c r="H119" i="1"/>
  <c r="K114" i="1"/>
  <c r="J114" i="1"/>
  <c r="I114" i="1"/>
  <c r="H114" i="1"/>
  <c r="J293" i="1"/>
  <c r="I293" i="1"/>
  <c r="H293" i="1"/>
  <c r="G293" i="1"/>
  <c r="J290" i="1"/>
  <c r="I290" i="1"/>
  <c r="H290" i="1"/>
  <c r="G290" i="1"/>
  <c r="J292" i="1"/>
  <c r="I292" i="1"/>
  <c r="H292" i="1"/>
  <c r="G292" i="1"/>
  <c r="E75" i="2"/>
  <c r="E74" i="2"/>
  <c r="E65" i="2"/>
  <c r="E58" i="2"/>
  <c r="E55" i="2"/>
  <c r="D5" i="8"/>
  <c r="E5" i="8"/>
  <c r="C64" i="4" l="1"/>
  <c r="C63" i="4" s="1"/>
  <c r="J36" i="4"/>
  <c r="G37" i="4"/>
  <c r="J26" i="4"/>
  <c r="C150" i="2"/>
  <c r="G140" i="2"/>
  <c r="H140" i="2" s="1"/>
  <c r="E140" i="2"/>
  <c r="D140" i="2" s="1"/>
  <c r="E115" i="2"/>
  <c r="D115" i="2" s="1"/>
  <c r="C124" i="2" s="1"/>
  <c r="G115" i="2"/>
  <c r="H115" i="2" s="1"/>
  <c r="C144" i="2"/>
  <c r="C145" i="2" s="1"/>
  <c r="C142" i="2"/>
  <c r="C141" i="2" s="1"/>
  <c r="C135" i="2"/>
  <c r="C136" i="2" s="1"/>
  <c r="C133" i="2"/>
  <c r="C132" i="2" s="1"/>
  <c r="C110" i="2"/>
  <c r="C111" i="2" s="1"/>
  <c r="C108" i="2"/>
  <c r="C107" i="2" s="1"/>
  <c r="C117" i="2"/>
  <c r="C116" i="2" s="1"/>
  <c r="C119" i="2"/>
  <c r="C120" i="2" s="1"/>
  <c r="E67" i="2"/>
  <c r="B31" i="2"/>
  <c r="C151" i="2" l="1"/>
  <c r="F18" i="2"/>
  <c r="E6" i="2"/>
  <c r="E5" i="2" s="1"/>
  <c r="F10" i="2"/>
  <c r="E198" i="1"/>
  <c r="D198" i="1"/>
  <c r="C198" i="1"/>
  <c r="F198" i="1"/>
  <c r="F178" i="1"/>
  <c r="E178" i="1"/>
  <c r="D178" i="1"/>
  <c r="F175" i="1"/>
  <c r="E175" i="1"/>
  <c r="D175" i="1"/>
  <c r="F59" i="1"/>
  <c r="E59" i="1"/>
  <c r="C59" i="1"/>
  <c r="D59" i="1"/>
  <c r="F173" i="1"/>
  <c r="F174" i="1" s="1"/>
  <c r="D173" i="1"/>
  <c r="D174" i="1" s="1"/>
  <c r="E173" i="1"/>
  <c r="E174" i="1" s="1"/>
  <c r="F168" i="1"/>
  <c r="G168" i="1" s="1"/>
  <c r="H168" i="1" s="1"/>
  <c r="I168" i="1" s="1"/>
  <c r="J168" i="1" s="1"/>
  <c r="K168" i="1" s="1"/>
  <c r="E168" i="1"/>
  <c r="D168" i="1"/>
  <c r="F162" i="1"/>
  <c r="G160" i="1" s="1"/>
  <c r="E162" i="1"/>
  <c r="D162" i="1"/>
  <c r="C162" i="1"/>
  <c r="F151" i="1"/>
  <c r="E151" i="1"/>
  <c r="D151" i="1"/>
  <c r="C151" i="1"/>
  <c r="F138" i="1"/>
  <c r="E138" i="1"/>
  <c r="C138" i="1"/>
  <c r="D138" i="1"/>
  <c r="C255" i="1"/>
  <c r="C243" i="1"/>
  <c r="C215" i="1"/>
  <c r="F219" i="1"/>
  <c r="H118" i="1"/>
  <c r="G119" i="1"/>
  <c r="K291" i="1"/>
  <c r="J291" i="1"/>
  <c r="I291" i="1"/>
  <c r="H291" i="1"/>
  <c r="F290" i="1"/>
  <c r="G291" i="1" s="1"/>
  <c r="G114" i="1" s="1"/>
  <c r="C188" i="1"/>
  <c r="H184" i="1"/>
  <c r="G184" i="1"/>
  <c r="F68" i="1"/>
  <c r="F55" i="1"/>
  <c r="C73" i="1"/>
  <c r="C75" i="1" s="1"/>
  <c r="E68" i="1"/>
  <c r="D68" i="1"/>
  <c r="C68" i="1"/>
  <c r="C259" i="1" s="1"/>
  <c r="C66" i="1"/>
  <c r="E55" i="1"/>
  <c r="D55" i="1"/>
  <c r="C55" i="1"/>
  <c r="G120" i="1" l="1"/>
  <c r="G37" i="1"/>
  <c r="F6" i="2"/>
  <c r="G6" i="2" s="1"/>
  <c r="G61" i="1"/>
  <c r="E83" i="1"/>
  <c r="F83" i="1"/>
  <c r="D83" i="1"/>
  <c r="C83" i="1"/>
  <c r="G36" i="1"/>
  <c r="J203" i="1"/>
  <c r="K203" i="1"/>
  <c r="I204" i="1"/>
  <c r="J204" i="1"/>
  <c r="H204" i="1"/>
  <c r="G203" i="1"/>
  <c r="K204" i="1"/>
  <c r="H203" i="1"/>
  <c r="I203" i="1"/>
  <c r="F164" i="1"/>
  <c r="F169" i="1" s="1"/>
  <c r="D164" i="1"/>
  <c r="D169" i="1" s="1"/>
  <c r="D176" i="1"/>
  <c r="D179" i="1" s="1"/>
  <c r="E164" i="1"/>
  <c r="E169" i="1" s="1"/>
  <c r="G58" i="1"/>
  <c r="G162" i="1"/>
  <c r="G64" i="1" s="1"/>
  <c r="E176" i="1"/>
  <c r="D155" i="1"/>
  <c r="F156" i="1"/>
  <c r="E156" i="1"/>
  <c r="E155" i="1"/>
  <c r="D156" i="1"/>
  <c r="F155" i="1"/>
  <c r="G155" i="1" s="1"/>
  <c r="H155" i="1" s="1"/>
  <c r="I155" i="1" s="1"/>
  <c r="J155" i="1" s="1"/>
  <c r="K155" i="1" s="1"/>
  <c r="E140" i="1"/>
  <c r="E145" i="1" s="1"/>
  <c r="G144" i="1"/>
  <c r="D140" i="1"/>
  <c r="D145" i="1" s="1"/>
  <c r="F140" i="1"/>
  <c r="F145" i="1" s="1"/>
  <c r="G149" i="1"/>
  <c r="C62" i="1"/>
  <c r="C84" i="1" s="1"/>
  <c r="G115" i="1"/>
  <c r="G113" i="1"/>
  <c r="H115" i="1"/>
  <c r="H113" i="1"/>
  <c r="G118" i="1"/>
  <c r="C70" i="1"/>
  <c r="C77" i="1" s="1"/>
  <c r="H112" i="1"/>
  <c r="I2" i="1"/>
  <c r="I2" i="4" s="1"/>
  <c r="H6" i="2" l="1"/>
  <c r="I6" i="2" s="1"/>
  <c r="I34" i="2" s="1"/>
  <c r="I2" i="2"/>
  <c r="H144" i="1"/>
  <c r="H36" i="1"/>
  <c r="G169" i="1"/>
  <c r="H58" i="1"/>
  <c r="G145" i="1"/>
  <c r="H145" i="1" s="1"/>
  <c r="I145" i="1" s="1"/>
  <c r="J145" i="1" s="1"/>
  <c r="K145" i="1" s="1"/>
  <c r="G65" i="1"/>
  <c r="H65" i="1" s="1"/>
  <c r="C79" i="1"/>
  <c r="G66" i="1"/>
  <c r="H66" i="1" s="1"/>
  <c r="G69" i="1"/>
  <c r="H69" i="1" s="1"/>
  <c r="G47" i="1"/>
  <c r="G18" i="1"/>
  <c r="M47" i="1"/>
  <c r="M45" i="1"/>
  <c r="M25" i="1"/>
  <c r="M22" i="1"/>
  <c r="M19" i="1"/>
  <c r="M18" i="1"/>
  <c r="J6" i="2" l="1"/>
  <c r="K6" i="2" s="1"/>
  <c r="H34" i="2"/>
  <c r="G18" i="2"/>
  <c r="G233" i="1"/>
  <c r="H47" i="1"/>
  <c r="G92" i="1"/>
  <c r="H61" i="1"/>
  <c r="G215" i="1"/>
  <c r="H18" i="1"/>
  <c r="F28" i="1"/>
  <c r="M28" i="1" s="1"/>
  <c r="F26" i="1"/>
  <c r="F24" i="1"/>
  <c r="F21" i="1"/>
  <c r="F127" i="1"/>
  <c r="C271" i="1"/>
  <c r="G273" i="1" s="1"/>
  <c r="E219" i="1"/>
  <c r="E217" i="1" s="1"/>
  <c r="D219" i="1"/>
  <c r="D217" i="1" s="1"/>
  <c r="H26" i="2"/>
  <c r="G26" i="2"/>
  <c r="C58" i="4"/>
  <c r="C59" i="4" s="1"/>
  <c r="C56" i="4"/>
  <c r="C55" i="4" s="1"/>
  <c r="F54" i="4"/>
  <c r="D54" i="4"/>
  <c r="D47" i="4"/>
  <c r="K151" i="2"/>
  <c r="I151" i="2"/>
  <c r="J126" i="2"/>
  <c r="K150" i="2"/>
  <c r="I150" i="2"/>
  <c r="K125" i="2"/>
  <c r="I125" i="2"/>
  <c r="K149" i="2"/>
  <c r="I149" i="2"/>
  <c r="K124" i="2"/>
  <c r="I124" i="2"/>
  <c r="G131" i="2"/>
  <c r="H131" i="2" s="1"/>
  <c r="E131" i="2"/>
  <c r="D131" i="2" s="1"/>
  <c r="G106" i="2"/>
  <c r="H106" i="2" s="1"/>
  <c r="E106" i="2"/>
  <c r="D106" i="2" s="1"/>
  <c r="F34" i="2"/>
  <c r="G34" i="2" s="1"/>
  <c r="F11" i="2"/>
  <c r="F14" i="2" s="1"/>
  <c r="C219" i="1"/>
  <c r="C217" i="1" s="1"/>
  <c r="E251" i="1"/>
  <c r="E265" i="1"/>
  <c r="D251" i="1"/>
  <c r="C265" i="1"/>
  <c r="D127" i="1"/>
  <c r="D39" i="1" s="1"/>
  <c r="D265" i="1"/>
  <c r="G264" i="1"/>
  <c r="H264" i="1" s="1"/>
  <c r="I264" i="1" s="1"/>
  <c r="J264" i="1" s="1"/>
  <c r="K264" i="1" s="1"/>
  <c r="F255" i="1"/>
  <c r="E255" i="1"/>
  <c r="D255" i="1"/>
  <c r="D256" i="1" s="1"/>
  <c r="G254" i="1"/>
  <c r="H254" i="1" s="1"/>
  <c r="I254" i="1" s="1"/>
  <c r="J254" i="1" s="1"/>
  <c r="K254" i="1" s="1"/>
  <c r="F251" i="1"/>
  <c r="C251" i="1"/>
  <c r="F243" i="1"/>
  <c r="G240" i="1" s="1"/>
  <c r="E243" i="1"/>
  <c r="D243" i="1"/>
  <c r="F227" i="1"/>
  <c r="G223" i="1" s="1"/>
  <c r="E227" i="1"/>
  <c r="C227" i="1"/>
  <c r="G226" i="1"/>
  <c r="H226" i="1" s="1"/>
  <c r="F215" i="1"/>
  <c r="G212" i="1" s="1"/>
  <c r="E215" i="1"/>
  <c r="D215" i="1"/>
  <c r="F188" i="1"/>
  <c r="E188" i="1"/>
  <c r="D188" i="1"/>
  <c r="F186" i="1"/>
  <c r="F195" i="1" s="1"/>
  <c r="F196" i="1" s="1"/>
  <c r="E186" i="1"/>
  <c r="E195" i="1" s="1"/>
  <c r="E196" i="1" s="1"/>
  <c r="D186" i="1"/>
  <c r="D195" i="1" s="1"/>
  <c r="D196" i="1" s="1"/>
  <c r="C186" i="1"/>
  <c r="C195" i="1" s="1"/>
  <c r="C196" i="1" s="1"/>
  <c r="H99" i="1"/>
  <c r="H100" i="1" s="1"/>
  <c r="G99" i="1"/>
  <c r="G100" i="1" s="1"/>
  <c r="F75" i="1"/>
  <c r="E75" i="1"/>
  <c r="G74" i="1"/>
  <c r="H74" i="1" s="1"/>
  <c r="I74" i="1" s="1"/>
  <c r="J74" i="1" s="1"/>
  <c r="K74" i="1" s="1"/>
  <c r="D227" i="1"/>
  <c r="F70" i="1"/>
  <c r="E70" i="1"/>
  <c r="D259" i="1"/>
  <c r="G232" i="1"/>
  <c r="F5" i="1"/>
  <c r="C125" i="2" l="1"/>
  <c r="C149" i="2"/>
  <c r="J34" i="2"/>
  <c r="H18" i="2"/>
  <c r="F5" i="2"/>
  <c r="B43" i="2"/>
  <c r="B42" i="2"/>
  <c r="G43" i="2"/>
  <c r="K34" i="2"/>
  <c r="J149" i="2"/>
  <c r="J150" i="2"/>
  <c r="J125" i="2"/>
  <c r="J124" i="2"/>
  <c r="J151" i="2"/>
  <c r="G129" i="1"/>
  <c r="G127" i="1" s="1"/>
  <c r="G39" i="1" s="1"/>
  <c r="F39" i="1"/>
  <c r="G183" i="1"/>
  <c r="H233" i="1"/>
  <c r="M21" i="1"/>
  <c r="F176" i="1"/>
  <c r="G245" i="1"/>
  <c r="H245" i="1" s="1"/>
  <c r="I245" i="1" s="1"/>
  <c r="J245" i="1" s="1"/>
  <c r="K245" i="1" s="1"/>
  <c r="E77" i="1"/>
  <c r="F77" i="1"/>
  <c r="I113" i="1"/>
  <c r="I115" i="1"/>
  <c r="F29" i="2"/>
  <c r="G59" i="1"/>
  <c r="H59" i="1" s="1"/>
  <c r="I112" i="1"/>
  <c r="I36" i="1" s="1"/>
  <c r="F265" i="1"/>
  <c r="M24" i="1"/>
  <c r="G26" i="1"/>
  <c r="H26" i="1" s="1"/>
  <c r="I26" i="1" s="1"/>
  <c r="J26" i="1" s="1"/>
  <c r="K26" i="1" s="1"/>
  <c r="N26" i="1" s="1"/>
  <c r="M26" i="1"/>
  <c r="C12" i="4"/>
  <c r="D70" i="1"/>
  <c r="D62" i="1"/>
  <c r="D84" i="1" s="1"/>
  <c r="E62" i="1"/>
  <c r="E84" i="1" s="1"/>
  <c r="G68" i="1"/>
  <c r="G259" i="1" s="1"/>
  <c r="G104" i="1"/>
  <c r="G283" i="1" s="1"/>
  <c r="C127" i="1"/>
  <c r="C39" i="1" s="1"/>
  <c r="F217" i="1"/>
  <c r="F218" i="1" s="1"/>
  <c r="G218" i="1" s="1"/>
  <c r="H218" i="1" s="1"/>
  <c r="E218" i="1"/>
  <c r="G35" i="2"/>
  <c r="E127" i="1"/>
  <c r="E39" i="1" s="1"/>
  <c r="E122" i="1"/>
  <c r="E38" i="1" s="1"/>
  <c r="C218" i="1"/>
  <c r="E112" i="1"/>
  <c r="F122" i="1"/>
  <c r="F38" i="1" s="1"/>
  <c r="D261" i="1"/>
  <c r="D260" i="1" s="1"/>
  <c r="C122" i="1"/>
  <c r="C38" i="1" s="1"/>
  <c r="C20" i="1"/>
  <c r="C117" i="1" s="1"/>
  <c r="C37" i="1" s="1"/>
  <c r="F112" i="1"/>
  <c r="F20" i="1"/>
  <c r="D20" i="1"/>
  <c r="D117" i="1" s="1"/>
  <c r="D37" i="1" s="1"/>
  <c r="D122" i="1"/>
  <c r="D38" i="1" s="1"/>
  <c r="D112" i="1"/>
  <c r="D218" i="1"/>
  <c r="E20" i="1"/>
  <c r="E23" i="1" s="1"/>
  <c r="E5" i="1"/>
  <c r="G5" i="1"/>
  <c r="D75" i="1"/>
  <c r="F256" i="1"/>
  <c r="F261" i="1" s="1"/>
  <c r="I226" i="1"/>
  <c r="H104" i="1"/>
  <c r="H283" i="1" s="1"/>
  <c r="F62" i="1"/>
  <c r="F84" i="1" s="1"/>
  <c r="E256" i="1"/>
  <c r="E261" i="1" s="1"/>
  <c r="E259" i="1"/>
  <c r="F259" i="1"/>
  <c r="C17" i="4" l="1"/>
  <c r="B203" i="1"/>
  <c r="G5" i="2"/>
  <c r="F36" i="2"/>
  <c r="E18" i="2"/>
  <c r="G128" i="1"/>
  <c r="H128" i="1" s="1"/>
  <c r="I128" i="1" s="1"/>
  <c r="J128" i="1" s="1"/>
  <c r="K128" i="1" s="1"/>
  <c r="G130" i="1"/>
  <c r="H130" i="1" s="1"/>
  <c r="I130" i="1" s="1"/>
  <c r="J130" i="1" s="1"/>
  <c r="K130" i="1" s="1"/>
  <c r="E144" i="1"/>
  <c r="E36" i="1"/>
  <c r="H129" i="1"/>
  <c r="H127" i="1" s="1"/>
  <c r="H39" i="1" s="1"/>
  <c r="D144" i="1"/>
  <c r="D36" i="1"/>
  <c r="G22" i="1"/>
  <c r="F144" i="1"/>
  <c r="F36" i="1"/>
  <c r="E79" i="1"/>
  <c r="G202" i="1"/>
  <c r="G208" i="1" s="1"/>
  <c r="G185" i="1" s="1"/>
  <c r="G188" i="1" s="1"/>
  <c r="B297" i="1"/>
  <c r="I144" i="1"/>
  <c r="I58" i="1"/>
  <c r="G124" i="1"/>
  <c r="G122" i="1" s="1"/>
  <c r="E179" i="1"/>
  <c r="F179" i="1"/>
  <c r="D77" i="1"/>
  <c r="D79" i="1" s="1"/>
  <c r="F79" i="1"/>
  <c r="J112" i="1"/>
  <c r="J115" i="1"/>
  <c r="J113" i="1"/>
  <c r="I184" i="1"/>
  <c r="I65" i="1"/>
  <c r="I66" i="1"/>
  <c r="I18" i="1"/>
  <c r="I61" i="1"/>
  <c r="I47" i="1"/>
  <c r="I69" i="1"/>
  <c r="I59" i="1"/>
  <c r="E27" i="1"/>
  <c r="E132" i="1" s="1"/>
  <c r="E40" i="1" s="1"/>
  <c r="E44" i="1"/>
  <c r="E46" i="1" s="1"/>
  <c r="E48" i="1" s="1"/>
  <c r="F23" i="1"/>
  <c r="M20" i="1"/>
  <c r="H68" i="1"/>
  <c r="H259" i="1" s="1"/>
  <c r="G102" i="1"/>
  <c r="H5" i="1"/>
  <c r="E260" i="1"/>
  <c r="D23" i="1"/>
  <c r="H35" i="2"/>
  <c r="C23" i="1"/>
  <c r="F117" i="1"/>
  <c r="F37" i="1" s="1"/>
  <c r="E117" i="1"/>
  <c r="E37" i="1" s="1"/>
  <c r="D5" i="1"/>
  <c r="F260" i="1"/>
  <c r="G260" i="1" s="1"/>
  <c r="J226" i="1"/>
  <c r="I104" i="1"/>
  <c r="I283" i="1" s="1"/>
  <c r="I218" i="1"/>
  <c r="F44" i="1" l="1"/>
  <c r="I18" i="2"/>
  <c r="H5" i="2"/>
  <c r="E69" i="2"/>
  <c r="E62" i="2"/>
  <c r="I129" i="1"/>
  <c r="I127" i="1" s="1"/>
  <c r="I39" i="1" s="1"/>
  <c r="H22" i="1"/>
  <c r="G21" i="1"/>
  <c r="G38" i="1"/>
  <c r="J144" i="1"/>
  <c r="J36" i="1"/>
  <c r="G186" i="1"/>
  <c r="G60" i="1" s="1"/>
  <c r="B204" i="1"/>
  <c r="H202" i="1"/>
  <c r="H208" i="1" s="1"/>
  <c r="H185" i="1" s="1"/>
  <c r="H188" i="1" s="1"/>
  <c r="J205" i="1"/>
  <c r="I205" i="1"/>
  <c r="K205" i="1"/>
  <c r="J58" i="1"/>
  <c r="I233" i="1"/>
  <c r="G125" i="1"/>
  <c r="H125" i="1" s="1"/>
  <c r="I125" i="1" s="1"/>
  <c r="J125" i="1" s="1"/>
  <c r="K125" i="1" s="1"/>
  <c r="H124" i="1"/>
  <c r="H122" i="1" s="1"/>
  <c r="H38" i="1" s="1"/>
  <c r="G123" i="1"/>
  <c r="H123" i="1" s="1"/>
  <c r="I123" i="1" s="1"/>
  <c r="J123" i="1" s="1"/>
  <c r="K123" i="1" s="1"/>
  <c r="C303" i="1"/>
  <c r="C304" i="1" s="1"/>
  <c r="C301" i="1"/>
  <c r="C300" i="1" s="1"/>
  <c r="J61" i="1"/>
  <c r="J47" i="1"/>
  <c r="K112" i="1"/>
  <c r="K115" i="1"/>
  <c r="K113" i="1"/>
  <c r="J66" i="1"/>
  <c r="J18" i="1"/>
  <c r="J65" i="1"/>
  <c r="J59" i="1"/>
  <c r="J184" i="1"/>
  <c r="J69" i="1"/>
  <c r="G20" i="1"/>
  <c r="E29" i="1"/>
  <c r="D27" i="1"/>
  <c r="D29" i="1" s="1"/>
  <c r="D44" i="1"/>
  <c r="D46" i="1" s="1"/>
  <c r="D48" i="1" s="1"/>
  <c r="H120" i="1"/>
  <c r="I120" i="1" s="1"/>
  <c r="J120" i="1" s="1"/>
  <c r="K120" i="1" s="1"/>
  <c r="F46" i="1"/>
  <c r="C27" i="1"/>
  <c r="C132" i="1" s="1"/>
  <c r="C40" i="1" s="1"/>
  <c r="C44" i="1"/>
  <c r="C46" i="1" s="1"/>
  <c r="C48" i="1" s="1"/>
  <c r="F27" i="1"/>
  <c r="F29" i="1" s="1"/>
  <c r="F20" i="2"/>
  <c r="M23" i="1"/>
  <c r="H102" i="1"/>
  <c r="I68" i="1"/>
  <c r="J68" i="1" s="1"/>
  <c r="H117" i="1"/>
  <c r="H37" i="1" s="1"/>
  <c r="I5" i="1"/>
  <c r="E79" i="2"/>
  <c r="D87" i="2" s="1"/>
  <c r="E87" i="2" s="1"/>
  <c r="I35" i="2"/>
  <c r="C5" i="1"/>
  <c r="K226" i="1"/>
  <c r="K104" i="1" s="1"/>
  <c r="K283" i="1" s="1"/>
  <c r="J104" i="1"/>
  <c r="J283" i="1" s="1"/>
  <c r="J218" i="1"/>
  <c r="H260" i="1"/>
  <c r="G261" i="1"/>
  <c r="D85" i="2" l="1"/>
  <c r="E85" i="2" s="1"/>
  <c r="C47" i="4"/>
  <c r="C74" i="4"/>
  <c r="C75" i="4" s="1"/>
  <c r="C72" i="4"/>
  <c r="C71" i="4" s="1"/>
  <c r="F19" i="2"/>
  <c r="J18" i="2"/>
  <c r="I5" i="2"/>
  <c r="F269" i="1"/>
  <c r="F278" i="1" s="1"/>
  <c r="F31" i="1" s="1"/>
  <c r="F86" i="1"/>
  <c r="F85" i="1"/>
  <c r="E51" i="1"/>
  <c r="E86" i="1"/>
  <c r="E85" i="1"/>
  <c r="D51" i="1"/>
  <c r="D86" i="1"/>
  <c r="D85" i="1"/>
  <c r="I22" i="1"/>
  <c r="J129" i="1"/>
  <c r="J127" i="1" s="1"/>
  <c r="J39" i="1" s="1"/>
  <c r="K144" i="1"/>
  <c r="K36" i="1"/>
  <c r="H183" i="1"/>
  <c r="H186" i="1" s="1"/>
  <c r="H60" i="1" s="1"/>
  <c r="B205" i="1"/>
  <c r="I202" i="1"/>
  <c r="I208" i="1" s="1"/>
  <c r="I185" i="1" s="1"/>
  <c r="I188" i="1" s="1"/>
  <c r="J206" i="1"/>
  <c r="K206" i="1"/>
  <c r="K58" i="1"/>
  <c r="J233" i="1"/>
  <c r="I124" i="1"/>
  <c r="I122" i="1" s="1"/>
  <c r="I38" i="1" s="1"/>
  <c r="H21" i="1"/>
  <c r="K184" i="1"/>
  <c r="K61" i="1"/>
  <c r="K65" i="1"/>
  <c r="K59" i="1"/>
  <c r="K66" i="1"/>
  <c r="K69" i="1"/>
  <c r="K47" i="1"/>
  <c r="K18" i="1"/>
  <c r="H20" i="1"/>
  <c r="E224" i="1"/>
  <c r="E269" i="1"/>
  <c r="E278" i="1" s="1"/>
  <c r="E31" i="1" s="1"/>
  <c r="C29" i="1"/>
  <c r="D132" i="1"/>
  <c r="D40" i="1" s="1"/>
  <c r="M44" i="1"/>
  <c r="F48" i="1"/>
  <c r="M48" i="1" s="1"/>
  <c r="F132" i="1"/>
  <c r="M27" i="1"/>
  <c r="F224" i="1"/>
  <c r="M46" i="1"/>
  <c r="F51" i="1"/>
  <c r="I102" i="1"/>
  <c r="I259" i="1"/>
  <c r="J5" i="1"/>
  <c r="J35" i="2"/>
  <c r="D224" i="1"/>
  <c r="D269" i="1"/>
  <c r="D278" i="1" s="1"/>
  <c r="D31" i="1" s="1"/>
  <c r="J259" i="1"/>
  <c r="K68" i="1"/>
  <c r="J102" i="1"/>
  <c r="K218" i="1"/>
  <c r="I260" i="1"/>
  <c r="H261" i="1"/>
  <c r="H37" i="4" l="1"/>
  <c r="J37" i="4" s="1"/>
  <c r="C39" i="4" s="1"/>
  <c r="C40" i="4" s="1"/>
  <c r="C22" i="4" s="1"/>
  <c r="E46" i="4"/>
  <c r="E47" i="4" s="1"/>
  <c r="C49" i="4" s="1"/>
  <c r="K10" i="2" s="1"/>
  <c r="K207" i="1"/>
  <c r="K18" i="2"/>
  <c r="J5" i="2"/>
  <c r="F281" i="1"/>
  <c r="F32" i="1" s="1"/>
  <c r="C85" i="1"/>
  <c r="C86" i="1"/>
  <c r="J22" i="1"/>
  <c r="K129" i="1"/>
  <c r="K127" i="1" s="1"/>
  <c r="K39" i="1" s="1"/>
  <c r="F21" i="2"/>
  <c r="F40" i="1"/>
  <c r="I183" i="1"/>
  <c r="B206" i="1"/>
  <c r="J202" i="1"/>
  <c r="J208" i="1" s="1"/>
  <c r="J185" i="1" s="1"/>
  <c r="J188" i="1" s="1"/>
  <c r="J124" i="1"/>
  <c r="J122" i="1" s="1"/>
  <c r="J38" i="1" s="1"/>
  <c r="I21" i="1"/>
  <c r="K233" i="1"/>
  <c r="C51" i="1"/>
  <c r="C269" i="1"/>
  <c r="I117" i="1"/>
  <c r="I37" i="1" s="1"/>
  <c r="I118" i="1"/>
  <c r="E281" i="1"/>
  <c r="E32" i="1" s="1"/>
  <c r="G132" i="1"/>
  <c r="C224" i="1"/>
  <c r="M29" i="1"/>
  <c r="K5" i="1"/>
  <c r="K35" i="2"/>
  <c r="J260" i="1"/>
  <c r="I261" i="1"/>
  <c r="D281" i="1"/>
  <c r="D32" i="1" s="1"/>
  <c r="K102" i="1"/>
  <c r="K259" i="1"/>
  <c r="C70" i="4" l="1"/>
  <c r="C62" i="4"/>
  <c r="C54" i="4"/>
  <c r="K5" i="2"/>
  <c r="G41" i="2" s="1"/>
  <c r="F22" i="2"/>
  <c r="K22" i="1"/>
  <c r="G21" i="2"/>
  <c r="G40" i="1"/>
  <c r="B207" i="1"/>
  <c r="K202" i="1"/>
  <c r="K208" i="1" s="1"/>
  <c r="K185" i="1" s="1"/>
  <c r="K188" i="1" s="1"/>
  <c r="K124" i="1"/>
  <c r="K122" i="1" s="1"/>
  <c r="J21" i="1"/>
  <c r="I20" i="1"/>
  <c r="J117" i="1"/>
  <c r="J37" i="1" s="1"/>
  <c r="J118" i="1"/>
  <c r="H132" i="1"/>
  <c r="G284" i="1"/>
  <c r="G72" i="1"/>
  <c r="G96" i="1"/>
  <c r="G217" i="1"/>
  <c r="H212" i="1"/>
  <c r="J261" i="1"/>
  <c r="K260" i="1"/>
  <c r="K261" i="1" s="1"/>
  <c r="H21" i="2" l="1"/>
  <c r="H40" i="1"/>
  <c r="K21" i="1"/>
  <c r="K38" i="1"/>
  <c r="J20" i="1"/>
  <c r="K117" i="1"/>
  <c r="K118" i="1"/>
  <c r="I132" i="1"/>
  <c r="I99" i="1"/>
  <c r="I100" i="1" s="1"/>
  <c r="I26" i="2"/>
  <c r="I186" i="1"/>
  <c r="G274" i="1"/>
  <c r="G275" i="1" s="1"/>
  <c r="H215" i="1"/>
  <c r="H217" i="1"/>
  <c r="H284" i="1"/>
  <c r="H92" i="1"/>
  <c r="G19" i="1"/>
  <c r="G178" i="1" s="1"/>
  <c r="G23" i="1"/>
  <c r="H96" i="1"/>
  <c r="G213" i="1"/>
  <c r="G214" i="1" s="1"/>
  <c r="G95" i="1" s="1"/>
  <c r="G219" i="1"/>
  <c r="G45" i="1" s="1"/>
  <c r="H72" i="1"/>
  <c r="G44" i="1" l="1"/>
  <c r="G46" i="1" s="1"/>
  <c r="I21" i="2"/>
  <c r="I40" i="1"/>
  <c r="K20" i="1"/>
  <c r="K37" i="1"/>
  <c r="G151" i="1"/>
  <c r="G57" i="1" s="1"/>
  <c r="J132" i="1"/>
  <c r="I72" i="1"/>
  <c r="J26" i="2"/>
  <c r="J99" i="1"/>
  <c r="J100" i="1" s="1"/>
  <c r="G91" i="1"/>
  <c r="G23" i="2"/>
  <c r="I212" i="1"/>
  <c r="I60" i="1"/>
  <c r="J183" i="1"/>
  <c r="H213" i="1"/>
  <c r="H214" i="1" s="1"/>
  <c r="H95" i="1" s="1"/>
  <c r="H219" i="1"/>
  <c r="H45" i="1" s="1"/>
  <c r="I215" i="1"/>
  <c r="J212" i="1" s="1"/>
  <c r="G20" i="2"/>
  <c r="H19" i="1"/>
  <c r="H23" i="1"/>
  <c r="H273" i="1"/>
  <c r="G276" i="1"/>
  <c r="G280" i="1" s="1"/>
  <c r="I284" i="1"/>
  <c r="I92" i="1"/>
  <c r="I96" i="1"/>
  <c r="I217" i="1"/>
  <c r="I213" i="1" s="1"/>
  <c r="H44" i="1" l="1"/>
  <c r="H46" i="1" s="1"/>
  <c r="K132" i="1"/>
  <c r="J40" i="1"/>
  <c r="G175" i="1"/>
  <c r="G150" i="1"/>
  <c r="H149" i="1"/>
  <c r="H151" i="1" s="1"/>
  <c r="H57" i="1" s="1"/>
  <c r="J21" i="2"/>
  <c r="J72" i="1"/>
  <c r="I214" i="1"/>
  <c r="I95" i="1" s="1"/>
  <c r="J186" i="1"/>
  <c r="K183" i="1" s="1"/>
  <c r="G94" i="1"/>
  <c r="J217" i="1"/>
  <c r="J213" i="1" s="1"/>
  <c r="J215" i="1"/>
  <c r="K212" i="1" s="1"/>
  <c r="I19" i="1"/>
  <c r="I23" i="1"/>
  <c r="G48" i="1"/>
  <c r="G19" i="2"/>
  <c r="H91" i="1"/>
  <c r="H23" i="2"/>
  <c r="H20" i="2"/>
  <c r="I219" i="1"/>
  <c r="I45" i="1" s="1"/>
  <c r="J96" i="1"/>
  <c r="J284" i="1"/>
  <c r="J92" i="1"/>
  <c r="I44" i="1" l="1"/>
  <c r="I46" i="1" s="1"/>
  <c r="K21" i="2"/>
  <c r="K40" i="1"/>
  <c r="H175" i="1"/>
  <c r="H150" i="1"/>
  <c r="I149" i="1"/>
  <c r="I151" i="1" s="1"/>
  <c r="I57" i="1" s="1"/>
  <c r="K215" i="1"/>
  <c r="K96" i="1"/>
  <c r="K284" i="1"/>
  <c r="N18" i="1"/>
  <c r="K26" i="2"/>
  <c r="K99" i="1"/>
  <c r="K100" i="1" s="1"/>
  <c r="J214" i="1"/>
  <c r="J95" i="1" s="1"/>
  <c r="K186" i="1"/>
  <c r="K60" i="1" s="1"/>
  <c r="J60" i="1"/>
  <c r="I91" i="1"/>
  <c r="I23" i="2"/>
  <c r="I20" i="2"/>
  <c r="J219" i="1"/>
  <c r="J45" i="1" s="1"/>
  <c r="H19" i="2"/>
  <c r="H48" i="1"/>
  <c r="J19" i="1"/>
  <c r="J23" i="1"/>
  <c r="J44" i="1" l="1"/>
  <c r="J46" i="1" s="1"/>
  <c r="I175" i="1"/>
  <c r="I150" i="1"/>
  <c r="J149" i="1"/>
  <c r="J151" i="1" s="1"/>
  <c r="J57" i="1" s="1"/>
  <c r="J175" i="1" s="1"/>
  <c r="K92" i="1"/>
  <c r="N22" i="1"/>
  <c r="N47" i="1"/>
  <c r="N21" i="1"/>
  <c r="N20" i="1"/>
  <c r="K217" i="1"/>
  <c r="K213" i="1" s="1"/>
  <c r="K214" i="1" s="1"/>
  <c r="K95" i="1" s="1"/>
  <c r="K72" i="1"/>
  <c r="J20" i="2"/>
  <c r="I19" i="2"/>
  <c r="I48" i="1"/>
  <c r="J91" i="1"/>
  <c r="J23" i="2"/>
  <c r="J150" i="1" l="1"/>
  <c r="K149" i="1"/>
  <c r="K219" i="1"/>
  <c r="K45" i="1" s="1"/>
  <c r="K23" i="1"/>
  <c r="K19" i="1"/>
  <c r="J19" i="2"/>
  <c r="J48" i="1"/>
  <c r="K91" i="1" l="1"/>
  <c r="N19" i="1"/>
  <c r="K151" i="1"/>
  <c r="N23" i="1"/>
  <c r="K44" i="1"/>
  <c r="K23" i="2"/>
  <c r="N45" i="1"/>
  <c r="K20" i="2"/>
  <c r="E20" i="2"/>
  <c r="G22" i="2"/>
  <c r="K150" i="1" l="1"/>
  <c r="K57" i="1"/>
  <c r="N44" i="1"/>
  <c r="K46" i="1"/>
  <c r="H22" i="2"/>
  <c r="N46" i="1" l="1"/>
  <c r="K19" i="2"/>
  <c r="K48" i="1"/>
  <c r="N48" i="1" s="1"/>
  <c r="E19" i="2"/>
  <c r="I22" i="2"/>
  <c r="J22" i="2" l="1"/>
  <c r="K22" i="2" l="1"/>
  <c r="K41" i="2" l="1"/>
  <c r="K43" i="2" s="1"/>
  <c r="K44" i="2" s="1"/>
  <c r="G136" i="1" l="1"/>
  <c r="G138" i="1" s="1"/>
  <c r="G56" i="1" s="1"/>
  <c r="G173" i="1" l="1"/>
  <c r="G174" i="1" s="1"/>
  <c r="G29" i="2"/>
  <c r="G93" i="1"/>
  <c r="G137" i="1"/>
  <c r="G140" i="1"/>
  <c r="H136" i="1"/>
  <c r="H138" i="1" s="1"/>
  <c r="H56" i="1" s="1"/>
  <c r="H173" i="1" l="1"/>
  <c r="H174" i="1" s="1"/>
  <c r="G176" i="1"/>
  <c r="G179" i="1" s="1"/>
  <c r="G24" i="2"/>
  <c r="H93" i="1"/>
  <c r="H140" i="1"/>
  <c r="H137" i="1"/>
  <c r="I136" i="1"/>
  <c r="I138" i="1" s="1"/>
  <c r="I56" i="1" s="1"/>
  <c r="G25" i="2" l="1"/>
  <c r="G27" i="2" s="1"/>
  <c r="G36" i="2" s="1"/>
  <c r="G37" i="2" s="1"/>
  <c r="I173" i="1"/>
  <c r="I174" i="1" s="1"/>
  <c r="H176" i="1"/>
  <c r="I93" i="1"/>
  <c r="I140" i="1"/>
  <c r="I137" i="1"/>
  <c r="J136" i="1"/>
  <c r="I176" i="1" l="1"/>
  <c r="J138" i="1"/>
  <c r="J56" i="1" s="1"/>
  <c r="J173" i="1" l="1"/>
  <c r="J174" i="1" s="1"/>
  <c r="J176" i="1" s="1"/>
  <c r="J93" i="1"/>
  <c r="J140" i="1"/>
  <c r="K136" i="1"/>
  <c r="K138" i="1" s="1"/>
  <c r="K140" i="1" s="1"/>
  <c r="J137" i="1"/>
  <c r="K137" i="1" l="1"/>
  <c r="K56" i="1"/>
  <c r="K93" i="1" l="1"/>
  <c r="G256" i="1" l="1"/>
  <c r="G251" i="1" s="1"/>
  <c r="G25" i="1" s="1"/>
  <c r="H256" i="1"/>
  <c r="H251" i="1" s="1"/>
  <c r="H25" i="1" s="1"/>
  <c r="I256" i="1"/>
  <c r="I251" i="1" s="1"/>
  <c r="I25" i="1" s="1"/>
  <c r="J256" i="1"/>
  <c r="J251" i="1" s="1"/>
  <c r="J25" i="1" s="1"/>
  <c r="K256" i="1"/>
  <c r="K251" i="1" s="1"/>
  <c r="K25" i="1" s="1"/>
  <c r="N25" i="1" s="1"/>
  <c r="G265" i="1"/>
  <c r="G24" i="1" s="1"/>
  <c r="H265" i="1"/>
  <c r="H24" i="1" s="1"/>
  <c r="I265" i="1"/>
  <c r="I24" i="1" s="1"/>
  <c r="J265" i="1"/>
  <c r="J24" i="1" s="1"/>
  <c r="K265" i="1"/>
  <c r="K24" i="1" s="1"/>
  <c r="G27" i="1" l="1"/>
  <c r="G28" i="1" s="1"/>
  <c r="G29" i="1" s="1"/>
  <c r="H27" i="1"/>
  <c r="H28" i="1" s="1"/>
  <c r="H29" i="1" s="1"/>
  <c r="N24" i="1"/>
  <c r="K27" i="1"/>
  <c r="J27" i="1"/>
  <c r="I27" i="1"/>
  <c r="H90" i="1" l="1"/>
  <c r="H269" i="1"/>
  <c r="H224" i="1"/>
  <c r="I28" i="1"/>
  <c r="I29" i="1" s="1"/>
  <c r="J28" i="1"/>
  <c r="J29" i="1" s="1"/>
  <c r="G90" i="1"/>
  <c r="G97" i="1" s="1"/>
  <c r="G269" i="1"/>
  <c r="G224" i="1"/>
  <c r="C299" i="1"/>
  <c r="N27" i="1"/>
  <c r="K28" i="1"/>
  <c r="N28" i="1" s="1"/>
  <c r="J90" i="1" l="1"/>
  <c r="J269" i="1"/>
  <c r="J224" i="1"/>
  <c r="I90" i="1"/>
  <c r="I269" i="1"/>
  <c r="I224" i="1"/>
  <c r="H286" i="1"/>
  <c r="H285" i="1" s="1"/>
  <c r="K29" i="1"/>
  <c r="G225" i="1"/>
  <c r="G105" i="1" s="1"/>
  <c r="G234" i="1" s="1"/>
  <c r="G235" i="1" s="1"/>
  <c r="G241" i="1" s="1"/>
  <c r="G278" i="1"/>
  <c r="G31" i="1" s="1"/>
  <c r="G281" i="1"/>
  <c r="G32" i="1" s="1"/>
  <c r="G227" i="1" l="1"/>
  <c r="G73" i="1" s="1"/>
  <c r="G75" i="1" s="1"/>
  <c r="G86" i="1" s="1"/>
  <c r="H225" i="1"/>
  <c r="H105" i="1" s="1"/>
  <c r="H274" i="1"/>
  <c r="H275" i="1" s="1"/>
  <c r="I286" i="1"/>
  <c r="I285" i="1" s="1"/>
  <c r="N29" i="1"/>
  <c r="K90" i="1"/>
  <c r="K269" i="1"/>
  <c r="K224" i="1"/>
  <c r="J286" i="1"/>
  <c r="G242" i="1"/>
  <c r="G243" i="1" s="1"/>
  <c r="H223" i="1" l="1"/>
  <c r="H227" i="1" s="1"/>
  <c r="I225" i="1"/>
  <c r="G67" i="1"/>
  <c r="G247" i="1"/>
  <c r="H240" i="1"/>
  <c r="I274" i="1"/>
  <c r="J285" i="1"/>
  <c r="K286" i="1"/>
  <c r="H276" i="1"/>
  <c r="I273" i="1"/>
  <c r="I223" i="1" l="1"/>
  <c r="I227" i="1" s="1"/>
  <c r="H73" i="1"/>
  <c r="H75" i="1" s="1"/>
  <c r="H86" i="1" s="1"/>
  <c r="I275" i="1"/>
  <c r="J273" i="1" s="1"/>
  <c r="I105" i="1"/>
  <c r="J225" i="1"/>
  <c r="I276" i="1"/>
  <c r="H280" i="1"/>
  <c r="H281" i="1" s="1"/>
  <c r="H32" i="1" s="1"/>
  <c r="H278" i="1"/>
  <c r="H31" i="1" s="1"/>
  <c r="J274" i="1"/>
  <c r="K285" i="1"/>
  <c r="K274" i="1" s="1"/>
  <c r="G255" i="1"/>
  <c r="G103" i="1"/>
  <c r="G106" i="1" s="1"/>
  <c r="G108" i="1" s="1"/>
  <c r="G55" i="1" s="1"/>
  <c r="G83" i="1" s="1"/>
  <c r="G70" i="1"/>
  <c r="G77" i="1" s="1"/>
  <c r="J223" i="1" l="1"/>
  <c r="J227" i="1" s="1"/>
  <c r="I73" i="1"/>
  <c r="I75" i="1" s="1"/>
  <c r="I86" i="1" s="1"/>
  <c r="J105" i="1"/>
  <c r="K225" i="1"/>
  <c r="K105" i="1" s="1"/>
  <c r="I280" i="1"/>
  <c r="I281" i="1" s="1"/>
  <c r="I32" i="1" s="1"/>
  <c r="I278" i="1"/>
  <c r="I31" i="1" s="1"/>
  <c r="H232" i="1"/>
  <c r="G62" i="1"/>
  <c r="G85" i="1" s="1"/>
  <c r="J275" i="1"/>
  <c r="G79" i="1" l="1"/>
  <c r="G84" i="1"/>
  <c r="K223" i="1"/>
  <c r="K227" i="1" s="1"/>
  <c r="K73" i="1" s="1"/>
  <c r="K75" i="1" s="1"/>
  <c r="K86" i="1" s="1"/>
  <c r="J73" i="1"/>
  <c r="J75" i="1" s="1"/>
  <c r="J86" i="1" s="1"/>
  <c r="K273" i="1"/>
  <c r="K275" i="1" s="1"/>
  <c r="K276" i="1" s="1"/>
  <c r="J276" i="1"/>
  <c r="J280" i="1" l="1"/>
  <c r="J281" i="1" s="1"/>
  <c r="J32" i="1" s="1"/>
  <c r="J278" i="1"/>
  <c r="J31" i="1" s="1"/>
  <c r="K278" i="1"/>
  <c r="K31" i="1" s="1"/>
  <c r="K280" i="1" l="1"/>
  <c r="K281" i="1" s="1"/>
  <c r="K32" i="1" s="1"/>
  <c r="G161" i="1"/>
  <c r="G164" i="1"/>
  <c r="H169" i="1"/>
  <c r="I169" i="1" s="1"/>
  <c r="J169" i="1" s="1"/>
  <c r="K169" i="1" l="1"/>
  <c r="H160" i="1"/>
  <c r="H162" i="1" s="1"/>
  <c r="H64" i="1" s="1"/>
  <c r="H178" i="1" l="1"/>
  <c r="H179" i="1" s="1"/>
  <c r="H94" i="1"/>
  <c r="H97" i="1" s="1"/>
  <c r="H234" i="1" s="1"/>
  <c r="H235" i="1" s="1"/>
  <c r="H241" i="1" s="1"/>
  <c r="H242" i="1" s="1"/>
  <c r="H243" i="1" s="1"/>
  <c r="H29" i="2"/>
  <c r="I160" i="1"/>
  <c r="H161" i="1"/>
  <c r="H164" i="1"/>
  <c r="H24" i="2" l="1"/>
  <c r="H67" i="1"/>
  <c r="H247" i="1"/>
  <c r="I240" i="1"/>
  <c r="I162" i="1"/>
  <c r="I64" i="1" s="1"/>
  <c r="H25" i="2" l="1"/>
  <c r="H27" i="2" s="1"/>
  <c r="H36" i="2" s="1"/>
  <c r="H37" i="2" s="1"/>
  <c r="I178" i="1"/>
  <c r="I179" i="1" s="1"/>
  <c r="I94" i="1"/>
  <c r="I97" i="1" s="1"/>
  <c r="I234" i="1" s="1"/>
  <c r="I29" i="2"/>
  <c r="H255" i="1"/>
  <c r="H103" i="1"/>
  <c r="H106" i="1" s="1"/>
  <c r="H108" i="1" s="1"/>
  <c r="H55" i="1" s="1"/>
  <c r="H83" i="1" s="1"/>
  <c r="H70" i="1"/>
  <c r="H77" i="1" s="1"/>
  <c r="I161" i="1"/>
  <c r="J160" i="1"/>
  <c r="J162" i="1" s="1"/>
  <c r="J64" i="1" s="1"/>
  <c r="I164" i="1"/>
  <c r="J178" i="1" l="1"/>
  <c r="J179" i="1" s="1"/>
  <c r="I232" i="1"/>
  <c r="I235" i="1" s="1"/>
  <c r="I241" i="1" s="1"/>
  <c r="I242" i="1" s="1"/>
  <c r="I243" i="1" s="1"/>
  <c r="H62" i="1"/>
  <c r="H85" i="1" s="1"/>
  <c r="I24" i="2"/>
  <c r="J94" i="1"/>
  <c r="J97" i="1" s="1"/>
  <c r="J234" i="1" s="1"/>
  <c r="J29" i="2"/>
  <c r="J24" i="2" s="1"/>
  <c r="J161" i="1"/>
  <c r="K160" i="1"/>
  <c r="J164" i="1"/>
  <c r="J25" i="2" l="1"/>
  <c r="J27" i="2" s="1"/>
  <c r="J36" i="2" s="1"/>
  <c r="J37" i="2" s="1"/>
  <c r="I25" i="2"/>
  <c r="I27" i="2" s="1"/>
  <c r="I36" i="2" s="1"/>
  <c r="I37" i="2" s="1"/>
  <c r="H79" i="1"/>
  <c r="H84" i="1"/>
  <c r="J240" i="1"/>
  <c r="I67" i="1"/>
  <c r="I247" i="1"/>
  <c r="K162" i="1"/>
  <c r="K164" i="1" l="1"/>
  <c r="K64" i="1"/>
  <c r="I255" i="1"/>
  <c r="I103" i="1"/>
  <c r="I106" i="1" s="1"/>
  <c r="I108" i="1" s="1"/>
  <c r="I55" i="1" s="1"/>
  <c r="I83" i="1" s="1"/>
  <c r="I70" i="1"/>
  <c r="I77" i="1" s="1"/>
  <c r="K161" i="1"/>
  <c r="J232" i="1" l="1"/>
  <c r="J235" i="1" s="1"/>
  <c r="J241" i="1" s="1"/>
  <c r="J242" i="1" s="1"/>
  <c r="J243" i="1" s="1"/>
  <c r="I62" i="1"/>
  <c r="I85" i="1" s="1"/>
  <c r="K94" i="1"/>
  <c r="K97" i="1" s="1"/>
  <c r="K234" i="1" s="1"/>
  <c r="K29" i="2"/>
  <c r="I79" i="1" l="1"/>
  <c r="I84" i="1"/>
  <c r="K24" i="2"/>
  <c r="K240" i="1"/>
  <c r="J67" i="1"/>
  <c r="J247" i="1"/>
  <c r="K25" i="2" l="1"/>
  <c r="K27" i="2" s="1"/>
  <c r="K36" i="2" s="1"/>
  <c r="K37" i="2" s="1"/>
  <c r="J255" i="1"/>
  <c r="J103" i="1"/>
  <c r="J106" i="1" s="1"/>
  <c r="J108" i="1" s="1"/>
  <c r="J55" i="1" s="1"/>
  <c r="J83" i="1" s="1"/>
  <c r="J70" i="1"/>
  <c r="J77" i="1" s="1"/>
  <c r="E45" i="2" l="1"/>
  <c r="K45" i="2" s="1"/>
  <c r="K46" i="2" s="1"/>
  <c r="K50" i="2"/>
  <c r="E42" i="2"/>
  <c r="E43" i="2" s="1"/>
  <c r="E44" i="2" s="1"/>
  <c r="K232" i="1"/>
  <c r="K235" i="1" s="1"/>
  <c r="K241" i="1" s="1"/>
  <c r="K242" i="1" s="1"/>
  <c r="K243" i="1" s="1"/>
  <c r="J62" i="1"/>
  <c r="J85" i="1" s="1"/>
  <c r="E46" i="2" l="1"/>
  <c r="D84" i="2" s="1"/>
  <c r="D95" i="2" s="1"/>
  <c r="E50" i="2"/>
  <c r="J79" i="1"/>
  <c r="J84" i="1"/>
  <c r="K67" i="1"/>
  <c r="K247" i="1"/>
  <c r="E84" i="2"/>
  <c r="K48" i="2"/>
  <c r="K49" i="2" s="1"/>
  <c r="D99" i="2" l="1"/>
  <c r="D94" i="2"/>
  <c r="C131" i="2" s="1"/>
  <c r="D100" i="2"/>
  <c r="D93" i="2"/>
  <c r="D98" i="2"/>
  <c r="E48" i="2"/>
  <c r="E49" i="2" s="1"/>
  <c r="D86" i="2"/>
  <c r="D88" i="2" s="1"/>
  <c r="E100" i="2"/>
  <c r="E86" i="2"/>
  <c r="E88" i="2" s="1"/>
  <c r="E98" i="2"/>
  <c r="E99" i="2"/>
  <c r="E93" i="2"/>
  <c r="E95" i="2"/>
  <c r="E94" i="2"/>
  <c r="C140" i="2" s="1"/>
  <c r="K103" i="1"/>
  <c r="K106" i="1" s="1"/>
  <c r="K108" i="1" s="1"/>
  <c r="K55" i="1" s="1"/>
  <c r="K62" i="1" s="1"/>
  <c r="K85" i="1" s="1"/>
  <c r="K255" i="1"/>
  <c r="K70" i="1"/>
  <c r="K77" i="1" s="1"/>
  <c r="C106" i="2" l="1"/>
  <c r="D89" i="2"/>
  <c r="C115" i="2"/>
  <c r="E89" i="2"/>
  <c r="K84" i="1"/>
  <c r="K83" i="1"/>
  <c r="K7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Ludvig karlsson</author>
    <author>Matan Feldman</author>
  </authors>
  <commentList>
    <comment ref="B55" authorId="0" shapeId="0" xr:uid="{DE4E387B-361C-44FD-897B-806A4C41F1BE}">
      <text>
        <r>
          <rPr>
            <sz val="9"/>
            <color indexed="81"/>
            <rFont val="Tahoma"/>
            <family val="2"/>
          </rPr>
          <t xml:space="preserve">Incl. both current and non-current marketable securities
</t>
        </r>
      </text>
    </comment>
    <comment ref="B68" authorId="0" shapeId="0" xr:uid="{C5B09AA6-441A-4FE7-B2FC-22DD58629031}">
      <text>
        <r>
          <rPr>
            <sz val="9"/>
            <color indexed="81"/>
            <rFont val="Tahoma"/>
            <family val="2"/>
          </rPr>
          <t>Incl. both current and non-current term debt.</t>
        </r>
      </text>
    </comment>
    <comment ref="F200" authorId="0" shapeId="0" xr:uid="{4334B531-1E3D-40C9-B035-24EB5EC99BF3}">
      <text>
        <r>
          <rPr>
            <sz val="9"/>
            <color indexed="81"/>
            <rFont val="Tahoma"/>
            <family val="2"/>
          </rPr>
          <t>1 = Assumes full year depreciation from current period capex
0.5 = Assumes half year depreciation from current year capex</t>
        </r>
      </text>
    </comment>
    <comment ref="B254" authorId="0" shapeId="0" xr:uid="{D9BE1DB2-EA1B-46C0-B44B-084F758502FE}">
      <text>
        <r>
          <rPr>
            <sz val="9"/>
            <color indexed="81"/>
            <rFont val="Tahoma"/>
            <family val="2"/>
          </rPr>
          <t xml:space="preserve">From Note 6 – Debt in 10K
</t>
        </r>
      </text>
    </comment>
    <comment ref="B261" authorId="1" shapeId="0" xr:uid="{E9DD26A3-E7B5-48F9-8389-C690BC79773F}">
      <text>
        <r>
          <rPr>
            <sz val="9"/>
            <color indexed="81"/>
            <rFont val="Tahoma"/>
            <family val="2"/>
          </rPr>
          <t>Apple does not disclose interest expense specifically for Long-term debt. However, it does disclose the interest rate on commercial paper which enables us to back into interest expense for long-term debt. Please note that there is a possibility that Apple has recorded interest expense in other non-operating expenses, but it is unlikely and whatever it is gonna be it is probably immaterial.</t>
        </r>
      </text>
    </comment>
    <comment ref="B264" authorId="0" shapeId="0" xr:uid="{6C9FBD31-9315-4A66-A1A0-EEB2212FA9C9}">
      <text>
        <r>
          <rPr>
            <sz val="9"/>
            <color indexed="81"/>
            <rFont val="Tahoma"/>
            <family val="2"/>
          </rPr>
          <t>Retrieved from the 'Other Income/(Expense), Net' section in the 10k.</t>
        </r>
      </text>
    </comment>
    <comment ref="C271" authorId="0" shapeId="0" xr:uid="{C8333E08-4B07-4F6E-BD36-92FA87A74BE2}">
      <text>
        <r>
          <rPr>
            <sz val="9"/>
            <color indexed="81"/>
            <rFont val="Tahoma"/>
            <family val="2"/>
          </rPr>
          <t>Front cover of Apple's 2020 10K as of October 16, 2020</t>
        </r>
      </text>
    </comment>
    <comment ref="B276" authorId="0" shapeId="0" xr:uid="{985FE1F0-8057-41D1-9999-6364AC708760}">
      <text>
        <r>
          <rPr>
            <sz val="9"/>
            <color indexed="81"/>
            <rFont val="Tahoma"/>
            <family val="2"/>
          </rPr>
          <t>From the Earnings per share footnote in their 10K.</t>
        </r>
      </text>
    </comment>
    <comment ref="B280" authorId="1" shapeId="0" xr:uid="{40FFCB06-E6E7-4291-B63E-0BC92FFFE945}">
      <text>
        <r>
          <rPr>
            <sz val="9"/>
            <color indexed="81"/>
            <rFont val="Tahoma"/>
            <family val="2"/>
          </rPr>
          <t>We straight line last actual year's dilutive securities (calculated as diluted - basic shares) and add this number to the basic share count to arrive at diluted shares</t>
        </r>
      </text>
    </comment>
    <comment ref="B284" authorId="1" shapeId="0" xr:uid="{EA639651-E257-4605-8DE7-842DDDF8F88A}">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B285" authorId="0" shapeId="0" xr:uid="{E5AA63CD-0DCA-4F53-90C6-25EA62165109}">
      <text>
        <r>
          <rPr>
            <sz val="9"/>
            <color indexed="81"/>
            <rFont val="Tahoma"/>
            <family val="2"/>
          </rPr>
          <t>Latest share price or last 12 month average.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F13" authorId="0" shapeId="0" xr:uid="{171C5A8D-3159-4D89-A6EA-A9725610920B}">
      <text>
        <r>
          <rPr>
            <b/>
            <sz val="9"/>
            <color indexed="81"/>
            <rFont val="Tahoma"/>
            <family val="2"/>
          </rPr>
          <t>Matan Feldman:</t>
        </r>
        <r>
          <rPr>
            <sz val="9"/>
            <color indexed="81"/>
            <rFont val="Tahoma"/>
            <family val="2"/>
          </rPr>
          <t xml:space="preserve">
In practice can use the NOW() function to keep current date active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Ludvig karlsson</author>
  </authors>
  <commentList>
    <comment ref="I26" authorId="0" shapeId="0" xr:uid="{E8D0CE92-2731-476D-8DBF-8DC10CB99806}">
      <text>
        <r>
          <rPr>
            <b/>
            <sz val="9"/>
            <color indexed="81"/>
            <rFont val="Tahoma"/>
            <family val="2"/>
          </rPr>
          <t>10K 2020-06-30</t>
        </r>
      </text>
    </comment>
    <comment ref="I27" authorId="0" shapeId="0" xr:uid="{8AF08695-7EC6-42C1-A130-7AE7598FA8C8}">
      <text>
        <r>
          <rPr>
            <b/>
            <sz val="9"/>
            <color indexed="81"/>
            <rFont val="Tahoma"/>
            <family val="2"/>
          </rPr>
          <t>Q3 2020</t>
        </r>
      </text>
    </comment>
    <comment ref="I28" authorId="0" shapeId="0" xr:uid="{2D91B206-D1B2-4964-9647-F2C56F2D0C43}">
      <text>
        <r>
          <rPr>
            <b/>
            <sz val="9"/>
            <color indexed="81"/>
            <rFont val="Tahoma"/>
            <family val="2"/>
          </rPr>
          <t>10K 2019-02-01</t>
        </r>
      </text>
    </comment>
    <comment ref="I29" authorId="0" shapeId="0" xr:uid="{E0C313B8-3FA6-446C-8C2F-6EE56206781A}">
      <text>
        <r>
          <rPr>
            <b/>
            <sz val="9"/>
            <color indexed="81"/>
            <rFont val="Tahoma"/>
            <charset val="1"/>
          </rPr>
          <t>Loss</t>
        </r>
      </text>
    </comment>
    <comment ref="I30" authorId="0" shapeId="0" xr:uid="{66840A81-EC8B-45BD-96C2-1F78109139F1}">
      <text>
        <r>
          <rPr>
            <b/>
            <sz val="9"/>
            <color indexed="81"/>
            <rFont val="Tahoma"/>
            <family val="2"/>
          </rPr>
          <t>10K 2020-12-31</t>
        </r>
      </text>
    </comment>
    <comment ref="I31" authorId="0" shapeId="0" xr:uid="{6D47B940-D3AF-45AE-B993-10F13DD4C0FE}">
      <text>
        <r>
          <rPr>
            <b/>
            <sz val="9"/>
            <color indexed="81"/>
            <rFont val="Tahoma"/>
            <family val="2"/>
          </rPr>
          <t>10K 2020-10-31</t>
        </r>
      </text>
    </comment>
    <comment ref="I32" authorId="0" shapeId="0" xr:uid="{2F3C810F-9765-4A73-AE4D-EE7ACC6F6878}">
      <text>
        <r>
          <rPr>
            <b/>
            <sz val="9"/>
            <color indexed="81"/>
            <rFont val="Tahoma"/>
            <family val="2"/>
          </rPr>
          <t>10-K 2020-12-31</t>
        </r>
      </text>
    </comment>
    <comment ref="I33" authorId="0" shapeId="0" xr:uid="{6A77E65B-DBD5-40FE-ABE4-92C6BCAC6A3B}">
      <text>
        <r>
          <rPr>
            <b/>
            <sz val="9"/>
            <color indexed="81"/>
            <rFont val="Tahoma"/>
            <family val="2"/>
          </rPr>
          <t>10-K 2020-12-31</t>
        </r>
      </text>
    </comment>
    <comment ref="I34" authorId="0" shapeId="0" xr:uid="{F7C159F1-5975-4333-A38D-98686D4C814E}">
      <text>
        <r>
          <rPr>
            <b/>
            <sz val="9"/>
            <color indexed="81"/>
            <rFont val="Tahoma"/>
            <family val="2"/>
          </rPr>
          <t>6-K 2019-12-31</t>
        </r>
      </text>
    </comment>
    <comment ref="I35" authorId="0" shapeId="0" xr:uid="{0A197623-8399-4989-84A9-92F27C069F5C}">
      <text>
        <r>
          <rPr>
            <sz val="9"/>
            <color indexed="81"/>
            <rFont val="Tahoma"/>
            <family val="2"/>
          </rPr>
          <t>10-Q 2020-08-28 p.42</t>
        </r>
      </text>
    </comment>
    <comment ref="I36" authorId="0" shapeId="0" xr:uid="{B755953B-C2E6-49D3-971A-E68F08992D84}">
      <text>
        <r>
          <rPr>
            <b/>
            <sz val="9"/>
            <color indexed="81"/>
            <rFont val="Tahoma"/>
            <family val="2"/>
          </rPr>
          <t>10-Q 2020-06-30</t>
        </r>
      </text>
    </comment>
  </commentList>
</comments>
</file>

<file path=xl/sharedStrings.xml><?xml version="1.0" encoding="utf-8"?>
<sst xmlns="http://schemas.openxmlformats.org/spreadsheetml/2006/main" count="616" uniqueCount="488">
  <si>
    <t>Base case</t>
  </si>
  <si>
    <t>Latest closing share price date</t>
  </si>
  <si>
    <t>Latest fiscal year end date</t>
  </si>
  <si>
    <t>Shares outstanding (millions)</t>
  </si>
  <si>
    <t>Revenue</t>
  </si>
  <si>
    <t>Previous year's revenues x (1+revenue growth rate)</t>
  </si>
  <si>
    <t>Plug = Revenue - Gross Profit</t>
  </si>
  <si>
    <t>Gross Profit</t>
  </si>
  <si>
    <t>Revenue x Gross Profit Margin forecast</t>
  </si>
  <si>
    <t>Revenue x R&amp;D % of sales forecast</t>
  </si>
  <si>
    <t>Revenue x SG&amp;A % of sales forecast</t>
  </si>
  <si>
    <t>Operating profit (EBIT)</t>
  </si>
  <si>
    <t>Gross Profit - R&amp;D - SG&amp;A</t>
  </si>
  <si>
    <t>Interest income</t>
  </si>
  <si>
    <t>Reference from interest on cash schedule</t>
  </si>
  <si>
    <t>Reference from interest expense schedule</t>
  </si>
  <si>
    <t>Straight-line</t>
  </si>
  <si>
    <t>EBIT + interest income less interest expense less other expense</t>
  </si>
  <si>
    <t>Pre-tax Profit x Tax Rate forecast</t>
  </si>
  <si>
    <t>Net income</t>
  </si>
  <si>
    <t>Pre-tax Profit less taxes</t>
  </si>
  <si>
    <t>Depreciation &amp; amortization</t>
  </si>
  <si>
    <t>Reference from D&amp;A schedule</t>
  </si>
  <si>
    <t>EBITDA</t>
  </si>
  <si>
    <t>EBIT + D&amp;A</t>
  </si>
  <si>
    <t>Stock based compensation</t>
  </si>
  <si>
    <t>Adjusted EBITDA</t>
  </si>
  <si>
    <t>Growth rates &amp; margins</t>
  </si>
  <si>
    <t>Gross profit margin</t>
  </si>
  <si>
    <t>R&amp;D % of sales</t>
  </si>
  <si>
    <t>SG&amp;A % of sales</t>
  </si>
  <si>
    <t>Tax rate</t>
  </si>
  <si>
    <t>Reference from 'net change in cash' line on the cash flow statement</t>
  </si>
  <si>
    <t>Accounts receivable</t>
  </si>
  <si>
    <t>Grow in-line with revenue growth</t>
  </si>
  <si>
    <t>Inventories</t>
  </si>
  <si>
    <t>Grow in-line with cost of sales growth</t>
  </si>
  <si>
    <t>Other current assets</t>
  </si>
  <si>
    <t>Reference from PP&amp;E schedule</t>
  </si>
  <si>
    <t>Other non current assets</t>
  </si>
  <si>
    <t>Total assets</t>
  </si>
  <si>
    <t>Accounts payable</t>
  </si>
  <si>
    <t>Other current liabilities</t>
  </si>
  <si>
    <t>Commercial paper / revolver</t>
  </si>
  <si>
    <t>Reference EOP balance from CP/revolver schedule</t>
  </si>
  <si>
    <t>Other non current liabilities</t>
  </si>
  <si>
    <t>Total liabilities</t>
  </si>
  <si>
    <t>Common stock</t>
  </si>
  <si>
    <t>Increase by stock-based compensation forecasted in the I/S section</t>
  </si>
  <si>
    <t xml:space="preserve">Retained earnings </t>
  </si>
  <si>
    <t>Reference from Retained Earnings schedule</t>
  </si>
  <si>
    <t>Balance check</t>
  </si>
  <si>
    <t>Reference from the I/S</t>
  </si>
  <si>
    <t>Decreases / (Increases) in working capital assets</t>
  </si>
  <si>
    <t>Increases / (Decreases) in working capital liabilities</t>
  </si>
  <si>
    <t>Reference from schedule NOT the B/S: Only include 'Additions' (as outflow)</t>
  </si>
  <si>
    <t>Long term debt</t>
  </si>
  <si>
    <t>Commercial paper/ Revolver</t>
  </si>
  <si>
    <t>Reference from B/S</t>
  </si>
  <si>
    <t>Share repurchases</t>
  </si>
  <si>
    <t>Common dividends</t>
  </si>
  <si>
    <t>Net change in cash during period</t>
  </si>
  <si>
    <t>Beginning of period</t>
  </si>
  <si>
    <t xml:space="preserve">BOP = Previous year EOP </t>
  </si>
  <si>
    <t>Less: Depreciation</t>
  </si>
  <si>
    <t>End of period</t>
  </si>
  <si>
    <t>Less: Amortization of intangible assets</t>
  </si>
  <si>
    <t xml:space="preserve">Assume all D&amp;A not from PP&amp;E is in non-current assets </t>
  </si>
  <si>
    <t xml:space="preserve">Plus: Additions </t>
  </si>
  <si>
    <t>Because we already know the EOP balance, this is a plug: EOP - D&amp;A not from PP&amp;E - BOP</t>
  </si>
  <si>
    <t>Referenced from balance sheet</t>
  </si>
  <si>
    <t>Plus: Net income</t>
  </si>
  <si>
    <t>Reference from income statement</t>
  </si>
  <si>
    <t>Less: Dividends</t>
  </si>
  <si>
    <t>Less: Repurchases</t>
  </si>
  <si>
    <t>BOP + net income - dividends - repurchases</t>
  </si>
  <si>
    <t>Revolver needs analysis</t>
  </si>
  <si>
    <t>Cash at beginning of period (BOP)</t>
  </si>
  <si>
    <t>Reference prior period EOP from B/S</t>
  </si>
  <si>
    <t>Less: Minimum cash balance</t>
  </si>
  <si>
    <t>Plus: Free cash flows generated during period</t>
  </si>
  <si>
    <t>Commercial paper / Revolver</t>
  </si>
  <si>
    <t>Draw / (paydown)</t>
  </si>
  <si>
    <t xml:space="preserve">Cash (paydown) / additional borrowing from revolver. Paydown not to exceed BOP balance. </t>
  </si>
  <si>
    <t>Total interest expense (from I/S)</t>
  </si>
  <si>
    <t>Interest expense from revolver/CP + interest expense from long term debt</t>
  </si>
  <si>
    <t>Commercial Paper / Revolver</t>
  </si>
  <si>
    <t>End of period balance (from B/S)</t>
  </si>
  <si>
    <t>Interest expense</t>
  </si>
  <si>
    <t>Interest rate x average of BOP &amp; EOP revolver balances (circularity)</t>
  </si>
  <si>
    <t xml:space="preserve">Interest expense </t>
  </si>
  <si>
    <t>Interest rate on cash</t>
  </si>
  <si>
    <t>Interest rate x average of BOP &amp; EOP cash balances (circularity)</t>
  </si>
  <si>
    <t>Reference from I/S</t>
  </si>
  <si>
    <t>Basic EPS</t>
  </si>
  <si>
    <t>Net income / Basic shares</t>
  </si>
  <si>
    <t>Diluted Shares</t>
  </si>
  <si>
    <t>Basic shares + Dilutive securities</t>
  </si>
  <si>
    <t>Diluted EPS</t>
  </si>
  <si>
    <t>Net income/Diluted Shares</t>
  </si>
  <si>
    <t>$ amount of shares repurchased</t>
  </si>
  <si>
    <t>Reference from RE schedule - treasury repurchases (flip sign)</t>
  </si>
  <si>
    <t>$ amount of new shares issued</t>
  </si>
  <si>
    <t xml:space="preserve">Reference SBC from I/S </t>
  </si>
  <si>
    <t>Average share price</t>
  </si>
  <si>
    <t>Last period share price x (1+growth rate)</t>
  </si>
  <si>
    <t>Share price increase</t>
  </si>
  <si>
    <t>Basic Shares - BOP</t>
  </si>
  <si>
    <t>Net change in basic shares</t>
  </si>
  <si>
    <t xml:space="preserve"> ($ shares issued - $ shares repurchased)/Current period average share price</t>
  </si>
  <si>
    <t>Basic shares - EOP</t>
  </si>
  <si>
    <t>Basic Shares - BOP + Net change in basic shares</t>
  </si>
  <si>
    <t>Average(Basic Shares BOP,Basic Shares EOP)</t>
  </si>
  <si>
    <t>Net sales</t>
  </si>
  <si>
    <t>Interest and dividend income</t>
  </si>
  <si>
    <t>Other income/(expense), net</t>
  </si>
  <si>
    <t>Most recent fiscal year end</t>
  </si>
  <si>
    <t>Discount rate (WACC)</t>
  </si>
  <si>
    <t>Link from WACC</t>
  </si>
  <si>
    <t>End of first fiscal year</t>
  </si>
  <si>
    <t>Most recent quarter end date</t>
  </si>
  <si>
    <t xml:space="preserve">Valuation date </t>
  </si>
  <si>
    <t>Unlevered Free Cash Flows</t>
  </si>
  <si>
    <t>LTM</t>
  </si>
  <si>
    <t>Actual</t>
  </si>
  <si>
    <t>EBIT</t>
  </si>
  <si>
    <t>Changes in net working capital</t>
  </si>
  <si>
    <t>Unlevered free cash flows (UFCF)</t>
  </si>
  <si>
    <t>Net working capital (WC Assets - WC liabilities)</t>
  </si>
  <si>
    <t>Year 2</t>
  </si>
  <si>
    <t>Year 3</t>
  </si>
  <si>
    <t>Year 4</t>
  </si>
  <si>
    <t>Year 5</t>
  </si>
  <si>
    <t>Date for discounting cash flows</t>
  </si>
  <si>
    <t>Unlevered free cash flows (UFCF) stub adjusted</t>
  </si>
  <si>
    <t>Present value of of unlevered free cash flows</t>
  </si>
  <si>
    <t>Terminal value - growth in perpetuity approach</t>
  </si>
  <si>
    <t>Terminal value - EBITDA multiple approach</t>
  </si>
  <si>
    <t>Long term growth rate</t>
  </si>
  <si>
    <t>EBITDA multiple</t>
  </si>
  <si>
    <t>Present value of terminal value</t>
  </si>
  <si>
    <t>Present value of stage 1 cash flows</t>
  </si>
  <si>
    <t>Total enterprise value (TEV)</t>
  </si>
  <si>
    <t>Enterprise value (stage 1 + 2)</t>
  </si>
  <si>
    <t>Terminal value as % of TEV</t>
  </si>
  <si>
    <t>Stage 1 cash flows as % of TEV</t>
  </si>
  <si>
    <t>Cash flows as % of TEV</t>
  </si>
  <si>
    <t>Implied TV exit EBITDA multiple</t>
  </si>
  <si>
    <t>Implied terminal growth rate</t>
  </si>
  <si>
    <t>Net debt</t>
  </si>
  <si>
    <t>Source doc</t>
  </si>
  <si>
    <t>Q1 2020 10Q</t>
  </si>
  <si>
    <t>Source date</t>
  </si>
  <si>
    <t>Date</t>
  </si>
  <si>
    <t>Shares</t>
  </si>
  <si>
    <t>Debt</t>
  </si>
  <si>
    <t>Restricted stock / RSUs</t>
  </si>
  <si>
    <t>Convertible debt</t>
  </si>
  <si>
    <t>Options / warrants</t>
  </si>
  <si>
    <t>Preferred stock</t>
  </si>
  <si>
    <t>Noncontrolling (minority) interests</t>
  </si>
  <si>
    <t>Convertible preferred stock</t>
  </si>
  <si>
    <t>Net diluted shares outstanding</t>
  </si>
  <si>
    <t xml:space="preserve">Cash </t>
  </si>
  <si>
    <t xml:space="preserve">Equity investments </t>
  </si>
  <si>
    <t>Perpetuity</t>
  </si>
  <si>
    <t>Enterprise value</t>
  </si>
  <si>
    <t xml:space="preserve">Equity value </t>
  </si>
  <si>
    <t>Equity value per share</t>
  </si>
  <si>
    <t>Last twelve months (LTM)</t>
  </si>
  <si>
    <t>EV / Revenue</t>
  </si>
  <si>
    <t xml:space="preserve">EV / EBITDA </t>
  </si>
  <si>
    <t>EV / EBIT</t>
  </si>
  <si>
    <t>Year 1</t>
  </si>
  <si>
    <t>Outputs</t>
  </si>
  <si>
    <t>LTM EBITDA multiple</t>
  </si>
  <si>
    <t>Long term growth rate (g):</t>
  </si>
  <si>
    <t>WACC:</t>
  </si>
  <si>
    <t>Exit EBITDA Multiple</t>
  </si>
  <si>
    <t>Low</t>
  </si>
  <si>
    <t>Diff.</t>
  </si>
  <si>
    <t>High</t>
  </si>
  <si>
    <t>Cost of capital assumptions</t>
  </si>
  <si>
    <t>Source</t>
  </si>
  <si>
    <t>Cost of debt</t>
  </si>
  <si>
    <t>From terminal year of UFCF forecast</t>
  </si>
  <si>
    <t>Cost of debt (after tax)</t>
  </si>
  <si>
    <t>Cost of debt x (1 - tax rate)</t>
  </si>
  <si>
    <t xml:space="preserve">Risk free rate </t>
  </si>
  <si>
    <t xml:space="preserve">Beta </t>
  </si>
  <si>
    <t>Market risk premium</t>
  </si>
  <si>
    <t>Cost of equity</t>
  </si>
  <si>
    <t>RfR + Beta x MRP</t>
  </si>
  <si>
    <t>Capital weights (capital structure)</t>
  </si>
  <si>
    <t xml:space="preserve">Target </t>
  </si>
  <si>
    <t xml:space="preserve">Current </t>
  </si>
  <si>
    <t>(override)</t>
  </si>
  <si>
    <t>% of total</t>
  </si>
  <si>
    <t>Equity</t>
  </si>
  <si>
    <t>Cost of capital (WACC)</t>
  </si>
  <si>
    <t>Beta</t>
  </si>
  <si>
    <t>Market</t>
  </si>
  <si>
    <t>Risk</t>
  </si>
  <si>
    <t>Premium</t>
  </si>
  <si>
    <t>Observed</t>
  </si>
  <si>
    <t>Industry beta</t>
  </si>
  <si>
    <t>From schedule below</t>
  </si>
  <si>
    <t>Share price</t>
  </si>
  <si>
    <t>Market cap</t>
  </si>
  <si>
    <t>Net Debt</t>
  </si>
  <si>
    <t>Industry average delevered beta</t>
  </si>
  <si>
    <t>EBITDA + Share-based compensation</t>
  </si>
  <si>
    <t>Net sales growth</t>
  </si>
  <si>
    <t>n.a.</t>
  </si>
  <si>
    <t>Check</t>
  </si>
  <si>
    <t>Net income as per source data</t>
  </si>
  <si>
    <t>Cost of sales</t>
  </si>
  <si>
    <t>Research &amp; development</t>
  </si>
  <si>
    <t>Selling, general &amp; administrative</t>
  </si>
  <si>
    <t>Taxes</t>
  </si>
  <si>
    <t>USDm</t>
  </si>
  <si>
    <t>R&amp;D as % of net sales</t>
  </si>
  <si>
    <t>SG&amp;A as % of net sales</t>
  </si>
  <si>
    <t>Straight-line last historical year</t>
  </si>
  <si>
    <t>Historical</t>
  </si>
  <si>
    <t>Case selector</t>
  </si>
  <si>
    <t>Upside case</t>
  </si>
  <si>
    <t>Downside case</t>
  </si>
  <si>
    <t>Circut breaker/circularity (1=off, 0=on)</t>
  </si>
  <si>
    <t>Financial Statement Model - Apple</t>
  </si>
  <si>
    <t>Projected</t>
  </si>
  <si>
    <t>Income statement</t>
  </si>
  <si>
    <t>Balance sheet</t>
  </si>
  <si>
    <t>Latest closing share price (USD)</t>
  </si>
  <si>
    <t>Control</t>
  </si>
  <si>
    <t>Cash flow statement</t>
  </si>
  <si>
    <t>Color code legend</t>
  </si>
  <si>
    <t>[xx]</t>
  </si>
  <si>
    <t>- hardcoded</t>
  </si>
  <si>
    <t>- calculation</t>
  </si>
  <si>
    <t>CAGR</t>
  </si>
  <si>
    <t>'20A-'25E</t>
  </si>
  <si>
    <t>'17A-'20A</t>
  </si>
  <si>
    <r>
      <t xml:space="preserve">D&amp;A </t>
    </r>
    <r>
      <rPr>
        <u/>
        <sz val="8"/>
        <color theme="1"/>
        <rFont val="Arial"/>
        <family val="2"/>
      </rPr>
      <t>not</t>
    </r>
    <r>
      <rPr>
        <sz val="8"/>
        <color theme="1"/>
        <rFont val="Arial"/>
        <family val="2"/>
      </rPr>
      <t xml:space="preserve"> related to PP&amp;E</t>
    </r>
  </si>
  <si>
    <r>
      <t xml:space="preserve">CFO + CFI + CFF </t>
    </r>
    <r>
      <rPr>
        <u/>
        <sz val="8"/>
        <color theme="1"/>
        <rFont val="Arial"/>
        <family val="2"/>
      </rPr>
      <t>except revolver</t>
    </r>
  </si>
  <si>
    <t>Profit before tax (PBT)</t>
  </si>
  <si>
    <r>
      <rPr>
        <i/>
        <sz val="8"/>
        <color theme="1"/>
        <rFont val="Arial"/>
        <family val="2"/>
      </rPr>
      <t>[add-back]</t>
    </r>
    <r>
      <rPr>
        <sz val="8"/>
        <color theme="1"/>
        <rFont val="Arial"/>
        <family val="2"/>
      </rPr>
      <t xml:space="preserve"> Depreciation &amp; amortization</t>
    </r>
  </si>
  <si>
    <r>
      <rPr>
        <i/>
        <sz val="8"/>
        <color theme="1"/>
        <rFont val="Arial"/>
        <family val="2"/>
      </rPr>
      <t>[add-back]</t>
    </r>
    <r>
      <rPr>
        <sz val="8"/>
        <color theme="1"/>
        <rFont val="Arial"/>
        <family val="2"/>
      </rPr>
      <t xml:space="preserve"> Share-based compensation expense</t>
    </r>
  </si>
  <si>
    <t>Growth rates, margins and tax rate assumptions</t>
  </si>
  <si>
    <t>Last historical year + 1ppt.</t>
  </si>
  <si>
    <t>Last historical year - 1ppt.</t>
  </si>
  <si>
    <t>Straight-line last historical year.</t>
  </si>
  <si>
    <t>Comments</t>
  </si>
  <si>
    <t>GM</t>
  </si>
  <si>
    <t>Capex</t>
  </si>
  <si>
    <t>Consensus Estimates</t>
  </si>
  <si>
    <t>Revenue growth (%)</t>
  </si>
  <si>
    <t>Base case - 1ppt.</t>
  </si>
  <si>
    <t>Base case + 1ppt.</t>
  </si>
  <si>
    <t>Base case + 0,5ppt.</t>
  </si>
  <si>
    <t>Base case - 0,5ppt.</t>
  </si>
  <si>
    <t>Other non-current assets assumptions</t>
  </si>
  <si>
    <t>Retained earnings</t>
  </si>
  <si>
    <t>Total liabilities and shareholders’ equity</t>
  </si>
  <si>
    <t>Total shareholders’ equity</t>
  </si>
  <si>
    <t>Accumulated other comprehensive income/(loss)</t>
  </si>
  <si>
    <t>Property, plant and equipment</t>
  </si>
  <si>
    <t>Cash and cash equivalents</t>
  </si>
  <si>
    <t>Deferred revenue</t>
  </si>
  <si>
    <t>Term debt</t>
  </si>
  <si>
    <t>Capex x 'D&amp;A related to PP&amp;E as a % of capex' ratio</t>
  </si>
  <si>
    <t>D&amp;A related to PP&amp;E, as a % of capex</t>
  </si>
  <si>
    <t>Plus: Capital expenditures (capex)</t>
  </si>
  <si>
    <t>Property, plant &amp; equipment (PP&amp;E) assumptions</t>
  </si>
  <si>
    <t>Beginning of period (BOP)</t>
  </si>
  <si>
    <t>End of period (EOP)</t>
  </si>
  <si>
    <t>Total D&amp;A</t>
  </si>
  <si>
    <t>as % of net sales</t>
  </si>
  <si>
    <t>Revenue x 'as % of net sales' assumption</t>
  </si>
  <si>
    <t>Straight-line last historical 'as % of net sales' ratio</t>
  </si>
  <si>
    <t>Roll-forward of last year's dividend payout ratio</t>
  </si>
  <si>
    <t>Straight-line last year's repurchases</t>
  </si>
  <si>
    <t>Grow SBC in-line with revenue growth</t>
  </si>
  <si>
    <t>Capital expenditures (capex)</t>
  </si>
  <si>
    <t>Consensus estimates (Thomson) through 2022, grow with revenue thereafter.</t>
  </si>
  <si>
    <t>Revolving credit facility assumptions (model plug)</t>
  </si>
  <si>
    <t>Minimum cash balance is a function of sales, industry and other unquantifiable factors, it might range anywhere from 2% to 10% of sales. However, given that we know that Apple likes to maintain a lot of cash on its balance sheet, I assume a higher percentage.</t>
  </si>
  <si>
    <t>Minimum cash as % of net sales</t>
  </si>
  <si>
    <t>Cash available to pay down / (needed to draw from) revolver</t>
  </si>
  <si>
    <t>Additional discretionary borrowing / (paydown)</t>
  </si>
  <si>
    <t>Minimum revolver balance (historical average)</t>
  </si>
  <si>
    <t>Debt balance check</t>
  </si>
  <si>
    <t xml:space="preserve">Interest rate x average of BOP &amp; EOP LTD balances. </t>
  </si>
  <si>
    <t>Straight-line in forecast period.</t>
  </si>
  <si>
    <t>Weighted-average interest rate</t>
  </si>
  <si>
    <t>Weighted-average interest rate on cash</t>
  </si>
  <si>
    <t xml:space="preserve">Assumption that Apple wants to keep a minimum revolver balance on its balance sheet the net as they use the proceeds from the commercial paper program for general corporate purposes, including dividends and share repurchases. </t>
  </si>
  <si>
    <t>Sensitivity analysis</t>
  </si>
  <si>
    <t>Gross</t>
  </si>
  <si>
    <t>Profit</t>
  </si>
  <si>
    <t>Margin:</t>
  </si>
  <si>
    <t>Net sales growth rate</t>
  </si>
  <si>
    <t>Interest expense and interest income</t>
  </si>
  <si>
    <t>Earnings per share (EPS)</t>
  </si>
  <si>
    <t>Basic shares - weighted-average</t>
  </si>
  <si>
    <t>Used net income YoY-growth as a proxy for share price growth.</t>
  </si>
  <si>
    <t>Increases / (decreases)</t>
  </si>
  <si>
    <t>Average AR as % of sales</t>
  </si>
  <si>
    <t>Approach 1: Grow A/R with revenue growth rate</t>
  </si>
  <si>
    <t>Approach 2: DSO Assumption</t>
  </si>
  <si>
    <t>Select an inventory forecasting approach:</t>
  </si>
  <si>
    <t>Approach 1: Keep avg. inventory / COGS ratio constant</t>
  </si>
  <si>
    <t>Trade A/R Days sales outstanding (average)</t>
  </si>
  <si>
    <t xml:space="preserve">Trade A/R + Non-Trade A/R Days sales outstanding (average) </t>
  </si>
  <si>
    <t>Days inventory outstanding</t>
  </si>
  <si>
    <t>Operating cycle (inc vendor non-trade A/R)</t>
  </si>
  <si>
    <t>Days payable outstanding</t>
  </si>
  <si>
    <t>Net operating cycle (Cash conversion cycle)</t>
  </si>
  <si>
    <t>Select an A/R forecasting approach (1= revenue growth, 2=explicit DSO)</t>
  </si>
  <si>
    <t>Approach 1: Grow A/P with COGS growth rate</t>
  </si>
  <si>
    <t>Approach 2: DPO Assumption</t>
  </si>
  <si>
    <t>Average AP as % of COGS</t>
  </si>
  <si>
    <t>Approach 2: Inventory turnover (using a 365 day year)</t>
  </si>
  <si>
    <t>Assumes Apple will improving its inventory efficiency.</t>
  </si>
  <si>
    <t>Vendor non-trade receivable</t>
  </si>
  <si>
    <t>Working capital &amp; liquidity ratios</t>
  </si>
  <si>
    <t>Apple has some significant negotiation power as seen in the DPO numbers.</t>
  </si>
  <si>
    <t>Apple does not have to pay the inventory until some 30 days after they receive the cash from their customers.</t>
  </si>
  <si>
    <t>Depreciation waterfall</t>
  </si>
  <si>
    <t>Existing PP&amp;E</t>
  </si>
  <si>
    <t>Gross PP&amp;E</t>
  </si>
  <si>
    <t>Non-depreciable PP&amp;E (i.e. land)</t>
  </si>
  <si>
    <t>Accumulated depreciation</t>
  </si>
  <si>
    <t>Net PP&amp;E (excl. land)</t>
  </si>
  <si>
    <t>Average useful life</t>
  </si>
  <si>
    <t>Override - If necessary for smoothing</t>
  </si>
  <si>
    <t>Depreciation from existing PP&amp;E</t>
  </si>
  <si>
    <t>Total depreciation</t>
  </si>
  <si>
    <t>Actually "Land and buildings" but we don't have the date available to split out just land.</t>
  </si>
  <si>
    <t>Midyear adjustment</t>
  </si>
  <si>
    <t>The relationship between depreciation and its capex should be closer to 1 over time as the company matures.</t>
  </si>
  <si>
    <t>From Apple's 2020 10K: Depreciation on property, plant and equipment is recognized on a straight-line basis over the estimated useful lives of the assets, which for buildings is the
lesser of 40 years or the remaining life of the building; between one and five years for machinery and equipment. Assumption: As the vast majority of the PP&amp;E is Machinery &amp; equipment, and that depreciation of buildings is not captures herein, I have assumed 5 years.</t>
  </si>
  <si>
    <t>Ratios</t>
  </si>
  <si>
    <t>Asset turnover (net sales/total assets)</t>
  </si>
  <si>
    <t>Return on assets (ROA)</t>
  </si>
  <si>
    <t>Return on equity (ROE)</t>
  </si>
  <si>
    <t>Straight-line. In the 10k they do disclose future principal payments. However, the y-o-y change is hard to forecast since they issue debt continuously.</t>
  </si>
  <si>
    <t>- link to a worksheet</t>
  </si>
  <si>
    <t>Discounted cash flow valuation - Apple</t>
  </si>
  <si>
    <t>NOPAT stands for net operating profit after taxes.  It represents a company's operating profits less tax expense on operations.  This means that the tax deductions due to interest expense are ignored in this buildup and are instead captured in the discount rate.</t>
  </si>
  <si>
    <t>EBIAT (NOPAT)</t>
  </si>
  <si>
    <t>Less: Capital expenditures</t>
  </si>
  <si>
    <t>Cash from operating activities (CFO)</t>
  </si>
  <si>
    <t>Cash from investing activities (CFI)</t>
  </si>
  <si>
    <t>Cash from financing activities (CFF)</t>
  </si>
  <si>
    <t>Unlevered cash from operating activities</t>
  </si>
  <si>
    <t>The valuation date is not the start of the year.</t>
  </si>
  <si>
    <t>Discount factor</t>
  </si>
  <si>
    <t>Portion of 1:st forecast year's cash flow to discount</t>
  </si>
  <si>
    <t>We only want to include future cash flows in our valuation, i.e. not the cash flows already occured, hence we excelude the share of the first year's UFCF that already occured (i.e. prior to the valuation date).</t>
  </si>
  <si>
    <t>Yr 1 (less stub)</t>
  </si>
  <si>
    <t>Implied g = [r -FCF(t)/TV]/(1+FCF(t)/TV)</t>
  </si>
  <si>
    <t>Include cash &amp; equivalents, short term and long term marketable securites and investments</t>
  </si>
  <si>
    <t>Total cash &amp; cash equivalents</t>
  </si>
  <si>
    <t>Total debt &amp; debt-like items</t>
  </si>
  <si>
    <t>Debt &amp; debt-like items</t>
  </si>
  <si>
    <t>Cash &amp; cash equivalents</t>
  </si>
  <si>
    <t>Basic shares outstanding</t>
  </si>
  <si>
    <t>Less: Net debt</t>
  </si>
  <si>
    <t>Diluted shares outstanding</t>
  </si>
  <si>
    <t>Valuation date</t>
  </si>
  <si>
    <t>52 week market range</t>
  </si>
  <si>
    <t>With the midyear adjustment, we assume that the cash flows (for discounting purposes) occure in the middle of the year rather than at the end of the year.</t>
  </si>
  <si>
    <t>Midyear adjustment? (1=on, 0=off)</t>
  </si>
  <si>
    <t>Apple doesn't have options</t>
  </si>
  <si>
    <t>Apple doesn't have convertible debt</t>
  </si>
  <si>
    <t>Apple doesn't have convertible preferred stock</t>
  </si>
  <si>
    <t>Incl. commercial paper / revolver and both current and non-current term debt.</t>
  </si>
  <si>
    <t>Implied fair value per share</t>
  </si>
  <si>
    <t>Market premium / (discount) to fair value</t>
  </si>
  <si>
    <t>AAPL US</t>
  </si>
  <si>
    <t>MSFT US</t>
  </si>
  <si>
    <t>005930 KS</t>
  </si>
  <si>
    <t>DELL US</t>
  </si>
  <si>
    <t>SONO US</t>
  </si>
  <si>
    <t>FB US</t>
  </si>
  <si>
    <t>HPQ US</t>
  </si>
  <si>
    <t>GOOGL US</t>
  </si>
  <si>
    <t>NFLX US</t>
  </si>
  <si>
    <t>6758 JP</t>
  </si>
  <si>
    <t>ADBE US</t>
  </si>
  <si>
    <t>AMZN US</t>
  </si>
  <si>
    <t>EQY_FUND_CRNCY</t>
  </si>
  <si>
    <t>REL_INDEX</t>
  </si>
  <si>
    <t>FA_ADJUSTED</t>
  </si>
  <si>
    <t>USD</t>
  </si>
  <si>
    <t>ADJUSTED</t>
  </si>
  <si>
    <t>Ticker</t>
  </si>
  <si>
    <t>Name</t>
  </si>
  <si>
    <t>EV/EBITDA T12M</t>
  </si>
  <si>
    <t>EV / EBITDA Adj</t>
  </si>
  <si>
    <t>None (12 securities)</t>
  </si>
  <si>
    <t>Median</t>
  </si>
  <si>
    <t>AAPL US Equity</t>
  </si>
  <si>
    <t>APPLE INC</t>
  </si>
  <si>
    <t>MSFT US Equity</t>
  </si>
  <si>
    <t>MICROSOFT CORP</t>
  </si>
  <si>
    <t>005930 KS Equity</t>
  </si>
  <si>
    <t>SAMSUNG ELECTRONICS CO LTD</t>
  </si>
  <si>
    <t>DELL US Equity</t>
  </si>
  <si>
    <t>DELL TECHNOLOGIES -C</t>
  </si>
  <si>
    <t>SONO US Equity</t>
  </si>
  <si>
    <t>SONOS INC</t>
  </si>
  <si>
    <t>FB US Equity</t>
  </si>
  <si>
    <t>FACEBOOK INC-CLASS A</t>
  </si>
  <si>
    <t>HPQ US Equity</t>
  </si>
  <si>
    <t>HP INC</t>
  </si>
  <si>
    <t>GOOGL US Equity</t>
  </si>
  <si>
    <t>ALPHABET INC-CL A</t>
  </si>
  <si>
    <t>NFLX US Equity</t>
  </si>
  <si>
    <t>NETFLIX INC</t>
  </si>
  <si>
    <t>6758 JP Equity</t>
  </si>
  <si>
    <t>SONY CORP</t>
  </si>
  <si>
    <t>ADBE US Equity</t>
  </si>
  <si>
    <t>ADOBE INC</t>
  </si>
  <si>
    <t>AMZN US Equity</t>
  </si>
  <si>
    <t>AMAZON.COM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</si>
  <si>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</si>
  <si>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Q1 2021 10Q</t>
  </si>
  <si>
    <t>Median from COMPS list.</t>
  </si>
  <si>
    <t>BST</t>
  </si>
  <si>
    <t>Periodicity</t>
  </si>
  <si>
    <t>Annual</t>
  </si>
  <si>
    <t>Consolidation Basis</t>
  </si>
  <si>
    <t>Consolidated</t>
  </si>
  <si>
    <t>Currency</t>
  </si>
  <si>
    <t>FY 2020 Act</t>
  </si>
  <si>
    <t>FY 2021 Est</t>
  </si>
  <si>
    <t>FY 2022 Est</t>
  </si>
  <si>
    <t>FY 2023 Est</t>
  </si>
  <si>
    <t>FY 2024 Est</t>
  </si>
  <si>
    <t>12 Months Ending</t>
  </si>
  <si>
    <t>09/30/2020</t>
  </si>
  <si>
    <t>09/30/2021</t>
  </si>
  <si>
    <t>09/30/2022</t>
  </si>
  <si>
    <t>09/30/2023</t>
  </si>
  <si>
    <t>09/30/2024</t>
  </si>
  <si>
    <t>EPS, Adj</t>
  </si>
  <si>
    <t>EPS, GAAP+</t>
  </si>
  <si>
    <t>Gross Margin %</t>
  </si>
  <si>
    <t>Operating Profit</t>
  </si>
  <si>
    <t>Pre-Tax Profit</t>
  </si>
  <si>
    <t>Net Income Adj</t>
  </si>
  <si>
    <t>Net Income, GAAP+</t>
  </si>
  <si>
    <t>BPS</t>
  </si>
  <si>
    <t>CPS</t>
  </si>
  <si>
    <t>DPS</t>
  </si>
  <si>
    <t>Return on Equity %</t>
  </si>
  <si>
    <t>Return on Assets %</t>
  </si>
  <si>
    <t>Depreciation</t>
  </si>
  <si>
    <t>Amortization</t>
  </si>
  <si>
    <t>Free Cash Flow</t>
  </si>
  <si>
    <t>CAPEX</t>
  </si>
  <si>
    <t>Net Asset Value</t>
  </si>
  <si>
    <t>LTG %</t>
  </si>
  <si>
    <t>Bloomberg through 2024. Thomson 2025.</t>
  </si>
  <si>
    <t>Consensus estimates (Bloomberg) through 2024, Thomson Reuters thereafter</t>
  </si>
  <si>
    <t>Bloomberg - 5 year weekly adjusted beta</t>
  </si>
  <si>
    <t>Source: Yahoo Finance. 2021-02-01</t>
  </si>
  <si>
    <t>JPY</t>
  </si>
  <si>
    <t>KRW</t>
  </si>
  <si>
    <t>Yield on U.S. 10 Year Treasury Note (2021-02-03)</t>
  </si>
  <si>
    <t>YTM on Apple Inc. 3,85% 13/43 maturing in 2043 with ISIN: US037833AL42. Available on: https://www.boerse-frankfurt.de/bond/us037833al42-apple-inc-3-85-13-43</t>
  </si>
  <si>
    <t>Beta assumptions</t>
  </si>
  <si>
    <t>Raw Beta</t>
  </si>
  <si>
    <t>Adj. Beta</t>
  </si>
  <si>
    <t>Dil. Shares (m)</t>
  </si>
  <si>
    <t>Apple (AAPL) beta</t>
  </si>
  <si>
    <t>5Y Weekly Beta</t>
  </si>
  <si>
    <t>WACC sensitivity</t>
  </si>
  <si>
    <t>Cost</t>
  </si>
  <si>
    <t>of</t>
  </si>
  <si>
    <t>free</t>
  </si>
  <si>
    <t>Rate</t>
  </si>
  <si>
    <t>Market risk premium from Duff &amp; Phelps (December 9, 2020). Available on: https://www.duffandphelps.com/insights/publications/cost-of-capital/duff-and-phelps-recommended-us-equity-risk-premium-decreased-december-2020</t>
  </si>
  <si>
    <t>Beta sourced from Bloomberg - 2021-02-03</t>
  </si>
  <si>
    <t>Weighted average cost of capital (WACC) build-up - Apple</t>
  </si>
  <si>
    <t>Delev. 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</si>
</sst>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1">
    <numFmt numFmtId="43" formatCode="_-* #,##0.00_-;\-* #,##0.00_-;_-* &quot;-&quot;??_-;_-@_-"/>
    <numFmt numFmtId="164" formatCode="_(#,##0_)_%;\(#,##0\)_%;_(&quot;–&quot;_)_%;_(@_)_%"/>
    <numFmt numFmtId="165" formatCode="&quot;$&quot;#,##0.00_);[Red]\(&quot;$&quot;#,##0.00\)"/>
    <numFmt numFmtId="166" formatCode="m/d/yy;@"/>
    <numFmt numFmtId="167" formatCode="#,##0.000_);\(#,##0.000\)"/>
    <numFmt numFmtId="168" formatCode="0\A;[Red]0\A"/>
    <numFmt numFmtId="169" formatCode="0\P_);\(0\P\)"/>
    <numFmt numFmtId="170" formatCode="0.0%"/>
    <numFmt numFmtId="171" formatCode="0.0%_);\(0.0%\);@_)"/>
    <numFmt numFmtId="172" formatCode="_(#,##0.0%_);\(#,##0.0%\);_(&quot;–&quot;_)_%;_(@_)_%"/>
    <numFmt numFmtId="173" formatCode="0.00%_);\(0.00%\);@_)"/>
    <numFmt numFmtId="174" formatCode="_(#,##0.00%_);\(#,##0.00%\);_(&quot;–&quot;_)_%;_(@_)_%"/>
    <numFmt numFmtId="175" formatCode="&quot;$&quot;#,##0.00_);\(&quot;$&quot;#,##0.00\)"/>
    <numFmt numFmtId="176" formatCode="0%_);\(0%\);@_)"/>
    <numFmt numFmtId="177" formatCode="0000\A"/>
    <numFmt numFmtId="178" formatCode="0000\P"/>
    <numFmt numFmtId="179" formatCode="#,##0_);\(#,##0\);@_)"/>
    <numFmt numFmtId="180" formatCode="0.0\x_);\(0.0\x\);@_)"/>
    <numFmt numFmtId="181" formatCode="0.000%_);\(0.000%\);@_)"/>
    <numFmt numFmtId="182" formatCode="#,##0.000_);\(#,##0.000\);@_)"/>
    <numFmt numFmtId="184" formatCode="_([$$]#,##0_)_%;\([$$]#,##0\)_%;_(&quot;–&quot;_)_%;_(@_)_%"/>
    <numFmt numFmtId="185" formatCode="&quot;$&quot;#,##0.00_);\(&quot;$&quot;#,##0.00\);@_)"/>
    <numFmt numFmtId="186" formatCode="_(0.0\x_)_';_(\(0.0\x\)_';_(&quot;–&quot;_)_%;_(@_)_%"/>
    <numFmt numFmtId="187" formatCode="_(0.0_)_'_x;_(\(0.0\)_';_(&quot;–&quot;_)_%;_(@_)_%"/>
    <numFmt numFmtId="188" formatCode="#,##0.00_);\(#,##0.00\);\-_);@_)"/>
    <numFmt numFmtId="189" formatCode="#,##0.0_);\(#,##0.0\);\-_);@_)"/>
    <numFmt numFmtId="190" formatCode="#,##0.0_);\(#,##0.0\);@_)"/>
    <numFmt numFmtId="191" formatCode="0.000"/>
    <numFmt numFmtId="194" formatCode="#,##0.0;\-#,##0.0"/>
    <numFmt numFmtId="196" formatCode="0&quot;E&quot;"/>
    <numFmt numFmtId="197" formatCode="&quot;$&quot;#,##0_);\(&quot;$&quot;#,##0\)"/>
    <numFmt numFmtId="198" formatCode="0.0%;\(0.0%\)"/>
    <numFmt numFmtId="199" formatCode="0.0%;\ \(0.0%\)"/>
    <numFmt numFmtId="200" formatCode="0\ &quot;days&quot;"/>
    <numFmt numFmtId="201" formatCode="#,##0.0\x_);\(#,##0.0\x\)"/>
    <numFmt numFmtId="202" formatCode="#,##0.0"/>
    <numFmt numFmtId="203" formatCode="#,##0.00\x_);\(#,##0.00\x\)"/>
    <numFmt numFmtId="204" formatCode="#,##0.00_);\(#,##0.00\);@_)"/>
    <numFmt numFmtId="205" formatCode="_-* #,##0_-;\-* #,##0_-;_-* &quot;-&quot;??_-;_-@_-"/>
    <numFmt numFmtId="210" formatCode="#,##0.00_);\(#,##0.00\)"/>
    <numFmt numFmtId="212" formatCode="#,##0_);\(#,##0\)"/>
  </numFmts>
  <fonts count="46">
    <font>
      <sz val="11"/>
      <color theme="1"/>
      <name val="Calibri"/>
      <family val="2"/>
      <scheme val="minor"/>
    </font>
    <font>
      <sz val="11"/>
      <color theme="1"/>
      <name val="Calibri"/>
      <family val="2"/>
      <scheme val="minor"/>
    </font>
    <font>
      <sz val="9"/>
      <color indexed="81"/>
      <name val="Tahoma"/>
      <family val="2"/>
    </font>
    <font>
      <b/>
      <sz val="9"/>
      <color indexed="81"/>
      <name val="Tahoma"/>
      <family val="2"/>
    </font>
    <font>
      <sz val="10"/>
      <name val="Times New Roman"/>
      <family val="1"/>
    </font>
    <font>
      <u/>
      <sz val="11"/>
      <color theme="10"/>
      <name val="Calibri"/>
      <family val="2"/>
      <scheme val="minor"/>
    </font>
    <font>
      <sz val="11"/>
      <color theme="1"/>
      <name val="Arial"/>
      <family val="2"/>
    </font>
    <font>
      <i/>
      <sz val="9"/>
      <color rgb="FF000000"/>
      <name val="Arial"/>
      <family val="2"/>
    </font>
    <font>
      <sz val="8"/>
      <color rgb="FFFF0000"/>
      <name val="Arial"/>
      <family val="2"/>
    </font>
    <font>
      <b/>
      <i/>
      <sz val="11"/>
      <color theme="1"/>
      <name val="Arial"/>
      <family val="2"/>
    </font>
    <font>
      <b/>
      <i/>
      <sz val="14"/>
      <color theme="5"/>
      <name val="Arial"/>
      <family val="2"/>
    </font>
    <font>
      <i/>
      <sz val="8"/>
      <color rgb="FF000000"/>
      <name val="Arial"/>
      <family val="2"/>
    </font>
    <font>
      <b/>
      <sz val="8"/>
      <color theme="1"/>
      <name val="Arial"/>
      <family val="2"/>
    </font>
    <font>
      <sz val="8"/>
      <color theme="1"/>
      <name val="Arial"/>
      <family val="2"/>
    </font>
    <font>
      <sz val="8"/>
      <color rgb="FF0000FF"/>
      <name val="Arial"/>
      <family val="2"/>
    </font>
    <font>
      <sz val="8"/>
      <color rgb="FF00B050"/>
      <name val="Arial"/>
      <family val="2"/>
    </font>
    <font>
      <sz val="8"/>
      <color rgb="FF000000"/>
      <name val="Arial"/>
      <family val="2"/>
    </font>
    <font>
      <i/>
      <sz val="8"/>
      <color theme="1"/>
      <name val="Arial"/>
      <family val="2"/>
    </font>
    <font>
      <b/>
      <sz val="8"/>
      <color rgb="FF000000"/>
      <name val="Arial"/>
      <family val="2"/>
    </font>
    <font>
      <u/>
      <sz val="8"/>
      <color theme="1"/>
      <name val="Arial"/>
      <family val="2"/>
    </font>
    <font>
      <sz val="8"/>
      <name val="Arial"/>
      <family val="2"/>
    </font>
    <font>
      <sz val="8"/>
      <color rgb="FF008000"/>
      <name val="Arial"/>
      <family val="2"/>
    </font>
    <font>
      <b/>
      <u/>
      <sz val="8"/>
      <color theme="1"/>
      <name val="Arial"/>
      <family val="2"/>
    </font>
    <font>
      <i/>
      <sz val="8"/>
      <name val="Arial"/>
      <family val="2"/>
    </font>
    <font>
      <b/>
      <i/>
      <sz val="8"/>
      <color rgb="FF000000"/>
      <name val="Arial"/>
      <family val="2"/>
    </font>
    <font>
      <i/>
      <sz val="8"/>
      <color rgb="FF0000FF"/>
      <name val="Arial"/>
      <family val="2"/>
    </font>
    <font>
      <b/>
      <sz val="9"/>
      <color theme="1"/>
      <name val="Arial"/>
      <family val="2"/>
    </font>
    <font>
      <i/>
      <sz val="8"/>
      <color rgb="FF008000"/>
      <name val="Arial"/>
      <family val="2"/>
    </font>
    <font>
      <i/>
      <sz val="8"/>
      <color rgb="FFFF0000"/>
      <name val="Arial"/>
      <family val="2"/>
    </font>
    <font>
      <b/>
      <sz val="8"/>
      <color rgb="FF0000FF"/>
      <name val="Arial"/>
      <family val="2"/>
    </font>
    <font>
      <u/>
      <sz val="8"/>
      <color theme="10"/>
      <name val="Arial"/>
      <family val="2"/>
    </font>
    <font>
      <u val="singleAccounting"/>
      <sz val="8"/>
      <color theme="1"/>
      <name val="Arial"/>
      <family val="2"/>
    </font>
    <font>
      <u val="singleAccounting"/>
      <sz val="8"/>
      <color rgb="FF000000"/>
      <name val="Arial"/>
      <family val="2"/>
    </font>
    <font>
      <u/>
      <sz val="8"/>
      <color rgb="FF0000FF"/>
      <name val="Arial"/>
      <family val="2"/>
    </font>
    <font>
      <b/>
      <u val="singleAccounting"/>
      <sz val="8"/>
      <color theme="1"/>
      <name val="Arial"/>
      <family val="2"/>
    </font>
    <font>
      <b/>
      <u val="singleAccounting"/>
      <sz val="8"/>
      <color rgb="FF000000"/>
      <name val="Arial"/>
      <family val="2"/>
    </font>
    <font>
      <b/>
      <sz val="8"/>
      <name val="Arial"/>
      <family val="2"/>
    </font>
    <font>
      <sz val="9"/>
      <name val="Arial Unicode MS"/>
    </font>
    <font>
      <sz val="9"/>
      <name val="Arial"/>
      <family val="2"/>
    </font>
    <font>
      <b/>
      <sz val="9"/>
      <name val="Arial Unicode MS"/>
    </font>
    <font>
      <b/>
      <sz val="10"/>
      <name val="Arial Unicode MS"/>
    </font>
    <font>
      <sz val="10"/>
      <name val="Arial"/>
      <family val="2"/>
    </font>
    <font>
      <sz val="6"/>
      <name val="Arial Unicode MS"/>
    </font>
    <font>
      <b/>
      <sz val="11"/>
      <color indexed="9"/>
      <name val="Calibri"/>
      <family val="2"/>
    </font>
    <font>
      <b/>
      <sz val="9"/>
      <color indexed="81"/>
      <name val="Tahoma"/>
      <charset val="1"/>
    </font>
    <font>
      <b/>
      <u val="singleAccounting"/>
      <sz val="8"/>
      <name val="Arial"/>
      <family val="2"/>
    </font>
  </fonts>
  <fills count="14">
    <fill>
      <patternFill patternType="none"/>
    </fill>
    <fill>
      <patternFill patternType="gray125"/>
    </fill>
    <fill>
      <patternFill patternType="solid">
        <fgColor rgb="FFFCE5CD"/>
        <bgColor indexed="64"/>
      </patternFill>
    </fill>
    <fill>
      <patternFill patternType="solid">
        <fgColor rgb="FFD2F2FF"/>
        <bgColor rgb="FF000000"/>
      </patternFill>
    </fill>
    <fill>
      <patternFill patternType="solid">
        <fgColor rgb="FFCCFFFF"/>
        <bgColor indexed="64"/>
      </patternFill>
    </fill>
    <fill>
      <patternFill patternType="solid">
        <fgColor rgb="FFC9DAF8"/>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bgColor indexed="64"/>
      </patternFill>
    </fill>
    <fill>
      <patternFill patternType="lightUp"/>
    </fill>
    <fill>
      <patternFill patternType="solid">
        <fgColor theme="0" tint="-4.9989318521683403E-2"/>
        <bgColor indexed="64"/>
      </patternFill>
    </fill>
    <fill>
      <patternFill patternType="solid">
        <fgColor rgb="FFB8C2AD"/>
      </patternFill>
    </fill>
    <fill>
      <patternFill patternType="solid">
        <fgColor rgb="FF4F81BD"/>
        <bgColor indexed="64"/>
      </patternFill>
    </fill>
    <fill>
      <patternFill patternType="solid">
        <fgColor theme="9" tint="0.79998168889431442"/>
        <bgColor indexed="64"/>
      </patternFill>
    </fill>
  </fills>
  <borders count="29">
    <border>
      <left/>
      <right/>
      <top/>
      <bottom/>
      <diagonal/>
    </border>
    <border>
      <left style="hair">
        <color rgb="FF000000"/>
      </left>
      <right style="hair">
        <color rgb="FF000000"/>
      </right>
      <top style="hair">
        <color rgb="FF000000"/>
      </top>
      <bottom style="hair">
        <color rgb="FF000000"/>
      </bottom>
      <diagonal/>
    </border>
    <border>
      <left/>
      <right/>
      <top/>
      <bottom style="thin">
        <color rgb="FF000000"/>
      </bottom>
      <diagonal/>
    </border>
    <border>
      <left/>
      <right/>
      <top/>
      <bottom style="thin">
        <color auto="1"/>
      </bottom>
      <diagonal/>
    </border>
    <border>
      <left/>
      <right/>
      <top style="thin">
        <color rgb="FF000000"/>
      </top>
      <bottom/>
      <diagonal/>
    </border>
    <border>
      <left/>
      <right/>
      <top/>
      <bottom style="hair">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style="thin">
        <color rgb="FF000000"/>
      </top>
      <bottom style="medium">
        <color rgb="FF000000"/>
      </bottom>
      <diagonal/>
    </border>
    <border>
      <left/>
      <right/>
      <top style="thin">
        <color indexed="64"/>
      </top>
      <bottom/>
      <diagonal/>
    </border>
    <border>
      <left/>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right/>
      <top/>
      <bottom style="medium">
        <color rgb="FF000000"/>
      </bottom>
      <diagonal/>
    </border>
    <border>
      <left style="thin">
        <color rgb="FF000000"/>
      </left>
      <right/>
      <top style="thin">
        <color rgb="FF000000"/>
      </top>
      <bottom/>
      <diagonal/>
    </border>
    <border>
      <left style="thin">
        <color rgb="FF000000"/>
      </left>
      <right style="medium">
        <color rgb="FF000000"/>
      </right>
      <top/>
      <bottom/>
      <diagonal/>
    </border>
    <border>
      <left/>
      <right/>
      <top/>
      <bottom style="thin">
        <color theme="1"/>
      </bottom>
      <diagonal/>
    </border>
    <border>
      <left style="thin">
        <color indexed="64"/>
      </left>
      <right/>
      <top style="thin">
        <color rgb="FF000000"/>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0">
    <xf numFmtId="0" fontId="0" fillId="0" borderId="0"/>
    <xf numFmtId="37" fontId="4" fillId="0" borderId="0"/>
    <xf numFmtId="0" fontId="5" fillId="0" borderId="0" applyNumberForma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37" fillId="0" borderId="0"/>
    <xf numFmtId="0" fontId="37" fillId="0" borderId="0"/>
    <xf numFmtId="0" fontId="39" fillId="11" borderId="0">
      <alignment horizontal="center"/>
    </xf>
    <xf numFmtId="0" fontId="42" fillId="0" borderId="0">
      <alignment vertical="top" wrapText="1"/>
    </xf>
    <xf numFmtId="0" fontId="43" fillId="12" borderId="0"/>
  </cellStyleXfs>
  <cellXfs count="382">
    <xf numFmtId="0" fontId="0" fillId="0" borderId="0" xfId="0"/>
    <xf numFmtId="0" fontId="6" fillId="0" borderId="0" xfId="0" applyFont="1"/>
    <xf numFmtId="0" fontId="6" fillId="0" borderId="0" xfId="0" applyFont="1" applyBorder="1"/>
    <xf numFmtId="0" fontId="7" fillId="0" borderId="0" xfId="0" applyFont="1" applyBorder="1"/>
    <xf numFmtId="0" fontId="6" fillId="0" borderId="3" xfId="0" applyFont="1" applyBorder="1"/>
    <xf numFmtId="37" fontId="8" fillId="0" borderId="0" xfId="0" applyNumberFormat="1" applyFont="1" applyAlignment="1">
      <alignment horizontal="right"/>
    </xf>
    <xf numFmtId="164" fontId="6" fillId="0" borderId="0" xfId="0" applyNumberFormat="1" applyFont="1" applyBorder="1"/>
    <xf numFmtId="0" fontId="9" fillId="0" borderId="0" xfId="0" applyFont="1" applyBorder="1"/>
    <xf numFmtId="0" fontId="10" fillId="0" borderId="0" xfId="0" applyFont="1" applyBorder="1"/>
    <xf numFmtId="0" fontId="11" fillId="0" borderId="0" xfId="0" applyFont="1" applyBorder="1"/>
    <xf numFmtId="0" fontId="13" fillId="6" borderId="0" xfId="0" applyFont="1" applyFill="1" applyBorder="1"/>
    <xf numFmtId="0" fontId="13" fillId="0" borderId="0" xfId="0" applyFont="1"/>
    <xf numFmtId="0" fontId="13" fillId="0" borderId="0" xfId="0" applyFont="1" applyBorder="1"/>
    <xf numFmtId="0" fontId="12" fillId="0" borderId="0" xfId="0" applyFont="1" applyAlignment="1">
      <alignment horizontal="left"/>
    </xf>
    <xf numFmtId="165" fontId="14" fillId="0" borderId="0" xfId="0" applyNumberFormat="1" applyFont="1" applyAlignment="1">
      <alignment horizontal="center"/>
    </xf>
    <xf numFmtId="0" fontId="14" fillId="0" borderId="0" xfId="0" applyFont="1" applyAlignment="1">
      <alignment horizontal="right" vertical="center"/>
    </xf>
    <xf numFmtId="0" fontId="13" fillId="0" borderId="0" xfId="0" quotePrefix="1" applyFont="1" applyAlignment="1">
      <alignment vertical="center"/>
    </xf>
    <xf numFmtId="14" fontId="14" fillId="0" borderId="0" xfId="0" applyNumberFormat="1" applyFont="1" applyAlignment="1">
      <alignment horizontal="center"/>
    </xf>
    <xf numFmtId="0" fontId="15" fillId="0" borderId="0" xfId="0" applyFont="1" applyAlignment="1">
      <alignment horizontal="right" vertical="center"/>
    </xf>
    <xf numFmtId="0" fontId="16" fillId="0" borderId="0" xfId="0" applyFont="1"/>
    <xf numFmtId="0" fontId="13" fillId="0" borderId="0" xfId="0" applyFont="1" applyAlignment="1">
      <alignment horizontal="right" vertical="center"/>
    </xf>
    <xf numFmtId="167" fontId="14" fillId="0" borderId="0" xfId="0" applyNumberFormat="1" applyFont="1" applyAlignment="1">
      <alignment horizontal="center"/>
    </xf>
    <xf numFmtId="0" fontId="12" fillId="0" borderId="0" xfId="0" applyFont="1" applyFill="1" applyBorder="1"/>
    <xf numFmtId="0" fontId="17" fillId="0" borderId="2" xfId="0" applyFont="1" applyBorder="1" applyAlignment="1">
      <alignment vertical="center"/>
    </xf>
    <xf numFmtId="0" fontId="12" fillId="0" borderId="3" xfId="0" applyFont="1" applyBorder="1"/>
    <xf numFmtId="0" fontId="13" fillId="0" borderId="3" xfId="0" applyFont="1" applyBorder="1"/>
    <xf numFmtId="0" fontId="12" fillId="0" borderId="0" xfId="0" applyFont="1" applyBorder="1"/>
    <xf numFmtId="0" fontId="13" fillId="0" borderId="0" xfId="0" quotePrefix="1" applyFont="1"/>
    <xf numFmtId="0" fontId="12" fillId="0" borderId="0" xfId="0" applyFont="1"/>
    <xf numFmtId="0" fontId="13" fillId="0" borderId="0" xfId="0" applyFont="1" applyBorder="1" applyAlignment="1">
      <alignment horizontal="left" indent="1"/>
    </xf>
    <xf numFmtId="37" fontId="13" fillId="0" borderId="0" xfId="0" applyNumberFormat="1" applyFont="1" applyBorder="1"/>
    <xf numFmtId="0" fontId="12" fillId="0" borderId="0" xfId="0" applyFont="1" applyBorder="1" applyAlignment="1">
      <alignment horizontal="left"/>
    </xf>
    <xf numFmtId="0" fontId="12" fillId="0" borderId="18" xfId="0" applyFont="1" applyBorder="1" applyAlignment="1">
      <alignment horizontal="left"/>
    </xf>
    <xf numFmtId="0" fontId="13" fillId="0" borderId="0" xfId="0" applyFont="1" applyAlignment="1">
      <alignment horizontal="left" indent="1"/>
    </xf>
    <xf numFmtId="4" fontId="13" fillId="0" borderId="0" xfId="0" applyNumberFormat="1" applyFont="1"/>
    <xf numFmtId="0" fontId="19" fillId="0" borderId="0" xfId="0" applyFont="1"/>
    <xf numFmtId="171" fontId="14" fillId="0" borderId="0" xfId="0" applyNumberFormat="1" applyFont="1" applyAlignment="1">
      <alignment horizontal="right"/>
    </xf>
    <xf numFmtId="171" fontId="16" fillId="0" borderId="0" xfId="0" applyNumberFormat="1" applyFont="1"/>
    <xf numFmtId="171" fontId="14" fillId="0" borderId="0" xfId="0" applyNumberFormat="1" applyFont="1"/>
    <xf numFmtId="171" fontId="20" fillId="0" borderId="19" xfId="0" applyNumberFormat="1" applyFont="1" applyBorder="1"/>
    <xf numFmtId="166" fontId="17" fillId="0" borderId="0" xfId="0" applyNumberFormat="1" applyFont="1" applyBorder="1"/>
    <xf numFmtId="37" fontId="14" fillId="0" borderId="0" xfId="0" applyNumberFormat="1" applyFont="1"/>
    <xf numFmtId="37" fontId="13" fillId="0" borderId="0" xfId="0" applyNumberFormat="1" applyFont="1"/>
    <xf numFmtId="37" fontId="18" fillId="0" borderId="0" xfId="0" applyNumberFormat="1" applyFont="1"/>
    <xf numFmtId="37" fontId="12" fillId="0" borderId="0" xfId="0" applyNumberFormat="1" applyFont="1"/>
    <xf numFmtId="0" fontId="13" fillId="0" borderId="0" xfId="0" applyFont="1" applyAlignment="1">
      <alignment horizontal="left"/>
    </xf>
    <xf numFmtId="37" fontId="16" fillId="0" borderId="0" xfId="0" applyNumberFormat="1" applyFont="1"/>
    <xf numFmtId="0" fontId="17" fillId="0" borderId="0" xfId="0" applyFont="1"/>
    <xf numFmtId="3" fontId="13" fillId="0" borderId="0" xfId="0" applyNumberFormat="1" applyFont="1"/>
    <xf numFmtId="0" fontId="13" fillId="0" borderId="0" xfId="0" quotePrefix="1" applyFont="1" applyAlignment="1">
      <alignment horizontal="left" indent="1"/>
    </xf>
    <xf numFmtId="0" fontId="12" fillId="0" borderId="0" xfId="0" applyFont="1" applyAlignment="1">
      <alignment horizontal="left" indent="1"/>
    </xf>
    <xf numFmtId="171" fontId="13" fillId="0" borderId="0" xfId="0" applyNumberFormat="1" applyFont="1"/>
    <xf numFmtId="164" fontId="13" fillId="0" borderId="0" xfId="0" applyNumberFormat="1" applyFont="1"/>
    <xf numFmtId="172" fontId="13" fillId="0" borderId="0" xfId="0" applyNumberFormat="1" applyFont="1"/>
    <xf numFmtId="0" fontId="21" fillId="0" borderId="0" xfId="0" applyFont="1" applyAlignment="1">
      <alignment horizontal="center"/>
    </xf>
    <xf numFmtId="3" fontId="16" fillId="0" borderId="0" xfId="0" applyNumberFormat="1" applyFont="1"/>
    <xf numFmtId="0" fontId="19" fillId="0" borderId="0" xfId="0" applyFont="1" applyAlignment="1">
      <alignment horizontal="left" indent="1"/>
    </xf>
    <xf numFmtId="0" fontId="22" fillId="0" borderId="0" xfId="0" applyFont="1" applyAlignment="1">
      <alignment horizontal="left"/>
    </xf>
    <xf numFmtId="173" fontId="14" fillId="0" borderId="0" xfId="0" applyNumberFormat="1" applyFont="1"/>
    <xf numFmtId="174" fontId="20" fillId="0" borderId="0" xfId="0" applyNumberFormat="1" applyFont="1"/>
    <xf numFmtId="0" fontId="13" fillId="0" borderId="0" xfId="0" applyFont="1" applyAlignment="1">
      <alignment horizontal="left" indent="2"/>
    </xf>
    <xf numFmtId="174" fontId="16" fillId="0" borderId="0" xfId="0" applyNumberFormat="1" applyFont="1"/>
    <xf numFmtId="37" fontId="16" fillId="0" borderId="0" xfId="0" applyNumberFormat="1" applyFont="1" applyAlignment="1">
      <alignment horizontal="left" indent="1"/>
    </xf>
    <xf numFmtId="175" fontId="18" fillId="0" borderId="0" xfId="0" applyNumberFormat="1" applyFont="1"/>
    <xf numFmtId="165" fontId="13" fillId="0" borderId="0" xfId="0" applyNumberFormat="1" applyFont="1"/>
    <xf numFmtId="165" fontId="14" fillId="0" borderId="0" xfId="0" applyNumberFormat="1" applyFont="1"/>
    <xf numFmtId="9" fontId="16" fillId="0" borderId="0" xfId="0" applyNumberFormat="1" applyFont="1"/>
    <xf numFmtId="0" fontId="13" fillId="0" borderId="0" xfId="0" applyFont="1" applyAlignment="1">
      <alignment horizontal="right"/>
    </xf>
    <xf numFmtId="171" fontId="20" fillId="0" borderId="0" xfId="0" applyNumberFormat="1" applyFont="1"/>
    <xf numFmtId="176" fontId="13" fillId="0" borderId="0" xfId="0" applyNumberFormat="1" applyFont="1"/>
    <xf numFmtId="0" fontId="12" fillId="0" borderId="18" xfId="0" applyFont="1" applyBorder="1"/>
    <xf numFmtId="0" fontId="13" fillId="0" borderId="3" xfId="0" applyFont="1" applyBorder="1" applyAlignment="1">
      <alignment horizontal="left" indent="1"/>
    </xf>
    <xf numFmtId="179" fontId="14" fillId="0" borderId="3" xfId="0" applyNumberFormat="1" applyFont="1" applyBorder="1"/>
    <xf numFmtId="179" fontId="14" fillId="0" borderId="0" xfId="0" applyNumberFormat="1" applyFont="1" applyBorder="1"/>
    <xf numFmtId="179" fontId="16" fillId="0" borderId="0" xfId="0" applyNumberFormat="1" applyFont="1" applyFill="1" applyBorder="1"/>
    <xf numFmtId="179" fontId="16" fillId="0" borderId="3" xfId="0" applyNumberFormat="1" applyFont="1" applyFill="1" applyBorder="1"/>
    <xf numFmtId="179" fontId="18" fillId="0" borderId="0" xfId="0" applyNumberFormat="1" applyFont="1" applyBorder="1"/>
    <xf numFmtId="179" fontId="18" fillId="0" borderId="0" xfId="0" applyNumberFormat="1" applyFont="1" applyFill="1" applyBorder="1"/>
    <xf numFmtId="179" fontId="13" fillId="0" borderId="0" xfId="0" applyNumberFormat="1" applyFont="1" applyFill="1" applyBorder="1"/>
    <xf numFmtId="179" fontId="13" fillId="0" borderId="3" xfId="0" applyNumberFormat="1" applyFont="1" applyFill="1" applyBorder="1"/>
    <xf numFmtId="179" fontId="18" fillId="0" borderId="18" xfId="0" applyNumberFormat="1" applyFont="1" applyBorder="1"/>
    <xf numFmtId="179" fontId="18" fillId="0" borderId="18" xfId="0" applyNumberFormat="1" applyFont="1" applyFill="1" applyBorder="1"/>
    <xf numFmtId="179" fontId="13" fillId="0" borderId="0" xfId="0" applyNumberFormat="1" applyFont="1" applyBorder="1"/>
    <xf numFmtId="171" fontId="13" fillId="0" borderId="0" xfId="3" applyNumberFormat="1" applyFont="1"/>
    <xf numFmtId="171" fontId="13" fillId="0" borderId="3" xfId="3" applyNumberFormat="1" applyFont="1" applyBorder="1"/>
    <xf numFmtId="171" fontId="12" fillId="0" borderId="0" xfId="3" applyNumberFormat="1" applyFont="1"/>
    <xf numFmtId="171" fontId="12" fillId="0" borderId="18" xfId="3" applyNumberFormat="1" applyFont="1" applyBorder="1"/>
    <xf numFmtId="0" fontId="13" fillId="0" borderId="0" xfId="0" applyFont="1" applyAlignment="1">
      <alignment vertical="center"/>
    </xf>
    <xf numFmtId="0" fontId="12" fillId="0" borderId="0" xfId="0" applyFont="1" applyFill="1" applyBorder="1" applyAlignment="1">
      <alignment horizontal="centerContinuous" vertical="center"/>
    </xf>
    <xf numFmtId="0" fontId="12" fillId="7" borderId="0" xfId="0" applyFont="1" applyFill="1" applyBorder="1"/>
    <xf numFmtId="0" fontId="13" fillId="7" borderId="0" xfId="0" applyFont="1" applyFill="1" applyBorder="1"/>
    <xf numFmtId="0" fontId="13" fillId="6" borderId="0" xfId="0" applyFont="1" applyFill="1"/>
    <xf numFmtId="4" fontId="13" fillId="6" borderId="0" xfId="0" applyNumberFormat="1" applyFont="1" applyFill="1"/>
    <xf numFmtId="0" fontId="12" fillId="6" borderId="0" xfId="0" applyFont="1" applyFill="1" applyAlignment="1">
      <alignment horizontal="left"/>
    </xf>
    <xf numFmtId="171" fontId="13" fillId="0" borderId="0" xfId="3" applyNumberFormat="1" applyFont="1" applyBorder="1"/>
    <xf numFmtId="0" fontId="13" fillId="8" borderId="0" xfId="0" applyFont="1" applyFill="1" applyBorder="1"/>
    <xf numFmtId="0" fontId="13" fillId="0" borderId="0" xfId="0" applyFont="1" applyBorder="1" applyAlignment="1">
      <alignment horizontal="center"/>
    </xf>
    <xf numFmtId="0" fontId="17" fillId="0" borderId="0" xfId="0" applyFont="1" applyAlignment="1">
      <alignment horizontal="left" indent="1"/>
    </xf>
    <xf numFmtId="0" fontId="13" fillId="9" borderId="0" xfId="0" applyFont="1" applyFill="1"/>
    <xf numFmtId="172" fontId="14" fillId="9" borderId="0" xfId="0" applyNumberFormat="1" applyFont="1" applyFill="1" applyBorder="1" applyAlignment="1">
      <alignment horizontal="center"/>
    </xf>
    <xf numFmtId="0" fontId="13" fillId="9" borderId="0" xfId="0" applyFont="1" applyFill="1" applyBorder="1" applyAlignment="1">
      <alignment horizontal="center"/>
    </xf>
    <xf numFmtId="0" fontId="17" fillId="10" borderId="0" xfId="0" applyFont="1" applyFill="1" applyAlignment="1">
      <alignment horizontal="left" indent="1"/>
    </xf>
    <xf numFmtId="164" fontId="23" fillId="10" borderId="0" xfId="0" applyNumberFormat="1" applyFont="1" applyFill="1" applyBorder="1" applyAlignment="1">
      <alignment horizontal="center"/>
    </xf>
    <xf numFmtId="0" fontId="13" fillId="7" borderId="0" xfId="0" applyFont="1" applyFill="1"/>
    <xf numFmtId="4" fontId="13" fillId="6" borderId="0" xfId="0" applyNumberFormat="1" applyFont="1" applyFill="1" applyBorder="1"/>
    <xf numFmtId="0" fontId="12" fillId="0" borderId="0" xfId="0" applyFont="1" applyBorder="1" applyAlignment="1">
      <alignment horizontal="centerContinuous"/>
    </xf>
    <xf numFmtId="179" fontId="13" fillId="0" borderId="0" xfId="0" applyNumberFormat="1" applyFont="1"/>
    <xf numFmtId="179" fontId="14" fillId="0" borderId="0" xfId="0" applyNumberFormat="1" applyFont="1"/>
    <xf numFmtId="179" fontId="12" fillId="0" borderId="0" xfId="0" applyNumberFormat="1" applyFont="1" applyAlignment="1">
      <alignment horizontal="left"/>
    </xf>
    <xf numFmtId="179" fontId="18" fillId="0" borderId="0" xfId="0" applyNumberFormat="1" applyFont="1"/>
    <xf numFmtId="179" fontId="12" fillId="0" borderId="0" xfId="0" applyNumberFormat="1" applyFont="1"/>
    <xf numFmtId="179" fontId="13" fillId="0" borderId="0" xfId="0" applyNumberFormat="1" applyFont="1" applyAlignment="1">
      <alignment horizontal="left"/>
    </xf>
    <xf numFmtId="179" fontId="16" fillId="0" borderId="0" xfId="0" applyNumberFormat="1" applyFont="1"/>
    <xf numFmtId="0" fontId="26" fillId="7" borderId="0" xfId="0" applyFont="1" applyFill="1" applyBorder="1"/>
    <xf numFmtId="0" fontId="26" fillId="8" borderId="0" xfId="0" applyFont="1" applyFill="1" applyBorder="1"/>
    <xf numFmtId="0" fontId="26" fillId="6" borderId="0" xfId="0" applyFont="1" applyFill="1" applyAlignment="1">
      <alignment horizontal="left"/>
    </xf>
    <xf numFmtId="173" fontId="20" fillId="0" borderId="0" xfId="0" applyNumberFormat="1" applyFont="1"/>
    <xf numFmtId="173" fontId="13" fillId="0" borderId="0" xfId="0" applyNumberFormat="1" applyFont="1"/>
    <xf numFmtId="179" fontId="20" fillId="0" borderId="0" xfId="0" applyNumberFormat="1" applyFont="1"/>
    <xf numFmtId="179" fontId="13" fillId="9" borderId="0" xfId="0" applyNumberFormat="1" applyFont="1" applyFill="1"/>
    <xf numFmtId="179" fontId="13" fillId="9" borderId="0" xfId="0" applyNumberFormat="1" applyFont="1" applyFill="1" applyAlignment="1">
      <alignment horizontal="left" indent="1"/>
    </xf>
    <xf numFmtId="179" fontId="12" fillId="9" borderId="0" xfId="0" applyNumberFormat="1" applyFont="1" applyFill="1"/>
    <xf numFmtId="179" fontId="13" fillId="9" borderId="0" xfId="0" quotePrefix="1" applyNumberFormat="1" applyFont="1" applyFill="1" applyAlignment="1">
      <alignment horizontal="left" indent="1"/>
    </xf>
    <xf numFmtId="179" fontId="12" fillId="9" borderId="0" xfId="0" applyNumberFormat="1" applyFont="1" applyFill="1" applyAlignment="1">
      <alignment horizontal="left" indent="1"/>
    </xf>
    <xf numFmtId="179" fontId="13" fillId="9" borderId="3" xfId="0" applyNumberFormat="1" applyFont="1" applyFill="1" applyBorder="1"/>
    <xf numFmtId="179" fontId="13" fillId="0" borderId="3" xfId="0" applyNumberFormat="1" applyFont="1" applyBorder="1"/>
    <xf numFmtId="179" fontId="12" fillId="9" borderId="18" xfId="0" applyNumberFormat="1" applyFont="1" applyFill="1" applyBorder="1"/>
    <xf numFmtId="179" fontId="13" fillId="9" borderId="18" xfId="0" applyNumberFormat="1" applyFont="1" applyFill="1" applyBorder="1"/>
    <xf numFmtId="179" fontId="12" fillId="0" borderId="18" xfId="0" applyNumberFormat="1" applyFont="1" applyBorder="1"/>
    <xf numFmtId="0" fontId="13" fillId="0" borderId="3" xfId="0" applyFont="1" applyBorder="1" applyAlignment="1">
      <alignment horizontal="left"/>
    </xf>
    <xf numFmtId="194" fontId="17" fillId="0" borderId="0" xfId="0" applyNumberFormat="1" applyFont="1"/>
    <xf numFmtId="0" fontId="17" fillId="0" borderId="0" xfId="0" applyFont="1" applyBorder="1" applyAlignment="1">
      <alignment horizontal="left"/>
    </xf>
    <xf numFmtId="37" fontId="24" fillId="0" borderId="0" xfId="0" applyNumberFormat="1" applyFont="1" applyBorder="1"/>
    <xf numFmtId="0" fontId="25" fillId="0" borderId="0" xfId="0" applyFont="1" applyBorder="1" applyAlignment="1">
      <alignment horizontal="right"/>
    </xf>
    <xf numFmtId="0" fontId="17" fillId="0" borderId="0" xfId="0" applyFont="1" applyBorder="1"/>
    <xf numFmtId="194" fontId="17" fillId="0" borderId="0" xfId="0" applyNumberFormat="1" applyFont="1" applyBorder="1"/>
    <xf numFmtId="0" fontId="13" fillId="0" borderId="3" xfId="0" quotePrefix="1" applyFont="1" applyBorder="1" applyAlignment="1">
      <alignment horizontal="left" indent="1"/>
    </xf>
    <xf numFmtId="179" fontId="13" fillId="9" borderId="3" xfId="0" applyNumberFormat="1" applyFont="1" applyFill="1" applyBorder="1" applyAlignment="1">
      <alignment horizontal="left" indent="1"/>
    </xf>
    <xf numFmtId="179" fontId="16" fillId="0" borderId="3" xfId="0" applyNumberFormat="1" applyFont="1" applyBorder="1"/>
    <xf numFmtId="172" fontId="13" fillId="0" borderId="3" xfId="0" applyNumberFormat="1" applyFont="1" applyBorder="1"/>
    <xf numFmtId="171" fontId="16" fillId="0" borderId="3" xfId="0" applyNumberFormat="1" applyFont="1" applyBorder="1"/>
    <xf numFmtId="0" fontId="12" fillId="9" borderId="0" xfId="0" applyFont="1" applyFill="1"/>
    <xf numFmtId="179" fontId="12" fillId="9" borderId="0" xfId="0" applyNumberFormat="1" applyFont="1" applyFill="1" applyAlignment="1">
      <alignment horizontal="left"/>
    </xf>
    <xf numFmtId="179" fontId="13" fillId="9" borderId="3" xfId="0" quotePrefix="1" applyNumberFormat="1" applyFont="1" applyFill="1" applyBorder="1" applyAlignment="1">
      <alignment horizontal="left" indent="1"/>
    </xf>
    <xf numFmtId="0" fontId="12" fillId="0" borderId="0" xfId="0" applyFont="1" applyAlignment="1"/>
    <xf numFmtId="0" fontId="18" fillId="9" borderId="0" xfId="0" applyFont="1" applyFill="1" applyAlignment="1">
      <alignment horizontal="left" indent="1"/>
    </xf>
    <xf numFmtId="0" fontId="12" fillId="9" borderId="0" xfId="0" applyFont="1" applyFill="1" applyAlignment="1">
      <alignment horizontal="left" indent="1"/>
    </xf>
    <xf numFmtId="9" fontId="13" fillId="0" borderId="0" xfId="3" applyFont="1"/>
    <xf numFmtId="0" fontId="20" fillId="0" borderId="0" xfId="0" applyFont="1"/>
    <xf numFmtId="37" fontId="20" fillId="0" borderId="0" xfId="0" applyNumberFormat="1" applyFont="1"/>
    <xf numFmtId="0" fontId="20" fillId="0" borderId="0" xfId="0" applyFont="1" applyAlignment="1">
      <alignment horizontal="center"/>
    </xf>
    <xf numFmtId="37" fontId="20" fillId="0" borderId="0" xfId="0" applyNumberFormat="1" applyFont="1" applyAlignment="1">
      <alignment horizontal="right"/>
    </xf>
    <xf numFmtId="179" fontId="20" fillId="0" borderId="3" xfId="0" applyNumberFormat="1" applyFont="1" applyBorder="1"/>
    <xf numFmtId="0" fontId="13" fillId="0" borderId="0" xfId="0" applyFont="1" applyAlignment="1"/>
    <xf numFmtId="179" fontId="12" fillId="0" borderId="0" xfId="0" applyNumberFormat="1" applyFont="1" applyBorder="1"/>
    <xf numFmtId="0" fontId="23" fillId="0" borderId="0" xfId="0" applyFont="1" applyBorder="1" applyAlignment="1"/>
    <xf numFmtId="0" fontId="27" fillId="9" borderId="0" xfId="0" applyFont="1" applyFill="1" applyBorder="1" applyAlignment="1">
      <alignment horizontal="left" indent="2"/>
    </xf>
    <xf numFmtId="37" fontId="17" fillId="9" borderId="0" xfId="0" applyNumberFormat="1" applyFont="1" applyFill="1" applyBorder="1"/>
    <xf numFmtId="0" fontId="17" fillId="9" borderId="0" xfId="0" applyFont="1" applyFill="1" applyBorder="1"/>
    <xf numFmtId="37" fontId="28" fillId="0" borderId="0" xfId="0" applyNumberFormat="1" applyFont="1" applyBorder="1" applyAlignment="1">
      <alignment horizontal="right"/>
    </xf>
    <xf numFmtId="0" fontId="18" fillId="0" borderId="0" xfId="0" applyFont="1" applyBorder="1" applyAlignment="1">
      <alignment horizontal="left" indent="1"/>
    </xf>
    <xf numFmtId="37" fontId="18" fillId="0" borderId="0" xfId="0" applyNumberFormat="1" applyFont="1" applyBorder="1"/>
    <xf numFmtId="37" fontId="13" fillId="0" borderId="3" xfId="0" applyNumberFormat="1" applyFont="1" applyBorder="1"/>
    <xf numFmtId="0" fontId="13" fillId="9" borderId="3" xfId="0" applyFont="1" applyFill="1" applyBorder="1" applyAlignment="1">
      <alignment horizontal="left" indent="1"/>
    </xf>
    <xf numFmtId="172" fontId="20" fillId="0" borderId="3" xfId="0" applyNumberFormat="1" applyFont="1" applyBorder="1"/>
    <xf numFmtId="4" fontId="25" fillId="9" borderId="0" xfId="0" applyNumberFormat="1" applyFont="1" applyFill="1" applyBorder="1" applyAlignment="1">
      <alignment horizontal="right"/>
    </xf>
    <xf numFmtId="0" fontId="25" fillId="9" borderId="0" xfId="0" applyFont="1" applyFill="1" applyBorder="1" applyAlignment="1">
      <alignment horizontal="right"/>
    </xf>
    <xf numFmtId="171" fontId="13" fillId="9" borderId="0" xfId="0" applyNumberFormat="1" applyFont="1" applyFill="1"/>
    <xf numFmtId="171" fontId="14" fillId="9" borderId="0" xfId="0" applyNumberFormat="1" applyFont="1" applyFill="1" applyBorder="1" applyAlignment="1">
      <alignment horizontal="center"/>
    </xf>
    <xf numFmtId="171" fontId="13" fillId="9" borderId="0" xfId="0" applyNumberFormat="1" applyFont="1" applyFill="1" applyBorder="1" applyAlignment="1">
      <alignment horizontal="center"/>
    </xf>
    <xf numFmtId="169" fontId="12" fillId="0" borderId="20" xfId="0" applyNumberFormat="1" applyFont="1" applyBorder="1"/>
    <xf numFmtId="0" fontId="13" fillId="0" borderId="20" xfId="0" applyFont="1" applyBorder="1"/>
    <xf numFmtId="0" fontId="12" fillId="0" borderId="0" xfId="0" applyFont="1" applyAlignment="1">
      <alignment horizontal="centerContinuous"/>
    </xf>
    <xf numFmtId="0" fontId="13" fillId="0" borderId="0" xfId="0" applyFont="1" applyAlignment="1">
      <alignment horizontal="centerContinuous"/>
    </xf>
    <xf numFmtId="197" fontId="16" fillId="5" borderId="21" xfId="0" applyNumberFormat="1" applyFont="1" applyFill="1" applyBorder="1"/>
    <xf numFmtId="198" fontId="14" fillId="5" borderId="16" xfId="0" applyNumberFormat="1" applyFont="1" applyFill="1" applyBorder="1"/>
    <xf numFmtId="199" fontId="14" fillId="5" borderId="22" xfId="0" applyNumberFormat="1" applyFont="1" applyFill="1" applyBorder="1"/>
    <xf numFmtId="179" fontId="13" fillId="5" borderId="0" xfId="0" applyNumberFormat="1" applyFont="1" applyFill="1"/>
    <xf numFmtId="0" fontId="12" fillId="0" borderId="0" xfId="0" applyFont="1" applyAlignment="1">
      <alignment horizontal="right"/>
    </xf>
    <xf numFmtId="179" fontId="13" fillId="5" borderId="19" xfId="0" applyNumberFormat="1" applyFont="1" applyFill="1" applyBorder="1"/>
    <xf numFmtId="0" fontId="13" fillId="0" borderId="0" xfId="0" applyFont="1" applyBorder="1" applyAlignment="1"/>
    <xf numFmtId="175" fontId="16" fillId="0" borderId="0" xfId="0" applyNumberFormat="1" applyFont="1"/>
    <xf numFmtId="172" fontId="16" fillId="0" borderId="0" xfId="0" applyNumberFormat="1" applyFont="1"/>
    <xf numFmtId="0" fontId="29" fillId="5" borderId="6" xfId="0" applyFont="1" applyFill="1" applyBorder="1" applyAlignment="1">
      <alignment horizontal="center"/>
    </xf>
    <xf numFmtId="200" fontId="13" fillId="0" borderId="0" xfId="0" applyNumberFormat="1" applyFont="1"/>
    <xf numFmtId="200" fontId="13" fillId="0" borderId="19" xfId="0" applyNumberFormat="1" applyFont="1" applyBorder="1"/>
    <xf numFmtId="201" fontId="13" fillId="0" borderId="0" xfId="0" applyNumberFormat="1" applyFont="1"/>
    <xf numFmtId="0" fontId="12" fillId="0" borderId="5" xfId="0" applyFont="1" applyBorder="1"/>
    <xf numFmtId="200" fontId="12" fillId="0" borderId="0" xfId="0" applyNumberFormat="1" applyFont="1"/>
    <xf numFmtId="200" fontId="18" fillId="0" borderId="0" xfId="0" applyNumberFormat="1" applyFont="1"/>
    <xf numFmtId="179" fontId="12" fillId="9" borderId="3" xfId="0" applyNumberFormat="1" applyFont="1" applyFill="1" applyBorder="1"/>
    <xf numFmtId="0" fontId="17" fillId="0" borderId="0" xfId="0" applyFont="1" applyAlignment="1">
      <alignment horizontal="left" indent="2"/>
    </xf>
    <xf numFmtId="202" fontId="13" fillId="0" borderId="0" xfId="0" applyNumberFormat="1" applyFont="1"/>
    <xf numFmtId="201" fontId="13" fillId="0" borderId="19" xfId="0" applyNumberFormat="1" applyFont="1" applyBorder="1"/>
    <xf numFmtId="200" fontId="13" fillId="0" borderId="3" xfId="0" applyNumberFormat="1" applyFont="1" applyBorder="1"/>
    <xf numFmtId="171" fontId="13" fillId="0" borderId="5" xfId="0" applyNumberFormat="1" applyFont="1" applyBorder="1"/>
    <xf numFmtId="171" fontId="16" fillId="0" borderId="5" xfId="0" applyNumberFormat="1" applyFont="1" applyBorder="1"/>
    <xf numFmtId="3" fontId="14" fillId="0" borderId="0" xfId="0" applyNumberFormat="1" applyFont="1"/>
    <xf numFmtId="39" fontId="16" fillId="0" borderId="0" xfId="0" applyNumberFormat="1" applyFont="1"/>
    <xf numFmtId="39" fontId="14" fillId="5" borderId="0" xfId="0" applyNumberFormat="1" applyFont="1" applyFill="1"/>
    <xf numFmtId="37" fontId="13" fillId="0" borderId="0" xfId="0" quotePrefix="1" applyNumberFormat="1" applyFont="1"/>
    <xf numFmtId="38" fontId="12" fillId="0" borderId="0" xfId="0" applyNumberFormat="1" applyFont="1"/>
    <xf numFmtId="171" fontId="13" fillId="0" borderId="0" xfId="0" applyNumberFormat="1" applyFont="1" applyBorder="1"/>
    <xf numFmtId="171" fontId="16" fillId="0" borderId="0" xfId="0" applyNumberFormat="1" applyFont="1" applyBorder="1"/>
    <xf numFmtId="0" fontId="14" fillId="5" borderId="0" xfId="0" applyNumberFormat="1" applyFont="1" applyFill="1" applyAlignment="1">
      <alignment horizontal="center"/>
    </xf>
    <xf numFmtId="37" fontId="16" fillId="0" borderId="3" xfId="0" applyNumberFormat="1" applyFont="1" applyBorder="1"/>
    <xf numFmtId="0" fontId="12" fillId="9" borderId="3" xfId="0" applyFont="1" applyFill="1" applyBorder="1"/>
    <xf numFmtId="3" fontId="18" fillId="0" borderId="0" xfId="0" applyNumberFormat="1" applyFont="1"/>
    <xf numFmtId="3" fontId="16" fillId="0" borderId="3" xfId="0" applyNumberFormat="1" applyFont="1" applyBorder="1"/>
    <xf numFmtId="172" fontId="20" fillId="0" borderId="0" xfId="0" applyNumberFormat="1" applyFont="1"/>
    <xf numFmtId="0" fontId="12" fillId="0" borderId="0" xfId="0" applyFont="1" applyBorder="1" applyAlignment="1"/>
    <xf numFmtId="203" fontId="13" fillId="0" borderId="0" xfId="0" applyNumberFormat="1" applyFont="1"/>
    <xf numFmtId="0" fontId="14" fillId="2" borderId="1" xfId="0" applyNumberFormat="1" applyFont="1" applyFill="1" applyBorder="1" applyAlignment="1">
      <alignment horizontal="center"/>
    </xf>
    <xf numFmtId="14" fontId="15" fillId="0" borderId="0" xfId="1" applyNumberFormat="1" applyFont="1" applyAlignment="1">
      <alignment horizontal="right"/>
    </xf>
    <xf numFmtId="171" fontId="21" fillId="0" borderId="0" xfId="0" applyNumberFormat="1" applyFont="1"/>
    <xf numFmtId="14" fontId="16" fillId="0" borderId="0" xfId="1" applyNumberFormat="1" applyFont="1" applyAlignment="1">
      <alignment horizontal="right"/>
    </xf>
    <xf numFmtId="175" fontId="14" fillId="0" borderId="0" xfId="0" applyNumberFormat="1" applyFont="1"/>
    <xf numFmtId="14" fontId="14" fillId="0" borderId="0" xfId="1" applyNumberFormat="1" applyFont="1" applyAlignment="1">
      <alignment horizontal="right"/>
    </xf>
    <xf numFmtId="14" fontId="14" fillId="0" borderId="0" xfId="0" applyNumberFormat="1" applyFont="1" applyAlignment="1">
      <alignment horizontal="right"/>
    </xf>
    <xf numFmtId="0" fontId="30" fillId="0" borderId="0" xfId="2" applyFont="1" applyBorder="1"/>
    <xf numFmtId="175" fontId="21" fillId="0" borderId="0" xfId="0" applyNumberFormat="1" applyFont="1" applyAlignment="1">
      <alignment horizontal="right"/>
    </xf>
    <xf numFmtId="0" fontId="31" fillId="0" borderId="0" xfId="0" applyFont="1" applyAlignment="1">
      <alignment horizontal="centerContinuous"/>
    </xf>
    <xf numFmtId="178" fontId="12" fillId="0" borderId="0" xfId="0" applyNumberFormat="1" applyFont="1"/>
    <xf numFmtId="0" fontId="31" fillId="0" borderId="0" xfId="0" applyFont="1" applyBorder="1" applyAlignment="1">
      <alignment horizontal="centerContinuous"/>
    </xf>
    <xf numFmtId="179" fontId="21" fillId="0" borderId="0" xfId="0" applyNumberFormat="1" applyFont="1"/>
    <xf numFmtId="14" fontId="13" fillId="0" borderId="0" xfId="0" applyNumberFormat="1" applyFont="1"/>
    <xf numFmtId="172" fontId="13" fillId="0" borderId="0" xfId="0" applyNumberFormat="1" applyFont="1" applyAlignment="1">
      <alignment horizontal="center"/>
    </xf>
    <xf numFmtId="0" fontId="18" fillId="0" borderId="0" xfId="0" applyFont="1"/>
    <xf numFmtId="172" fontId="14" fillId="0" borderId="0" xfId="0" applyNumberFormat="1" applyFont="1"/>
    <xf numFmtId="178" fontId="13" fillId="0" borderId="0" xfId="0" applyNumberFormat="1" applyFont="1"/>
    <xf numFmtId="180" fontId="14" fillId="0" borderId="0" xfId="0" applyNumberFormat="1" applyFont="1"/>
    <xf numFmtId="0" fontId="17" fillId="0" borderId="0" xfId="0" applyFont="1" applyAlignment="1">
      <alignment horizontal="left"/>
    </xf>
    <xf numFmtId="172" fontId="17" fillId="0" borderId="0" xfId="0" applyNumberFormat="1" applyFont="1"/>
    <xf numFmtId="181" fontId="17" fillId="0" borderId="0" xfId="0" applyNumberFormat="1" applyFont="1"/>
    <xf numFmtId="180" fontId="17" fillId="0" borderId="0" xfId="0" applyNumberFormat="1" applyFont="1"/>
    <xf numFmtId="171" fontId="13" fillId="0" borderId="0" xfId="0" quotePrefix="1" applyNumberFormat="1" applyFont="1"/>
    <xf numFmtId="0" fontId="19" fillId="0" borderId="0" xfId="0" applyFont="1" applyAlignment="1">
      <alignment horizontal="right"/>
    </xf>
    <xf numFmtId="0" fontId="19" fillId="0" borderId="0" xfId="0" applyFont="1" applyAlignment="1">
      <alignment horizontal="left" vertical="center"/>
    </xf>
    <xf numFmtId="14" fontId="16" fillId="0" borderId="0" xfId="0" applyNumberFormat="1" applyFont="1"/>
    <xf numFmtId="182" fontId="14" fillId="0" borderId="0" xfId="0" applyNumberFormat="1" applyFont="1"/>
    <xf numFmtId="167" fontId="14" fillId="0" borderId="0" xfId="0" applyNumberFormat="1" applyFont="1"/>
    <xf numFmtId="37" fontId="21" fillId="0" borderId="0" xfId="0" applyNumberFormat="1" applyFont="1"/>
    <xf numFmtId="0" fontId="16" fillId="0" borderId="0" xfId="0" applyFont="1" applyAlignment="1">
      <alignment horizontal="left" indent="1"/>
    </xf>
    <xf numFmtId="184" fontId="14" fillId="0" borderId="0" xfId="0" applyNumberFormat="1" applyFont="1"/>
    <xf numFmtId="0" fontId="13" fillId="0" borderId="0" xfId="0" applyFont="1" applyAlignment="1">
      <alignment horizontal="left" vertical="center" indent="1"/>
    </xf>
    <xf numFmtId="167" fontId="13" fillId="0" borderId="0" xfId="0" applyNumberFormat="1" applyFont="1"/>
    <xf numFmtId="182" fontId="33" fillId="0" borderId="0" xfId="0" applyNumberFormat="1" applyFont="1"/>
    <xf numFmtId="0" fontId="12" fillId="0" borderId="0" xfId="0" applyFont="1" applyAlignment="1">
      <alignment vertical="center"/>
    </xf>
    <xf numFmtId="0" fontId="31" fillId="0" borderId="0" xfId="0" applyFont="1" applyAlignment="1">
      <alignment horizontal="right"/>
    </xf>
    <xf numFmtId="179" fontId="13" fillId="0" borderId="0" xfId="0" applyNumberFormat="1" applyFont="1" applyAlignment="1">
      <alignment horizontal="right"/>
    </xf>
    <xf numFmtId="185" fontId="12" fillId="0" borderId="0" xfId="0" applyNumberFormat="1" applyFont="1" applyAlignment="1">
      <alignment horizontal="right"/>
    </xf>
    <xf numFmtId="186" fontId="13" fillId="0" borderId="0" xfId="0" applyNumberFormat="1" applyFont="1" applyAlignment="1">
      <alignment horizontal="right"/>
    </xf>
    <xf numFmtId="187" fontId="13" fillId="0" borderId="0" xfId="0" applyNumberFormat="1" applyFont="1" applyAlignment="1">
      <alignment horizontal="right"/>
    </xf>
    <xf numFmtId="185" fontId="13" fillId="0" borderId="2" xfId="0" applyNumberFormat="1" applyFont="1" applyBorder="1" applyAlignment="1">
      <alignment horizontal="right"/>
    </xf>
    <xf numFmtId="170" fontId="16" fillId="4" borderId="7" xfId="0" applyNumberFormat="1" applyFont="1" applyFill="1" applyBorder="1"/>
    <xf numFmtId="170" fontId="16" fillId="4" borderId="8" xfId="0" applyNumberFormat="1" applyFont="1" applyFill="1" applyBorder="1"/>
    <xf numFmtId="170" fontId="14" fillId="4" borderId="8" xfId="0" applyNumberFormat="1" applyFont="1" applyFill="1" applyBorder="1"/>
    <xf numFmtId="180" fontId="13" fillId="0" borderId="9" xfId="0" applyNumberFormat="1" applyFont="1" applyBorder="1" applyAlignment="1">
      <alignment horizontal="right"/>
    </xf>
    <xf numFmtId="170" fontId="16" fillId="4" borderId="10" xfId="0" applyNumberFormat="1" applyFont="1" applyFill="1" applyBorder="1"/>
    <xf numFmtId="170" fontId="16" fillId="4" borderId="11" xfId="0" applyNumberFormat="1" applyFont="1" applyFill="1" applyBorder="1" applyAlignment="1">
      <alignment horizontal="right"/>
    </xf>
    <xf numFmtId="188" fontId="13" fillId="0" borderId="0" xfId="0" applyNumberFormat="1" applyFont="1"/>
    <xf numFmtId="180" fontId="13" fillId="0" borderId="0" xfId="0" applyNumberFormat="1" applyFont="1" applyAlignment="1">
      <alignment horizontal="right"/>
    </xf>
    <xf numFmtId="170" fontId="14" fillId="4" borderId="11" xfId="0" applyNumberFormat="1" applyFont="1" applyFill="1" applyBorder="1" applyAlignment="1">
      <alignment horizontal="right"/>
    </xf>
    <xf numFmtId="170" fontId="16" fillId="4" borderId="12" xfId="0" applyNumberFormat="1" applyFont="1" applyFill="1" applyBorder="1" applyAlignment="1">
      <alignment horizontal="right"/>
    </xf>
    <xf numFmtId="189" fontId="13" fillId="0" borderId="0" xfId="0" applyNumberFormat="1" applyFont="1"/>
    <xf numFmtId="185" fontId="13" fillId="0" borderId="9" xfId="0" applyNumberFormat="1" applyFont="1" applyBorder="1"/>
    <xf numFmtId="180" fontId="16" fillId="4" borderId="8" xfId="0" applyNumberFormat="1" applyFont="1" applyFill="1" applyBorder="1"/>
    <xf numFmtId="180" fontId="14" fillId="4" borderId="8" xfId="0" applyNumberFormat="1" applyFont="1" applyFill="1" applyBorder="1"/>
    <xf numFmtId="174" fontId="13" fillId="0" borderId="0" xfId="0" applyNumberFormat="1" applyFont="1"/>
    <xf numFmtId="0" fontId="13" fillId="0" borderId="7" xfId="0" applyFont="1" applyBorder="1"/>
    <xf numFmtId="0" fontId="13" fillId="0" borderId="8" xfId="0" applyFont="1" applyBorder="1"/>
    <xf numFmtId="0" fontId="13" fillId="0" borderId="8" xfId="0" applyFont="1" applyBorder="1" applyAlignment="1">
      <alignment horizontal="right"/>
    </xf>
    <xf numFmtId="0" fontId="13" fillId="0" borderId="10" xfId="0" applyFont="1" applyBorder="1" applyAlignment="1">
      <alignment horizontal="right"/>
    </xf>
    <xf numFmtId="0" fontId="13" fillId="0" borderId="13" xfId="0" quotePrefix="1" applyFont="1" applyBorder="1"/>
    <xf numFmtId="0" fontId="13" fillId="0" borderId="0" xfId="0" quotePrefix="1" applyFont="1" applyBorder="1"/>
    <xf numFmtId="39" fontId="13" fillId="0" borderId="0" xfId="0" applyNumberFormat="1" applyFont="1"/>
    <xf numFmtId="39" fontId="13" fillId="0" borderId="14" xfId="0" applyNumberFormat="1" applyFont="1" applyBorder="1"/>
    <xf numFmtId="39" fontId="16" fillId="0" borderId="14" xfId="0" applyNumberFormat="1" applyFont="1" applyBorder="1"/>
    <xf numFmtId="0" fontId="13" fillId="0" borderId="13" xfId="0" applyFont="1" applyBorder="1"/>
    <xf numFmtId="0" fontId="13" fillId="0" borderId="15" xfId="0" applyFont="1" applyBorder="1"/>
    <xf numFmtId="0" fontId="13" fillId="0" borderId="2" xfId="0" applyFont="1" applyBorder="1"/>
    <xf numFmtId="39" fontId="13" fillId="0" borderId="2" xfId="0" applyNumberFormat="1" applyFont="1" applyBorder="1"/>
    <xf numFmtId="39" fontId="16" fillId="0" borderId="2" xfId="0" applyNumberFormat="1" applyFont="1" applyBorder="1"/>
    <xf numFmtId="39" fontId="13" fillId="0" borderId="9" xfId="0" applyNumberFormat="1" applyFont="1" applyBorder="1"/>
    <xf numFmtId="39" fontId="16" fillId="0" borderId="9" xfId="0" applyNumberFormat="1" applyFont="1" applyBorder="1"/>
    <xf numFmtId="196" fontId="12" fillId="0" borderId="0" xfId="0" applyNumberFormat="1" applyFont="1" applyFill="1" applyBorder="1" applyAlignment="1">
      <alignment vertical="center"/>
    </xf>
    <xf numFmtId="0" fontId="13" fillId="0" borderId="0" xfId="0" applyFont="1" applyFill="1" applyBorder="1"/>
    <xf numFmtId="168" fontId="12" fillId="0" borderId="23" xfId="0" applyNumberFormat="1" applyFont="1" applyBorder="1" applyAlignment="1">
      <alignment vertical="center"/>
    </xf>
    <xf numFmtId="0" fontId="13" fillId="0" borderId="0" xfId="0" applyFont="1" applyFill="1" applyBorder="1" applyAlignment="1">
      <alignment horizontal="centerContinuous" vertical="center"/>
    </xf>
    <xf numFmtId="179" fontId="35" fillId="0" borderId="0" xfId="0" applyNumberFormat="1" applyFont="1" applyBorder="1" applyAlignment="1">
      <alignment horizontal="center" vertical="center"/>
    </xf>
    <xf numFmtId="179" fontId="35" fillId="0" borderId="0" xfId="0" applyNumberFormat="1" applyFont="1" applyBorder="1" applyAlignment="1">
      <alignment horizontal="centerContinuous" vertical="center"/>
    </xf>
    <xf numFmtId="196" fontId="12" fillId="0" borderId="23" xfId="0" applyNumberFormat="1" applyFont="1" applyFill="1" applyBorder="1" applyAlignment="1">
      <alignment vertical="center"/>
    </xf>
    <xf numFmtId="196" fontId="12" fillId="0" borderId="23" xfId="0" quotePrefix="1" applyNumberFormat="1" applyFont="1" applyFill="1" applyBorder="1" applyAlignment="1">
      <alignment vertical="center"/>
    </xf>
    <xf numFmtId="14" fontId="17" fillId="0" borderId="0" xfId="0" applyNumberFormat="1" applyFont="1" applyBorder="1"/>
    <xf numFmtId="168" fontId="12" fillId="0" borderId="23" xfId="0" applyNumberFormat="1" applyFont="1" applyBorder="1" applyAlignment="1">
      <alignment horizontal="right" vertical="center"/>
    </xf>
    <xf numFmtId="171" fontId="21" fillId="0" borderId="3" xfId="0" applyNumberFormat="1" applyFont="1" applyBorder="1"/>
    <xf numFmtId="179" fontId="21" fillId="0" borderId="3" xfId="0" applyNumberFormat="1" applyFont="1" applyBorder="1"/>
    <xf numFmtId="179" fontId="21" fillId="9" borderId="0" xfId="0" applyNumberFormat="1" applyFont="1" applyFill="1"/>
    <xf numFmtId="179" fontId="16" fillId="9" borderId="3" xfId="0" applyNumberFormat="1" applyFont="1" applyFill="1" applyBorder="1"/>
    <xf numFmtId="179" fontId="18" fillId="9" borderId="0" xfId="0" applyNumberFormat="1" applyFont="1" applyFill="1"/>
    <xf numFmtId="179" fontId="21" fillId="9" borderId="3" xfId="0" applyNumberFormat="1" applyFont="1" applyFill="1" applyBorder="1"/>
    <xf numFmtId="179" fontId="18" fillId="9" borderId="18" xfId="0" applyNumberFormat="1" applyFont="1" applyFill="1" applyBorder="1"/>
    <xf numFmtId="179" fontId="16" fillId="0" borderId="0" xfId="0" applyNumberFormat="1" applyFont="1" applyBorder="1"/>
    <xf numFmtId="204" fontId="16" fillId="0" borderId="0" xfId="0" applyNumberFormat="1" applyFont="1" applyBorder="1"/>
    <xf numFmtId="179" fontId="21" fillId="0" borderId="0" xfId="0" applyNumberFormat="1" applyFont="1" applyBorder="1"/>
    <xf numFmtId="179" fontId="32" fillId="0" borderId="0" xfId="0" applyNumberFormat="1" applyFont="1" applyBorder="1" applyAlignment="1">
      <alignment horizontal="center"/>
    </xf>
    <xf numFmtId="179" fontId="27" fillId="0" borderId="0" xfId="0" applyNumberFormat="1" applyFont="1"/>
    <xf numFmtId="0" fontId="12" fillId="0" borderId="17" xfId="0" applyFont="1" applyBorder="1" applyAlignment="1">
      <alignment vertical="center"/>
    </xf>
    <xf numFmtId="0" fontId="12" fillId="0" borderId="17" xfId="0" applyFont="1" applyBorder="1" applyAlignment="1">
      <alignment horizontal="left"/>
    </xf>
    <xf numFmtId="0" fontId="13" fillId="0" borderId="17" xfId="0" applyFont="1" applyBorder="1"/>
    <xf numFmtId="179" fontId="32" fillId="0" borderId="0" xfId="0" applyNumberFormat="1" applyFont="1" applyBorder="1" applyAlignment="1">
      <alignment horizontal="right"/>
    </xf>
    <xf numFmtId="179" fontId="32" fillId="0" borderId="0" xfId="0" applyNumberFormat="1" applyFont="1" applyAlignment="1">
      <alignment horizontal="right"/>
    </xf>
    <xf numFmtId="0" fontId="13" fillId="0" borderId="3" xfId="0" applyFont="1" applyBorder="1" applyAlignment="1">
      <alignment horizontal="left" vertical="center" indent="1"/>
    </xf>
    <xf numFmtId="37" fontId="14" fillId="0" borderId="3" xfId="0" applyNumberFormat="1" applyFont="1" applyBorder="1"/>
    <xf numFmtId="0" fontId="12" fillId="0" borderId="0" xfId="0" applyFont="1" applyAlignment="1">
      <alignment horizontal="left" vertical="center"/>
    </xf>
    <xf numFmtId="0" fontId="12" fillId="0" borderId="17" xfId="0" applyFont="1" applyBorder="1" applyAlignment="1">
      <alignment horizontal="left" vertical="center" indent="1"/>
    </xf>
    <xf numFmtId="37" fontId="36" fillId="0" borderId="17" xfId="0" applyNumberFormat="1" applyFont="1" applyBorder="1"/>
    <xf numFmtId="0" fontId="12" fillId="0" borderId="0" xfId="0" applyFont="1" applyAlignment="1">
      <alignment horizontal="left" vertical="center" indent="1"/>
    </xf>
    <xf numFmtId="37" fontId="36" fillId="0" borderId="0" xfId="0" applyNumberFormat="1" applyFont="1"/>
    <xf numFmtId="0" fontId="12" fillId="0" borderId="18" xfId="0" applyFont="1" applyBorder="1" applyAlignment="1">
      <alignment vertical="center"/>
    </xf>
    <xf numFmtId="179" fontId="12" fillId="0" borderId="0" xfId="0" applyNumberFormat="1" applyFont="1" applyAlignment="1">
      <alignment horizontal="right"/>
    </xf>
    <xf numFmtId="179" fontId="17" fillId="0" borderId="3" xfId="0" applyNumberFormat="1" applyFont="1" applyBorder="1" applyAlignment="1">
      <alignment horizontal="right"/>
    </xf>
    <xf numFmtId="177" fontId="12" fillId="0" borderId="0" xfId="0" applyNumberFormat="1" applyFont="1" applyBorder="1"/>
    <xf numFmtId="0" fontId="13" fillId="0" borderId="0" xfId="0" applyFont="1" applyBorder="1" applyAlignment="1">
      <alignment horizontal="centerContinuous"/>
    </xf>
    <xf numFmtId="188" fontId="13" fillId="0" borderId="0" xfId="0" applyNumberFormat="1" applyFont="1" applyBorder="1"/>
    <xf numFmtId="170" fontId="16" fillId="0" borderId="0" xfId="0" applyNumberFormat="1" applyFont="1" applyFill="1" applyBorder="1"/>
    <xf numFmtId="188" fontId="13" fillId="0" borderId="0" xfId="0" applyNumberFormat="1" applyFont="1" applyFill="1" applyBorder="1"/>
    <xf numFmtId="189" fontId="13" fillId="0" borderId="0" xfId="0" applyNumberFormat="1" applyFont="1" applyFill="1" applyBorder="1"/>
    <xf numFmtId="0" fontId="31" fillId="0" borderId="0" xfId="0" applyFont="1" applyFill="1" applyBorder="1" applyAlignment="1">
      <alignment horizontal="centerContinuous"/>
    </xf>
    <xf numFmtId="0" fontId="13" fillId="0" borderId="0" xfId="0" applyFont="1" applyFill="1" applyBorder="1" applyAlignment="1">
      <alignment horizontal="centerContinuous"/>
    </xf>
    <xf numFmtId="180" fontId="16" fillId="0" borderId="0" xfId="0" applyNumberFormat="1" applyFont="1" applyFill="1" applyBorder="1"/>
    <xf numFmtId="0" fontId="26" fillId="6" borderId="0" xfId="0" applyFont="1" applyFill="1" applyBorder="1"/>
    <xf numFmtId="0" fontId="34" fillId="0" borderId="0" xfId="0" applyFont="1" applyFill="1" applyAlignment="1">
      <alignment horizontal="centerContinuous"/>
    </xf>
    <xf numFmtId="0" fontId="31" fillId="0" borderId="0" xfId="0" applyFont="1" applyFill="1" applyAlignment="1">
      <alignment horizontal="centerContinuous"/>
    </xf>
    <xf numFmtId="179" fontId="14" fillId="0" borderId="0" xfId="0" applyNumberFormat="1" applyFont="1" applyAlignment="1">
      <alignment horizontal="right"/>
    </xf>
    <xf numFmtId="179" fontId="12" fillId="0" borderId="17" xfId="0" applyNumberFormat="1" applyFont="1" applyBorder="1"/>
    <xf numFmtId="0" fontId="37" fillId="0" borderId="0" xfId="5" applyAlignment="1">
      <alignment horizontal="left"/>
    </xf>
    <xf numFmtId="0" fontId="37" fillId="0" borderId="0" xfId="6"/>
    <xf numFmtId="0" fontId="38" fillId="0" borderId="0" xfId="6" applyFont="1"/>
    <xf numFmtId="0" fontId="40" fillId="11" borderId="0" xfId="7" applyFont="1">
      <alignment horizontal="center"/>
    </xf>
    <xf numFmtId="0" fontId="41" fillId="0" borderId="0" xfId="6" applyFont="1" applyAlignment="1">
      <alignment horizontal="left"/>
    </xf>
    <xf numFmtId="2" fontId="41" fillId="0" borderId="0" xfId="6" applyNumberFormat="1" applyFont="1" applyAlignment="1">
      <alignment horizontal="right"/>
    </xf>
    <xf numFmtId="0" fontId="41" fillId="0" borderId="0" xfId="6" applyFont="1"/>
    <xf numFmtId="14" fontId="14" fillId="0" borderId="0" xfId="0" applyNumberFormat="1" applyFont="1" applyAlignment="1">
      <alignment horizontal="left"/>
    </xf>
    <xf numFmtId="0" fontId="43" fillId="12" borderId="0" xfId="9"/>
    <xf numFmtId="205" fontId="0" fillId="0" borderId="0" xfId="4" applyNumberFormat="1" applyFont="1"/>
    <xf numFmtId="0" fontId="42" fillId="0" borderId="0" xfId="8">
      <alignment vertical="top" wrapText="1"/>
    </xf>
    <xf numFmtId="0" fontId="37" fillId="0" borderId="0" xfId="6"/>
    <xf numFmtId="0" fontId="14" fillId="3" borderId="1" xfId="0" applyFont="1" applyFill="1" applyBorder="1" applyAlignment="1">
      <alignment horizontal="right"/>
    </xf>
    <xf numFmtId="10" fontId="14" fillId="0" borderId="0" xfId="0" applyNumberFormat="1" applyFont="1"/>
    <xf numFmtId="174" fontId="21" fillId="0" borderId="3" xfId="0" applyNumberFormat="1" applyFont="1" applyBorder="1"/>
    <xf numFmtId="174" fontId="18" fillId="0" borderId="0" xfId="0" applyNumberFormat="1" applyFont="1"/>
    <xf numFmtId="167" fontId="16" fillId="0" borderId="0" xfId="0" applyNumberFormat="1" applyFont="1"/>
    <xf numFmtId="0" fontId="15" fillId="0" borderId="0" xfId="0" applyFont="1"/>
    <xf numFmtId="170" fontId="32" fillId="0" borderId="0" xfId="0" applyNumberFormat="1" applyFont="1" applyAlignment="1">
      <alignment horizontal="right"/>
    </xf>
    <xf numFmtId="190" fontId="21" fillId="0" borderId="0" xfId="0" applyNumberFormat="1" applyFont="1"/>
    <xf numFmtId="9" fontId="14" fillId="5" borderId="0" xfId="0" applyNumberFormat="1" applyFont="1" applyFill="1"/>
    <xf numFmtId="39" fontId="12" fillId="0" borderId="0" xfId="0" applyNumberFormat="1" applyFont="1"/>
    <xf numFmtId="172" fontId="13" fillId="0" borderId="4" xfId="0" applyNumberFormat="1" applyFont="1" applyBorder="1"/>
    <xf numFmtId="167" fontId="12" fillId="0" borderId="0" xfId="0" applyNumberFormat="1" applyFont="1"/>
    <xf numFmtId="10" fontId="14" fillId="0" borderId="3" xfId="0" applyNumberFormat="1" applyFont="1" applyBorder="1"/>
    <xf numFmtId="170" fontId="18" fillId="0" borderId="0" xfId="0" applyNumberFormat="1" applyFont="1"/>
    <xf numFmtId="0" fontId="12" fillId="13" borderId="0" xfId="0" applyFont="1" applyFill="1" applyBorder="1"/>
    <xf numFmtId="0" fontId="13" fillId="0" borderId="0" xfId="0" applyFont="1" applyFill="1"/>
    <xf numFmtId="0" fontId="45" fillId="0" borderId="0" xfId="6" applyFont="1" applyAlignment="1">
      <alignment horizontal="centerContinuous"/>
    </xf>
    <xf numFmtId="210" fontId="14" fillId="0" borderId="0" xfId="0" applyNumberFormat="1" applyFont="1"/>
    <xf numFmtId="212" fontId="14" fillId="0" borderId="0" xfId="0" applyNumberFormat="1" applyFont="1"/>
    <xf numFmtId="170" fontId="20" fillId="0" borderId="0" xfId="3" applyNumberFormat="1" applyFont="1"/>
    <xf numFmtId="170" fontId="14" fillId="0" borderId="0" xfId="3" applyNumberFormat="1" applyFont="1"/>
    <xf numFmtId="167" fontId="13" fillId="0" borderId="3" xfId="0" applyNumberFormat="1" applyFont="1" applyBorder="1"/>
    <xf numFmtId="191" fontId="14" fillId="4" borderId="8" xfId="0" applyNumberFormat="1" applyFont="1" applyFill="1" applyBorder="1"/>
    <xf numFmtId="171" fontId="13" fillId="0" borderId="0" xfId="0" applyNumberFormat="1" applyFont="1" applyFill="1"/>
    <xf numFmtId="191" fontId="16" fillId="4" borderId="24" xfId="0" applyNumberFormat="1" applyFont="1" applyFill="1" applyBorder="1"/>
    <xf numFmtId="170" fontId="16" fillId="4" borderId="25" xfId="0" applyNumberFormat="1" applyFont="1" applyFill="1" applyBorder="1" applyAlignment="1">
      <alignment horizontal="right"/>
    </xf>
    <xf numFmtId="10" fontId="16" fillId="0" borderId="0" xfId="0" applyNumberFormat="1" applyFont="1" applyBorder="1"/>
    <xf numFmtId="170" fontId="16" fillId="4" borderId="26" xfId="0" applyNumberFormat="1" applyFont="1" applyFill="1" applyBorder="1" applyAlignment="1">
      <alignment horizontal="right"/>
    </xf>
    <xf numFmtId="191" fontId="16" fillId="4" borderId="27" xfId="0" applyNumberFormat="1" applyFont="1" applyFill="1" applyBorder="1"/>
    <xf numFmtId="10" fontId="14" fillId="4" borderId="11" xfId="0" applyNumberFormat="1" applyFont="1" applyFill="1" applyBorder="1" applyAlignment="1">
      <alignment horizontal="right"/>
    </xf>
    <xf numFmtId="10" fontId="16" fillId="4" borderId="25" xfId="0" applyNumberFormat="1" applyFont="1" applyFill="1" applyBorder="1" applyAlignment="1">
      <alignment horizontal="right"/>
    </xf>
    <xf numFmtId="10" fontId="16" fillId="4" borderId="11" xfId="0" applyNumberFormat="1" applyFont="1" applyFill="1" applyBorder="1" applyAlignment="1">
      <alignment horizontal="right"/>
    </xf>
    <xf numFmtId="10" fontId="16" fillId="4" borderId="26" xfId="0" applyNumberFormat="1" applyFont="1" applyFill="1" applyBorder="1" applyAlignment="1">
      <alignment horizontal="right"/>
    </xf>
    <xf numFmtId="171" fontId="12" fillId="13" borderId="28" xfId="0" applyNumberFormat="1" applyFont="1" applyFill="1" applyBorder="1"/>
  </cellXfs>
  <cellStyles count="10">
    <cellStyle name="blp_column_header" xfId="9" xr:uid="{9851DA83-D93D-424A-86C0-2AAC7ABF4EF3}"/>
    <cellStyle name="Comma" xfId="4" builtinId="3"/>
    <cellStyle name="defaultsheetstyle" xfId="6" xr:uid="{A6542609-795D-4695-A1D3-371AF40B2AF1}"/>
    <cellStyle name="disclaimer" xfId="8" xr:uid="{169F995B-2090-4CED-A26E-057B0248DD75}"/>
    <cellStyle name="Hyperlink" xfId="2" builtinId="8"/>
    <cellStyle name="Normal" xfId="0" builtinId="0"/>
    <cellStyle name="Normal_DCF_Model" xfId="1" xr:uid="{F3B314A2-F3E9-4670-8FFB-96C878754E7E}"/>
    <cellStyle name="Percent" xfId="3" builtinId="5"/>
    <cellStyle name="plainText" xfId="5" xr:uid="{5057A8B1-1007-4088-8497-B3EE5DE0348D}"/>
    <cellStyle name="tablesubHeader" xfId="7" xr:uid="{7062DCC7-4108-4C64-8133-77FB7C674D0F}"/>
  </cellStyles>
  <dxfs count="3">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colors>
    <mruColors>
      <color rgb="FF0000FF"/>
      <color rgb="FF00B050"/>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E"/>
              <a:t>DCF equity value per share range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DCF!$I$123</c:f>
              <c:strCache>
                <c:ptCount val="1"/>
                <c:pt idx="0">
                  <c:v>Low</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DCF!$C$124:$C$126</c:f>
              <c:strCache>
                <c:ptCount val="3"/>
                <c:pt idx="0">
                  <c:v>DCF value at 12,0x-14,0x exit EBITDA multiple range &amp; 9,0% WACC</c:v>
                </c:pt>
                <c:pt idx="1">
                  <c:v>DCF value at 2,0%-4,0% perpetuity growth rate &amp; 9,0% WACC</c:v>
                </c:pt>
                <c:pt idx="2">
                  <c:v>52 week market range</c:v>
                </c:pt>
              </c:strCache>
            </c:strRef>
          </c:cat>
          <c:val>
            <c:numRef>
              <c:f>DCF!$I$124:$I$126</c:f>
              <c:numCache>
                <c:formatCode>#,##0.00_);\(#,##0.00\)</c:formatCode>
                <c:ptCount val="3"/>
                <c:pt idx="0">
                  <c:v>79.72134642901004</c:v>
                </c:pt>
                <c:pt idx="1">
                  <c:v>77.194154540651439</c:v>
                </c:pt>
                <c:pt idx="2">
                  <c:v>53.15</c:v>
                </c:pt>
              </c:numCache>
            </c:numRef>
          </c:val>
          <c:extLst>
            <c:ext xmlns:c16="http://schemas.microsoft.com/office/drawing/2014/chart" uri="{C3380CC4-5D6E-409C-BE32-E72D297353CC}">
              <c16:uniqueId val="{00000000-6B66-48C3-B263-39B2468BC052}"/>
            </c:ext>
          </c:extLst>
        </c:ser>
        <c:ser>
          <c:idx val="1"/>
          <c:order val="1"/>
          <c:tx>
            <c:strRef>
              <c:f>DCF!$J$123</c:f>
              <c:strCache>
                <c:ptCount val="1"/>
                <c:pt idx="0">
                  <c:v>Diff.</c:v>
                </c:pt>
              </c:strCache>
            </c:strRef>
          </c:tx>
          <c:spPr>
            <a:solidFill>
              <a:schemeClr val="accent2"/>
            </a:solidFill>
            <a:ln>
              <a:noFill/>
            </a:ln>
            <a:effectLst/>
          </c:spPr>
          <c:invertIfNegative val="0"/>
          <c:cat>
            <c:strRef>
              <c:f>DCF!$C$124:$C$126</c:f>
              <c:strCache>
                <c:ptCount val="3"/>
                <c:pt idx="0">
                  <c:v>DCF value at 12,0x-14,0x exit EBITDA multiple range &amp; 9,0% WACC</c:v>
                </c:pt>
                <c:pt idx="1">
                  <c:v>DCF value at 2,0%-4,0% perpetuity growth rate &amp; 9,0% WACC</c:v>
                </c:pt>
                <c:pt idx="2">
                  <c:v>52 week market range</c:v>
                </c:pt>
              </c:strCache>
            </c:strRef>
          </c:cat>
          <c:val>
            <c:numRef>
              <c:f>DCF!$J$124:$J$126</c:f>
              <c:numCache>
                <c:formatCode>#,##0.00_);\(#,##0.00\)</c:formatCode>
                <c:ptCount val="3"/>
                <c:pt idx="0">
                  <c:v>9.4015259012687267</c:v>
                </c:pt>
                <c:pt idx="1">
                  <c:v>23.031898131759448</c:v>
                </c:pt>
                <c:pt idx="2">
                  <c:v>91.93</c:v>
                </c:pt>
              </c:numCache>
            </c:numRef>
          </c:val>
          <c:extLst>
            <c:ext xmlns:c16="http://schemas.microsoft.com/office/drawing/2014/chart" uri="{C3380CC4-5D6E-409C-BE32-E72D297353CC}">
              <c16:uniqueId val="{00000002-6B66-48C3-B263-39B2468BC052}"/>
            </c:ext>
          </c:extLst>
        </c:ser>
        <c:ser>
          <c:idx val="2"/>
          <c:order val="2"/>
          <c:tx>
            <c:strRef>
              <c:f>DCF!$K$123</c:f>
              <c:strCache>
                <c:ptCount val="1"/>
                <c:pt idx="0">
                  <c:v>High</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DCF!$C$124:$C$126</c:f>
              <c:strCache>
                <c:ptCount val="3"/>
                <c:pt idx="0">
                  <c:v>DCF value at 12,0x-14,0x exit EBITDA multiple range &amp; 9,0% WACC</c:v>
                </c:pt>
                <c:pt idx="1">
                  <c:v>DCF value at 2,0%-4,0% perpetuity growth rate &amp; 9,0% WACC</c:v>
                </c:pt>
                <c:pt idx="2">
                  <c:v>52 week market range</c:v>
                </c:pt>
              </c:strCache>
            </c:strRef>
          </c:cat>
          <c:val>
            <c:numRef>
              <c:f>DCF!$K$124:$K$126</c:f>
              <c:numCache>
                <c:formatCode>#,##0.00_);\(#,##0.00\)</c:formatCode>
                <c:ptCount val="3"/>
                <c:pt idx="0">
                  <c:v>89.122872330278767</c:v>
                </c:pt>
                <c:pt idx="1">
                  <c:v>100.22605267241089</c:v>
                </c:pt>
                <c:pt idx="2">
                  <c:v>145.08000000000001</c:v>
                </c:pt>
              </c:numCache>
            </c:numRef>
          </c:val>
          <c:extLst>
            <c:ext xmlns:c16="http://schemas.microsoft.com/office/drawing/2014/chart" uri="{C3380CC4-5D6E-409C-BE32-E72D297353CC}">
              <c16:uniqueId val="{00000003-6B66-48C3-B263-39B2468BC052}"/>
            </c:ext>
          </c:extLst>
        </c:ser>
        <c:dLbls>
          <c:showLegendKey val="0"/>
          <c:showVal val="0"/>
          <c:showCatName val="0"/>
          <c:showSerName val="0"/>
          <c:showPercent val="0"/>
          <c:showBubbleSize val="0"/>
        </c:dLbls>
        <c:gapWidth val="150"/>
        <c:overlap val="100"/>
        <c:axId val="1413578592"/>
        <c:axId val="1413585664"/>
      </c:barChart>
      <c:catAx>
        <c:axId val="141357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85664"/>
        <c:crosses val="autoZero"/>
        <c:auto val="1"/>
        <c:lblAlgn val="ctr"/>
        <c:lblOffset val="100"/>
        <c:noMultiLvlLbl val="0"/>
      </c:catAx>
      <c:valAx>
        <c:axId val="1413585664"/>
        <c:scaling>
          <c:orientation val="minMax"/>
          <c:max val="200"/>
          <c:min val="0"/>
        </c:scaling>
        <c:delete val="0"/>
        <c:axPos val="l"/>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7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E"/>
              <a:t>LTM EBITDA multiple range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DCF!$I$148</c:f>
              <c:strCache>
                <c:ptCount val="1"/>
                <c:pt idx="0">
                  <c:v>Low</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DCF!$C$149:$C$151</c:f>
              <c:strCache>
                <c:ptCount val="3"/>
                <c:pt idx="0">
                  <c:v>LTM EBITDA multiple at 2,0%-4,0% perpetuity growth rate &amp; 9,0% WACC</c:v>
                </c:pt>
                <c:pt idx="1">
                  <c:v>LTM EBITDA multiple at 15,4x-17,4x Exit EBITDA multiple &amp; 9,0% WACC</c:v>
                </c:pt>
                <c:pt idx="2">
                  <c:v>LTM EBITDA multiple at 8,0%-10,0% WACC &amp; 13,0x Exit EBITDA multiple</c:v>
                </c:pt>
              </c:strCache>
            </c:strRef>
          </c:cat>
          <c:val>
            <c:numRef>
              <c:f>DCF!$I$149:$I$151</c:f>
              <c:numCache>
                <c:formatCode>#,##0.00_);\(#,##0.00\)</c:formatCode>
                <c:ptCount val="3"/>
                <c:pt idx="0">
                  <c:v>14.926801167992595</c:v>
                </c:pt>
                <c:pt idx="1">
                  <c:v>15.448480745267878</c:v>
                </c:pt>
                <c:pt idx="2">
                  <c:v>15.867280298586028</c:v>
                </c:pt>
              </c:numCache>
            </c:numRef>
          </c:val>
          <c:extLst>
            <c:ext xmlns:c16="http://schemas.microsoft.com/office/drawing/2014/chart" uri="{C3380CC4-5D6E-409C-BE32-E72D297353CC}">
              <c16:uniqueId val="{00000000-0164-46C6-BA33-5C184A471EAF}"/>
            </c:ext>
          </c:extLst>
        </c:ser>
        <c:ser>
          <c:idx val="1"/>
          <c:order val="1"/>
          <c:tx>
            <c:strRef>
              <c:f>DCF!$J$148</c:f>
              <c:strCache>
                <c:ptCount val="1"/>
                <c:pt idx="0">
                  <c:v>Diff.</c:v>
                </c:pt>
              </c:strCache>
            </c:strRef>
          </c:tx>
          <c:spPr>
            <a:solidFill>
              <a:schemeClr val="accent2"/>
            </a:solidFill>
            <a:ln>
              <a:noFill/>
            </a:ln>
            <a:effectLst/>
          </c:spPr>
          <c:invertIfNegative val="0"/>
          <c:cat>
            <c:strRef>
              <c:f>DCF!$C$149:$C$151</c:f>
              <c:strCache>
                <c:ptCount val="3"/>
                <c:pt idx="0">
                  <c:v>LTM EBITDA multiple at 2,0%-4,0% perpetuity growth rate &amp; 9,0% WACC</c:v>
                </c:pt>
                <c:pt idx="1">
                  <c:v>LTM EBITDA multiple at 15,4x-17,4x Exit EBITDA multiple &amp; 9,0% WACC</c:v>
                </c:pt>
                <c:pt idx="2">
                  <c:v>LTM EBITDA multiple at 8,0%-10,0% WACC &amp; 13,0x Exit EBITDA multiple</c:v>
                </c:pt>
              </c:strCache>
            </c:strRef>
          </c:cat>
          <c:val>
            <c:numRef>
              <c:f>DCF!$J$149:$J$151</c:f>
              <c:numCache>
                <c:formatCode>#,##0.00_);\(#,##0.00\)</c:formatCode>
                <c:ptCount val="3"/>
                <c:pt idx="0">
                  <c:v>4.7543959509253977</c:v>
                </c:pt>
                <c:pt idx="1">
                  <c:v>1.9407248339586882</c:v>
                </c:pt>
                <c:pt idx="2">
                  <c:v>1.1291500538559909</c:v>
                </c:pt>
              </c:numCache>
            </c:numRef>
          </c:val>
          <c:extLst>
            <c:ext xmlns:c16="http://schemas.microsoft.com/office/drawing/2014/chart" uri="{C3380CC4-5D6E-409C-BE32-E72D297353CC}">
              <c16:uniqueId val="{00000001-0164-46C6-BA33-5C184A471EAF}"/>
            </c:ext>
          </c:extLst>
        </c:ser>
        <c:ser>
          <c:idx val="2"/>
          <c:order val="2"/>
          <c:tx>
            <c:strRef>
              <c:f>DCF!$K$148</c:f>
              <c:strCache>
                <c:ptCount val="1"/>
                <c:pt idx="0">
                  <c:v>High</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DCF!$C$149:$C$151</c:f>
              <c:strCache>
                <c:ptCount val="3"/>
                <c:pt idx="0">
                  <c:v>LTM EBITDA multiple at 2,0%-4,0% perpetuity growth rate &amp; 9,0% WACC</c:v>
                </c:pt>
                <c:pt idx="1">
                  <c:v>LTM EBITDA multiple at 15,4x-17,4x Exit EBITDA multiple &amp; 9,0% WACC</c:v>
                </c:pt>
                <c:pt idx="2">
                  <c:v>LTM EBITDA multiple at 8,0%-10,0% WACC &amp; 13,0x Exit EBITDA multiple</c:v>
                </c:pt>
              </c:strCache>
            </c:strRef>
          </c:cat>
          <c:val>
            <c:numRef>
              <c:f>DCF!$K$149:$K$151</c:f>
              <c:numCache>
                <c:formatCode>#,##0.00_);\(#,##0.00\)</c:formatCode>
                <c:ptCount val="3"/>
                <c:pt idx="0">
                  <c:v>19.681197118917993</c:v>
                </c:pt>
                <c:pt idx="1">
                  <c:v>17.389205579226566</c:v>
                </c:pt>
                <c:pt idx="2">
                  <c:v>16.996430352442019</c:v>
                </c:pt>
              </c:numCache>
            </c:numRef>
          </c:val>
          <c:extLst>
            <c:ext xmlns:c16="http://schemas.microsoft.com/office/drawing/2014/chart" uri="{C3380CC4-5D6E-409C-BE32-E72D297353CC}">
              <c16:uniqueId val="{00000002-0164-46C6-BA33-5C184A471EAF}"/>
            </c:ext>
          </c:extLst>
        </c:ser>
        <c:dLbls>
          <c:showLegendKey val="0"/>
          <c:showVal val="0"/>
          <c:showCatName val="0"/>
          <c:showSerName val="0"/>
          <c:showPercent val="0"/>
          <c:showBubbleSize val="0"/>
        </c:dLbls>
        <c:gapWidth val="150"/>
        <c:overlap val="100"/>
        <c:axId val="1413578592"/>
        <c:axId val="1413585664"/>
      </c:barChart>
      <c:catAx>
        <c:axId val="141357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85664"/>
        <c:crosses val="autoZero"/>
        <c:auto val="1"/>
        <c:lblAlgn val="ctr"/>
        <c:lblOffset val="100"/>
        <c:noMultiLvlLbl val="0"/>
      </c:catAx>
      <c:valAx>
        <c:axId val="1413585664"/>
        <c:scaling>
          <c:orientation val="minMax"/>
          <c:max val="20"/>
          <c:min val="10"/>
        </c:scaling>
        <c:delete val="0"/>
        <c:axPos val="l"/>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7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209549</xdr:colOff>
      <xdr:row>104</xdr:row>
      <xdr:rowOff>57151</xdr:rowOff>
    </xdr:from>
    <xdr:to>
      <xdr:col>17</xdr:col>
      <xdr:colOff>493649</xdr:colOff>
      <xdr:row>120</xdr:row>
      <xdr:rowOff>111151</xdr:rowOff>
    </xdr:to>
    <xdr:graphicFrame macro="">
      <xdr:nvGraphicFramePr>
        <xdr:cNvPr id="5" name="Chart 4">
          <a:extLst>
            <a:ext uri="{FF2B5EF4-FFF2-40B4-BE49-F238E27FC236}">
              <a16:creationId xmlns:a16="http://schemas.microsoft.com/office/drawing/2014/main" id="{863F9AF0-B5C7-400B-B724-CBFFDC898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342900</xdr:colOff>
      <xdr:row>129</xdr:row>
      <xdr:rowOff>66675</xdr:rowOff>
    </xdr:from>
    <xdr:to>
      <xdr:col>17</xdr:col>
      <xdr:colOff>627000</xdr:colOff>
      <xdr:row>145</xdr:row>
      <xdr:rowOff>120675</xdr:rowOff>
    </xdr:to>
    <xdr:graphicFrame macro="">
      <xdr:nvGraphicFramePr>
        <xdr:cNvPr id="6" name="Chart 5">
          <a:extLst>
            <a:ext uri="{FF2B5EF4-FFF2-40B4-BE49-F238E27FC236}">
              <a16:creationId xmlns:a16="http://schemas.microsoft.com/office/drawing/2014/main" id="{2780A29C-C8F6-45EA-BB31-B6D4D05CA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udde\AppData\Local\Temp\Temp1_DCF-Modeling-Course-DL-Kit%20(1).zip\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sheetData sheetId="2">
        <row r="5">
          <cell r="H5">
            <v>273.52</v>
          </cell>
        </row>
      </sheetData>
      <sheetData sheetId="3"/>
      <sheetData sheetId="4"/>
      <sheetData sheetId="5"/>
      <sheetData sheetId="6"/>
      <sheetData sheetId="7"/>
      <sheetData sheetId="8"/>
      <sheetData sheetId="9"/>
      <sheetData sheetId="10">
        <row r="128">
          <cell r="B128" t="str">
            <v>DCF Value at 11.0x-15.0x Exit EBITDA Range at 9.0% WACC</v>
          </cell>
          <cell r="C128">
            <v>234.18244617024146</v>
          </cell>
          <cell r="D128">
            <v>59.053939159871163</v>
          </cell>
          <cell r="E128">
            <v>293.23638533011263</v>
          </cell>
          <cell r="G128" t="str">
            <v>LTM EBITDA Purchase Multiple at 2.0%-4.0% Perpetuity Growth at 9.0% WACC</v>
          </cell>
          <cell r="O128">
            <v>12.832501802687379</v>
          </cell>
          <cell r="P128">
            <v>4.144000549505126</v>
          </cell>
          <cell r="Q128">
            <v>16.976502352192504</v>
          </cell>
        </row>
        <row r="129">
          <cell r="B129" t="str">
            <v>DCF Value at 2.0%-4.0% Perpetuity Range at 9.0% WACC</v>
          </cell>
          <cell r="C129">
            <v>229.67451002601129</v>
          </cell>
          <cell r="D129">
            <v>67.490404797844263</v>
          </cell>
          <cell r="E129">
            <v>297.16491482385555</v>
          </cell>
          <cell r="G129" t="str">
            <v>LTM EBITDA Purchase Multiple at 13.1x-16.7x Exit EBITDA Multiple at 9.0% WACC</v>
          </cell>
          <cell r="O129">
            <v>13.109295073001569</v>
          </cell>
          <cell r="P129">
            <v>3.6259903472495552</v>
          </cell>
          <cell r="Q129">
            <v>16.735285420251124</v>
          </cell>
        </row>
        <row r="130">
          <cell r="B130" t="str">
            <v>52 Week Market High/Low</v>
          </cell>
          <cell r="C130">
            <v>169.5</v>
          </cell>
          <cell r="D130">
            <v>158.35000000000002</v>
          </cell>
          <cell r="E130">
            <v>327.85</v>
          </cell>
          <cell r="G130" t="str">
            <v>LTM EBITDA Purchase Multiple at 7.0%-11.0% WACC at 13.0x Exit EBITDA</v>
          </cell>
          <cell r="O130">
            <v>13.826590996388775</v>
          </cell>
          <cell r="P130">
            <v>2.3061658520416284</v>
          </cell>
          <cell r="Q130">
            <v>16.132756848430404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C3DAD-94D6-4AE9-9C8C-F18B87328C29}">
  <sheetPr codeName="Sheet1"/>
  <dimension ref="A1:V305"/>
  <sheetViews>
    <sheetView showGridLines="0" tabSelected="1"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1.25" outlineLevelRow="1"/>
  <cols>
    <col min="1" max="1" width="2.5703125" style="11" customWidth="1"/>
    <col min="2" max="2" width="45.42578125" style="11" customWidth="1"/>
    <col min="3" max="11" width="9.28515625" style="11" customWidth="1"/>
    <col min="12" max="12" width="1.5703125" style="11" customWidth="1"/>
    <col min="13" max="14" width="9.85546875" style="11" customWidth="1"/>
    <col min="15" max="15" width="9.140625" style="11"/>
    <col min="16" max="16" width="9.28515625" style="11" bestFit="1" customWidth="1"/>
    <col min="17" max="16384" width="9.140625" style="11"/>
  </cols>
  <sheetData>
    <row r="1" spans="1:18" s="1" customFormat="1" ht="6.75" customHeight="1"/>
    <row r="2" spans="1:18" s="1" customFormat="1" ht="18.75">
      <c r="B2" s="8" t="s">
        <v>229</v>
      </c>
      <c r="C2" s="2"/>
      <c r="D2" s="2"/>
      <c r="E2" s="2"/>
      <c r="F2" s="2"/>
      <c r="G2" s="2"/>
      <c r="H2" s="2"/>
      <c r="I2" s="7" t="str">
        <f ca="1">"Active case: "&amp;OFFSET(B11,C11,0)</f>
        <v>Active case: Base case</v>
      </c>
      <c r="J2" s="6"/>
      <c r="K2" s="2"/>
    </row>
    <row r="3" spans="1:18" s="1" customFormat="1" ht="12" customHeight="1">
      <c r="A3" s="3"/>
      <c r="B3" s="3"/>
      <c r="C3" s="2"/>
      <c r="D3" s="2"/>
      <c r="E3" s="2"/>
      <c r="F3" s="2"/>
      <c r="G3" s="2"/>
    </row>
    <row r="4" spans="1:18" s="1" customFormat="1" ht="14.25">
      <c r="A4" s="3"/>
      <c r="B4" s="3"/>
      <c r="C4" s="290" t="s">
        <v>224</v>
      </c>
      <c r="D4" s="288"/>
      <c r="E4" s="288"/>
      <c r="F4" s="288"/>
      <c r="G4" s="290" t="s">
        <v>230</v>
      </c>
      <c r="H4" s="288"/>
      <c r="I4" s="288"/>
      <c r="J4" s="288"/>
      <c r="K4" s="288"/>
      <c r="L4" s="87"/>
      <c r="M4" s="290" t="s">
        <v>240</v>
      </c>
      <c r="N4" s="290"/>
    </row>
    <row r="5" spans="1:18" s="1" customFormat="1" ht="14.25">
      <c r="A5" s="3"/>
      <c r="B5" s="23" t="s">
        <v>220</v>
      </c>
      <c r="C5" s="287">
        <f>D5-1</f>
        <v>2017</v>
      </c>
      <c r="D5" s="287">
        <f>E5-1</f>
        <v>2018</v>
      </c>
      <c r="E5" s="287">
        <f>F5-1</f>
        <v>2019</v>
      </c>
      <c r="F5" s="287">
        <f>YEAR(C9)</f>
        <v>2020</v>
      </c>
      <c r="G5" s="291">
        <f>F5+1</f>
        <v>2021</v>
      </c>
      <c r="H5" s="291">
        <f>G5+1</f>
        <v>2022</v>
      </c>
      <c r="I5" s="291">
        <f>H5+1</f>
        <v>2023</v>
      </c>
      <c r="J5" s="291">
        <f>I5+1</f>
        <v>2024</v>
      </c>
      <c r="K5" s="291">
        <f>J5+1</f>
        <v>2025</v>
      </c>
      <c r="L5" s="11"/>
      <c r="M5" s="292" t="s">
        <v>242</v>
      </c>
      <c r="N5" s="291" t="s">
        <v>241</v>
      </c>
      <c r="P5" s="24" t="s">
        <v>252</v>
      </c>
      <c r="Q5" s="4"/>
      <c r="R5" s="4"/>
    </row>
    <row r="6" spans="1:18" s="1" customFormat="1" ht="3.75" customHeight="1">
      <c r="A6" s="3"/>
      <c r="B6" s="3"/>
      <c r="C6" s="2"/>
      <c r="D6" s="2"/>
      <c r="E6" s="2"/>
      <c r="F6" s="2"/>
      <c r="G6" s="2"/>
    </row>
    <row r="7" spans="1:18" ht="12">
      <c r="A7" s="9"/>
      <c r="B7" s="114" t="s">
        <v>234</v>
      </c>
      <c r="C7" s="95"/>
      <c r="D7" s="95"/>
      <c r="E7" s="95"/>
      <c r="F7" s="95"/>
      <c r="G7" s="95"/>
      <c r="H7" s="95"/>
      <c r="I7" s="95"/>
      <c r="J7" s="95"/>
      <c r="K7" s="95"/>
      <c r="L7" s="95"/>
      <c r="M7" s="95"/>
      <c r="N7" s="95"/>
    </row>
    <row r="8" spans="1:18" ht="3" customHeight="1">
      <c r="A8" s="9"/>
      <c r="B8" s="9"/>
      <c r="C8" s="12"/>
      <c r="D8" s="12"/>
      <c r="E8" s="12"/>
      <c r="F8" s="12"/>
      <c r="G8" s="12"/>
    </row>
    <row r="9" spans="1:18" ht="11.25" customHeight="1">
      <c r="A9" s="9"/>
      <c r="B9" s="19" t="s">
        <v>2</v>
      </c>
      <c r="C9" s="17">
        <v>44100</v>
      </c>
      <c r="D9" s="12"/>
      <c r="E9" s="12"/>
      <c r="F9" s="12"/>
      <c r="G9" s="12"/>
      <c r="J9" s="13" t="s">
        <v>236</v>
      </c>
      <c r="K9" s="13"/>
    </row>
    <row r="10" spans="1:18">
      <c r="B10" s="11" t="s">
        <v>228</v>
      </c>
      <c r="C10" s="212">
        <v>0</v>
      </c>
      <c r="J10" s="15" t="s">
        <v>237</v>
      </c>
      <c r="K10" s="16" t="s">
        <v>238</v>
      </c>
    </row>
    <row r="11" spans="1:18">
      <c r="B11" s="11" t="s">
        <v>225</v>
      </c>
      <c r="C11" s="212">
        <v>2</v>
      </c>
      <c r="J11" s="18" t="s">
        <v>237</v>
      </c>
      <c r="K11" s="16" t="s">
        <v>347</v>
      </c>
    </row>
    <row r="12" spans="1:18">
      <c r="B12" s="101" t="s">
        <v>226</v>
      </c>
      <c r="C12" s="102">
        <v>1</v>
      </c>
      <c r="J12" s="20" t="s">
        <v>237</v>
      </c>
      <c r="K12" s="16" t="s">
        <v>239</v>
      </c>
      <c r="Q12" s="14"/>
    </row>
    <row r="13" spans="1:18">
      <c r="B13" s="101" t="s">
        <v>0</v>
      </c>
      <c r="C13" s="102">
        <v>2</v>
      </c>
      <c r="Q13" s="17"/>
    </row>
    <row r="14" spans="1:18">
      <c r="B14" s="101" t="s">
        <v>227</v>
      </c>
      <c r="C14" s="102">
        <v>3</v>
      </c>
    </row>
    <row r="16" spans="1:18" ht="12">
      <c r="B16" s="113" t="s">
        <v>231</v>
      </c>
      <c r="C16" s="90"/>
      <c r="D16" s="90"/>
      <c r="E16" s="90"/>
      <c r="F16" s="90"/>
      <c r="G16" s="90"/>
      <c r="H16" s="90"/>
      <c r="I16" s="90"/>
      <c r="J16" s="90"/>
      <c r="K16" s="90"/>
      <c r="L16" s="90"/>
      <c r="M16" s="90"/>
      <c r="N16" s="90"/>
    </row>
    <row r="17" spans="1:17" ht="4.5" customHeight="1">
      <c r="A17" s="12"/>
      <c r="B17" s="22"/>
    </row>
    <row r="18" spans="1:17">
      <c r="A18" s="12"/>
      <c r="B18" s="12" t="s">
        <v>113</v>
      </c>
      <c r="C18" s="73">
        <v>229234</v>
      </c>
      <c r="D18" s="73">
        <v>265595</v>
      </c>
      <c r="E18" s="73">
        <v>260174</v>
      </c>
      <c r="F18" s="73">
        <v>274515</v>
      </c>
      <c r="G18" s="74">
        <f>F18*(1+G112)</f>
        <v>329586.51351351303</v>
      </c>
      <c r="H18" s="74">
        <f>G18*(1+H112)</f>
        <v>343360.97222222196</v>
      </c>
      <c r="I18" s="74">
        <f>H18*(1+I112)</f>
        <v>360783.73333333293</v>
      </c>
      <c r="J18" s="74">
        <f>I18*(1+J112)</f>
        <v>385678.49999999994</v>
      </c>
      <c r="K18" s="74">
        <f>J18*(1+K112)</f>
        <v>394676.99999999988</v>
      </c>
      <c r="M18" s="83">
        <f t="shared" ref="M18:M29" si="0">+(F18/C18)^(1/(2020-2017))-1</f>
        <v>6.1929492587994961E-2</v>
      </c>
      <c r="N18" s="83">
        <f t="shared" ref="N18:N29" si="1">+(K18/F18)^(1/(2025-2020))-1</f>
        <v>7.5313622530456037E-2</v>
      </c>
      <c r="P18" s="11" t="s">
        <v>5</v>
      </c>
    </row>
    <row r="19" spans="1:17">
      <c r="A19" s="12"/>
      <c r="B19" s="25" t="s">
        <v>216</v>
      </c>
      <c r="C19" s="72">
        <v>-141048</v>
      </c>
      <c r="D19" s="72">
        <v>-163756</v>
      </c>
      <c r="E19" s="72">
        <v>-161782</v>
      </c>
      <c r="F19" s="72">
        <v>-169559</v>
      </c>
      <c r="G19" s="75">
        <f>G20-G18</f>
        <v>-199669.1474644735</v>
      </c>
      <c r="H19" s="75">
        <f>H20-H18</f>
        <v>-208364.38969147543</v>
      </c>
      <c r="I19" s="75">
        <f>I20-I18</f>
        <v>-218227.90618096801</v>
      </c>
      <c r="J19" s="75">
        <f>J20-J18</f>
        <v>-231838.0512102108</v>
      </c>
      <c r="K19" s="75">
        <f>K20-K18</f>
        <v>-237595.55399999992</v>
      </c>
      <c r="M19" s="84">
        <f t="shared" si="0"/>
        <v>6.3288960113444759E-2</v>
      </c>
      <c r="N19" s="84">
        <f t="shared" si="1"/>
        <v>6.9802214652497474E-2</v>
      </c>
      <c r="P19" s="11" t="s">
        <v>6</v>
      </c>
    </row>
    <row r="20" spans="1:17">
      <c r="A20" s="12"/>
      <c r="B20" s="26" t="s">
        <v>7</v>
      </c>
      <c r="C20" s="76">
        <f>SUM(C18:C19)</f>
        <v>88186</v>
      </c>
      <c r="D20" s="76">
        <f>SUM(D18:D19)</f>
        <v>101839</v>
      </c>
      <c r="E20" s="76">
        <f>SUM(E18:E19)</f>
        <v>98392</v>
      </c>
      <c r="F20" s="76">
        <f>SUM(F18:F19)</f>
        <v>104956</v>
      </c>
      <c r="G20" s="77">
        <f>G18*G117</f>
        <v>129917.36604903951</v>
      </c>
      <c r="H20" s="77">
        <f>H18*H117</f>
        <v>134996.58253074653</v>
      </c>
      <c r="I20" s="77">
        <f>I18*I117</f>
        <v>142555.82715236492</v>
      </c>
      <c r="J20" s="77">
        <f>J18*J117</f>
        <v>153840.44878978914</v>
      </c>
      <c r="K20" s="77">
        <f>K18*K117</f>
        <v>157081.44599999997</v>
      </c>
      <c r="M20" s="85">
        <f t="shared" si="0"/>
        <v>5.9747845426799229E-2</v>
      </c>
      <c r="N20" s="85">
        <f t="shared" si="1"/>
        <v>8.398562741886173E-2</v>
      </c>
      <c r="P20" s="27" t="s">
        <v>8</v>
      </c>
    </row>
    <row r="21" spans="1:17">
      <c r="A21" s="12"/>
      <c r="B21" s="12" t="s">
        <v>217</v>
      </c>
      <c r="C21" s="73">
        <v>-11581</v>
      </c>
      <c r="D21" s="73">
        <v>-14236</v>
      </c>
      <c r="E21" s="73">
        <v>-16217</v>
      </c>
      <c r="F21" s="73">
        <f>-18752</f>
        <v>-18752</v>
      </c>
      <c r="G21" s="74">
        <f>-G122*G18</f>
        <v>-22513.911084659841</v>
      </c>
      <c r="H21" s="74">
        <f>-H122*H18</f>
        <v>-23454.83835532159</v>
      </c>
      <c r="I21" s="74">
        <f>-I122*I18</f>
        <v>-24644.979572943772</v>
      </c>
      <c r="J21" s="74">
        <f>-J122*J18</f>
        <v>-26345.53023332058</v>
      </c>
      <c r="K21" s="74">
        <f>-K122*K18</f>
        <v>-26960.213846237904</v>
      </c>
      <c r="M21" s="83">
        <f t="shared" si="0"/>
        <v>0.17426786886160661</v>
      </c>
      <c r="N21" s="83">
        <f t="shared" si="1"/>
        <v>7.5313622530456037E-2</v>
      </c>
      <c r="P21" s="27" t="s">
        <v>9</v>
      </c>
    </row>
    <row r="22" spans="1:17">
      <c r="A22" s="12"/>
      <c r="B22" s="25" t="s">
        <v>218</v>
      </c>
      <c r="C22" s="72">
        <v>-15261</v>
      </c>
      <c r="D22" s="72">
        <v>-16705</v>
      </c>
      <c r="E22" s="72">
        <v>-18245</v>
      </c>
      <c r="F22" s="72">
        <v>-19916</v>
      </c>
      <c r="G22" s="75">
        <f>-G18*G127</f>
        <v>-23911.425616578785</v>
      </c>
      <c r="H22" s="75">
        <f>-H18*H127</f>
        <v>-24910.759422172825</v>
      </c>
      <c r="I22" s="75">
        <f>-I18*I127</f>
        <v>-26174.776726469077</v>
      </c>
      <c r="J22" s="75">
        <f>-J18*J127</f>
        <v>-27980.886312223371</v>
      </c>
      <c r="K22" s="75">
        <f>-K18*K127</f>
        <v>-28633.725413911801</v>
      </c>
      <c r="M22" s="84">
        <f t="shared" si="0"/>
        <v>9.2797539296939346E-2</v>
      </c>
      <c r="N22" s="84">
        <f t="shared" si="1"/>
        <v>7.5313622530456037E-2</v>
      </c>
      <c r="P22" s="27" t="s">
        <v>10</v>
      </c>
    </row>
    <row r="23" spans="1:17">
      <c r="A23" s="12"/>
      <c r="B23" s="26" t="s">
        <v>125</v>
      </c>
      <c r="C23" s="76">
        <f t="shared" ref="C23" si="2">C20+C21+C22</f>
        <v>61344</v>
      </c>
      <c r="D23" s="76">
        <f>D20+D21+D22</f>
        <v>70898</v>
      </c>
      <c r="E23" s="76">
        <f>E20+E21+E22</f>
        <v>63930</v>
      </c>
      <c r="F23" s="76">
        <f>F20+F21+F22</f>
        <v>66288</v>
      </c>
      <c r="G23" s="77">
        <f t="shared" ref="G23:K23" si="3">G20+G21+G22</f>
        <v>83492.029347800883</v>
      </c>
      <c r="H23" s="77">
        <f>H20+H21+H22</f>
        <v>86630.984753252123</v>
      </c>
      <c r="I23" s="77">
        <f t="shared" si="3"/>
        <v>91736.070852952063</v>
      </c>
      <c r="J23" s="77">
        <f t="shared" si="3"/>
        <v>99514.032244245187</v>
      </c>
      <c r="K23" s="77">
        <f t="shared" si="3"/>
        <v>101487.50673985026</v>
      </c>
      <c r="M23" s="85">
        <f t="shared" si="0"/>
        <v>2.6173845879915669E-2</v>
      </c>
      <c r="N23" s="85">
        <f t="shared" si="1"/>
        <v>8.891889419370913E-2</v>
      </c>
      <c r="P23" s="28" t="s">
        <v>12</v>
      </c>
    </row>
    <row r="24" spans="1:17">
      <c r="A24" s="12"/>
      <c r="B24" s="12" t="s">
        <v>114</v>
      </c>
      <c r="C24" s="73">
        <v>5201</v>
      </c>
      <c r="D24" s="73">
        <v>5686</v>
      </c>
      <c r="E24" s="73">
        <v>4961</v>
      </c>
      <c r="F24" s="73">
        <f>3763</f>
        <v>3763</v>
      </c>
      <c r="G24" s="78">
        <f>G265</f>
        <v>0</v>
      </c>
      <c r="H24" s="78">
        <f t="shared" ref="H24:K24" si="4">H265</f>
        <v>0</v>
      </c>
      <c r="I24" s="78">
        <f t="shared" si="4"/>
        <v>0</v>
      </c>
      <c r="J24" s="78">
        <f t="shared" si="4"/>
        <v>0</v>
      </c>
      <c r="K24" s="78">
        <f t="shared" si="4"/>
        <v>0</v>
      </c>
      <c r="M24" s="83">
        <f t="shared" si="0"/>
        <v>-0.10226300697215029</v>
      </c>
      <c r="N24" s="83">
        <f t="shared" si="1"/>
        <v>-1</v>
      </c>
      <c r="P24" s="11" t="s">
        <v>14</v>
      </c>
    </row>
    <row r="25" spans="1:17">
      <c r="A25" s="12"/>
      <c r="B25" s="12" t="s">
        <v>88</v>
      </c>
      <c r="C25" s="73">
        <v>-2323</v>
      </c>
      <c r="D25" s="73">
        <v>-3240</v>
      </c>
      <c r="E25" s="73">
        <v>-3576</v>
      </c>
      <c r="F25" s="73">
        <v>-2873</v>
      </c>
      <c r="G25" s="78">
        <f>-G251</f>
        <v>-2911.7825135771118</v>
      </c>
      <c r="H25" s="78">
        <f t="shared" ref="H25:K25" si="5">-H251</f>
        <v>-2911.7825135771118</v>
      </c>
      <c r="I25" s="78">
        <f t="shared" si="5"/>
        <v>-2911.7825135771118</v>
      </c>
      <c r="J25" s="78">
        <f t="shared" si="5"/>
        <v>-2911.7825135771118</v>
      </c>
      <c r="K25" s="78">
        <f t="shared" si="5"/>
        <v>-2911.7825135771118</v>
      </c>
      <c r="M25" s="83">
        <f t="shared" si="0"/>
        <v>7.3401353889972487E-2</v>
      </c>
      <c r="N25" s="83">
        <f t="shared" si="1"/>
        <v>2.6853313157708669E-3</v>
      </c>
      <c r="P25" s="11" t="s">
        <v>15</v>
      </c>
    </row>
    <row r="26" spans="1:17">
      <c r="A26" s="12"/>
      <c r="B26" s="25" t="s">
        <v>115</v>
      </c>
      <c r="C26" s="72">
        <v>-133</v>
      </c>
      <c r="D26" s="72">
        <v>-441</v>
      </c>
      <c r="E26" s="72">
        <v>422</v>
      </c>
      <c r="F26" s="72">
        <f>-87</f>
        <v>-87</v>
      </c>
      <c r="G26" s="79">
        <f>F26</f>
        <v>-87</v>
      </c>
      <c r="H26" s="79">
        <f>G26</f>
        <v>-87</v>
      </c>
      <c r="I26" s="79">
        <f>H26</f>
        <v>-87</v>
      </c>
      <c r="J26" s="79">
        <f>I26</f>
        <v>-87</v>
      </c>
      <c r="K26" s="79">
        <f>J26</f>
        <v>-87</v>
      </c>
      <c r="M26" s="84">
        <f t="shared" si="0"/>
        <v>-0.13192775526377998</v>
      </c>
      <c r="N26" s="84">
        <f t="shared" si="1"/>
        <v>0</v>
      </c>
      <c r="P26" s="11" t="s">
        <v>16</v>
      </c>
    </row>
    <row r="27" spans="1:17">
      <c r="A27" s="12"/>
      <c r="B27" s="26" t="s">
        <v>245</v>
      </c>
      <c r="C27" s="76">
        <f t="shared" ref="C27" si="6">SUM(C23:C26)</f>
        <v>64089</v>
      </c>
      <c r="D27" s="76">
        <f>SUM(D23:D26)</f>
        <v>72903</v>
      </c>
      <c r="E27" s="76">
        <f>SUM(E23:E26)</f>
        <v>65737</v>
      </c>
      <c r="F27" s="76">
        <f>SUM(F23:F26)</f>
        <v>67091</v>
      </c>
      <c r="G27" s="77">
        <f>SUM(G23:G26)</f>
        <v>80493.24683422377</v>
      </c>
      <c r="H27" s="77">
        <f>SUM(H23:H26)</f>
        <v>83632.202239675011</v>
      </c>
      <c r="I27" s="77">
        <f t="shared" ref="I27:K27" si="7">SUM(I23:I26)</f>
        <v>88737.288339374951</v>
      </c>
      <c r="J27" s="77">
        <f t="shared" si="7"/>
        <v>96515.249730668074</v>
      </c>
      <c r="K27" s="77">
        <f t="shared" si="7"/>
        <v>98488.724226273145</v>
      </c>
      <c r="M27" s="85">
        <f t="shared" si="0"/>
        <v>1.5376068618979E-2</v>
      </c>
      <c r="N27" s="85">
        <f t="shared" si="1"/>
        <v>7.9802800128063955E-2</v>
      </c>
      <c r="P27" s="28" t="s">
        <v>17</v>
      </c>
      <c r="Q27" s="28"/>
    </row>
    <row r="28" spans="1:17">
      <c r="A28" s="12"/>
      <c r="B28" s="25" t="s">
        <v>219</v>
      </c>
      <c r="C28" s="72">
        <v>-15738</v>
      </c>
      <c r="D28" s="72">
        <v>-13372</v>
      </c>
      <c r="E28" s="72">
        <v>-10481</v>
      </c>
      <c r="F28" s="72">
        <f>-9680</f>
        <v>-9680</v>
      </c>
      <c r="G28" s="75">
        <f>-G132*G27</f>
        <v>-11613.698250961917</v>
      </c>
      <c r="H28" s="75">
        <f>-H132*H27</f>
        <v>-12066.591907708247</v>
      </c>
      <c r="I28" s="75">
        <f>-I132*I27</f>
        <v>-12803.162139857051</v>
      </c>
      <c r="J28" s="75">
        <f>-J132*J27</f>
        <v>-13925.379222144056</v>
      </c>
      <c r="K28" s="75">
        <f>-K132*K27</f>
        <v>-14210.115373303781</v>
      </c>
      <c r="M28" s="84">
        <f t="shared" si="0"/>
        <v>-0.14956340734010842</v>
      </c>
      <c r="N28" s="84">
        <f t="shared" si="1"/>
        <v>7.9802800128063955E-2</v>
      </c>
      <c r="P28" s="11" t="s">
        <v>18</v>
      </c>
    </row>
    <row r="29" spans="1:17" ht="12" thickBot="1">
      <c r="A29" s="12"/>
      <c r="B29" s="70" t="s">
        <v>19</v>
      </c>
      <c r="C29" s="80">
        <f t="shared" ref="C29:K29" si="8">SUM(C27:C28)</f>
        <v>48351</v>
      </c>
      <c r="D29" s="80">
        <f t="shared" si="8"/>
        <v>59531</v>
      </c>
      <c r="E29" s="80">
        <f t="shared" si="8"/>
        <v>55256</v>
      </c>
      <c r="F29" s="80">
        <f t="shared" si="8"/>
        <v>57411</v>
      </c>
      <c r="G29" s="81">
        <f t="shared" si="8"/>
        <v>68879.548583261858</v>
      </c>
      <c r="H29" s="81">
        <f t="shared" si="8"/>
        <v>71565.61033196676</v>
      </c>
      <c r="I29" s="81">
        <f t="shared" si="8"/>
        <v>75934.126199517894</v>
      </c>
      <c r="J29" s="81">
        <f t="shared" si="8"/>
        <v>82589.870508524022</v>
      </c>
      <c r="K29" s="81">
        <f t="shared" si="8"/>
        <v>84278.608852969366</v>
      </c>
      <c r="M29" s="86">
        <f t="shared" si="0"/>
        <v>5.8920160950650668E-2</v>
      </c>
      <c r="N29" s="86">
        <f t="shared" si="1"/>
        <v>7.9802800128063955E-2</v>
      </c>
      <c r="P29" s="28" t="s">
        <v>20</v>
      </c>
    </row>
    <row r="30" spans="1:17" ht="6" customHeight="1">
      <c r="A30" s="12"/>
      <c r="B30" s="29"/>
      <c r="C30" s="82"/>
      <c r="D30" s="82"/>
      <c r="E30" s="82"/>
      <c r="F30" s="82"/>
      <c r="G30" s="78"/>
      <c r="H30" s="78"/>
      <c r="I30" s="78"/>
      <c r="J30" s="78"/>
      <c r="K30" s="78"/>
      <c r="M30" s="83"/>
      <c r="N30" s="83"/>
    </row>
    <row r="31" spans="1:17" ht="11.25" customHeight="1">
      <c r="A31" s="12"/>
      <c r="B31" s="180" t="s">
        <v>94</v>
      </c>
      <c r="C31" s="98"/>
      <c r="D31" s="181">
        <f t="shared" ref="D31:K31" si="9">+D278</f>
        <v>3.0033534276651981</v>
      </c>
      <c r="E31" s="181">
        <f t="shared" si="9"/>
        <v>2.9914457730615696</v>
      </c>
      <c r="F31" s="181">
        <f t="shared" si="9"/>
        <v>3.3085872682177895</v>
      </c>
      <c r="G31" s="181">
        <f t="shared" si="9"/>
        <v>4.1111248270718583</v>
      </c>
      <c r="H31" s="181">
        <f t="shared" si="9"/>
        <v>4.3985601305872759</v>
      </c>
      <c r="I31" s="181">
        <f t="shared" si="9"/>
        <v>4.8023913740286464</v>
      </c>
      <c r="J31" s="181">
        <f t="shared" si="9"/>
        <v>5.367085273432787</v>
      </c>
      <c r="K31" s="181">
        <f t="shared" si="9"/>
        <v>5.6225845687355962</v>
      </c>
      <c r="M31" s="83"/>
      <c r="N31" s="83"/>
    </row>
    <row r="32" spans="1:17" ht="11.25" customHeight="1">
      <c r="A32" s="12"/>
      <c r="B32" s="210" t="s">
        <v>98</v>
      </c>
      <c r="C32" s="141"/>
      <c r="D32" s="63">
        <f>+D281</f>
        <v>2.9764852614455632</v>
      </c>
      <c r="E32" s="63">
        <f t="shared" ref="E32:K32" si="10">+E281</f>
        <v>2.9714474637107351</v>
      </c>
      <c r="F32" s="63">
        <f t="shared" si="10"/>
        <v>3.2753479618630856</v>
      </c>
      <c r="G32" s="63">
        <f t="shared" si="10"/>
        <v>4.0683648669536128</v>
      </c>
      <c r="H32" s="63">
        <f t="shared" si="10"/>
        <v>4.3514636409526464</v>
      </c>
      <c r="I32" s="63">
        <f t="shared" si="10"/>
        <v>4.7494963120655243</v>
      </c>
      <c r="J32" s="63">
        <f t="shared" si="10"/>
        <v>5.3063619399721711</v>
      </c>
      <c r="K32" s="63">
        <f t="shared" si="10"/>
        <v>5.5572971821111556</v>
      </c>
      <c r="M32" s="83"/>
      <c r="N32" s="83"/>
    </row>
    <row r="33" spans="1:16" ht="7.5" customHeight="1">
      <c r="A33" s="12"/>
      <c r="B33" s="29"/>
      <c r="C33" s="82"/>
      <c r="D33" s="82"/>
      <c r="E33" s="82"/>
      <c r="F33" s="82"/>
      <c r="G33" s="78"/>
      <c r="H33" s="78"/>
      <c r="I33" s="78"/>
      <c r="J33" s="78"/>
      <c r="K33" s="78"/>
      <c r="M33" s="83"/>
      <c r="N33" s="83"/>
    </row>
    <row r="34" spans="1:16" ht="11.25" customHeight="1">
      <c r="A34" s="12"/>
      <c r="B34" s="115" t="s">
        <v>27</v>
      </c>
      <c r="C34" s="91"/>
      <c r="D34" s="91"/>
      <c r="E34" s="91"/>
      <c r="F34" s="91"/>
      <c r="G34" s="92"/>
      <c r="H34" s="91"/>
      <c r="I34" s="91"/>
      <c r="J34" s="91"/>
      <c r="K34" s="91"/>
      <c r="L34" s="91"/>
      <c r="M34" s="91"/>
      <c r="N34" s="91"/>
    </row>
    <row r="35" spans="1:16" ht="3" customHeight="1">
      <c r="A35" s="12"/>
      <c r="B35" s="29"/>
      <c r="C35" s="29"/>
      <c r="D35" s="29"/>
      <c r="E35" s="29"/>
      <c r="F35" s="29"/>
      <c r="G35" s="29"/>
      <c r="H35" s="29"/>
      <c r="I35" s="29"/>
      <c r="J35" s="29"/>
      <c r="K35" s="29"/>
      <c r="L35" s="29"/>
      <c r="M35" s="29"/>
      <c r="N35" s="29"/>
    </row>
    <row r="36" spans="1:16" ht="11.25" customHeight="1">
      <c r="A36" s="12"/>
      <c r="B36" s="29" t="s">
        <v>212</v>
      </c>
      <c r="C36" s="141"/>
      <c r="D36" s="37">
        <f>+D112</f>
        <v>0.15861957650261305</v>
      </c>
      <c r="E36" s="37">
        <f t="shared" ref="E36:K36" si="11">+E112</f>
        <v>-2.04107758052674E-2</v>
      </c>
      <c r="F36" s="37">
        <f t="shared" si="11"/>
        <v>5.5120803769784787E-2</v>
      </c>
      <c r="G36" s="37">
        <f t="shared" si="11"/>
        <v>0.20061385903689422</v>
      </c>
      <c r="H36" s="37">
        <f t="shared" si="11"/>
        <v>4.1793150338186313E-2</v>
      </c>
      <c r="I36" s="37">
        <f t="shared" si="11"/>
        <v>5.0741821350141825E-2</v>
      </c>
      <c r="J36" s="37">
        <f t="shared" si="11"/>
        <v>6.9001909916116988E-2</v>
      </c>
      <c r="K36" s="37">
        <f t="shared" si="11"/>
        <v>2.3331609099288553E-2</v>
      </c>
      <c r="M36" s="83"/>
      <c r="N36" s="83"/>
    </row>
    <row r="37" spans="1:16" ht="11.25" customHeight="1">
      <c r="A37" s="12"/>
      <c r="B37" s="29" t="s">
        <v>28</v>
      </c>
      <c r="C37" s="37">
        <f>+C117</f>
        <v>0.38469860491899105</v>
      </c>
      <c r="D37" s="37">
        <f t="shared" ref="D37:K37" si="12">+D117</f>
        <v>0.38343718820007905</v>
      </c>
      <c r="E37" s="37">
        <f t="shared" si="12"/>
        <v>0.37817768109034722</v>
      </c>
      <c r="F37" s="37">
        <f t="shared" si="12"/>
        <v>0.38233247727810865</v>
      </c>
      <c r="G37" s="37">
        <f t="shared" si="12"/>
        <v>0.394182894997956</v>
      </c>
      <c r="H37" s="37">
        <f t="shared" si="12"/>
        <v>0.393162279501519</v>
      </c>
      <c r="I37" s="37">
        <f t="shared" si="12"/>
        <v>0.39512820003072496</v>
      </c>
      <c r="J37" s="37">
        <f t="shared" si="12"/>
        <v>0.39888261541617998</v>
      </c>
      <c r="K37" s="37">
        <f t="shared" si="12"/>
        <v>0.39800000000000002</v>
      </c>
      <c r="M37" s="83"/>
      <c r="N37" s="83"/>
    </row>
    <row r="38" spans="1:16" ht="11.25" customHeight="1">
      <c r="A38" s="12"/>
      <c r="B38" s="29" t="s">
        <v>29</v>
      </c>
      <c r="C38" s="37">
        <f>+C122</f>
        <v>5.0520428906706681E-2</v>
      </c>
      <c r="D38" s="37">
        <f t="shared" ref="D38:K38" si="13">+D122</f>
        <v>5.3600406634161032E-2</v>
      </c>
      <c r="E38" s="37">
        <f t="shared" si="13"/>
        <v>6.233136285716482E-2</v>
      </c>
      <c r="F38" s="37">
        <f t="shared" si="13"/>
        <v>6.8309564140393061E-2</v>
      </c>
      <c r="G38" s="37">
        <f t="shared" si="13"/>
        <v>6.8309564140393061E-2</v>
      </c>
      <c r="H38" s="37">
        <f t="shared" si="13"/>
        <v>6.8309564140393061E-2</v>
      </c>
      <c r="I38" s="37">
        <f t="shared" si="13"/>
        <v>6.8309564140393061E-2</v>
      </c>
      <c r="J38" s="37">
        <f t="shared" si="13"/>
        <v>6.8309564140393061E-2</v>
      </c>
      <c r="K38" s="37">
        <f t="shared" si="13"/>
        <v>6.8309564140393061E-2</v>
      </c>
      <c r="M38" s="83"/>
      <c r="N38" s="83"/>
    </row>
    <row r="39" spans="1:16" ht="11.25" customHeight="1">
      <c r="A39" s="12"/>
      <c r="B39" s="29" t="s">
        <v>30</v>
      </c>
      <c r="C39" s="37">
        <f>+C127</f>
        <v>6.6573893924984945E-2</v>
      </c>
      <c r="D39" s="37">
        <f t="shared" ref="D39:K39" si="14">+D127</f>
        <v>6.2896515371147807E-2</v>
      </c>
      <c r="E39" s="37">
        <f t="shared" si="14"/>
        <v>7.0126146348213125E-2</v>
      </c>
      <c r="F39" s="37">
        <f t="shared" si="14"/>
        <v>7.2549769593646979E-2</v>
      </c>
      <c r="G39" s="37">
        <f t="shared" si="14"/>
        <v>7.2549769593646979E-2</v>
      </c>
      <c r="H39" s="37">
        <f t="shared" si="14"/>
        <v>7.2549769593646979E-2</v>
      </c>
      <c r="I39" s="37">
        <f t="shared" si="14"/>
        <v>7.2549769593646979E-2</v>
      </c>
      <c r="J39" s="37">
        <f t="shared" si="14"/>
        <v>7.2549769593646979E-2</v>
      </c>
      <c r="K39" s="37">
        <f t="shared" si="14"/>
        <v>7.2549769593646979E-2</v>
      </c>
      <c r="M39" s="83"/>
      <c r="N39" s="83"/>
    </row>
    <row r="40" spans="1:16" ht="11.25" customHeight="1">
      <c r="A40" s="12"/>
      <c r="B40" s="29" t="s">
        <v>31</v>
      </c>
      <c r="C40" s="37">
        <f>+C132</f>
        <v>0.24556476150353415</v>
      </c>
      <c r="D40" s="37">
        <f t="shared" ref="D40:K40" si="15">+D132</f>
        <v>0.18342180705869443</v>
      </c>
      <c r="E40" s="37">
        <f t="shared" si="15"/>
        <v>0.15943836804235059</v>
      </c>
      <c r="F40" s="37">
        <f t="shared" si="15"/>
        <v>0.14428164731484103</v>
      </c>
      <c r="G40" s="37">
        <f t="shared" si="15"/>
        <v>0.14428164731484103</v>
      </c>
      <c r="H40" s="37">
        <f t="shared" si="15"/>
        <v>0.14428164731484103</v>
      </c>
      <c r="I40" s="37">
        <f t="shared" si="15"/>
        <v>0.14428164731484103</v>
      </c>
      <c r="J40" s="37">
        <f t="shared" si="15"/>
        <v>0.14428164731484103</v>
      </c>
      <c r="K40" s="37">
        <f t="shared" si="15"/>
        <v>0.14428164731484103</v>
      </c>
      <c r="M40" s="83"/>
      <c r="N40" s="83"/>
    </row>
    <row r="41" spans="1:16" ht="11.25" customHeight="1">
      <c r="A41" s="12"/>
      <c r="B41" s="29"/>
      <c r="C41" s="82"/>
      <c r="D41" s="82"/>
      <c r="E41" s="82"/>
      <c r="F41" s="82"/>
      <c r="G41" s="78"/>
      <c r="H41" s="78"/>
      <c r="I41" s="78"/>
      <c r="J41" s="78"/>
      <c r="K41" s="78"/>
      <c r="M41" s="83"/>
      <c r="N41" s="83"/>
    </row>
    <row r="42" spans="1:16" ht="11.25" customHeight="1">
      <c r="A42" s="12"/>
      <c r="B42" s="115" t="s">
        <v>26</v>
      </c>
      <c r="C42" s="91"/>
      <c r="D42" s="91"/>
      <c r="E42" s="91"/>
      <c r="F42" s="91"/>
      <c r="G42" s="92"/>
      <c r="H42" s="91"/>
      <c r="I42" s="91"/>
      <c r="J42" s="91"/>
      <c r="K42" s="91"/>
      <c r="L42" s="91"/>
      <c r="M42" s="91"/>
      <c r="N42" s="91"/>
    </row>
    <row r="43" spans="1:16" ht="6" customHeight="1">
      <c r="A43" s="12"/>
      <c r="B43" s="29"/>
      <c r="C43" s="82"/>
      <c r="D43" s="82"/>
      <c r="E43" s="82"/>
      <c r="F43" s="82"/>
      <c r="G43" s="78"/>
      <c r="H43" s="78"/>
      <c r="I43" s="78"/>
      <c r="J43" s="78"/>
      <c r="K43" s="78"/>
      <c r="M43" s="83"/>
      <c r="N43" s="83"/>
    </row>
    <row r="44" spans="1:16" ht="11.25" customHeight="1">
      <c r="A44" s="12"/>
      <c r="B44" s="26" t="s">
        <v>11</v>
      </c>
      <c r="C44" s="76">
        <f t="shared" ref="C44:K44" si="16">+C23</f>
        <v>61344</v>
      </c>
      <c r="D44" s="76">
        <f t="shared" si="16"/>
        <v>70898</v>
      </c>
      <c r="E44" s="76">
        <f t="shared" si="16"/>
        <v>63930</v>
      </c>
      <c r="F44" s="76">
        <f t="shared" si="16"/>
        <v>66288</v>
      </c>
      <c r="G44" s="77">
        <f t="shared" si="16"/>
        <v>83492.029347800883</v>
      </c>
      <c r="H44" s="77">
        <f t="shared" si="16"/>
        <v>86630.984753252123</v>
      </c>
      <c r="I44" s="77">
        <f t="shared" si="16"/>
        <v>91736.070852952063</v>
      </c>
      <c r="J44" s="77">
        <f t="shared" si="16"/>
        <v>99514.032244245187</v>
      </c>
      <c r="K44" s="77">
        <f t="shared" si="16"/>
        <v>101487.50673985026</v>
      </c>
      <c r="M44" s="94">
        <f>+(F44/C44)^(1/(2020-2017))-1</f>
        <v>2.6173845879915669E-2</v>
      </c>
      <c r="N44" s="94">
        <f>+(K44/F44)^(1/(2025-2020))-1</f>
        <v>8.891889419370913E-2</v>
      </c>
    </row>
    <row r="45" spans="1:16">
      <c r="A45" s="12"/>
      <c r="B45" s="71" t="s">
        <v>246</v>
      </c>
      <c r="C45" s="72">
        <v>10157</v>
      </c>
      <c r="D45" s="72">
        <v>10903</v>
      </c>
      <c r="E45" s="72">
        <v>12547</v>
      </c>
      <c r="F45" s="72">
        <v>11056</v>
      </c>
      <c r="G45" s="79">
        <f>G219</f>
        <v>11192.23239285403</v>
      </c>
      <c r="H45" s="79">
        <f>H219</f>
        <v>10299.862995404013</v>
      </c>
      <c r="I45" s="79">
        <f>I219</f>
        <v>10733.622935991767</v>
      </c>
      <c r="J45" s="79">
        <f>J219</f>
        <v>12075.368569619144</v>
      </c>
      <c r="K45" s="79">
        <f>K219</f>
        <v>13825.787361645866</v>
      </c>
      <c r="M45" s="84">
        <f>+(F45/C45)^(1/(2020-2017))-1</f>
        <v>2.8673438144238617E-2</v>
      </c>
      <c r="N45" s="84">
        <f>+(K45/F45)^(1/(2025-2020))-1</f>
        <v>4.5727113818913701E-2</v>
      </c>
      <c r="P45" s="11" t="s">
        <v>22</v>
      </c>
    </row>
    <row r="46" spans="1:16">
      <c r="A46" s="12"/>
      <c r="B46" s="31" t="s">
        <v>23</v>
      </c>
      <c r="C46" s="76">
        <f>SUM(C44:C45)</f>
        <v>71501</v>
      </c>
      <c r="D46" s="76">
        <f t="shared" ref="D46:K46" si="17">SUM(D44:D45)</f>
        <v>81801</v>
      </c>
      <c r="E46" s="76">
        <f t="shared" si="17"/>
        <v>76477</v>
      </c>
      <c r="F46" s="76">
        <f t="shared" si="17"/>
        <v>77344</v>
      </c>
      <c r="G46" s="77">
        <f t="shared" si="17"/>
        <v>94684.261740654911</v>
      </c>
      <c r="H46" s="77">
        <f t="shared" si="17"/>
        <v>96930.847748656131</v>
      </c>
      <c r="I46" s="77">
        <f t="shared" si="17"/>
        <v>102469.69378894383</v>
      </c>
      <c r="J46" s="77">
        <f t="shared" si="17"/>
        <v>111589.40081386433</v>
      </c>
      <c r="K46" s="77">
        <f t="shared" si="17"/>
        <v>115313.29410149613</v>
      </c>
      <c r="M46" s="85">
        <f>+(F46/C46)^(1/(2020-2017))-1</f>
        <v>2.6529665072289266E-2</v>
      </c>
      <c r="N46" s="85">
        <f>+(K46/F46)^(1/(2025-2020))-1</f>
        <v>8.3154853235863913E-2</v>
      </c>
      <c r="P46" s="28" t="s">
        <v>24</v>
      </c>
    </row>
    <row r="47" spans="1:16">
      <c r="A47" s="12"/>
      <c r="B47" s="71" t="s">
        <v>247</v>
      </c>
      <c r="C47" s="72">
        <v>4840</v>
      </c>
      <c r="D47" s="72">
        <v>5340</v>
      </c>
      <c r="E47" s="72">
        <v>6068</v>
      </c>
      <c r="F47" s="72">
        <v>6829</v>
      </c>
      <c r="G47" s="79">
        <f>F47*(1+G112)</f>
        <v>8198.9920433629504</v>
      </c>
      <c r="H47" s="79">
        <f>G47*(1+H112)</f>
        <v>8541.6537504528114</v>
      </c>
      <c r="I47" s="79">
        <f>H47*(1+I112)</f>
        <v>8975.0728190930568</v>
      </c>
      <c r="J47" s="79">
        <f>I47*(1+J112)</f>
        <v>9594.3699852467053</v>
      </c>
      <c r="K47" s="79">
        <f>J47*(1+K112)</f>
        <v>9818.2220752964276</v>
      </c>
      <c r="M47" s="84">
        <f>+(F47/C47)^(1/(2020-2017))-1</f>
        <v>0.12159806238377935</v>
      </c>
      <c r="N47" s="84">
        <f>+(K47/F47)^(1/(2025-2020))-1</f>
        <v>7.5313622530456037E-2</v>
      </c>
      <c r="P47" s="11" t="s">
        <v>282</v>
      </c>
    </row>
    <row r="48" spans="1:16" ht="12" thickBot="1">
      <c r="A48" s="12"/>
      <c r="B48" s="32" t="s">
        <v>26</v>
      </c>
      <c r="C48" s="80">
        <f t="shared" ref="C48" si="18">SUM(C46:C47)</f>
        <v>76341</v>
      </c>
      <c r="D48" s="80">
        <f>SUM(D46:D47)</f>
        <v>87141</v>
      </c>
      <c r="E48" s="80">
        <f>SUM(E46:E47)</f>
        <v>82545</v>
      </c>
      <c r="F48" s="80">
        <f>SUM(F46:F47)</f>
        <v>84173</v>
      </c>
      <c r="G48" s="81">
        <f t="shared" ref="G48:K48" si="19">SUM(G46:G47)</f>
        <v>102883.25378401786</v>
      </c>
      <c r="H48" s="81">
        <f t="shared" si="19"/>
        <v>105472.50149910894</v>
      </c>
      <c r="I48" s="81">
        <f t="shared" si="19"/>
        <v>111444.76660803688</v>
      </c>
      <c r="J48" s="81">
        <f t="shared" si="19"/>
        <v>121183.77079911104</v>
      </c>
      <c r="K48" s="81">
        <f t="shared" si="19"/>
        <v>125131.51617679256</v>
      </c>
      <c r="M48" s="86">
        <f>+(F48/C48)^(1/(2020-2017))-1</f>
        <v>3.3090387254943288E-2</v>
      </c>
      <c r="N48" s="86">
        <f>+(K48/F48)^(1/(2025-2020))-1</f>
        <v>8.2527107092590368E-2</v>
      </c>
      <c r="P48" s="28" t="s">
        <v>211</v>
      </c>
    </row>
    <row r="49" spans="2:17">
      <c r="B49" s="33"/>
      <c r="G49" s="34"/>
    </row>
    <row r="50" spans="2:17" outlineLevel="1">
      <c r="B50" s="131" t="s">
        <v>215</v>
      </c>
      <c r="C50" s="132">
        <v>48351</v>
      </c>
      <c r="D50" s="132">
        <v>59531</v>
      </c>
      <c r="E50" s="132">
        <v>55256</v>
      </c>
      <c r="F50" s="132">
        <v>57411</v>
      </c>
      <c r="G50" s="165"/>
      <c r="H50" s="166"/>
      <c r="I50" s="166"/>
      <c r="J50" s="166"/>
      <c r="K50" s="166"/>
      <c r="L50" s="134"/>
      <c r="M50" s="133"/>
      <c r="N50" s="133"/>
    </row>
    <row r="51" spans="2:17" outlineLevel="1">
      <c r="B51" s="131" t="s">
        <v>214</v>
      </c>
      <c r="C51" s="135">
        <f>+C29-C50</f>
        <v>0</v>
      </c>
      <c r="D51" s="135">
        <f>+D29-D50</f>
        <v>0</v>
      </c>
      <c r="E51" s="135">
        <f>+E29-E50</f>
        <v>0</v>
      </c>
      <c r="F51" s="135">
        <f>+F29-F50</f>
        <v>0</v>
      </c>
      <c r="G51" s="165"/>
      <c r="H51" s="166"/>
      <c r="I51" s="166"/>
      <c r="J51" s="166"/>
      <c r="K51" s="166"/>
      <c r="L51" s="134"/>
      <c r="M51" s="133"/>
      <c r="N51" s="133"/>
    </row>
    <row r="52" spans="2:17">
      <c r="B52" s="33"/>
      <c r="G52" s="34"/>
    </row>
    <row r="53" spans="2:17" ht="12">
      <c r="B53" s="113" t="s">
        <v>232</v>
      </c>
      <c r="C53" s="90"/>
      <c r="D53" s="90"/>
      <c r="E53" s="90"/>
      <c r="F53" s="90"/>
      <c r="G53" s="90"/>
      <c r="H53" s="90"/>
      <c r="I53" s="90"/>
      <c r="J53" s="90"/>
      <c r="K53" s="90"/>
      <c r="L53" s="90"/>
      <c r="M53" s="90"/>
      <c r="N53" s="90"/>
    </row>
    <row r="54" spans="2:17" ht="6.75" customHeight="1">
      <c r="B54" s="26"/>
      <c r="C54" s="26"/>
      <c r="D54" s="40"/>
      <c r="E54" s="40"/>
      <c r="F54" s="40"/>
      <c r="G54" s="12"/>
      <c r="H54" s="12"/>
      <c r="I54" s="12"/>
      <c r="J54" s="12"/>
      <c r="K54" s="12"/>
    </row>
    <row r="55" spans="2:17">
      <c r="B55" s="11" t="s">
        <v>267</v>
      </c>
      <c r="C55" s="107">
        <f>20289+53892+194714</f>
        <v>268895</v>
      </c>
      <c r="D55" s="107">
        <f>25913+40388+170799</f>
        <v>237100</v>
      </c>
      <c r="E55" s="107">
        <f>48844+51713+105341</f>
        <v>205898</v>
      </c>
      <c r="F55" s="107">
        <f>38016+52927+100887</f>
        <v>191830</v>
      </c>
      <c r="G55" s="106">
        <f>G108+F55</f>
        <v>186200.20110814582</v>
      </c>
      <c r="H55" s="106">
        <f>H108+G55</f>
        <v>178117.55032670146</v>
      </c>
      <c r="I55" s="106">
        <f>I108+H55</f>
        <v>172096.53607566527</v>
      </c>
      <c r="J55" s="106">
        <f>J108+I55</f>
        <v>174259.0365227923</v>
      </c>
      <c r="K55" s="106">
        <f>K108+J55</f>
        <v>177467.76573049658</v>
      </c>
      <c r="P55" s="11" t="s">
        <v>32</v>
      </c>
    </row>
    <row r="56" spans="2:17">
      <c r="B56" s="11" t="s">
        <v>33</v>
      </c>
      <c r="C56" s="107">
        <v>17874</v>
      </c>
      <c r="D56" s="107">
        <v>23186</v>
      </c>
      <c r="E56" s="107">
        <v>22926</v>
      </c>
      <c r="F56" s="107">
        <v>16120</v>
      </c>
      <c r="G56" s="106">
        <f>+G138</f>
        <v>19353.895407674736</v>
      </c>
      <c r="H56" s="106">
        <f>+H138</f>
        <v>20162.755668077221</v>
      </c>
      <c r="I56" s="106">
        <f>+I138</f>
        <v>21185.850614113355</v>
      </c>
      <c r="J56" s="106">
        <f>+J138</f>
        <v>22647.714769684717</v>
      </c>
      <c r="K56" s="106">
        <f>+K138</f>
        <v>23176.122397683186</v>
      </c>
      <c r="P56" s="11" t="s">
        <v>34</v>
      </c>
    </row>
    <row r="57" spans="2:17">
      <c r="B57" s="11" t="s">
        <v>35</v>
      </c>
      <c r="C57" s="107">
        <v>4855</v>
      </c>
      <c r="D57" s="107">
        <v>3956</v>
      </c>
      <c r="E57" s="107">
        <v>4106</v>
      </c>
      <c r="F57" s="107">
        <v>4061</v>
      </c>
      <c r="G57" s="106">
        <f>+G151</f>
        <v>5014.8703392942498</v>
      </c>
      <c r="H57" s="106">
        <f>+H151</f>
        <v>4245.7692025491033</v>
      </c>
      <c r="I57" s="106">
        <f>+I151</f>
        <v>5242.400631406028</v>
      </c>
      <c r="J57" s="106">
        <f>+J151</f>
        <v>4623.0483562625177</v>
      </c>
      <c r="K57" s="106">
        <f>+K151</f>
        <v>5276.7663937374782</v>
      </c>
      <c r="P57" s="11" t="s">
        <v>36</v>
      </c>
    </row>
    <row r="58" spans="2:17">
      <c r="B58" s="11" t="s">
        <v>324</v>
      </c>
      <c r="C58" s="107">
        <v>17799</v>
      </c>
      <c r="D58" s="107">
        <v>25809</v>
      </c>
      <c r="E58" s="107">
        <v>22878</v>
      </c>
      <c r="F58" s="107">
        <v>21325</v>
      </c>
      <c r="G58" s="106">
        <f>F58*(1+G112)</f>
        <v>25603.090543961771</v>
      </c>
      <c r="H58" s="106">
        <f>G58*(1+H112)</f>
        <v>26673.12435618776</v>
      </c>
      <c r="I58" s="106">
        <f>H58*(1+I112)</f>
        <v>28026.567267119557</v>
      </c>
      <c r="J58" s="106">
        <f>I58*(1+J112)</f>
        <v>29960.453936943333</v>
      </c>
      <c r="K58" s="106">
        <f>J58*(1+K112)</f>
        <v>30659.479536637336</v>
      </c>
    </row>
    <row r="59" spans="2:17">
      <c r="B59" s="11" t="s">
        <v>37</v>
      </c>
      <c r="C59" s="107">
        <f>13936</f>
        <v>13936</v>
      </c>
      <c r="D59" s="107">
        <f>12087</f>
        <v>12087</v>
      </c>
      <c r="E59" s="107">
        <f>12352</f>
        <v>12352</v>
      </c>
      <c r="F59" s="107">
        <f>11264</f>
        <v>11264</v>
      </c>
      <c r="G59" s="106">
        <f>F59*(1+G112)</f>
        <v>13523.714508191577</v>
      </c>
      <c r="H59" s="106">
        <f>G59*(1+H112)</f>
        <v>14088.91314176314</v>
      </c>
      <c r="I59" s="106">
        <f>H59*(1+I112)</f>
        <v>14803.81025542015</v>
      </c>
      <c r="J59" s="106">
        <f>I59*(1+J112)</f>
        <v>15825.301437079941</v>
      </c>
      <c r="K59" s="106">
        <f>J59*(1+K112)</f>
        <v>16194.531184088299</v>
      </c>
      <c r="P59" s="11" t="s">
        <v>34</v>
      </c>
      <c r="Q59" s="42"/>
    </row>
    <row r="60" spans="2:17">
      <c r="B60" s="11" t="s">
        <v>266</v>
      </c>
      <c r="C60" s="107">
        <v>33783</v>
      </c>
      <c r="D60" s="107">
        <v>41304</v>
      </c>
      <c r="E60" s="107">
        <v>37378</v>
      </c>
      <c r="F60" s="107">
        <v>36766</v>
      </c>
      <c r="G60" s="106">
        <f>G186</f>
        <v>37394.800000000003</v>
      </c>
      <c r="H60" s="106">
        <f>H186</f>
        <v>39040.160000000003</v>
      </c>
      <c r="I60" s="106">
        <f>I186</f>
        <v>40857.882430632642</v>
      </c>
      <c r="J60" s="106">
        <f>J186</f>
        <v>42199.926029951799</v>
      </c>
      <c r="K60" s="106">
        <f>K186</f>
        <v>42104.600653093934</v>
      </c>
      <c r="P60" s="11" t="s">
        <v>38</v>
      </c>
    </row>
    <row r="61" spans="2:17">
      <c r="B61" s="25" t="s">
        <v>39</v>
      </c>
      <c r="C61" s="72">
        <v>18177</v>
      </c>
      <c r="D61" s="72">
        <v>22283</v>
      </c>
      <c r="E61" s="72">
        <v>32978</v>
      </c>
      <c r="F61" s="72">
        <v>42522</v>
      </c>
      <c r="G61" s="125">
        <f>F61*(1+G112)</f>
        <v>51052.502513966814</v>
      </c>
      <c r="H61" s="125">
        <f>G61*(1+H112)</f>
        <v>53186.147426673662</v>
      </c>
      <c r="I61" s="125">
        <f>H61*(1+I112)</f>
        <v>55884.909417700241</v>
      </c>
      <c r="J61" s="125">
        <f>I61*(1+J112)</f>
        <v>59741.074903010747</v>
      </c>
      <c r="K61" s="125">
        <f>J61*(1+K112)</f>
        <v>61134.930309819109</v>
      </c>
      <c r="P61" s="11" t="s">
        <v>34</v>
      </c>
    </row>
    <row r="62" spans="2:17">
      <c r="B62" s="13" t="s">
        <v>40</v>
      </c>
      <c r="C62" s="109">
        <f t="shared" ref="C62:E62" si="20">SUM(C55:C61)</f>
        <v>375319</v>
      </c>
      <c r="D62" s="109">
        <f t="shared" si="20"/>
        <v>365725</v>
      </c>
      <c r="E62" s="109">
        <f t="shared" si="20"/>
        <v>338516</v>
      </c>
      <c r="F62" s="109">
        <f t="shared" ref="F62:K62" si="21">SUM(F55:F61)</f>
        <v>323888</v>
      </c>
      <c r="G62" s="110">
        <f t="shared" si="21"/>
        <v>338143.07442123495</v>
      </c>
      <c r="H62" s="110">
        <f t="shared" si="21"/>
        <v>335514.42012195231</v>
      </c>
      <c r="I62" s="110">
        <f t="shared" si="21"/>
        <v>338097.95669205725</v>
      </c>
      <c r="J62" s="110">
        <f t="shared" si="21"/>
        <v>349256.55595572537</v>
      </c>
      <c r="K62" s="110">
        <f t="shared" si="21"/>
        <v>356014.19620555593</v>
      </c>
    </row>
    <row r="63" spans="2:17" ht="6.75" customHeight="1">
      <c r="B63" s="45"/>
      <c r="C63" s="111"/>
      <c r="D63" s="106"/>
      <c r="E63" s="106"/>
      <c r="F63" s="106"/>
      <c r="G63" s="106"/>
      <c r="H63" s="106"/>
      <c r="I63" s="106"/>
      <c r="J63" s="106"/>
      <c r="K63" s="106"/>
    </row>
    <row r="64" spans="2:17">
      <c r="B64" s="45" t="s">
        <v>41</v>
      </c>
      <c r="C64" s="107">
        <v>44242</v>
      </c>
      <c r="D64" s="107">
        <v>55888</v>
      </c>
      <c r="E64" s="107">
        <v>46236</v>
      </c>
      <c r="F64" s="107">
        <v>42296</v>
      </c>
      <c r="G64" s="106">
        <f>+G162</f>
        <v>44329.205127888141</v>
      </c>
      <c r="H64" s="106">
        <f>+H162</f>
        <v>46460.148176432391</v>
      </c>
      <c r="I64" s="106">
        <f>+I162</f>
        <v>48693.527491610308</v>
      </c>
      <c r="J64" s="106">
        <f>+J162</f>
        <v>51034.267272934885</v>
      </c>
      <c r="K64" s="106">
        <f>+K162</f>
        <v>53487.528430428385</v>
      </c>
      <c r="P64" s="11" t="s">
        <v>36</v>
      </c>
    </row>
    <row r="65" spans="2:17">
      <c r="B65" s="45" t="s">
        <v>42</v>
      </c>
      <c r="C65" s="107">
        <v>30551</v>
      </c>
      <c r="D65" s="107">
        <v>33327</v>
      </c>
      <c r="E65" s="107">
        <v>37720</v>
      </c>
      <c r="F65" s="107">
        <v>42684</v>
      </c>
      <c r="G65" s="106">
        <f>F65*(1+G112)</f>
        <v>51247.001959130794</v>
      </c>
      <c r="H65" s="106">
        <f>G65*(1+H112)</f>
        <v>53388.775616390078</v>
      </c>
      <c r="I65" s="106">
        <f>H65*(1+I112)</f>
        <v>56097.819330819751</v>
      </c>
      <c r="J65" s="106">
        <f>I65*(1+J112)</f>
        <v>59968.676006775582</v>
      </c>
      <c r="K65" s="106">
        <f>J65*(1+K112)</f>
        <v>61367.841713567555</v>
      </c>
      <c r="P65" s="11" t="s">
        <v>34</v>
      </c>
    </row>
    <row r="66" spans="2:17">
      <c r="B66" s="45" t="s">
        <v>268</v>
      </c>
      <c r="C66" s="107">
        <f>7548+2836</f>
        <v>10384</v>
      </c>
      <c r="D66" s="107">
        <v>5966</v>
      </c>
      <c r="E66" s="107">
        <v>5522</v>
      </c>
      <c r="F66" s="107">
        <v>6643</v>
      </c>
      <c r="G66" s="106">
        <f>F66*(1+G112)</f>
        <v>7975.6778655820881</v>
      </c>
      <c r="H66" s="106">
        <f>G66*(1+H112)</f>
        <v>8309.0065696673046</v>
      </c>
      <c r="I66" s="106">
        <f>H66*(1+I112)</f>
        <v>8730.6206966225182</v>
      </c>
      <c r="J66" s="106">
        <f>I66*(1+J112)</f>
        <v>9333.0501994426522</v>
      </c>
      <c r="K66" s="106">
        <f>J66*(1+K112)</f>
        <v>9550.8052784000847</v>
      </c>
      <c r="P66" s="11" t="s">
        <v>34</v>
      </c>
      <c r="Q66" s="42"/>
    </row>
    <row r="67" spans="2:17">
      <c r="B67" s="45" t="s">
        <v>43</v>
      </c>
      <c r="C67" s="107">
        <v>11977</v>
      </c>
      <c r="D67" s="107">
        <v>11964</v>
      </c>
      <c r="E67" s="107">
        <v>5980</v>
      </c>
      <c r="F67" s="107">
        <v>4996</v>
      </c>
      <c r="G67" s="106">
        <f>G243</f>
        <v>8729.25</v>
      </c>
      <c r="H67" s="106">
        <f>H243</f>
        <v>8729.25</v>
      </c>
      <c r="I67" s="106">
        <f>I243</f>
        <v>8729.25</v>
      </c>
      <c r="J67" s="106">
        <f>J243</f>
        <v>8729.25</v>
      </c>
      <c r="K67" s="106">
        <f>K243</f>
        <v>8729.25</v>
      </c>
      <c r="P67" s="11" t="s">
        <v>44</v>
      </c>
    </row>
    <row r="68" spans="2:17">
      <c r="B68" s="45" t="s">
        <v>269</v>
      </c>
      <c r="C68" s="107">
        <f>6496+97207</f>
        <v>103703</v>
      </c>
      <c r="D68" s="107">
        <f>8784+93735</f>
        <v>102519</v>
      </c>
      <c r="E68" s="107">
        <f>10260+91807</f>
        <v>102067</v>
      </c>
      <c r="F68" s="107">
        <f>8773+98667</f>
        <v>107440</v>
      </c>
      <c r="G68" s="106">
        <f>F68</f>
        <v>107440</v>
      </c>
      <c r="H68" s="106">
        <f t="shared" ref="H68:K68" si="22">G68</f>
        <v>107440</v>
      </c>
      <c r="I68" s="106">
        <f t="shared" si="22"/>
        <v>107440</v>
      </c>
      <c r="J68" s="106">
        <f t="shared" si="22"/>
        <v>107440</v>
      </c>
      <c r="K68" s="106">
        <f t="shared" si="22"/>
        <v>107440</v>
      </c>
      <c r="P68" s="11" t="s">
        <v>346</v>
      </c>
    </row>
    <row r="69" spans="2:17">
      <c r="B69" s="129" t="s">
        <v>45</v>
      </c>
      <c r="C69" s="72">
        <v>40415</v>
      </c>
      <c r="D69" s="72">
        <v>48914</v>
      </c>
      <c r="E69" s="72">
        <v>50503</v>
      </c>
      <c r="F69" s="72">
        <v>54490</v>
      </c>
      <c r="G69" s="125">
        <f>F69*(1+G112)</f>
        <v>65421.449178920368</v>
      </c>
      <c r="H69" s="125">
        <f>G69*(1+H112)</f>
        <v>68155.617639796998</v>
      </c>
      <c r="I69" s="125">
        <f>H69*(1+I112)</f>
        <v>71613.957814084148</v>
      </c>
      <c r="J69" s="125">
        <f>I69*(1+J112)</f>
        <v>76555.457679908184</v>
      </c>
      <c r="K69" s="125">
        <f>J69*(1+K112)</f>
        <v>78341.619692912936</v>
      </c>
      <c r="P69" s="11" t="s">
        <v>34</v>
      </c>
    </row>
    <row r="70" spans="2:17">
      <c r="B70" s="13" t="s">
        <v>46</v>
      </c>
      <c r="C70" s="109">
        <f t="shared" ref="C70:E70" si="23">SUM(C64:C69)</f>
        <v>241272</v>
      </c>
      <c r="D70" s="109">
        <f t="shared" si="23"/>
        <v>258578</v>
      </c>
      <c r="E70" s="109">
        <f t="shared" si="23"/>
        <v>248028</v>
      </c>
      <c r="F70" s="109">
        <f t="shared" ref="F70:K70" si="24">SUM(F64:F69)</f>
        <v>258549</v>
      </c>
      <c r="G70" s="110">
        <f t="shared" si="24"/>
        <v>285142.58413152141</v>
      </c>
      <c r="H70" s="110">
        <f t="shared" si="24"/>
        <v>292482.79800228676</v>
      </c>
      <c r="I70" s="110">
        <f t="shared" si="24"/>
        <v>301305.17533313669</v>
      </c>
      <c r="J70" s="110">
        <f t="shared" si="24"/>
        <v>313060.70115906128</v>
      </c>
      <c r="K70" s="110">
        <f t="shared" si="24"/>
        <v>318917.04511530895</v>
      </c>
    </row>
    <row r="71" spans="2:17" ht="5.25" customHeight="1">
      <c r="B71" s="13"/>
      <c r="C71" s="108"/>
      <c r="D71" s="109"/>
      <c r="E71" s="109"/>
      <c r="F71" s="109"/>
      <c r="G71" s="106"/>
      <c r="H71" s="106"/>
      <c r="I71" s="106"/>
      <c r="J71" s="106"/>
      <c r="K71" s="106"/>
    </row>
    <row r="72" spans="2:17">
      <c r="B72" s="45" t="s">
        <v>47</v>
      </c>
      <c r="C72" s="107">
        <v>35867</v>
      </c>
      <c r="D72" s="107">
        <v>40201</v>
      </c>
      <c r="E72" s="107">
        <v>45174</v>
      </c>
      <c r="F72" s="107">
        <v>50779</v>
      </c>
      <c r="G72" s="106">
        <f>F72+G47</f>
        <v>58977.992043362952</v>
      </c>
      <c r="H72" s="106">
        <f>G72+H47</f>
        <v>67519.645793815769</v>
      </c>
      <c r="I72" s="106">
        <f>H72+I47</f>
        <v>76494.718612908822</v>
      </c>
      <c r="J72" s="106">
        <f>I72+J47</f>
        <v>86089.088598155533</v>
      </c>
      <c r="K72" s="106">
        <f>J72+K47</f>
        <v>95907.310673451953</v>
      </c>
      <c r="P72" s="11" t="s">
        <v>48</v>
      </c>
    </row>
    <row r="73" spans="2:17">
      <c r="B73" s="45" t="s">
        <v>49</v>
      </c>
      <c r="C73" s="107">
        <f>98330</f>
        <v>98330</v>
      </c>
      <c r="D73" s="107">
        <v>70400</v>
      </c>
      <c r="E73" s="107">
        <v>45898</v>
      </c>
      <c r="F73" s="107">
        <v>14966</v>
      </c>
      <c r="G73" s="106">
        <f>G227</f>
        <v>-5571.5017536493542</v>
      </c>
      <c r="H73" s="106">
        <f>H227</f>
        <v>-24082.023674150165</v>
      </c>
      <c r="I73" s="106">
        <f>I227</f>
        <v>-39295.93725398829</v>
      </c>
      <c r="J73" s="106">
        <f>J227</f>
        <v>-49487.233801491471</v>
      </c>
      <c r="K73" s="106">
        <f>K227</f>
        <v>-58404.159583204993</v>
      </c>
      <c r="P73" s="11" t="s">
        <v>50</v>
      </c>
      <c r="Q73" s="42"/>
    </row>
    <row r="74" spans="2:17">
      <c r="B74" s="129" t="s">
        <v>265</v>
      </c>
      <c r="C74" s="72">
        <v>-150</v>
      </c>
      <c r="D74" s="72">
        <v>-3454</v>
      </c>
      <c r="E74" s="72">
        <v>-584</v>
      </c>
      <c r="F74" s="72">
        <v>-406</v>
      </c>
      <c r="G74" s="125">
        <f>F74</f>
        <v>-406</v>
      </c>
      <c r="H74" s="125">
        <f>G74</f>
        <v>-406</v>
      </c>
      <c r="I74" s="125">
        <f>H74</f>
        <v>-406</v>
      </c>
      <c r="J74" s="125">
        <f>I74</f>
        <v>-406</v>
      </c>
      <c r="K74" s="125">
        <f>J74</f>
        <v>-406</v>
      </c>
      <c r="P74" s="11" t="s">
        <v>16</v>
      </c>
    </row>
    <row r="75" spans="2:17">
      <c r="B75" s="13" t="s">
        <v>264</v>
      </c>
      <c r="C75" s="110">
        <f t="shared" ref="C75:K75" si="25">SUM(C72:C74)</f>
        <v>134047</v>
      </c>
      <c r="D75" s="110">
        <f t="shared" si="25"/>
        <v>107147</v>
      </c>
      <c r="E75" s="110">
        <f t="shared" si="25"/>
        <v>90488</v>
      </c>
      <c r="F75" s="110">
        <f t="shared" si="25"/>
        <v>65339</v>
      </c>
      <c r="G75" s="110">
        <f t="shared" si="25"/>
        <v>53000.490289713598</v>
      </c>
      <c r="H75" s="110">
        <f t="shared" si="25"/>
        <v>43031.622119665604</v>
      </c>
      <c r="I75" s="110">
        <f t="shared" si="25"/>
        <v>36792.781358920533</v>
      </c>
      <c r="J75" s="110">
        <f t="shared" si="25"/>
        <v>36195.854796664062</v>
      </c>
      <c r="K75" s="110">
        <f t="shared" si="25"/>
        <v>37097.15109024696</v>
      </c>
    </row>
    <row r="76" spans="2:17" ht="6.75" customHeight="1">
      <c r="D76" s="42"/>
      <c r="E76" s="42"/>
      <c r="F76" s="42"/>
    </row>
    <row r="77" spans="2:17" ht="12" thickBot="1">
      <c r="B77" s="70" t="s">
        <v>263</v>
      </c>
      <c r="C77" s="128">
        <f>+C70+C75</f>
        <v>375319</v>
      </c>
      <c r="D77" s="128">
        <f t="shared" ref="D77:K77" si="26">+D70+D75</f>
        <v>365725</v>
      </c>
      <c r="E77" s="128">
        <f t="shared" si="26"/>
        <v>338516</v>
      </c>
      <c r="F77" s="128">
        <f t="shared" si="26"/>
        <v>323888</v>
      </c>
      <c r="G77" s="128">
        <f t="shared" si="26"/>
        <v>338143.07442123501</v>
      </c>
      <c r="H77" s="128">
        <f t="shared" si="26"/>
        <v>335514.42012195237</v>
      </c>
      <c r="I77" s="128">
        <f t="shared" si="26"/>
        <v>338097.9566920572</v>
      </c>
      <c r="J77" s="128">
        <f t="shared" si="26"/>
        <v>349256.55595572537</v>
      </c>
      <c r="K77" s="128">
        <f t="shared" si="26"/>
        <v>356014.19620555593</v>
      </c>
    </row>
    <row r="78" spans="2:17">
      <c r="D78" s="42"/>
      <c r="E78" s="42"/>
      <c r="F78" s="42"/>
    </row>
    <row r="79" spans="2:17" outlineLevel="1">
      <c r="B79" s="47" t="s">
        <v>51</v>
      </c>
      <c r="C79" s="130">
        <f>ROUND(C62-C77,3)</f>
        <v>0</v>
      </c>
      <c r="D79" s="130">
        <f t="shared" ref="D79:K79" si="27">ROUND(D62-D77,3)</f>
        <v>0</v>
      </c>
      <c r="E79" s="130">
        <f t="shared" si="27"/>
        <v>0</v>
      </c>
      <c r="F79" s="130">
        <f t="shared" si="27"/>
        <v>0</v>
      </c>
      <c r="G79" s="130">
        <f t="shared" si="27"/>
        <v>0</v>
      </c>
      <c r="H79" s="130">
        <f t="shared" si="27"/>
        <v>0</v>
      </c>
      <c r="I79" s="130">
        <f t="shared" si="27"/>
        <v>0</v>
      </c>
      <c r="J79" s="130">
        <f t="shared" si="27"/>
        <v>0</v>
      </c>
      <c r="K79" s="130">
        <f t="shared" si="27"/>
        <v>0</v>
      </c>
      <c r="N79" s="106"/>
    </row>
    <row r="80" spans="2:17">
      <c r="B80" s="33"/>
      <c r="G80" s="34"/>
    </row>
    <row r="81" spans="2:16" ht="12">
      <c r="B81" s="115" t="s">
        <v>342</v>
      </c>
      <c r="C81" s="91"/>
      <c r="D81" s="91"/>
      <c r="E81" s="91"/>
      <c r="F81" s="91"/>
      <c r="G81" s="92"/>
      <c r="H81" s="91"/>
      <c r="I81" s="91"/>
      <c r="J81" s="91"/>
      <c r="K81" s="91"/>
      <c r="L81" s="91"/>
      <c r="M81" s="91"/>
      <c r="N81" s="91"/>
    </row>
    <row r="82" spans="2:16">
      <c r="B82" s="33"/>
      <c r="G82" s="34"/>
    </row>
    <row r="83" spans="2:16">
      <c r="B83" s="153" t="s">
        <v>149</v>
      </c>
      <c r="C83" s="106">
        <f>+C68+C67-C55</f>
        <v>-153215</v>
      </c>
      <c r="D83" s="106">
        <f t="shared" ref="D83:K83" si="28">+D68+D67-D55</f>
        <v>-122617</v>
      </c>
      <c r="E83" s="106">
        <f t="shared" si="28"/>
        <v>-97851</v>
      </c>
      <c r="F83" s="106">
        <f t="shared" si="28"/>
        <v>-79394</v>
      </c>
      <c r="G83" s="106">
        <f t="shared" si="28"/>
        <v>-70030.951108145819</v>
      </c>
      <c r="H83" s="106">
        <f t="shared" si="28"/>
        <v>-61948.300326701457</v>
      </c>
      <c r="I83" s="106">
        <f t="shared" si="28"/>
        <v>-55927.286075665266</v>
      </c>
      <c r="J83" s="106">
        <f t="shared" si="28"/>
        <v>-58089.786522792303</v>
      </c>
      <c r="K83" s="106">
        <f t="shared" si="28"/>
        <v>-61298.515730496583</v>
      </c>
    </row>
    <row r="84" spans="2:16">
      <c r="B84" s="153" t="s">
        <v>343</v>
      </c>
      <c r="C84" s="211">
        <f>+C18/C62</f>
        <v>0.61077110404749024</v>
      </c>
      <c r="D84" s="211">
        <f t="shared" ref="D84:K84" si="29">+D18/D62</f>
        <v>0.7262150522933899</v>
      </c>
      <c r="E84" s="211">
        <f t="shared" si="29"/>
        <v>0.76857223883066084</v>
      </c>
      <c r="F84" s="211">
        <f t="shared" si="29"/>
        <v>0.84756150274168851</v>
      </c>
      <c r="G84" s="211">
        <f t="shared" si="29"/>
        <v>0.97469544238820416</v>
      </c>
      <c r="H84" s="211">
        <f t="shared" si="29"/>
        <v>1.0233866314819422</v>
      </c>
      <c r="I84" s="211">
        <f t="shared" si="29"/>
        <v>1.0670982364496751</v>
      </c>
      <c r="J84" s="211">
        <f t="shared" si="29"/>
        <v>1.104284210054719</v>
      </c>
      <c r="K84" s="211">
        <f t="shared" si="29"/>
        <v>1.1085990508426826</v>
      </c>
    </row>
    <row r="85" spans="2:16">
      <c r="B85" s="153" t="s">
        <v>344</v>
      </c>
      <c r="C85" s="37">
        <f>+C29/C62</f>
        <v>0.12882641166580963</v>
      </c>
      <c r="D85" s="37">
        <f t="shared" ref="D85:K85" si="30">+D29/D62</f>
        <v>0.16277530931710985</v>
      </c>
      <c r="E85" s="37">
        <f t="shared" si="30"/>
        <v>0.16323009842961633</v>
      </c>
      <c r="F85" s="37">
        <f t="shared" si="30"/>
        <v>0.1772557180259843</v>
      </c>
      <c r="G85" s="37">
        <f t="shared" si="30"/>
        <v>0.20369942132085941</v>
      </c>
      <c r="H85" s="37">
        <f t="shared" si="30"/>
        <v>0.21330114606088821</v>
      </c>
      <c r="I85" s="37">
        <f t="shared" si="30"/>
        <v>0.22459208846588624</v>
      </c>
      <c r="J85" s="37">
        <f t="shared" si="30"/>
        <v>0.23647335776567011</v>
      </c>
      <c r="K85" s="37">
        <f t="shared" si="30"/>
        <v>0.2367282253101741</v>
      </c>
    </row>
    <row r="86" spans="2:16">
      <c r="B86" s="153" t="s">
        <v>345</v>
      </c>
      <c r="C86" s="37">
        <f>+C29/C75</f>
        <v>0.36070184338329092</v>
      </c>
      <c r="D86" s="37">
        <f t="shared" ref="D86:K86" si="31">+D29/D75</f>
        <v>0.5556011834209077</v>
      </c>
      <c r="E86" s="37">
        <f t="shared" si="31"/>
        <v>0.61064450534877557</v>
      </c>
      <c r="F86" s="37">
        <f t="shared" si="31"/>
        <v>0.87866358530127486</v>
      </c>
      <c r="G86" s="37">
        <f t="shared" si="31"/>
        <v>1.2996021019192361</v>
      </c>
      <c r="H86" s="37">
        <f t="shared" si="31"/>
        <v>1.6630934835073536</v>
      </c>
      <c r="I86" s="37">
        <f t="shared" si="31"/>
        <v>2.0638321810674261</v>
      </c>
      <c r="J86" s="37">
        <f t="shared" si="31"/>
        <v>2.2817494150224018</v>
      </c>
      <c r="K86" s="37">
        <f t="shared" si="31"/>
        <v>2.2718350702441588</v>
      </c>
    </row>
    <row r="87" spans="2:16">
      <c r="B87" s="33"/>
      <c r="G87" s="34"/>
    </row>
    <row r="88" spans="2:16">
      <c r="B88" s="89" t="s">
        <v>235</v>
      </c>
      <c r="C88" s="90"/>
      <c r="D88" s="90"/>
      <c r="E88" s="90"/>
      <c r="F88" s="90"/>
      <c r="G88" s="90"/>
      <c r="H88" s="90"/>
      <c r="I88" s="90"/>
      <c r="J88" s="90"/>
      <c r="K88" s="90"/>
      <c r="L88" s="103"/>
      <c r="M88" s="103"/>
      <c r="N88" s="103"/>
    </row>
    <row r="89" spans="2:16" ht="6" customHeight="1">
      <c r="B89" s="26"/>
      <c r="C89" s="26"/>
      <c r="D89" s="40"/>
      <c r="E89" s="40"/>
      <c r="F89" s="40"/>
      <c r="G89" s="40"/>
      <c r="H89" s="40"/>
      <c r="I89" s="40"/>
      <c r="J89" s="40"/>
      <c r="K89" s="40"/>
    </row>
    <row r="90" spans="2:16">
      <c r="B90" s="11" t="s">
        <v>19</v>
      </c>
      <c r="C90" s="119"/>
      <c r="D90" s="119"/>
      <c r="E90" s="119"/>
      <c r="F90" s="119"/>
      <c r="G90" s="106">
        <f>G29</f>
        <v>68879.548583261858</v>
      </c>
      <c r="H90" s="106">
        <f>H29</f>
        <v>71565.61033196676</v>
      </c>
      <c r="I90" s="106">
        <f>I29</f>
        <v>75934.126199517894</v>
      </c>
      <c r="J90" s="106">
        <f>J29</f>
        <v>82589.870508524022</v>
      </c>
      <c r="K90" s="106">
        <f>K29</f>
        <v>84278.608852969366</v>
      </c>
      <c r="P90" s="28"/>
    </row>
    <row r="91" spans="2:16">
      <c r="B91" s="11" t="s">
        <v>21</v>
      </c>
      <c r="C91" s="119"/>
      <c r="D91" s="119"/>
      <c r="E91" s="119"/>
      <c r="F91" s="119"/>
      <c r="G91" s="106">
        <f>G45</f>
        <v>11192.23239285403</v>
      </c>
      <c r="H91" s="106">
        <f>H45</f>
        <v>10299.862995404013</v>
      </c>
      <c r="I91" s="106">
        <f>I45</f>
        <v>10733.622935991767</v>
      </c>
      <c r="J91" s="106">
        <f>J45</f>
        <v>12075.368569619144</v>
      </c>
      <c r="K91" s="106">
        <f>K45</f>
        <v>13825.787361645866</v>
      </c>
      <c r="P91" s="11" t="s">
        <v>52</v>
      </c>
    </row>
    <row r="92" spans="2:16">
      <c r="B92" s="11" t="s">
        <v>25</v>
      </c>
      <c r="C92" s="119"/>
      <c r="D92" s="119"/>
      <c r="E92" s="119"/>
      <c r="F92" s="119"/>
      <c r="G92" s="106">
        <f>G47</f>
        <v>8198.9920433629504</v>
      </c>
      <c r="H92" s="106">
        <f>H47</f>
        <v>8541.6537504528114</v>
      </c>
      <c r="I92" s="106">
        <f>I47</f>
        <v>8975.0728190930568</v>
      </c>
      <c r="J92" s="106">
        <f>J47</f>
        <v>9594.3699852467053</v>
      </c>
      <c r="K92" s="106">
        <f>K47</f>
        <v>9818.2220752964276</v>
      </c>
    </row>
    <row r="93" spans="2:16">
      <c r="B93" s="11" t="s">
        <v>53</v>
      </c>
      <c r="C93" s="119"/>
      <c r="D93" s="119"/>
      <c r="E93" s="119"/>
      <c r="F93" s="119"/>
      <c r="G93" s="106">
        <f>SUM(F56:F59)-SUM(G56:G59)</f>
        <v>-10725.570799122332</v>
      </c>
      <c r="H93" s="106">
        <f>SUM(G56:G59)-SUM(H56:H59)</f>
        <v>-1674.9915694548981</v>
      </c>
      <c r="I93" s="106">
        <f>SUM(H56:H59)-SUM(I56:I59)</f>
        <v>-4088.0663994818606</v>
      </c>
      <c r="J93" s="106">
        <f>SUM(I56:I59)-SUM(J56:J59)</f>
        <v>-3797.8897319114185</v>
      </c>
      <c r="K93" s="106">
        <f>SUM(J56:J59)-SUM(K56:K59)</f>
        <v>-2250.3810121757851</v>
      </c>
    </row>
    <row r="94" spans="2:16">
      <c r="B94" s="11" t="s">
        <v>54</v>
      </c>
      <c r="C94" s="119"/>
      <c r="D94" s="119"/>
      <c r="E94" s="119"/>
      <c r="F94" s="119"/>
      <c r="G94" s="106">
        <f>SUM(G64:G66)-SUM(F64:F66)</f>
        <v>11928.884952601016</v>
      </c>
      <c r="H94" s="106">
        <f>SUM(H64:H66)-SUM(G64:G66)</f>
        <v>4606.0454098887567</v>
      </c>
      <c r="I94" s="106">
        <f>SUM(I64:I66)-SUM(H64:H66)</f>
        <v>5364.0371565628011</v>
      </c>
      <c r="J94" s="106">
        <f>SUM(J64:J66)-SUM(I64:I66)</f>
        <v>6814.0259601005382</v>
      </c>
      <c r="K94" s="106">
        <f>SUM(K64:K66)-SUM(J64:J66)</f>
        <v>4070.1819432429184</v>
      </c>
    </row>
    <row r="95" spans="2:16">
      <c r="B95" s="11" t="s">
        <v>39</v>
      </c>
      <c r="C95" s="119"/>
      <c r="D95" s="119"/>
      <c r="E95" s="119"/>
      <c r="F95" s="119"/>
      <c r="G95" s="106">
        <f>-G214</f>
        <v>-10158.534906820845</v>
      </c>
      <c r="H95" s="106">
        <f>-H214</f>
        <v>-3829.7179081108625</v>
      </c>
      <c r="I95" s="106">
        <f>-I214</f>
        <v>-4480.8968193601831</v>
      </c>
      <c r="J95" s="106">
        <f>-J214</f>
        <v>-5761.2710205271578</v>
      </c>
      <c r="K95" s="106">
        <f>-K214</f>
        <v>-3343.4101196655829</v>
      </c>
      <c r="P95" s="11" t="s">
        <v>55</v>
      </c>
    </row>
    <row r="96" spans="2:16">
      <c r="B96" s="25" t="s">
        <v>45</v>
      </c>
      <c r="C96" s="124"/>
      <c r="D96" s="124"/>
      <c r="E96" s="124"/>
      <c r="F96" s="124"/>
      <c r="G96" s="125">
        <f>G69-F69</f>
        <v>10931.449178920368</v>
      </c>
      <c r="H96" s="125">
        <f>H69-G69</f>
        <v>2734.16846087663</v>
      </c>
      <c r="I96" s="125">
        <f>I69-H69</f>
        <v>3458.3401742871501</v>
      </c>
      <c r="J96" s="125">
        <f>J69-I69</f>
        <v>4941.4998658240365</v>
      </c>
      <c r="K96" s="125">
        <f>K69-J69</f>
        <v>1786.1620130047522</v>
      </c>
      <c r="P96" s="28"/>
    </row>
    <row r="97" spans="2:16">
      <c r="B97" s="28" t="s">
        <v>352</v>
      </c>
      <c r="C97" s="121"/>
      <c r="D97" s="119"/>
      <c r="E97" s="119"/>
      <c r="F97" s="119"/>
      <c r="G97" s="110">
        <f>SUM(G90:G96)</f>
        <v>90247.001445057045</v>
      </c>
      <c r="H97" s="110">
        <f>SUM(H90:H96)</f>
        <v>92242.631471023196</v>
      </c>
      <c r="I97" s="110">
        <f>SUM(I90:I96)</f>
        <v>95896.236066610611</v>
      </c>
      <c r="J97" s="110">
        <f>SUM(J90:J96)</f>
        <v>106455.97413687587</v>
      </c>
      <c r="K97" s="110">
        <f>SUM(K90:K96)</f>
        <v>108185.17111431796</v>
      </c>
    </row>
    <row r="98" spans="2:16" ht="3" customHeight="1">
      <c r="C98" s="119"/>
      <c r="D98" s="119"/>
      <c r="E98" s="119"/>
      <c r="F98" s="119"/>
      <c r="G98" s="106"/>
      <c r="H98" s="106"/>
      <c r="I98" s="106"/>
      <c r="J98" s="106"/>
      <c r="K98" s="106"/>
    </row>
    <row r="99" spans="2:16">
      <c r="B99" s="25" t="s">
        <v>283</v>
      </c>
      <c r="C99" s="124"/>
      <c r="D99" s="124"/>
      <c r="E99" s="124"/>
      <c r="F99" s="124"/>
      <c r="G99" s="125">
        <f>-(G184)</f>
        <v>-10193</v>
      </c>
      <c r="H99" s="125">
        <f>-(H184)</f>
        <v>-10249.15</v>
      </c>
      <c r="I99" s="125">
        <f>-(I184)</f>
        <v>-10769.210538290805</v>
      </c>
      <c r="J99" s="125">
        <f>-(J184)</f>
        <v>-11512.306633721644</v>
      </c>
      <c r="K99" s="125">
        <f>-(K184)</f>
        <v>-11780.907271930784</v>
      </c>
      <c r="P99" s="11" t="s">
        <v>38</v>
      </c>
    </row>
    <row r="100" spans="2:16">
      <c r="B100" s="28" t="s">
        <v>353</v>
      </c>
      <c r="C100" s="121"/>
      <c r="D100" s="119"/>
      <c r="E100" s="119"/>
      <c r="F100" s="119"/>
      <c r="G100" s="110">
        <f>IFERROR(G99,"NA")</f>
        <v>-10193</v>
      </c>
      <c r="H100" s="110">
        <f>IFERROR(H99,"NA")</f>
        <v>-10249.15</v>
      </c>
      <c r="I100" s="110">
        <f>IFERROR(I99,"NA")</f>
        <v>-10769.210538290805</v>
      </c>
      <c r="J100" s="110">
        <f>IFERROR(J99,"NA")</f>
        <v>-11512.306633721644</v>
      </c>
      <c r="K100" s="110">
        <f>IFERROR(K99,"NA")</f>
        <v>-11780.907271930784</v>
      </c>
    </row>
    <row r="101" spans="2:16" ht="3" customHeight="1">
      <c r="C101" s="119"/>
      <c r="D101" s="119"/>
      <c r="E101" s="119"/>
      <c r="F101" s="119"/>
      <c r="G101" s="106"/>
      <c r="H101" s="106"/>
      <c r="I101" s="106"/>
      <c r="J101" s="106"/>
      <c r="K101" s="106"/>
    </row>
    <row r="102" spans="2:16">
      <c r="B102" s="11" t="s">
        <v>56</v>
      </c>
      <c r="C102" s="119"/>
      <c r="D102" s="119"/>
      <c r="E102" s="119"/>
      <c r="F102" s="119"/>
      <c r="G102" s="106">
        <f>G68-F68</f>
        <v>0</v>
      </c>
      <c r="H102" s="106">
        <f>H68-G68</f>
        <v>0</v>
      </c>
      <c r="I102" s="106">
        <f>I68-H68</f>
        <v>0</v>
      </c>
      <c r="J102" s="106">
        <f>J68-I68</f>
        <v>0</v>
      </c>
      <c r="K102" s="106">
        <f>K68-J68</f>
        <v>0</v>
      </c>
    </row>
    <row r="103" spans="2:16">
      <c r="B103" s="11" t="s">
        <v>57</v>
      </c>
      <c r="C103" s="119"/>
      <c r="D103" s="119"/>
      <c r="E103" s="119"/>
      <c r="F103" s="119"/>
      <c r="G103" s="106">
        <f>G67-F67</f>
        <v>3733.25</v>
      </c>
      <c r="H103" s="106">
        <f>H67-G67</f>
        <v>0</v>
      </c>
      <c r="I103" s="106">
        <f>I67-H67</f>
        <v>0</v>
      </c>
      <c r="J103" s="106">
        <f>J67-I67</f>
        <v>0</v>
      </c>
      <c r="K103" s="106">
        <f>K67-J67</f>
        <v>0</v>
      </c>
      <c r="P103" s="11" t="s">
        <v>58</v>
      </c>
    </row>
    <row r="104" spans="2:16">
      <c r="B104" s="11" t="s">
        <v>59</v>
      </c>
      <c r="C104" s="119"/>
      <c r="D104" s="119"/>
      <c r="E104" s="119"/>
      <c r="F104" s="119"/>
      <c r="G104" s="106">
        <f>G226</f>
        <v>-72516</v>
      </c>
      <c r="H104" s="106">
        <f>H226</f>
        <v>-72516</v>
      </c>
      <c r="I104" s="106">
        <f>I226</f>
        <v>-72516</v>
      </c>
      <c r="J104" s="106">
        <f>J226</f>
        <v>-72516</v>
      </c>
      <c r="K104" s="106">
        <f>K226</f>
        <v>-72516</v>
      </c>
      <c r="P104" s="11" t="s">
        <v>50</v>
      </c>
    </row>
    <row r="105" spans="2:16">
      <c r="B105" s="25" t="s">
        <v>60</v>
      </c>
      <c r="C105" s="124"/>
      <c r="D105" s="124"/>
      <c r="E105" s="124"/>
      <c r="F105" s="124"/>
      <c r="G105" s="125">
        <f>G225</f>
        <v>-16901.050336911216</v>
      </c>
      <c r="H105" s="125">
        <f>H225</f>
        <v>-17560.132252467571</v>
      </c>
      <c r="I105" s="125">
        <f>I225</f>
        <v>-18632.039779356019</v>
      </c>
      <c r="J105" s="125">
        <f>J225</f>
        <v>-20265.1670560272</v>
      </c>
      <c r="K105" s="125">
        <f>K225</f>
        <v>-20679.534634682885</v>
      </c>
      <c r="P105" s="11" t="s">
        <v>50</v>
      </c>
    </row>
    <row r="106" spans="2:16">
      <c r="B106" s="28" t="s">
        <v>354</v>
      </c>
      <c r="C106" s="121"/>
      <c r="D106" s="119"/>
      <c r="E106" s="119"/>
      <c r="F106" s="119"/>
      <c r="G106" s="110">
        <f>SUM(G102:G105)</f>
        <v>-85683.800336911212</v>
      </c>
      <c r="H106" s="110">
        <f t="shared" ref="H106:K106" si="32">SUM(H102:H105)</f>
        <v>-90076.132252467563</v>
      </c>
      <c r="I106" s="110">
        <f t="shared" si="32"/>
        <v>-91148.039779356011</v>
      </c>
      <c r="J106" s="110">
        <f t="shared" si="32"/>
        <v>-92781.167056027203</v>
      </c>
      <c r="K106" s="110">
        <f t="shared" si="32"/>
        <v>-93195.534634682888</v>
      </c>
    </row>
    <row r="107" spans="2:16" ht="3" customHeight="1">
      <c r="B107" s="25"/>
      <c r="C107" s="124"/>
      <c r="D107" s="124"/>
      <c r="E107" s="124"/>
      <c r="F107" s="124"/>
      <c r="G107" s="125"/>
      <c r="H107" s="125"/>
      <c r="I107" s="125"/>
      <c r="J107" s="125"/>
      <c r="K107" s="125"/>
    </row>
    <row r="108" spans="2:16" ht="12" thickBot="1">
      <c r="B108" s="70" t="s">
        <v>61</v>
      </c>
      <c r="C108" s="126"/>
      <c r="D108" s="127"/>
      <c r="E108" s="127"/>
      <c r="F108" s="127"/>
      <c r="G108" s="128">
        <f>G97+G100+G106</f>
        <v>-5629.7988918541669</v>
      </c>
      <c r="H108" s="128">
        <f>H97+H100+H106</f>
        <v>-8082.6507814443612</v>
      </c>
      <c r="I108" s="128">
        <f>I97+I100+I106</f>
        <v>-6021.0142510362057</v>
      </c>
      <c r="J108" s="128">
        <f>J97+J100+J106</f>
        <v>2162.5004471270222</v>
      </c>
      <c r="K108" s="128">
        <f>K97+K100+K106</f>
        <v>3208.7292077042803</v>
      </c>
    </row>
    <row r="109" spans="2:16">
      <c r="B109" s="33"/>
      <c r="G109" s="34"/>
    </row>
    <row r="110" spans="2:16" ht="12">
      <c r="B110" s="115" t="s">
        <v>248</v>
      </c>
      <c r="C110" s="91"/>
      <c r="D110" s="91"/>
      <c r="E110" s="91"/>
      <c r="F110" s="91"/>
      <c r="G110" s="92"/>
      <c r="H110" s="91"/>
      <c r="I110" s="91"/>
      <c r="J110" s="91"/>
      <c r="K110" s="91"/>
      <c r="L110" s="91"/>
      <c r="M110" s="91"/>
      <c r="N110" s="91"/>
    </row>
    <row r="111" spans="2:16" ht="5.25" customHeight="1">
      <c r="B111" s="35"/>
    </row>
    <row r="112" spans="2:16">
      <c r="B112" s="13" t="s">
        <v>212</v>
      </c>
      <c r="C112" s="36" t="s">
        <v>213</v>
      </c>
      <c r="D112" s="37">
        <f>D18/C18-1</f>
        <v>0.15861957650261305</v>
      </c>
      <c r="E112" s="37">
        <f>E18/D18-1</f>
        <v>-2.04107758052674E-2</v>
      </c>
      <c r="F112" s="37">
        <f>F18/E18-1</f>
        <v>5.5120803769784787E-2</v>
      </c>
      <c r="G112" s="39">
        <f>+CHOOSE($C$11,G113,G114,G115)</f>
        <v>0.20061385903689422</v>
      </c>
      <c r="H112" s="39">
        <f t="shared" ref="H112:K112" si="33">+CHOOSE($C$11,H113,H114,H115)</f>
        <v>4.1793150338186313E-2</v>
      </c>
      <c r="I112" s="39">
        <f t="shared" si="33"/>
        <v>5.0741821350141825E-2</v>
      </c>
      <c r="J112" s="39">
        <f t="shared" si="33"/>
        <v>6.9001909916116988E-2</v>
      </c>
      <c r="K112" s="39">
        <f t="shared" si="33"/>
        <v>2.3331609099288553E-2</v>
      </c>
    </row>
    <row r="113" spans="2:16">
      <c r="B113" s="97" t="s">
        <v>226</v>
      </c>
      <c r="C113" s="98"/>
      <c r="D113" s="98"/>
      <c r="E113" s="99"/>
      <c r="F113" s="98"/>
      <c r="G113" s="68">
        <f>+G114+0.01</f>
        <v>0.21061385903689422</v>
      </c>
      <c r="H113" s="68">
        <f t="shared" ref="H113:K113" si="34">+H114+0.01</f>
        <v>5.1793150338186315E-2</v>
      </c>
      <c r="I113" s="68">
        <f t="shared" si="34"/>
        <v>6.0741821350141827E-2</v>
      </c>
      <c r="J113" s="68">
        <f t="shared" si="34"/>
        <v>7.9001909916116983E-2</v>
      </c>
      <c r="K113" s="68">
        <f t="shared" si="34"/>
        <v>3.3331609099288555E-2</v>
      </c>
      <c r="P113" s="11" t="s">
        <v>258</v>
      </c>
    </row>
    <row r="114" spans="2:16">
      <c r="B114" s="97" t="s">
        <v>0</v>
      </c>
      <c r="C114" s="98"/>
      <c r="D114" s="98"/>
      <c r="E114" s="100"/>
      <c r="F114" s="98"/>
      <c r="G114" s="68">
        <f>+G291</f>
        <v>0.20061385903689422</v>
      </c>
      <c r="H114" s="68">
        <f t="shared" ref="H114:K114" si="35">+H291</f>
        <v>4.1793150338186313E-2</v>
      </c>
      <c r="I114" s="68">
        <f t="shared" si="35"/>
        <v>5.0741821350141825E-2</v>
      </c>
      <c r="J114" s="68">
        <f t="shared" si="35"/>
        <v>6.9001909916116988E-2</v>
      </c>
      <c r="K114" s="68">
        <f t="shared" si="35"/>
        <v>2.3331609099288553E-2</v>
      </c>
      <c r="P114" s="11" t="s">
        <v>466</v>
      </c>
    </row>
    <row r="115" spans="2:16">
      <c r="B115" s="97" t="s">
        <v>227</v>
      </c>
      <c r="C115" s="98"/>
      <c r="D115" s="98"/>
      <c r="E115" s="99"/>
      <c r="F115" s="98"/>
      <c r="G115" s="68">
        <f>+G114-0.01</f>
        <v>0.19061385903689421</v>
      </c>
      <c r="H115" s="68">
        <f t="shared" ref="H115:K115" si="36">+H114-0.01</f>
        <v>3.1793150338186311E-2</v>
      </c>
      <c r="I115" s="68">
        <f t="shared" si="36"/>
        <v>4.0741821350141823E-2</v>
      </c>
      <c r="J115" s="68">
        <f t="shared" si="36"/>
        <v>5.9001909916116986E-2</v>
      </c>
      <c r="K115" s="68">
        <f t="shared" si="36"/>
        <v>1.3331609099288553E-2</v>
      </c>
      <c r="P115" s="11" t="s">
        <v>257</v>
      </c>
    </row>
    <row r="116" spans="2:16">
      <c r="B116" s="13"/>
      <c r="E116" s="96"/>
      <c r="G116" s="38"/>
      <c r="H116" s="38"/>
      <c r="I116" s="38"/>
      <c r="J116" s="38"/>
      <c r="K116" s="38"/>
    </row>
    <row r="117" spans="2:16">
      <c r="B117" s="13" t="s">
        <v>28</v>
      </c>
      <c r="C117" s="37">
        <f>C20/C18</f>
        <v>0.38469860491899105</v>
      </c>
      <c r="D117" s="37">
        <f>D20/D18</f>
        <v>0.38343718820007905</v>
      </c>
      <c r="E117" s="37">
        <f>E20/E18</f>
        <v>0.37817768109034722</v>
      </c>
      <c r="F117" s="37">
        <f>F20/F18</f>
        <v>0.38233247727810865</v>
      </c>
      <c r="G117" s="39">
        <f>+CHOOSE($C$11,G118,G119,G120)</f>
        <v>0.394182894997956</v>
      </c>
      <c r="H117" s="39">
        <f t="shared" ref="H117" si="37">+CHOOSE($C$11,H118,H119,H120)</f>
        <v>0.393162279501519</v>
      </c>
      <c r="I117" s="39">
        <f t="shared" ref="I117" si="38">+CHOOSE($C$11,I118,I119,I120)</f>
        <v>0.39512820003072496</v>
      </c>
      <c r="J117" s="39">
        <f t="shared" ref="J117" si="39">+CHOOSE($C$11,J118,J119,J120)</f>
        <v>0.39888261541617998</v>
      </c>
      <c r="K117" s="39">
        <f t="shared" ref="K117" si="40">+CHOOSE($C$11,K118,K119,K120)</f>
        <v>0.39800000000000002</v>
      </c>
    </row>
    <row r="118" spans="2:16">
      <c r="B118" s="97" t="s">
        <v>226</v>
      </c>
      <c r="C118" s="167"/>
      <c r="D118" s="167"/>
      <c r="E118" s="168"/>
      <c r="F118" s="167"/>
      <c r="G118" s="37">
        <f>G119+0.005</f>
        <v>0.39918289499795601</v>
      </c>
      <c r="H118" s="37">
        <f>H119+0.005</f>
        <v>0.398162279501519</v>
      </c>
      <c r="I118" s="37">
        <f t="shared" ref="I118:K118" si="41">I119+0.005</f>
        <v>0.40012820003072497</v>
      </c>
      <c r="J118" s="37">
        <f t="shared" si="41"/>
        <v>0.40388261541617998</v>
      </c>
      <c r="K118" s="37">
        <f t="shared" si="41"/>
        <v>0.40300000000000002</v>
      </c>
      <c r="P118" s="11" t="s">
        <v>259</v>
      </c>
    </row>
    <row r="119" spans="2:16">
      <c r="B119" s="97" t="s">
        <v>0</v>
      </c>
      <c r="C119" s="167"/>
      <c r="D119" s="167"/>
      <c r="E119" s="169"/>
      <c r="F119" s="167"/>
      <c r="G119" s="68">
        <f>+G292</f>
        <v>0.394182894997956</v>
      </c>
      <c r="H119" s="68">
        <f t="shared" ref="H119:K119" si="42">+H292</f>
        <v>0.393162279501519</v>
      </c>
      <c r="I119" s="68">
        <f t="shared" si="42"/>
        <v>0.39512820003072496</v>
      </c>
      <c r="J119" s="68">
        <f t="shared" si="42"/>
        <v>0.39888261541617998</v>
      </c>
      <c r="K119" s="68">
        <f t="shared" si="42"/>
        <v>0.39800000000000002</v>
      </c>
      <c r="L119" s="117"/>
      <c r="P119" s="11" t="s">
        <v>466</v>
      </c>
    </row>
    <row r="120" spans="2:16">
      <c r="B120" s="97" t="s">
        <v>227</v>
      </c>
      <c r="C120" s="167"/>
      <c r="D120" s="167"/>
      <c r="E120" s="168"/>
      <c r="F120" s="167"/>
      <c r="G120" s="37">
        <f>G119-0.005</f>
        <v>0.389182894997956</v>
      </c>
      <c r="H120" s="37">
        <f>+G120</f>
        <v>0.389182894997956</v>
      </c>
      <c r="I120" s="37">
        <f t="shared" ref="I120:K120" si="43">+H120</f>
        <v>0.389182894997956</v>
      </c>
      <c r="J120" s="37">
        <f t="shared" si="43"/>
        <v>0.389182894997956</v>
      </c>
      <c r="K120" s="37">
        <f t="shared" si="43"/>
        <v>0.389182894997956</v>
      </c>
      <c r="P120" s="11" t="s">
        <v>260</v>
      </c>
    </row>
    <row r="121" spans="2:16">
      <c r="B121" s="13"/>
      <c r="E121" s="96"/>
      <c r="G121" s="69"/>
      <c r="H121" s="69"/>
      <c r="I121" s="69"/>
      <c r="J121" s="69"/>
      <c r="K121" s="69"/>
    </row>
    <row r="122" spans="2:16">
      <c r="B122" s="13" t="s">
        <v>221</v>
      </c>
      <c r="C122" s="37">
        <f>-C21/C18</f>
        <v>5.0520428906706681E-2</v>
      </c>
      <c r="D122" s="37">
        <f>-D21/D18</f>
        <v>5.3600406634161032E-2</v>
      </c>
      <c r="E122" s="37">
        <f>-E21/E18</f>
        <v>6.233136285716482E-2</v>
      </c>
      <c r="F122" s="37">
        <f>-F21/F18</f>
        <v>6.8309564140393061E-2</v>
      </c>
      <c r="G122" s="39">
        <f>+CHOOSE($C$11,G123,G124,G125)</f>
        <v>6.8309564140393061E-2</v>
      </c>
      <c r="H122" s="39">
        <f t="shared" ref="H122" si="44">+CHOOSE($C$11,H123,H124,H125)</f>
        <v>6.8309564140393061E-2</v>
      </c>
      <c r="I122" s="39">
        <f t="shared" ref="I122" si="45">+CHOOSE($C$11,I123,I124,I125)</f>
        <v>6.8309564140393061E-2</v>
      </c>
      <c r="J122" s="39">
        <f t="shared" ref="J122" si="46">+CHOOSE($C$11,J123,J124,J125)</f>
        <v>6.8309564140393061E-2</v>
      </c>
      <c r="K122" s="39">
        <f t="shared" ref="K122" si="47">+CHOOSE($C$11,K123,K124,K125)</f>
        <v>6.8309564140393061E-2</v>
      </c>
    </row>
    <row r="123" spans="2:16">
      <c r="B123" s="97" t="s">
        <v>226</v>
      </c>
      <c r="C123" s="98"/>
      <c r="D123" s="98"/>
      <c r="E123" s="99"/>
      <c r="F123" s="98"/>
      <c r="G123" s="37">
        <f>G124-0.01</f>
        <v>5.830956414039306E-2</v>
      </c>
      <c r="H123" s="37">
        <f>+G123</f>
        <v>5.830956414039306E-2</v>
      </c>
      <c r="I123" s="37">
        <f t="shared" ref="I123:K123" si="48">+H123</f>
        <v>5.830956414039306E-2</v>
      </c>
      <c r="J123" s="37">
        <f t="shared" si="48"/>
        <v>5.830956414039306E-2</v>
      </c>
      <c r="K123" s="37">
        <f t="shared" si="48"/>
        <v>5.830956414039306E-2</v>
      </c>
      <c r="P123" s="11" t="s">
        <v>249</v>
      </c>
    </row>
    <row r="124" spans="2:16">
      <c r="B124" s="97" t="s">
        <v>0</v>
      </c>
      <c r="C124" s="98"/>
      <c r="D124" s="98"/>
      <c r="E124" s="100"/>
      <c r="F124" s="98"/>
      <c r="G124" s="68">
        <f>+F122</f>
        <v>6.8309564140393061E-2</v>
      </c>
      <c r="H124" s="68">
        <f>+G124</f>
        <v>6.8309564140393061E-2</v>
      </c>
      <c r="I124" s="68">
        <f t="shared" ref="I124:K125" si="49">+H124</f>
        <v>6.8309564140393061E-2</v>
      </c>
      <c r="J124" s="68">
        <f t="shared" si="49"/>
        <v>6.8309564140393061E-2</v>
      </c>
      <c r="K124" s="68">
        <f t="shared" si="49"/>
        <v>6.8309564140393061E-2</v>
      </c>
      <c r="P124" s="11" t="s">
        <v>251</v>
      </c>
    </row>
    <row r="125" spans="2:16">
      <c r="B125" s="97" t="s">
        <v>227</v>
      </c>
      <c r="C125" s="98"/>
      <c r="D125" s="98"/>
      <c r="E125" s="99"/>
      <c r="F125" s="98"/>
      <c r="G125" s="37">
        <f>G124+0.01</f>
        <v>7.8309564140393056E-2</v>
      </c>
      <c r="H125" s="37">
        <f>+G125</f>
        <v>7.8309564140393056E-2</v>
      </c>
      <c r="I125" s="37">
        <f t="shared" si="49"/>
        <v>7.8309564140393056E-2</v>
      </c>
      <c r="J125" s="37">
        <f t="shared" si="49"/>
        <v>7.8309564140393056E-2</v>
      </c>
      <c r="K125" s="37">
        <f t="shared" si="49"/>
        <v>7.8309564140393056E-2</v>
      </c>
      <c r="P125" s="11" t="s">
        <v>250</v>
      </c>
    </row>
    <row r="126" spans="2:16">
      <c r="B126" s="13"/>
      <c r="E126" s="96"/>
      <c r="G126" s="69"/>
      <c r="H126" s="69"/>
      <c r="I126" s="69"/>
      <c r="J126" s="69"/>
      <c r="K126" s="69"/>
    </row>
    <row r="127" spans="2:16">
      <c r="B127" s="13" t="s">
        <v>222</v>
      </c>
      <c r="C127" s="37">
        <f>-C22/C18</f>
        <v>6.6573893924984945E-2</v>
      </c>
      <c r="D127" s="37">
        <f>-D22/D18</f>
        <v>6.2896515371147807E-2</v>
      </c>
      <c r="E127" s="37">
        <f>-E22/E18</f>
        <v>7.0126146348213125E-2</v>
      </c>
      <c r="F127" s="37">
        <f>-F22/F18</f>
        <v>7.2549769593646979E-2</v>
      </c>
      <c r="G127" s="39">
        <f>+CHOOSE($C$11,G128,G129,G130)</f>
        <v>7.2549769593646979E-2</v>
      </c>
      <c r="H127" s="39">
        <f t="shared" ref="H127" si="50">+CHOOSE($C$11,H128,H129,H130)</f>
        <v>7.2549769593646979E-2</v>
      </c>
      <c r="I127" s="39">
        <f t="shared" ref="I127" si="51">+CHOOSE($C$11,I128,I129,I130)</f>
        <v>7.2549769593646979E-2</v>
      </c>
      <c r="J127" s="39">
        <f t="shared" ref="J127" si="52">+CHOOSE($C$11,J128,J129,J130)</f>
        <v>7.2549769593646979E-2</v>
      </c>
      <c r="K127" s="39">
        <f t="shared" ref="K127" si="53">+CHOOSE($C$11,K128,K129,K130)</f>
        <v>7.2549769593646979E-2</v>
      </c>
    </row>
    <row r="128" spans="2:16">
      <c r="B128" s="97" t="s">
        <v>226</v>
      </c>
      <c r="C128" s="98"/>
      <c r="D128" s="98"/>
      <c r="E128" s="99"/>
      <c r="F128" s="98"/>
      <c r="G128" s="37">
        <f>G129-0.01</f>
        <v>6.2549769593646984E-2</v>
      </c>
      <c r="H128" s="37">
        <f>+G128</f>
        <v>6.2549769593646984E-2</v>
      </c>
      <c r="I128" s="37">
        <f t="shared" ref="I128:K128" si="54">+H128</f>
        <v>6.2549769593646984E-2</v>
      </c>
      <c r="J128" s="37">
        <f t="shared" si="54"/>
        <v>6.2549769593646984E-2</v>
      </c>
      <c r="K128" s="37">
        <f t="shared" si="54"/>
        <v>6.2549769593646984E-2</v>
      </c>
      <c r="P128" s="11" t="s">
        <v>249</v>
      </c>
    </row>
    <row r="129" spans="2:16">
      <c r="B129" s="97" t="s">
        <v>0</v>
      </c>
      <c r="C129" s="98"/>
      <c r="D129" s="98"/>
      <c r="E129" s="100"/>
      <c r="F129" s="98"/>
      <c r="G129" s="68">
        <f>+F127</f>
        <v>7.2549769593646979E-2</v>
      </c>
      <c r="H129" s="68">
        <f>+G129</f>
        <v>7.2549769593646979E-2</v>
      </c>
      <c r="I129" s="68">
        <f t="shared" ref="I129:K130" si="55">+H129</f>
        <v>7.2549769593646979E-2</v>
      </c>
      <c r="J129" s="68">
        <f t="shared" si="55"/>
        <v>7.2549769593646979E-2</v>
      </c>
      <c r="K129" s="68">
        <f t="shared" si="55"/>
        <v>7.2549769593646979E-2</v>
      </c>
      <c r="P129" s="11" t="s">
        <v>251</v>
      </c>
    </row>
    <row r="130" spans="2:16">
      <c r="B130" s="97" t="s">
        <v>227</v>
      </c>
      <c r="C130" s="98"/>
      <c r="D130" s="98"/>
      <c r="E130" s="99"/>
      <c r="F130" s="98"/>
      <c r="G130" s="37">
        <f>G129+0.01</f>
        <v>8.2549769593646974E-2</v>
      </c>
      <c r="H130" s="37">
        <f>+G130</f>
        <v>8.2549769593646974E-2</v>
      </c>
      <c r="I130" s="37">
        <f t="shared" si="55"/>
        <v>8.2549769593646974E-2</v>
      </c>
      <c r="J130" s="37">
        <f t="shared" si="55"/>
        <v>8.2549769593646974E-2</v>
      </c>
      <c r="K130" s="37">
        <f t="shared" si="55"/>
        <v>8.2549769593646974E-2</v>
      </c>
      <c r="P130" s="11" t="s">
        <v>250</v>
      </c>
    </row>
    <row r="131" spans="2:16">
      <c r="B131" s="33"/>
      <c r="C131" s="33"/>
      <c r="G131" s="34"/>
    </row>
    <row r="132" spans="2:16">
      <c r="B132" s="13" t="s">
        <v>31</v>
      </c>
      <c r="C132" s="37">
        <f>-(C28/C27)</f>
        <v>0.24556476150353415</v>
      </c>
      <c r="D132" s="37">
        <f>-(D28/D27)</f>
        <v>0.18342180705869443</v>
      </c>
      <c r="E132" s="37">
        <f>-(E28/E27)</f>
        <v>0.15943836804235059</v>
      </c>
      <c r="F132" s="37">
        <f>-(F28/F27)</f>
        <v>0.14428164731484103</v>
      </c>
      <c r="G132" s="39">
        <f>F132</f>
        <v>0.14428164731484103</v>
      </c>
      <c r="H132" s="39">
        <f t="shared" ref="H132:K132" si="56">G132</f>
        <v>0.14428164731484103</v>
      </c>
      <c r="I132" s="39">
        <f t="shared" si="56"/>
        <v>0.14428164731484103</v>
      </c>
      <c r="J132" s="39">
        <f t="shared" si="56"/>
        <v>0.14428164731484103</v>
      </c>
      <c r="K132" s="39">
        <f t="shared" si="56"/>
        <v>0.14428164731484103</v>
      </c>
      <c r="P132" s="11" t="s">
        <v>223</v>
      </c>
    </row>
    <row r="133" spans="2:16">
      <c r="B133" s="33"/>
      <c r="C133" s="33"/>
      <c r="G133" s="34"/>
    </row>
    <row r="134" spans="2:16">
      <c r="B134" s="93" t="s">
        <v>33</v>
      </c>
      <c r="C134" s="91"/>
      <c r="D134" s="91"/>
      <c r="E134" s="91"/>
      <c r="F134" s="91"/>
      <c r="G134" s="104"/>
      <c r="H134" s="10"/>
      <c r="I134" s="10"/>
      <c r="J134" s="10"/>
      <c r="K134" s="10"/>
      <c r="L134" s="91"/>
      <c r="M134" s="91"/>
      <c r="N134" s="91"/>
    </row>
    <row r="135" spans="2:16">
      <c r="D135" s="53"/>
      <c r="E135" s="53"/>
      <c r="F135" s="53"/>
      <c r="G135" s="53"/>
      <c r="H135" s="53"/>
      <c r="I135" s="53"/>
      <c r="J135" s="53"/>
      <c r="K135" s="42"/>
    </row>
    <row r="136" spans="2:16">
      <c r="B136" s="33" t="s">
        <v>62</v>
      </c>
      <c r="C136" s="121"/>
      <c r="D136" s="121"/>
      <c r="E136" s="121"/>
      <c r="F136" s="121"/>
      <c r="G136" s="106">
        <f>F138</f>
        <v>16120</v>
      </c>
      <c r="H136" s="106">
        <f>G138</f>
        <v>19353.895407674736</v>
      </c>
      <c r="I136" s="106">
        <f>H138</f>
        <v>20162.755668077221</v>
      </c>
      <c r="J136" s="106">
        <f>I138</f>
        <v>21185.850614113355</v>
      </c>
      <c r="K136" s="106">
        <f>J138</f>
        <v>22647.714769684717</v>
      </c>
    </row>
    <row r="137" spans="2:16">
      <c r="B137" s="136" t="s">
        <v>306</v>
      </c>
      <c r="C137" s="190"/>
      <c r="D137" s="190"/>
      <c r="E137" s="190"/>
      <c r="F137" s="190"/>
      <c r="G137" s="125">
        <f>G138-G136</f>
        <v>3233.8954076747359</v>
      </c>
      <c r="H137" s="125">
        <f>H138-H136</f>
        <v>808.86026040248544</v>
      </c>
      <c r="I137" s="125">
        <f>I138-I136</f>
        <v>1023.0949460361335</v>
      </c>
      <c r="J137" s="125">
        <f>J138-J136</f>
        <v>1461.8641555713621</v>
      </c>
      <c r="K137" s="125">
        <f>K138-K136</f>
        <v>528.40762799846925</v>
      </c>
    </row>
    <row r="138" spans="2:16">
      <c r="B138" s="50" t="s">
        <v>275</v>
      </c>
      <c r="C138" s="110">
        <f>+C56</f>
        <v>17874</v>
      </c>
      <c r="D138" s="110">
        <f>+D56</f>
        <v>23186</v>
      </c>
      <c r="E138" s="110">
        <f>+E56</f>
        <v>22926</v>
      </c>
      <c r="F138" s="110">
        <f>+F56</f>
        <v>16120</v>
      </c>
      <c r="G138" s="110">
        <f>IF($F$142=1,F138*(1+G144),2*G18*G145/365-G136)</f>
        <v>19353.895407674736</v>
      </c>
      <c r="H138" s="110">
        <f>IF($F$142=1,G138*(1+H144),2*H18*H145/365-H136)</f>
        <v>20162.755668077221</v>
      </c>
      <c r="I138" s="110">
        <f>IF($F$142=1,H138*(1+I144),2*I18*I145/365-I136)</f>
        <v>21185.850614113355</v>
      </c>
      <c r="J138" s="110">
        <f>IF($F$142=1,I138*(1+J144),2*J18*J145/365-J136)</f>
        <v>22647.714769684717</v>
      </c>
      <c r="K138" s="110">
        <f>IF($F$142=1,J138*(1+K144),2*K18*K145/365-K136)</f>
        <v>23176.122397683186</v>
      </c>
    </row>
    <row r="139" spans="2:16">
      <c r="F139" s="182"/>
      <c r="K139" s="42"/>
    </row>
    <row r="140" spans="2:16">
      <c r="B140" s="33" t="s">
        <v>307</v>
      </c>
      <c r="C140" s="121"/>
      <c r="D140" s="37">
        <f t="shared" ref="D140:K140" si="57">AVERAGE(C138:D138)/D18</f>
        <v>7.729814190779194E-2</v>
      </c>
      <c r="E140" s="37">
        <f t="shared" si="57"/>
        <v>8.8617617440635885E-2</v>
      </c>
      <c r="F140" s="37">
        <f t="shared" si="57"/>
        <v>7.1118153834945269E-2</v>
      </c>
      <c r="G140" s="37">
        <f t="shared" si="57"/>
        <v>5.3815756945740902E-2</v>
      </c>
      <c r="H140" s="37">
        <f t="shared" si="57"/>
        <v>5.754388860795881E-2</v>
      </c>
      <c r="I140" s="37">
        <f t="shared" si="57"/>
        <v>5.7303867195126625E-2</v>
      </c>
      <c r="J140" s="37">
        <f t="shared" si="57"/>
        <v>5.6826560702499723E-2</v>
      </c>
      <c r="K140" s="37">
        <f t="shared" si="57"/>
        <v>5.8052327811562263E-2</v>
      </c>
    </row>
    <row r="141" spans="2:16">
      <c r="D141" s="53"/>
      <c r="E141" s="53"/>
      <c r="F141" s="53"/>
      <c r="G141" s="53"/>
      <c r="H141" s="53"/>
      <c r="I141" s="53"/>
      <c r="J141" s="53"/>
      <c r="K141" s="42"/>
    </row>
    <row r="142" spans="2:16">
      <c r="B142" s="50" t="s">
        <v>318</v>
      </c>
      <c r="D142" s="53"/>
      <c r="E142" s="53"/>
      <c r="F142" s="183">
        <v>1</v>
      </c>
      <c r="G142" s="53"/>
      <c r="H142" s="53"/>
      <c r="I142" s="53"/>
      <c r="J142" s="53"/>
      <c r="K142" s="42"/>
    </row>
    <row r="143" spans="2:16">
      <c r="B143" s="28"/>
      <c r="C143" s="28"/>
      <c r="D143" s="53"/>
      <c r="E143" s="53"/>
      <c r="F143" s="53"/>
      <c r="G143" s="53"/>
      <c r="H143" s="53"/>
      <c r="I143" s="53"/>
      <c r="J143" s="53"/>
      <c r="K143" s="42"/>
    </row>
    <row r="144" spans="2:16">
      <c r="B144" s="191" t="s">
        <v>308</v>
      </c>
      <c r="D144" s="53">
        <f t="shared" ref="D144:K144" si="58">D112</f>
        <v>0.15861957650261305</v>
      </c>
      <c r="E144" s="53">
        <f t="shared" si="58"/>
        <v>-2.04107758052674E-2</v>
      </c>
      <c r="F144" s="53">
        <f t="shared" si="58"/>
        <v>5.5120803769784787E-2</v>
      </c>
      <c r="G144" s="39">
        <f t="shared" si="58"/>
        <v>0.20061385903689422</v>
      </c>
      <c r="H144" s="39">
        <f t="shared" si="58"/>
        <v>4.1793150338186313E-2</v>
      </c>
      <c r="I144" s="39">
        <f t="shared" si="58"/>
        <v>5.0741821350141825E-2</v>
      </c>
      <c r="J144" s="39">
        <f t="shared" si="58"/>
        <v>6.9001909916116988E-2</v>
      </c>
      <c r="K144" s="39">
        <f t="shared" si="58"/>
        <v>2.3331609099288553E-2</v>
      </c>
    </row>
    <row r="145" spans="2:17">
      <c r="B145" s="191" t="s">
        <v>309</v>
      </c>
      <c r="D145" s="184">
        <f>D140*365</f>
        <v>28.213821796344057</v>
      </c>
      <c r="E145" s="184">
        <f>E140*365</f>
        <v>32.345430365832101</v>
      </c>
      <c r="F145" s="184">
        <f>F140*365</f>
        <v>25.958126149755024</v>
      </c>
      <c r="G145" s="185">
        <f>+AVERAGE(D145:F145)</f>
        <v>28.839126103977062</v>
      </c>
      <c r="H145" s="185">
        <f t="shared" ref="H145:J145" si="59">+G145</f>
        <v>28.839126103977062</v>
      </c>
      <c r="I145" s="185">
        <f t="shared" si="59"/>
        <v>28.839126103977062</v>
      </c>
      <c r="J145" s="185">
        <f t="shared" si="59"/>
        <v>28.839126103977062</v>
      </c>
      <c r="K145" s="185">
        <f t="shared" ref="K145" si="60">+J145</f>
        <v>28.839126103977062</v>
      </c>
    </row>
    <row r="146" spans="2:17">
      <c r="K146" s="42"/>
      <c r="Q146" s="106"/>
    </row>
    <row r="147" spans="2:17">
      <c r="B147" s="93" t="s">
        <v>35</v>
      </c>
      <c r="C147" s="91"/>
      <c r="D147" s="91"/>
      <c r="E147" s="91"/>
      <c r="F147" s="91"/>
      <c r="G147" s="104"/>
      <c r="H147" s="10"/>
      <c r="I147" s="10"/>
      <c r="J147" s="10"/>
      <c r="K147" s="10"/>
      <c r="L147" s="91"/>
      <c r="M147" s="91"/>
      <c r="N147" s="91"/>
    </row>
    <row r="148" spans="2:17">
      <c r="D148" s="53"/>
      <c r="E148" s="53"/>
      <c r="F148" s="53"/>
      <c r="G148" s="53"/>
      <c r="H148" s="53"/>
      <c r="I148" s="53"/>
      <c r="J148" s="53"/>
      <c r="K148" s="42"/>
    </row>
    <row r="149" spans="2:17">
      <c r="B149" s="33" t="s">
        <v>62</v>
      </c>
      <c r="C149" s="121"/>
      <c r="D149" s="121"/>
      <c r="E149" s="121"/>
      <c r="F149" s="121"/>
      <c r="G149" s="106">
        <f>F151</f>
        <v>4061</v>
      </c>
      <c r="H149" s="106">
        <f>G151</f>
        <v>5014.8703392942498</v>
      </c>
      <c r="I149" s="106">
        <f>H151</f>
        <v>4245.7692025491033</v>
      </c>
      <c r="J149" s="106">
        <f>I151</f>
        <v>5242.400631406028</v>
      </c>
      <c r="K149" s="106">
        <f>J151</f>
        <v>4623.0483562625177</v>
      </c>
    </row>
    <row r="150" spans="2:17">
      <c r="B150" s="49" t="s">
        <v>306</v>
      </c>
      <c r="C150" s="190"/>
      <c r="D150" s="190"/>
      <c r="E150" s="190"/>
      <c r="F150" s="190"/>
      <c r="G150" s="125">
        <f>G151-G149</f>
        <v>953.87033929424979</v>
      </c>
      <c r="H150" s="125">
        <f>H151-H149</f>
        <v>-769.1011367451465</v>
      </c>
      <c r="I150" s="125">
        <f>I151-I149</f>
        <v>996.63142885692469</v>
      </c>
      <c r="J150" s="125">
        <f>J151-J149</f>
        <v>-619.35227514351027</v>
      </c>
      <c r="K150" s="125">
        <f>K151-K149</f>
        <v>653.71803747496051</v>
      </c>
    </row>
    <row r="151" spans="2:17">
      <c r="B151" s="33" t="s">
        <v>65</v>
      </c>
      <c r="C151" s="110">
        <f>+C57</f>
        <v>4855</v>
      </c>
      <c r="D151" s="110">
        <f>+D57</f>
        <v>3956</v>
      </c>
      <c r="E151" s="110">
        <f>+E57</f>
        <v>4106</v>
      </c>
      <c r="F151" s="110">
        <f>+F57</f>
        <v>4061</v>
      </c>
      <c r="G151" s="110">
        <f>IF($F$153=1,-G155*G19,2*(-G19/G156)-G149)</f>
        <v>5014.8703392942498</v>
      </c>
      <c r="H151" s="110">
        <f>IF($F$153=1,-H155*H19,2*(-H19/H156)-H149)</f>
        <v>4245.7692025491033</v>
      </c>
      <c r="I151" s="110">
        <f>IF($F$153=1,-I155*I19,2*(-I19/I156)-I149)</f>
        <v>5242.400631406028</v>
      </c>
      <c r="J151" s="110">
        <f>IF($F$153=1,-J155*J19,2*(-J19/J156)-J149)</f>
        <v>4623.0483562625177</v>
      </c>
      <c r="K151" s="110">
        <f>IF($F$153=1,-K155*K19,2*(-K19/K156)-K149)</f>
        <v>5276.7663937374782</v>
      </c>
    </row>
    <row r="153" spans="2:17">
      <c r="B153" s="33" t="s">
        <v>310</v>
      </c>
      <c r="D153" s="53"/>
      <c r="E153" s="53"/>
      <c r="F153" s="183">
        <v>2</v>
      </c>
    </row>
    <row r="155" spans="2:17">
      <c r="B155" s="33" t="s">
        <v>311</v>
      </c>
      <c r="D155" s="53">
        <f>-(AVERAGE(C151:D151)/D19)</f>
        <v>2.6902831041305357E-2</v>
      </c>
      <c r="E155" s="53">
        <f>-(AVERAGE(D151:E151)/E19)</f>
        <v>2.4916245317773301E-2</v>
      </c>
      <c r="F155" s="53">
        <f>-(AVERAGE(E151:F151)/F19)</f>
        <v>2.4083062532805691E-2</v>
      </c>
      <c r="G155" s="39">
        <f>F155</f>
        <v>2.4083062532805691E-2</v>
      </c>
      <c r="H155" s="39">
        <f>G155</f>
        <v>2.4083062532805691E-2</v>
      </c>
      <c r="I155" s="39">
        <f>H155</f>
        <v>2.4083062532805691E-2</v>
      </c>
      <c r="J155" s="39">
        <f>I155</f>
        <v>2.4083062532805691E-2</v>
      </c>
      <c r="K155" s="39">
        <f>J155</f>
        <v>2.4083062532805691E-2</v>
      </c>
    </row>
    <row r="156" spans="2:17">
      <c r="B156" s="33" t="s">
        <v>322</v>
      </c>
      <c r="D156" s="186">
        <f>-(D19/AVERAGE(C151:D151))</f>
        <v>37.170809215753039</v>
      </c>
      <c r="E156" s="186">
        <f>-(E19/AVERAGE(D151:E151))</f>
        <v>40.134457950880673</v>
      </c>
      <c r="F156" s="186">
        <f>-(F19/AVERAGE(E151:F151))</f>
        <v>41.52295824660218</v>
      </c>
      <c r="G156" s="193">
        <v>44</v>
      </c>
      <c r="H156" s="193">
        <v>45</v>
      </c>
      <c r="I156" s="193">
        <v>46</v>
      </c>
      <c r="J156" s="193">
        <v>47</v>
      </c>
      <c r="K156" s="193">
        <v>48</v>
      </c>
      <c r="P156" s="11" t="s">
        <v>323</v>
      </c>
    </row>
    <row r="157" spans="2:17">
      <c r="E157" s="192"/>
      <c r="F157" s="192"/>
      <c r="K157" s="42"/>
    </row>
    <row r="158" spans="2:17">
      <c r="B158" s="93" t="s">
        <v>41</v>
      </c>
      <c r="C158" s="91"/>
      <c r="D158" s="91"/>
      <c r="E158" s="91"/>
      <c r="F158" s="91"/>
      <c r="G158" s="104"/>
      <c r="H158" s="10"/>
      <c r="I158" s="10"/>
      <c r="J158" s="10"/>
      <c r="K158" s="10"/>
      <c r="L158" s="91"/>
      <c r="M158" s="91"/>
      <c r="N158" s="91"/>
    </row>
    <row r="159" spans="2:17">
      <c r="D159" s="53"/>
      <c r="E159" s="53"/>
      <c r="F159" s="53"/>
      <c r="G159" s="53"/>
      <c r="H159" s="53"/>
      <c r="I159" s="53"/>
      <c r="J159" s="53"/>
      <c r="K159" s="42"/>
    </row>
    <row r="160" spans="2:17">
      <c r="B160" s="33" t="s">
        <v>62</v>
      </c>
      <c r="C160" s="121"/>
      <c r="D160" s="121"/>
      <c r="E160" s="121"/>
      <c r="F160" s="121"/>
      <c r="G160" s="106">
        <f>F162</f>
        <v>42296</v>
      </c>
      <c r="H160" s="106">
        <f>G162</f>
        <v>44329.205127888141</v>
      </c>
      <c r="I160" s="106">
        <f>H162</f>
        <v>46460.148176432391</v>
      </c>
      <c r="J160" s="106">
        <f>I162</f>
        <v>48693.527491610308</v>
      </c>
      <c r="K160" s="106">
        <f>J162</f>
        <v>51034.267272934885</v>
      </c>
    </row>
    <row r="161" spans="2:16">
      <c r="B161" s="136" t="s">
        <v>306</v>
      </c>
      <c r="C161" s="190"/>
      <c r="D161" s="190"/>
      <c r="E161" s="190"/>
      <c r="F161" s="190"/>
      <c r="G161" s="125">
        <f>G162-G160</f>
        <v>2033.2051278881409</v>
      </c>
      <c r="H161" s="125">
        <f>H162-H160</f>
        <v>2130.9430485442499</v>
      </c>
      <c r="I161" s="125">
        <f>I162-I160</f>
        <v>2233.3793151779173</v>
      </c>
      <c r="J161" s="125">
        <f>J162-J160</f>
        <v>2340.7397813245771</v>
      </c>
      <c r="K161" s="125">
        <f>K162-K160</f>
        <v>2453.2611574934999</v>
      </c>
    </row>
    <row r="162" spans="2:16">
      <c r="B162" s="50" t="s">
        <v>275</v>
      </c>
      <c r="C162" s="110">
        <f>+C64</f>
        <v>44242</v>
      </c>
      <c r="D162" s="110">
        <f>+D64</f>
        <v>55888</v>
      </c>
      <c r="E162" s="110">
        <f>+E64</f>
        <v>46236</v>
      </c>
      <c r="F162" s="110">
        <f>+F64</f>
        <v>42296</v>
      </c>
      <c r="G162" s="110">
        <f>IF($F$166=1,F162*(1+G168),2*-(G19*G169/365)-G160)</f>
        <v>44329.205127888141</v>
      </c>
      <c r="H162" s="110">
        <f>IF($F$166=1,G162*(1+H168),2*-(H19*H169/365)-H160)</f>
        <v>46460.148176432391</v>
      </c>
      <c r="I162" s="110">
        <f>IF($F$166=1,H162*(1+I168),2*-(I19*I169/365)-I160)</f>
        <v>48693.527491610308</v>
      </c>
      <c r="J162" s="110">
        <f>IF($F$166=1,I162*(1+J168),2*-(J19*J169/365)-J160)</f>
        <v>51034.267272934885</v>
      </c>
      <c r="K162" s="110">
        <f>IF($F$166=1,J162*(1+K168),2*-(K19*K169/365)-K160)</f>
        <v>53487.528430428385</v>
      </c>
    </row>
    <row r="163" spans="2:16">
      <c r="F163" s="182"/>
      <c r="K163" s="42"/>
    </row>
    <row r="164" spans="2:16">
      <c r="B164" s="33" t="s">
        <v>321</v>
      </c>
      <c r="C164" s="121"/>
      <c r="D164" s="37">
        <f t="shared" ref="D164:K164" si="61">-AVERAGE(C162:D162)/D19</f>
        <v>0.30572925572192777</v>
      </c>
      <c r="E164" s="37">
        <f t="shared" si="61"/>
        <v>0.31562225711142156</v>
      </c>
      <c r="F164" s="37">
        <f t="shared" si="61"/>
        <v>0.26106546983645812</v>
      </c>
      <c r="G164" s="37">
        <f t="shared" si="61"/>
        <v>0.21692185855428939</v>
      </c>
      <c r="H164" s="37">
        <f t="shared" si="61"/>
        <v>0.21786197113324421</v>
      </c>
      <c r="I164" s="37">
        <f t="shared" si="61"/>
        <v>0.21801445409354617</v>
      </c>
      <c r="J164" s="37">
        <f t="shared" si="61"/>
        <v>0.21508073037182451</v>
      </c>
      <c r="K164" s="37">
        <f t="shared" si="61"/>
        <v>0.21995738965587569</v>
      </c>
    </row>
    <row r="165" spans="2:16">
      <c r="D165" s="53"/>
      <c r="E165" s="53"/>
      <c r="F165" s="53"/>
      <c r="G165" s="53"/>
      <c r="H165" s="53"/>
      <c r="I165" s="53"/>
      <c r="J165" s="53"/>
      <c r="K165" s="42"/>
    </row>
    <row r="166" spans="2:16">
      <c r="B166" s="50" t="s">
        <v>318</v>
      </c>
      <c r="D166" s="53"/>
      <c r="E166" s="53"/>
      <c r="F166" s="183">
        <v>1</v>
      </c>
      <c r="G166" s="53"/>
      <c r="H166" s="53"/>
      <c r="I166" s="53"/>
      <c r="J166" s="53"/>
      <c r="K166" s="42"/>
    </row>
    <row r="167" spans="2:16">
      <c r="B167" s="28"/>
      <c r="C167" s="28"/>
      <c r="D167" s="53"/>
      <c r="E167" s="53"/>
      <c r="F167" s="53"/>
      <c r="G167" s="53"/>
      <c r="H167" s="53"/>
      <c r="I167" s="53"/>
      <c r="J167" s="53"/>
      <c r="K167" s="42"/>
    </row>
    <row r="168" spans="2:16">
      <c r="B168" s="191" t="s">
        <v>319</v>
      </c>
      <c r="D168" s="53">
        <f>D19/C19-1</f>
        <v>0.16099483863649255</v>
      </c>
      <c r="E168" s="53">
        <f>E19/D19-1</f>
        <v>-1.2054520139720082E-2</v>
      </c>
      <c r="F168" s="53">
        <f>F19/E19-1</f>
        <v>4.8070860787973846E-2</v>
      </c>
      <c r="G168" s="39">
        <f>F168</f>
        <v>4.8070860787973846E-2</v>
      </c>
      <c r="H168" s="39">
        <f>G168</f>
        <v>4.8070860787973846E-2</v>
      </c>
      <c r="I168" s="39">
        <f>H168</f>
        <v>4.8070860787973846E-2</v>
      </c>
      <c r="J168" s="39">
        <f>I168</f>
        <v>4.8070860787973846E-2</v>
      </c>
      <c r="K168" s="39">
        <f>J168</f>
        <v>4.8070860787973846E-2</v>
      </c>
    </row>
    <row r="169" spans="2:16">
      <c r="B169" s="191" t="s">
        <v>320</v>
      </c>
      <c r="D169" s="184">
        <f>D164*365</f>
        <v>111.59117833850364</v>
      </c>
      <c r="E169" s="184">
        <f>E164*365</f>
        <v>115.20212384566886</v>
      </c>
      <c r="F169" s="184">
        <f>F164*365</f>
        <v>95.288896490307209</v>
      </c>
      <c r="G169" s="185">
        <f>+AVERAGE(D169:F169)</f>
        <v>107.36073289149323</v>
      </c>
      <c r="H169" s="185">
        <f t="shared" ref="H169:K169" si="62">+G169</f>
        <v>107.36073289149323</v>
      </c>
      <c r="I169" s="185">
        <f t="shared" si="62"/>
        <v>107.36073289149323</v>
      </c>
      <c r="J169" s="185">
        <f t="shared" si="62"/>
        <v>107.36073289149323</v>
      </c>
      <c r="K169" s="185">
        <f t="shared" si="62"/>
        <v>107.36073289149323</v>
      </c>
      <c r="P169" s="11" t="s">
        <v>326</v>
      </c>
    </row>
    <row r="170" spans="2:16">
      <c r="K170" s="42"/>
    </row>
    <row r="171" spans="2:16">
      <c r="B171" s="93" t="s">
        <v>325</v>
      </c>
      <c r="C171" s="91"/>
      <c r="D171" s="91"/>
      <c r="E171" s="91"/>
      <c r="F171" s="91"/>
      <c r="G171" s="104"/>
      <c r="H171" s="10"/>
      <c r="I171" s="10"/>
      <c r="J171" s="10"/>
      <c r="K171" s="10"/>
      <c r="L171" s="91"/>
      <c r="M171" s="91"/>
      <c r="N171" s="91"/>
    </row>
    <row r="172" spans="2:16">
      <c r="B172" s="26"/>
      <c r="C172" s="12"/>
      <c r="D172" s="12"/>
      <c r="E172" s="12"/>
      <c r="F172" s="12"/>
      <c r="G172" s="12"/>
      <c r="H172" s="12"/>
      <c r="I172" s="12"/>
      <c r="J172" s="12"/>
      <c r="K172" s="42"/>
    </row>
    <row r="173" spans="2:16">
      <c r="B173" s="11" t="s">
        <v>312</v>
      </c>
      <c r="C173" s="121"/>
      <c r="D173" s="184">
        <f t="shared" ref="D173:J173" si="63">365*AVERAGE(C56:D56)/D18</f>
        <v>28.213821796344057</v>
      </c>
      <c r="E173" s="184">
        <f t="shared" si="63"/>
        <v>32.345430365832094</v>
      </c>
      <c r="F173" s="184">
        <f t="shared" si="63"/>
        <v>25.958126149755021</v>
      </c>
      <c r="G173" s="184">
        <f t="shared" si="63"/>
        <v>19.64275128519543</v>
      </c>
      <c r="H173" s="184">
        <f t="shared" si="63"/>
        <v>21.003519341904966</v>
      </c>
      <c r="I173" s="184">
        <f t="shared" si="63"/>
        <v>20.915911526221219</v>
      </c>
      <c r="J173" s="184">
        <f t="shared" si="63"/>
        <v>20.741694656412399</v>
      </c>
      <c r="K173" s="42"/>
    </row>
    <row r="174" spans="2:16">
      <c r="B174" s="11" t="s">
        <v>313</v>
      </c>
      <c r="C174" s="121"/>
      <c r="D174" s="184">
        <f t="shared" ref="D174:J174" si="64">365*AVERAGE(C58:D58)/D18+D173</f>
        <v>58.178467215120762</v>
      </c>
      <c r="E174" s="184">
        <f t="shared" si="64"/>
        <v>66.497103861262076</v>
      </c>
      <c r="F174" s="184">
        <f t="shared" si="64"/>
        <v>55.344671511574958</v>
      </c>
      <c r="G174" s="184">
        <f t="shared" si="64"/>
        <v>45.627966617502665</v>
      </c>
      <c r="H174" s="184">
        <f t="shared" si="64"/>
        <v>48.788882243029242</v>
      </c>
      <c r="I174" s="184">
        <f t="shared" si="64"/>
        <v>48.585378852317213</v>
      </c>
      <c r="J174" s="184">
        <f t="shared" si="64"/>
        <v>48.180692084948028</v>
      </c>
      <c r="K174" s="42"/>
    </row>
    <row r="175" spans="2:16">
      <c r="B175" s="25" t="s">
        <v>314</v>
      </c>
      <c r="C175" s="190"/>
      <c r="D175" s="194">
        <f t="shared" ref="D175:J175" si="65">365*-(AVERAGE(C57:D57)/D19)</f>
        <v>9.8195333300764549</v>
      </c>
      <c r="E175" s="194">
        <f t="shared" si="65"/>
        <v>9.0944295409872549</v>
      </c>
      <c r="F175" s="194">
        <f t="shared" si="65"/>
        <v>8.7903178244740765</v>
      </c>
      <c r="G175" s="194">
        <f t="shared" si="65"/>
        <v>8.295454545454545</v>
      </c>
      <c r="H175" s="194">
        <f t="shared" si="65"/>
        <v>8.1111111111111107</v>
      </c>
      <c r="I175" s="194">
        <f t="shared" si="65"/>
        <v>7.9347826086956523</v>
      </c>
      <c r="J175" s="194">
        <f t="shared" si="65"/>
        <v>7.7659574468085113</v>
      </c>
      <c r="K175" s="42"/>
    </row>
    <row r="176" spans="2:16">
      <c r="B176" s="28" t="s">
        <v>315</v>
      </c>
      <c r="C176" s="28"/>
      <c r="D176" s="188">
        <f t="shared" ref="D176:J176" si="66">SUM(D174:D175)</f>
        <v>67.998000545197215</v>
      </c>
      <c r="E176" s="188">
        <f t="shared" si="66"/>
        <v>75.591533402249325</v>
      </c>
      <c r="F176" s="188">
        <f t="shared" si="66"/>
        <v>64.134989336049031</v>
      </c>
      <c r="G176" s="188">
        <f t="shared" si="66"/>
        <v>53.923421162957212</v>
      </c>
      <c r="H176" s="188">
        <f t="shared" si="66"/>
        <v>56.899993354140349</v>
      </c>
      <c r="I176" s="188">
        <f t="shared" si="66"/>
        <v>56.520161461012862</v>
      </c>
      <c r="J176" s="188">
        <f t="shared" si="66"/>
        <v>55.946649531756542</v>
      </c>
      <c r="K176" s="42"/>
    </row>
    <row r="177" spans="2:16">
      <c r="B177" s="28"/>
      <c r="C177" s="28"/>
      <c r="D177" s="28"/>
      <c r="E177" s="188"/>
      <c r="F177" s="188"/>
      <c r="G177" s="188"/>
      <c r="H177" s="188"/>
      <c r="I177" s="188"/>
      <c r="J177" s="188"/>
      <c r="K177" s="42"/>
    </row>
    <row r="178" spans="2:16">
      <c r="B178" s="25" t="s">
        <v>316</v>
      </c>
      <c r="C178" s="25"/>
      <c r="D178" s="194">
        <f t="shared" ref="D178:J178" si="67">365*-AVERAGE(C64:D64)/D19</f>
        <v>111.59117833850362</v>
      </c>
      <c r="E178" s="194">
        <f t="shared" si="67"/>
        <v>115.20212384566886</v>
      </c>
      <c r="F178" s="194">
        <f t="shared" si="67"/>
        <v>95.288896490307209</v>
      </c>
      <c r="G178" s="194">
        <f t="shared" si="67"/>
        <v>79.176478372315628</v>
      </c>
      <c r="H178" s="194">
        <f t="shared" si="67"/>
        <v>79.519619463634143</v>
      </c>
      <c r="I178" s="194">
        <f t="shared" si="67"/>
        <v>79.575275744144363</v>
      </c>
      <c r="J178" s="194">
        <f t="shared" si="67"/>
        <v>78.504466585715946</v>
      </c>
      <c r="K178" s="42"/>
    </row>
    <row r="179" spans="2:16">
      <c r="B179" s="28" t="s">
        <v>317</v>
      </c>
      <c r="D179" s="189">
        <f t="shared" ref="D179:J179" si="68">D176-D178</f>
        <v>-43.59317779330641</v>
      </c>
      <c r="E179" s="189">
        <f t="shared" si="68"/>
        <v>-39.610590443419539</v>
      </c>
      <c r="F179" s="189">
        <f t="shared" si="68"/>
        <v>-31.153907154258178</v>
      </c>
      <c r="G179" s="189">
        <f t="shared" si="68"/>
        <v>-25.253057209358417</v>
      </c>
      <c r="H179" s="189">
        <f t="shared" si="68"/>
        <v>-22.619626109493794</v>
      </c>
      <c r="I179" s="189">
        <f t="shared" si="68"/>
        <v>-23.055114283131502</v>
      </c>
      <c r="J179" s="189">
        <f t="shared" si="68"/>
        <v>-22.557817053959404</v>
      </c>
      <c r="K179" s="42"/>
      <c r="P179" s="11" t="s">
        <v>327</v>
      </c>
    </row>
    <row r="180" spans="2:16">
      <c r="B180" s="28"/>
      <c r="E180" s="189"/>
      <c r="F180" s="189"/>
      <c r="G180" s="189"/>
      <c r="H180" s="189"/>
      <c r="I180" s="189"/>
      <c r="J180" s="189"/>
      <c r="K180" s="42"/>
    </row>
    <row r="181" spans="2:16">
      <c r="B181" s="93" t="s">
        <v>273</v>
      </c>
      <c r="C181" s="91"/>
      <c r="D181" s="91"/>
      <c r="E181" s="91"/>
      <c r="F181" s="91"/>
      <c r="G181" s="104"/>
      <c r="H181" s="10"/>
      <c r="I181" s="10"/>
      <c r="J181" s="10"/>
      <c r="K181" s="10"/>
      <c r="L181" s="91"/>
      <c r="M181" s="91"/>
      <c r="N181" s="91"/>
    </row>
    <row r="182" spans="2:16">
      <c r="B182" s="28"/>
      <c r="C182" s="28"/>
      <c r="G182" s="105"/>
      <c r="H182" s="105"/>
      <c r="I182" s="105"/>
      <c r="J182" s="105"/>
      <c r="K182" s="105"/>
    </row>
    <row r="183" spans="2:16">
      <c r="B183" s="13" t="s">
        <v>274</v>
      </c>
      <c r="C183" s="141"/>
      <c r="D183" s="141"/>
      <c r="E183" s="141"/>
      <c r="F183" s="141"/>
      <c r="G183" s="110">
        <f>F186</f>
        <v>36766</v>
      </c>
      <c r="H183" s="110">
        <f>G186</f>
        <v>37394.800000000003</v>
      </c>
      <c r="I183" s="110">
        <f>H186</f>
        <v>39040.160000000003</v>
      </c>
      <c r="J183" s="110">
        <f>I186</f>
        <v>40857.882430632642</v>
      </c>
      <c r="K183" s="110">
        <f>J186</f>
        <v>42199.926029951799</v>
      </c>
    </row>
    <row r="184" spans="2:16">
      <c r="B184" s="49" t="s">
        <v>272</v>
      </c>
      <c r="C184" s="107">
        <v>12451</v>
      </c>
      <c r="D184" s="107">
        <v>13313</v>
      </c>
      <c r="E184" s="107">
        <v>10495</v>
      </c>
      <c r="F184" s="107">
        <v>7309</v>
      </c>
      <c r="G184" s="118">
        <f>+G293</f>
        <v>10193</v>
      </c>
      <c r="H184" s="118">
        <f>+H293</f>
        <v>10249.15</v>
      </c>
      <c r="I184" s="118">
        <f>H184*(1+I112)</f>
        <v>10769.210538290805</v>
      </c>
      <c r="J184" s="118">
        <f>I184*(1+J112)</f>
        <v>11512.306633721644</v>
      </c>
      <c r="K184" s="118">
        <f>J184*(1+K112)</f>
        <v>11780.907271930784</v>
      </c>
      <c r="P184" s="11" t="s">
        <v>284</v>
      </c>
    </row>
    <row r="185" spans="2:16">
      <c r="B185" s="136" t="s">
        <v>64</v>
      </c>
      <c r="C185" s="72">
        <v>-8200</v>
      </c>
      <c r="D185" s="72">
        <v>-9300</v>
      </c>
      <c r="E185" s="72">
        <v>-11300</v>
      </c>
      <c r="F185" s="72">
        <v>-9700</v>
      </c>
      <c r="G185" s="125">
        <f>-G208</f>
        <v>-9564.2000000000007</v>
      </c>
      <c r="H185" s="125">
        <f t="shared" ref="H185:K185" si="69">-H208</f>
        <v>-8603.7899999999991</v>
      </c>
      <c r="I185" s="125">
        <f t="shared" si="69"/>
        <v>-8951.4881076581623</v>
      </c>
      <c r="J185" s="125">
        <f t="shared" si="69"/>
        <v>-10170.263034402489</v>
      </c>
      <c r="K185" s="125">
        <f t="shared" si="69"/>
        <v>-11876.232648788646</v>
      </c>
      <c r="P185" s="11" t="s">
        <v>270</v>
      </c>
    </row>
    <row r="186" spans="2:16">
      <c r="B186" s="13" t="s">
        <v>275</v>
      </c>
      <c r="C186" s="110">
        <f>C60</f>
        <v>33783</v>
      </c>
      <c r="D186" s="110">
        <f>D60</f>
        <v>41304</v>
      </c>
      <c r="E186" s="110">
        <f>E60</f>
        <v>37378</v>
      </c>
      <c r="F186" s="110">
        <f>F60</f>
        <v>36766</v>
      </c>
      <c r="G186" s="110">
        <f>SUM(G183:G185)</f>
        <v>37394.800000000003</v>
      </c>
      <c r="H186" s="110">
        <f>SUM(H183:H185)</f>
        <v>39040.160000000003</v>
      </c>
      <c r="I186" s="110">
        <f>SUM(I183:I185)</f>
        <v>40857.882430632642</v>
      </c>
      <c r="J186" s="110">
        <f>SUM(J183:J185)</f>
        <v>42199.926029951799</v>
      </c>
      <c r="K186" s="110">
        <f>SUM(K183:K185)</f>
        <v>42104.600653093934</v>
      </c>
    </row>
    <row r="187" spans="2:16">
      <c r="B187" s="45"/>
      <c r="C187" s="45"/>
      <c r="P187" s="35"/>
    </row>
    <row r="188" spans="2:16">
      <c r="B188" s="45" t="s">
        <v>271</v>
      </c>
      <c r="C188" s="51">
        <f t="shared" ref="C188:K188" si="70">-(C185/C184)</f>
        <v>0.6585816400289134</v>
      </c>
      <c r="D188" s="51">
        <f t="shared" si="70"/>
        <v>0.69856531210095396</v>
      </c>
      <c r="E188" s="51">
        <f t="shared" si="70"/>
        <v>1.0767031919961887</v>
      </c>
      <c r="F188" s="51">
        <f t="shared" si="70"/>
        <v>1.3271309344643589</v>
      </c>
      <c r="G188" s="51">
        <f t="shared" si="70"/>
        <v>0.93831060531737476</v>
      </c>
      <c r="H188" s="51">
        <f t="shared" si="70"/>
        <v>0.83946376040939974</v>
      </c>
      <c r="I188" s="51">
        <f t="shared" si="70"/>
        <v>0.83121117149956514</v>
      </c>
      <c r="J188" s="51">
        <f t="shared" si="70"/>
        <v>0.88342530806223796</v>
      </c>
      <c r="K188" s="51">
        <f t="shared" si="70"/>
        <v>1.0080915140623323</v>
      </c>
      <c r="P188" s="209" t="s">
        <v>340</v>
      </c>
    </row>
    <row r="189" spans="2:16">
      <c r="E189" s="42"/>
      <c r="F189" s="42"/>
      <c r="H189" s="42"/>
      <c r="I189" s="42"/>
      <c r="J189" s="42"/>
      <c r="K189" s="42"/>
    </row>
    <row r="190" spans="2:16">
      <c r="B190" s="187" t="s">
        <v>328</v>
      </c>
      <c r="C190" s="195"/>
      <c r="D190" s="195"/>
      <c r="E190" s="195"/>
      <c r="F190" s="196"/>
      <c r="G190" s="196"/>
      <c r="H190" s="196"/>
      <c r="I190" s="196"/>
      <c r="J190" s="196"/>
      <c r="K190" s="196"/>
    </row>
    <row r="191" spans="2:16">
      <c r="B191" s="26"/>
      <c r="C191" s="202"/>
      <c r="D191" s="202"/>
      <c r="E191" s="202"/>
      <c r="F191" s="203"/>
      <c r="G191" s="203"/>
      <c r="H191" s="203"/>
      <c r="I191" s="203"/>
      <c r="J191" s="203"/>
      <c r="K191" s="42"/>
    </row>
    <row r="192" spans="2:16">
      <c r="B192" s="28" t="s">
        <v>329</v>
      </c>
      <c r="F192" s="37"/>
      <c r="G192" s="37"/>
      <c r="H192" s="37"/>
      <c r="I192" s="37"/>
      <c r="J192" s="37"/>
      <c r="K192" s="42"/>
    </row>
    <row r="193" spans="2:16">
      <c r="B193" s="33" t="s">
        <v>330</v>
      </c>
      <c r="C193" s="197">
        <v>75076</v>
      </c>
      <c r="D193" s="197">
        <v>90403</v>
      </c>
      <c r="E193" s="197">
        <v>95957</v>
      </c>
      <c r="F193" s="197">
        <v>103526</v>
      </c>
      <c r="G193" s="141"/>
      <c r="H193" s="141"/>
      <c r="I193" s="141"/>
      <c r="J193" s="141"/>
      <c r="K193" s="141"/>
    </row>
    <row r="194" spans="2:16">
      <c r="B194" s="33" t="s">
        <v>331</v>
      </c>
      <c r="C194" s="197">
        <v>-13587</v>
      </c>
      <c r="D194" s="197">
        <v>-16216</v>
      </c>
      <c r="E194" s="197">
        <v>-17085</v>
      </c>
      <c r="F194" s="197">
        <v>-17952</v>
      </c>
      <c r="G194" s="141"/>
      <c r="H194" s="141"/>
      <c r="I194" s="141"/>
      <c r="J194" s="141"/>
      <c r="K194" s="141"/>
      <c r="P194" s="11" t="s">
        <v>338</v>
      </c>
    </row>
    <row r="195" spans="2:16">
      <c r="B195" s="71" t="s">
        <v>332</v>
      </c>
      <c r="C195" s="208">
        <f>-(C193-C186)</f>
        <v>-41293</v>
      </c>
      <c r="D195" s="208">
        <f>-(D193-D186)</f>
        <v>-49099</v>
      </c>
      <c r="E195" s="208">
        <f>-(E193-E186)</f>
        <v>-58579</v>
      </c>
      <c r="F195" s="208">
        <f>-(F193-F186)</f>
        <v>-66760</v>
      </c>
      <c r="G195" s="206"/>
      <c r="H195" s="206"/>
      <c r="I195" s="206"/>
      <c r="J195" s="206"/>
      <c r="K195" s="206"/>
    </row>
    <row r="196" spans="2:16">
      <c r="B196" s="50" t="s">
        <v>333</v>
      </c>
      <c r="C196" s="207">
        <f>SUM(C193:C195)</f>
        <v>20196</v>
      </c>
      <c r="D196" s="207">
        <f>SUM(D193:D195)</f>
        <v>25088</v>
      </c>
      <c r="E196" s="207">
        <f>SUM(E193:E195)</f>
        <v>20293</v>
      </c>
      <c r="F196" s="207">
        <f>SUM(F193:F195)</f>
        <v>18814</v>
      </c>
      <c r="G196" s="141"/>
      <c r="H196" s="141"/>
      <c r="I196" s="141"/>
      <c r="J196" s="141"/>
      <c r="K196" s="141"/>
    </row>
    <row r="197" spans="2:16">
      <c r="B197" s="45"/>
      <c r="C197" s="51"/>
      <c r="G197" s="37"/>
      <c r="H197" s="37"/>
      <c r="I197" s="37"/>
      <c r="J197" s="37"/>
      <c r="K197" s="42"/>
    </row>
    <row r="198" spans="2:16">
      <c r="B198" s="11" t="s">
        <v>334</v>
      </c>
      <c r="C198" s="198">
        <f>-ROUND((C193+C194)/C185,0)</f>
        <v>7</v>
      </c>
      <c r="D198" s="198">
        <f>-ROUND((D193+D194)/D185,0)</f>
        <v>8</v>
      </c>
      <c r="E198" s="198">
        <f>-ROUND((E193+E194)/E185,0)</f>
        <v>7</v>
      </c>
      <c r="F198" s="198">
        <f>IF(F199,F199,-ROUND((F193+F194)/F185,0))</f>
        <v>5</v>
      </c>
      <c r="G198" s="37"/>
      <c r="H198" s="37"/>
      <c r="I198" s="37"/>
      <c r="J198" s="37"/>
      <c r="K198" s="42"/>
    </row>
    <row r="199" spans="2:16">
      <c r="B199" s="11" t="s">
        <v>335</v>
      </c>
      <c r="F199" s="199">
        <v>5</v>
      </c>
      <c r="G199" s="37"/>
      <c r="H199" s="37"/>
      <c r="I199" s="37"/>
      <c r="J199" s="37"/>
      <c r="K199" s="42"/>
      <c r="P199" s="153" t="s">
        <v>341</v>
      </c>
    </row>
    <row r="200" spans="2:16">
      <c r="B200" s="45" t="s">
        <v>339</v>
      </c>
      <c r="D200" s="51"/>
      <c r="E200" s="51"/>
      <c r="F200" s="204">
        <v>1</v>
      </c>
      <c r="G200" s="37"/>
      <c r="H200" s="37"/>
      <c r="I200" s="37"/>
      <c r="J200" s="37"/>
      <c r="K200" s="42"/>
    </row>
    <row r="201" spans="2:16">
      <c r="C201" s="51"/>
      <c r="D201" s="51"/>
      <c r="E201" s="51"/>
      <c r="F201" s="37"/>
      <c r="G201" s="37"/>
      <c r="H201" s="37"/>
      <c r="I201" s="37"/>
      <c r="J201" s="37"/>
      <c r="K201" s="42"/>
    </row>
    <row r="202" spans="2:16">
      <c r="B202" s="11" t="s">
        <v>336</v>
      </c>
      <c r="C202" s="141"/>
      <c r="D202" s="141"/>
      <c r="E202" s="141"/>
      <c r="F202" s="141"/>
      <c r="G202" s="46">
        <f>DDB($F$196,0,$F$198,G5-$F$5)</f>
        <v>7525.6</v>
      </c>
      <c r="H202" s="46">
        <f>DDB($F$196,0,$F$198,H5-$F$5)</f>
        <v>4515.3599999999997</v>
      </c>
      <c r="I202" s="46">
        <f>DDB($F$196,0,$F$198,I5-$F$5)</f>
        <v>2709.2160000000003</v>
      </c>
      <c r="J202" s="46">
        <f>DDB($F$196,0,$F$198,J5-$F$5)</f>
        <v>1625.5296000000001</v>
      </c>
      <c r="K202" s="46">
        <f>DDB($F$196,0,$F$198,K5-$F$5)</f>
        <v>975.31775999999991</v>
      </c>
    </row>
    <row r="203" spans="2:16">
      <c r="B203" s="11" t="str">
        <f>"Depreciation from capital expenditures in "&amp;G5</f>
        <v>Depreciation from capital expenditures in 2021</v>
      </c>
      <c r="C203" s="141"/>
      <c r="D203" s="141"/>
      <c r="E203" s="141"/>
      <c r="F203" s="141"/>
      <c r="G203" s="46">
        <f>G184*F200/$F$198</f>
        <v>2038.6</v>
      </c>
      <c r="H203" s="46">
        <f>$G$184/$F$198</f>
        <v>2038.6</v>
      </c>
      <c r="I203" s="46">
        <f>$G$184/$F$198</f>
        <v>2038.6</v>
      </c>
      <c r="J203" s="46">
        <f>$G$184/$F$198</f>
        <v>2038.6</v>
      </c>
      <c r="K203" s="46">
        <f>$G$184/$F$198</f>
        <v>2038.6</v>
      </c>
    </row>
    <row r="204" spans="2:16">
      <c r="B204" s="11" t="str">
        <f>"Depreciation from capital expenditures in "&amp;H5</f>
        <v>Depreciation from capital expenditures in 2022</v>
      </c>
      <c r="C204" s="141"/>
      <c r="D204" s="141"/>
      <c r="E204" s="141"/>
      <c r="F204" s="141"/>
      <c r="G204" s="141"/>
      <c r="H204" s="46">
        <f>H184*F200/$F$198</f>
        <v>2049.83</v>
      </c>
      <c r="I204" s="46">
        <f>$H$184/$F$198</f>
        <v>2049.83</v>
      </c>
      <c r="J204" s="46">
        <f>$H$184/$F$198</f>
        <v>2049.83</v>
      </c>
      <c r="K204" s="46">
        <f>$H$184/$F$198</f>
        <v>2049.83</v>
      </c>
    </row>
    <row r="205" spans="2:16">
      <c r="B205" s="11" t="str">
        <f>"Depreciation from capital expenditures in "&amp;I5</f>
        <v>Depreciation from capital expenditures in 2023</v>
      </c>
      <c r="C205" s="141"/>
      <c r="D205" s="141"/>
      <c r="E205" s="141"/>
      <c r="F205" s="141"/>
      <c r="G205" s="141"/>
      <c r="H205" s="141"/>
      <c r="I205" s="46">
        <f>I184*F200/$F$198</f>
        <v>2153.8421076581608</v>
      </c>
      <c r="J205" s="200">
        <f>$I$184/$F$198</f>
        <v>2153.8421076581608</v>
      </c>
      <c r="K205" s="200">
        <f>$I$184/$F$198</f>
        <v>2153.8421076581608</v>
      </c>
    </row>
    <row r="206" spans="2:16">
      <c r="B206" s="11" t="str">
        <f>"Depreciation from capital expenditures in "&amp;J5</f>
        <v>Depreciation from capital expenditures in 2024</v>
      </c>
      <c r="C206" s="141"/>
      <c r="D206" s="141"/>
      <c r="E206" s="141"/>
      <c r="F206" s="141"/>
      <c r="G206" s="141"/>
      <c r="H206" s="141"/>
      <c r="I206" s="141"/>
      <c r="J206" s="46">
        <f>J184*F200/$F$198</f>
        <v>2302.4613267443287</v>
      </c>
      <c r="K206" s="42">
        <f>J184/$F$198</f>
        <v>2302.4613267443287</v>
      </c>
    </row>
    <row r="207" spans="2:16">
      <c r="B207" s="25" t="str">
        <f>"Depreciation from capital expenditures in "&amp;K5</f>
        <v>Depreciation from capital expenditures in 2025</v>
      </c>
      <c r="C207" s="206"/>
      <c r="D207" s="206"/>
      <c r="E207" s="206"/>
      <c r="F207" s="206"/>
      <c r="G207" s="206"/>
      <c r="H207" s="206"/>
      <c r="I207" s="206"/>
      <c r="J207" s="206"/>
      <c r="K207" s="205">
        <f>K184*F200/$F$198</f>
        <v>2356.1814543861569</v>
      </c>
    </row>
    <row r="208" spans="2:16">
      <c r="B208" s="28" t="s">
        <v>337</v>
      </c>
      <c r="C208" s="51"/>
      <c r="D208" s="51"/>
      <c r="E208" s="51"/>
      <c r="G208" s="201">
        <f>SUM(G202:G207)</f>
        <v>9564.2000000000007</v>
      </c>
      <c r="H208" s="44">
        <f>SUM(H202:H207)</f>
        <v>8603.7899999999991</v>
      </c>
      <c r="I208" s="44">
        <f>SUM(I202:I207)</f>
        <v>8951.4881076581623</v>
      </c>
      <c r="J208" s="44">
        <f>SUM(J202:J207)</f>
        <v>10170.263034402489</v>
      </c>
      <c r="K208" s="44">
        <f>SUM(K202:K207)</f>
        <v>11876.232648788646</v>
      </c>
    </row>
    <row r="209" spans="2:16">
      <c r="E209" s="42"/>
      <c r="F209" s="42"/>
      <c r="H209" s="42"/>
      <c r="I209" s="42"/>
      <c r="J209" s="42"/>
      <c r="K209" s="42"/>
    </row>
    <row r="210" spans="2:16" ht="12">
      <c r="B210" s="115" t="s">
        <v>261</v>
      </c>
      <c r="C210" s="91"/>
      <c r="D210" s="91"/>
      <c r="E210" s="91"/>
      <c r="F210" s="91"/>
      <c r="G210" s="92"/>
      <c r="H210" s="91"/>
      <c r="I210" s="91"/>
      <c r="J210" s="91"/>
      <c r="K210" s="91"/>
      <c r="L210" s="91"/>
      <c r="M210" s="91"/>
      <c r="N210" s="91"/>
    </row>
    <row r="211" spans="2:16">
      <c r="B211" s="28"/>
      <c r="C211" s="28"/>
      <c r="G211" s="105"/>
      <c r="H211" s="105"/>
      <c r="I211" s="105"/>
      <c r="J211" s="105"/>
      <c r="K211" s="105"/>
    </row>
    <row r="212" spans="2:16">
      <c r="B212" s="13" t="s">
        <v>274</v>
      </c>
      <c r="C212" s="142"/>
      <c r="D212" s="121"/>
      <c r="E212" s="121"/>
      <c r="F212" s="121"/>
      <c r="G212" s="76">
        <f>F215</f>
        <v>42522</v>
      </c>
      <c r="H212" s="76">
        <f>G215</f>
        <v>51052.502513966814</v>
      </c>
      <c r="I212" s="76">
        <f>H215</f>
        <v>53186.147426673662</v>
      </c>
      <c r="J212" s="76">
        <f>I215</f>
        <v>55884.909417700241</v>
      </c>
      <c r="K212" s="76">
        <f>J215</f>
        <v>59741.074903010747</v>
      </c>
    </row>
    <row r="213" spans="2:16">
      <c r="B213" s="33" t="s">
        <v>66</v>
      </c>
      <c r="C213" s="120"/>
      <c r="D213" s="119"/>
      <c r="E213" s="119"/>
      <c r="F213" s="119"/>
      <c r="G213" s="106">
        <f>-(G217)</f>
        <v>-1628.0323928540286</v>
      </c>
      <c r="H213" s="106">
        <f>-(H217)</f>
        <v>-1696.0729954040141</v>
      </c>
      <c r="I213" s="106">
        <f>-(I217)</f>
        <v>-1782.1348283336044</v>
      </c>
      <c r="J213" s="106">
        <f>-(J217)</f>
        <v>-1905.1055352166543</v>
      </c>
      <c r="K213" s="106">
        <f>-(K217)</f>
        <v>-1949.5547128572202</v>
      </c>
      <c r="P213" s="11" t="s">
        <v>67</v>
      </c>
    </row>
    <row r="214" spans="2:16">
      <c r="B214" s="71" t="s">
        <v>68</v>
      </c>
      <c r="C214" s="137"/>
      <c r="D214" s="124"/>
      <c r="E214" s="124"/>
      <c r="F214" s="124"/>
      <c r="G214" s="138">
        <f>G215-G213-G212</f>
        <v>10158.534906820845</v>
      </c>
      <c r="H214" s="138">
        <f>H215-H213-H212</f>
        <v>3829.7179081108625</v>
      </c>
      <c r="I214" s="138">
        <f>I215-I213-I212</f>
        <v>4480.8968193601831</v>
      </c>
      <c r="J214" s="138">
        <f>J215-J213-J212</f>
        <v>5761.2710205271578</v>
      </c>
      <c r="K214" s="138">
        <f>K215-K213-K212</f>
        <v>3343.4101196655829</v>
      </c>
      <c r="P214" s="11" t="s">
        <v>69</v>
      </c>
    </row>
    <row r="215" spans="2:16">
      <c r="B215" s="13" t="s">
        <v>275</v>
      </c>
      <c r="C215" s="110">
        <f t="shared" ref="C215:K215" si="71">C61</f>
        <v>18177</v>
      </c>
      <c r="D215" s="110">
        <f t="shared" si="71"/>
        <v>22283</v>
      </c>
      <c r="E215" s="110">
        <f t="shared" si="71"/>
        <v>32978</v>
      </c>
      <c r="F215" s="110">
        <f t="shared" si="71"/>
        <v>42522</v>
      </c>
      <c r="G215" s="110">
        <f t="shared" si="71"/>
        <v>51052.502513966814</v>
      </c>
      <c r="H215" s="110">
        <f t="shared" si="71"/>
        <v>53186.147426673662</v>
      </c>
      <c r="I215" s="110">
        <f t="shared" si="71"/>
        <v>55884.909417700241</v>
      </c>
      <c r="J215" s="110">
        <f t="shared" si="71"/>
        <v>59741.074903010747</v>
      </c>
      <c r="K215" s="110">
        <f t="shared" si="71"/>
        <v>61134.930309819109</v>
      </c>
      <c r="P215" s="11" t="s">
        <v>70</v>
      </c>
    </row>
    <row r="216" spans="2:16">
      <c r="E216" s="42"/>
      <c r="F216" s="42"/>
      <c r="H216" s="42"/>
      <c r="I216" s="42"/>
      <c r="J216" s="42"/>
      <c r="K216" s="42"/>
    </row>
    <row r="217" spans="2:16">
      <c r="B217" s="45" t="s">
        <v>243</v>
      </c>
      <c r="C217" s="42">
        <f>C219+C185</f>
        <v>1957</v>
      </c>
      <c r="D217" s="42">
        <f>D219+D185</f>
        <v>1603</v>
      </c>
      <c r="E217" s="42">
        <f>E219+E185</f>
        <v>1247</v>
      </c>
      <c r="F217" s="42">
        <f>F219+F185</f>
        <v>1356</v>
      </c>
      <c r="G217" s="46">
        <f>G218*G18</f>
        <v>1628.0323928540286</v>
      </c>
      <c r="H217" s="46">
        <f>H218*H18</f>
        <v>1696.0729954040141</v>
      </c>
      <c r="I217" s="46">
        <f>I218*I18</f>
        <v>1782.1348283336044</v>
      </c>
      <c r="J217" s="46">
        <f>J218*J18</f>
        <v>1905.1055352166543</v>
      </c>
      <c r="K217" s="46">
        <f>K218*K18</f>
        <v>1949.5547128572202</v>
      </c>
      <c r="P217" s="11" t="s">
        <v>278</v>
      </c>
    </row>
    <row r="218" spans="2:16">
      <c r="B218" s="71" t="s">
        <v>277</v>
      </c>
      <c r="C218" s="139">
        <f>C217/C18</f>
        <v>8.537128000209393E-3</v>
      </c>
      <c r="D218" s="139">
        <f>D217/D18</f>
        <v>6.0355051864681188E-3</v>
      </c>
      <c r="E218" s="139">
        <f>E217/E18</f>
        <v>4.7929462590420259E-3</v>
      </c>
      <c r="F218" s="139">
        <f>F217/F18</f>
        <v>4.9396207857494122E-3</v>
      </c>
      <c r="G218" s="140">
        <f>F218</f>
        <v>4.9396207857494122E-3</v>
      </c>
      <c r="H218" s="140">
        <f>G218</f>
        <v>4.9396207857494122E-3</v>
      </c>
      <c r="I218" s="140">
        <f>H218</f>
        <v>4.9396207857494122E-3</v>
      </c>
      <c r="J218" s="140">
        <f>I218</f>
        <v>4.9396207857494122E-3</v>
      </c>
      <c r="K218" s="140">
        <f>J218</f>
        <v>4.9396207857494122E-3</v>
      </c>
      <c r="L218" s="25"/>
      <c r="P218" s="11" t="s">
        <v>279</v>
      </c>
    </row>
    <row r="219" spans="2:16">
      <c r="B219" s="13" t="s">
        <v>276</v>
      </c>
      <c r="C219" s="44">
        <f>C45</f>
        <v>10157</v>
      </c>
      <c r="D219" s="44">
        <f>D45</f>
        <v>10903</v>
      </c>
      <c r="E219" s="44">
        <f>E45</f>
        <v>12547</v>
      </c>
      <c r="F219" s="44">
        <f>F45</f>
        <v>11056</v>
      </c>
      <c r="G219" s="43">
        <f>-G185+G217</f>
        <v>11192.23239285403</v>
      </c>
      <c r="H219" s="43">
        <f>-H185+H217</f>
        <v>10299.862995404013</v>
      </c>
      <c r="I219" s="43">
        <f>-I185+I217</f>
        <v>10733.622935991767</v>
      </c>
      <c r="J219" s="43">
        <f>-J185+J217</f>
        <v>12075.368569619144</v>
      </c>
      <c r="K219" s="43">
        <f>-K185+K217</f>
        <v>13825.787361645866</v>
      </c>
    </row>
    <row r="220" spans="2:16">
      <c r="E220" s="42"/>
      <c r="F220" s="42"/>
      <c r="H220" s="42"/>
      <c r="I220" s="42"/>
      <c r="J220" s="42"/>
      <c r="K220" s="42"/>
    </row>
    <row r="221" spans="2:16" ht="12">
      <c r="B221" s="115" t="s">
        <v>262</v>
      </c>
      <c r="C221" s="91"/>
      <c r="D221" s="91"/>
      <c r="E221" s="91"/>
      <c r="F221" s="91"/>
      <c r="G221" s="92"/>
      <c r="H221" s="91"/>
      <c r="I221" s="91"/>
      <c r="J221" s="91"/>
      <c r="K221" s="91"/>
      <c r="L221" s="91"/>
      <c r="M221" s="91"/>
      <c r="N221" s="91"/>
    </row>
    <row r="222" spans="2:16">
      <c r="B222" s="28"/>
      <c r="C222" s="28"/>
      <c r="G222" s="105"/>
      <c r="H222" s="105"/>
      <c r="I222" s="105"/>
      <c r="J222" s="105"/>
      <c r="K222" s="105"/>
    </row>
    <row r="223" spans="2:16">
      <c r="B223" s="13" t="s">
        <v>274</v>
      </c>
      <c r="C223" s="142"/>
      <c r="D223" s="121"/>
      <c r="E223" s="121"/>
      <c r="F223" s="121"/>
      <c r="G223" s="110">
        <f>F227</f>
        <v>14966</v>
      </c>
      <c r="H223" s="110">
        <f>G227</f>
        <v>-5571.5017536493542</v>
      </c>
      <c r="I223" s="110">
        <f>H227</f>
        <v>-24082.023674150165</v>
      </c>
      <c r="J223" s="110">
        <f>I227</f>
        <v>-39295.93725398829</v>
      </c>
      <c r="K223" s="110">
        <f>J227</f>
        <v>-49487.233801491471</v>
      </c>
    </row>
    <row r="224" spans="2:16">
      <c r="B224" s="33" t="s">
        <v>71</v>
      </c>
      <c r="C224" s="112">
        <f t="shared" ref="C224:K224" si="72">C29</f>
        <v>48351</v>
      </c>
      <c r="D224" s="112">
        <f t="shared" si="72"/>
        <v>59531</v>
      </c>
      <c r="E224" s="112">
        <f t="shared" si="72"/>
        <v>55256</v>
      </c>
      <c r="F224" s="112">
        <f t="shared" si="72"/>
        <v>57411</v>
      </c>
      <c r="G224" s="106">
        <f t="shared" si="72"/>
        <v>68879.548583261858</v>
      </c>
      <c r="H224" s="106">
        <f t="shared" si="72"/>
        <v>71565.61033196676</v>
      </c>
      <c r="I224" s="106">
        <f t="shared" si="72"/>
        <v>75934.126199517894</v>
      </c>
      <c r="J224" s="106">
        <f t="shared" si="72"/>
        <v>82589.870508524022</v>
      </c>
      <c r="K224" s="106">
        <f t="shared" si="72"/>
        <v>84278.608852969366</v>
      </c>
      <c r="P224" s="11" t="s">
        <v>72</v>
      </c>
    </row>
    <row r="225" spans="2:20">
      <c r="B225" s="33" t="s">
        <v>73</v>
      </c>
      <c r="C225" s="107">
        <v>-12803</v>
      </c>
      <c r="D225" s="107">
        <v>-13735</v>
      </c>
      <c r="E225" s="107">
        <v>-14129</v>
      </c>
      <c r="F225" s="107">
        <v>-14087</v>
      </c>
      <c r="G225" s="106">
        <f>G224*F225/F224</f>
        <v>-16901.050336911216</v>
      </c>
      <c r="H225" s="106">
        <f t="shared" ref="H225:K225" si="73">H224*G225/G224</f>
        <v>-17560.132252467571</v>
      </c>
      <c r="I225" s="106">
        <f t="shared" si="73"/>
        <v>-18632.039779356019</v>
      </c>
      <c r="J225" s="106">
        <f t="shared" si="73"/>
        <v>-20265.1670560272</v>
      </c>
      <c r="K225" s="106">
        <f t="shared" si="73"/>
        <v>-20679.534634682885</v>
      </c>
      <c r="P225" s="11" t="s">
        <v>280</v>
      </c>
    </row>
    <row r="226" spans="2:20">
      <c r="B226" s="71" t="s">
        <v>74</v>
      </c>
      <c r="C226" s="72">
        <v>-33001</v>
      </c>
      <c r="D226" s="72">
        <v>-73056</v>
      </c>
      <c r="E226" s="72">
        <v>-67101</v>
      </c>
      <c r="F226" s="72">
        <v>-72516</v>
      </c>
      <c r="G226" s="125">
        <f>F226</f>
        <v>-72516</v>
      </c>
      <c r="H226" s="125">
        <f t="shared" ref="H226:K226" si="74">G226</f>
        <v>-72516</v>
      </c>
      <c r="I226" s="125">
        <f t="shared" si="74"/>
        <v>-72516</v>
      </c>
      <c r="J226" s="125">
        <f t="shared" si="74"/>
        <v>-72516</v>
      </c>
      <c r="K226" s="125">
        <f t="shared" si="74"/>
        <v>-72516</v>
      </c>
      <c r="P226" s="11" t="s">
        <v>281</v>
      </c>
    </row>
    <row r="227" spans="2:20">
      <c r="B227" s="13" t="s">
        <v>275</v>
      </c>
      <c r="C227" s="109">
        <f>C73</f>
        <v>98330</v>
      </c>
      <c r="D227" s="109">
        <f>D73</f>
        <v>70400</v>
      </c>
      <c r="E227" s="109">
        <f>E73</f>
        <v>45898</v>
      </c>
      <c r="F227" s="109">
        <f>F73</f>
        <v>14966</v>
      </c>
      <c r="G227" s="110">
        <f>SUM(G223:G226)</f>
        <v>-5571.5017536493542</v>
      </c>
      <c r="H227" s="110">
        <f>SUM(H223:H226)</f>
        <v>-24082.023674150165</v>
      </c>
      <c r="I227" s="110">
        <f>SUM(I223:I226)</f>
        <v>-39295.93725398829</v>
      </c>
      <c r="J227" s="110">
        <f>SUM(J223:J226)</f>
        <v>-49487.233801491471</v>
      </c>
      <c r="K227" s="110">
        <f>SUM(K223:K226)</f>
        <v>-58404.159583204993</v>
      </c>
      <c r="P227" s="11" t="s">
        <v>75</v>
      </c>
    </row>
    <row r="229" spans="2:20">
      <c r="B229" s="93" t="s">
        <v>285</v>
      </c>
      <c r="C229" s="91"/>
      <c r="D229" s="91"/>
      <c r="E229" s="91"/>
      <c r="F229" s="91"/>
      <c r="G229" s="92"/>
      <c r="H229" s="91"/>
      <c r="I229" s="91"/>
      <c r="J229" s="91"/>
      <c r="K229" s="91"/>
      <c r="L229" s="91"/>
      <c r="M229" s="91"/>
      <c r="N229" s="91"/>
      <c r="R229" s="52"/>
      <c r="S229" s="52"/>
    </row>
    <row r="230" spans="2:20" ht="6" customHeight="1">
      <c r="B230" s="28"/>
      <c r="C230" s="28"/>
      <c r="R230" s="52"/>
      <c r="S230" s="52"/>
    </row>
    <row r="231" spans="2:20">
      <c r="B231" s="35" t="s">
        <v>76</v>
      </c>
      <c r="C231" s="35"/>
      <c r="R231" s="52"/>
      <c r="S231" s="52"/>
      <c r="T231" s="52"/>
    </row>
    <row r="232" spans="2:20">
      <c r="B232" s="13" t="s">
        <v>77</v>
      </c>
      <c r="C232" s="123"/>
      <c r="D232" s="121"/>
      <c r="E232" s="121"/>
      <c r="F232" s="121"/>
      <c r="G232" s="110">
        <f>F55</f>
        <v>191830</v>
      </c>
      <c r="H232" s="110">
        <f>G55</f>
        <v>186200.20110814582</v>
      </c>
      <c r="I232" s="110">
        <f>H55</f>
        <v>178117.55032670146</v>
      </c>
      <c r="J232" s="110">
        <f>I55</f>
        <v>172096.53607566527</v>
      </c>
      <c r="K232" s="110">
        <f>J55</f>
        <v>174259.0365227923</v>
      </c>
      <c r="P232" s="11" t="s">
        <v>78</v>
      </c>
      <c r="R232" s="52"/>
      <c r="S232" s="52"/>
    </row>
    <row r="233" spans="2:20">
      <c r="B233" s="33" t="s">
        <v>79</v>
      </c>
      <c r="C233" s="120"/>
      <c r="D233" s="119"/>
      <c r="E233" s="119"/>
      <c r="F233" s="119"/>
      <c r="G233" s="118">
        <f>-G237*G18</f>
        <v>-49437.977027026951</v>
      </c>
      <c r="H233" s="118">
        <f>-H237*H18</f>
        <v>-51504.145833333292</v>
      </c>
      <c r="I233" s="118">
        <f>-I237*I18</f>
        <v>-54117.559999999939</v>
      </c>
      <c r="J233" s="118">
        <f>-J237*J18</f>
        <v>-57851.774999999987</v>
      </c>
      <c r="K233" s="118">
        <f>-K237*K18</f>
        <v>-59201.549999999981</v>
      </c>
      <c r="R233" s="52"/>
      <c r="S233" s="52"/>
    </row>
    <row r="234" spans="2:20">
      <c r="B234" s="71" t="s">
        <v>80</v>
      </c>
      <c r="C234" s="137"/>
      <c r="D234" s="124"/>
      <c r="E234" s="124"/>
      <c r="F234" s="124"/>
      <c r="G234" s="125">
        <f>SUM(G97,G100,G102,G104,G105)</f>
        <v>-9363.0488918541705</v>
      </c>
      <c r="H234" s="125">
        <f>SUM(H97,H100,H102,H104,H105)</f>
        <v>-8082.6507814443685</v>
      </c>
      <c r="I234" s="125">
        <f>SUM(I97,I100,I102,I104,I105)</f>
        <v>-6021.014251036213</v>
      </c>
      <c r="J234" s="125">
        <f>SUM(J97,J100,J102,J104,J105)</f>
        <v>2162.5004471270258</v>
      </c>
      <c r="K234" s="125">
        <f>SUM(K97,K100,K102,K104,K105)</f>
        <v>3208.7292077042839</v>
      </c>
      <c r="P234" s="11" t="s">
        <v>244</v>
      </c>
    </row>
    <row r="235" spans="2:20">
      <c r="B235" s="144" t="s">
        <v>288</v>
      </c>
      <c r="C235" s="123"/>
      <c r="D235" s="119"/>
      <c r="E235" s="119"/>
      <c r="F235" s="119"/>
      <c r="G235" s="110">
        <f>SUM(G232:G234)</f>
        <v>133028.97408111888</v>
      </c>
      <c r="H235" s="110">
        <f>SUM(H232:H234)</f>
        <v>126613.40449336817</v>
      </c>
      <c r="I235" s="110">
        <f>SUM(I232:I234)</f>
        <v>117978.9760756653</v>
      </c>
      <c r="J235" s="110">
        <f>SUM(J232:J234)</f>
        <v>116407.26152279229</v>
      </c>
      <c r="K235" s="110">
        <f>SUM(K232:K234)</f>
        <v>118266.21573049659</v>
      </c>
    </row>
    <row r="236" spans="2:20">
      <c r="C236" s="106"/>
      <c r="D236" s="106"/>
      <c r="E236" s="106"/>
      <c r="F236" s="106"/>
      <c r="G236" s="106"/>
      <c r="H236" s="106"/>
      <c r="I236" s="106"/>
      <c r="J236" s="106"/>
      <c r="K236" s="106"/>
    </row>
    <row r="237" spans="2:20">
      <c r="B237" s="11" t="s">
        <v>287</v>
      </c>
      <c r="C237" s="106"/>
      <c r="D237" s="106"/>
      <c r="E237" s="106"/>
      <c r="F237" s="106"/>
      <c r="G237" s="38">
        <v>0.15</v>
      </c>
      <c r="H237" s="38">
        <v>0.15</v>
      </c>
      <c r="I237" s="38">
        <v>0.15</v>
      </c>
      <c r="J237" s="38">
        <v>0.15</v>
      </c>
      <c r="K237" s="38">
        <v>0.15</v>
      </c>
      <c r="P237" s="11" t="s">
        <v>286</v>
      </c>
    </row>
    <row r="238" spans="2:20">
      <c r="C238" s="106"/>
      <c r="D238" s="106"/>
      <c r="E238" s="106"/>
      <c r="F238" s="106"/>
      <c r="G238" s="147"/>
      <c r="H238" s="147"/>
      <c r="I238" s="147"/>
      <c r="J238" s="147"/>
      <c r="K238" s="147"/>
    </row>
    <row r="239" spans="2:20">
      <c r="B239" s="28" t="s">
        <v>81</v>
      </c>
      <c r="C239" s="110"/>
      <c r="D239" s="106"/>
      <c r="E239" s="106"/>
      <c r="F239" s="106"/>
      <c r="G239" s="106"/>
      <c r="H239" s="106"/>
      <c r="I239" s="106"/>
      <c r="J239" s="106"/>
      <c r="K239" s="106"/>
    </row>
    <row r="240" spans="2:20">
      <c r="B240" s="13" t="s">
        <v>62</v>
      </c>
      <c r="C240" s="123"/>
      <c r="D240" s="121"/>
      <c r="E240" s="121"/>
      <c r="F240" s="121"/>
      <c r="G240" s="110">
        <f>F243</f>
        <v>4996</v>
      </c>
      <c r="H240" s="110">
        <f>G243</f>
        <v>8729.25</v>
      </c>
      <c r="I240" s="110">
        <f>H243</f>
        <v>8729.25</v>
      </c>
      <c r="J240" s="110">
        <f>I243</f>
        <v>8729.25</v>
      </c>
      <c r="K240" s="110">
        <f>J243</f>
        <v>8729.25</v>
      </c>
      <c r="P240" s="11" t="s">
        <v>63</v>
      </c>
    </row>
    <row r="241" spans="2:22">
      <c r="B241" s="49" t="s">
        <v>82</v>
      </c>
      <c r="C241" s="122"/>
      <c r="D241" s="119"/>
      <c r="E241" s="119"/>
      <c r="F241" s="119"/>
      <c r="G241" s="106">
        <f>-MIN(G235,G240)</f>
        <v>-4996</v>
      </c>
      <c r="H241" s="106">
        <f>-MIN(H235,H240)</f>
        <v>-8729.25</v>
      </c>
      <c r="I241" s="106">
        <f>-MIN(I235,I240)</f>
        <v>-8729.25</v>
      </c>
      <c r="J241" s="106">
        <f>-MIN(J235,J240)</f>
        <v>-8729.25</v>
      </c>
      <c r="K241" s="106">
        <f>-MIN(K235,K240)</f>
        <v>-8729.25</v>
      </c>
      <c r="P241" s="11" t="s">
        <v>83</v>
      </c>
    </row>
    <row r="242" spans="2:22">
      <c r="B242" s="136" t="s">
        <v>289</v>
      </c>
      <c r="C242" s="143"/>
      <c r="D242" s="124"/>
      <c r="E242" s="124"/>
      <c r="F242" s="124"/>
      <c r="G242" s="152">
        <f>+IF(SUM(G240:G241)&lt;G245,G245-SUM(G240:G241),0)</f>
        <v>8729.25</v>
      </c>
      <c r="H242" s="152">
        <f>+IF(SUM(H240:H241)&lt;H245,H245-SUM(H240:H241),0)</f>
        <v>8729.25</v>
      </c>
      <c r="I242" s="152">
        <f>+IF(SUM(I240:I241)&lt;I245,I245-SUM(I240:I241),0)</f>
        <v>8729.25</v>
      </c>
      <c r="J242" s="152">
        <f>+IF(SUM(J240:J241)&lt;J245,J245-SUM(J240:J241),0)</f>
        <v>8729.25</v>
      </c>
      <c r="K242" s="152">
        <f>+IF(SUM(K240:K241)&lt;K245,K245-SUM(K240:K241),0)</f>
        <v>8729.25</v>
      </c>
    </row>
    <row r="243" spans="2:22">
      <c r="B243" s="153" t="s">
        <v>65</v>
      </c>
      <c r="C243" s="82">
        <f>C67</f>
        <v>11977</v>
      </c>
      <c r="D243" s="82">
        <f>D67</f>
        <v>11964</v>
      </c>
      <c r="E243" s="82">
        <f>E67</f>
        <v>5980</v>
      </c>
      <c r="F243" s="82">
        <f>F67</f>
        <v>4996</v>
      </c>
      <c r="G243" s="154">
        <f>SUM(G240:G242)</f>
        <v>8729.25</v>
      </c>
      <c r="H243" s="154">
        <f>SUM(H240:H242)</f>
        <v>8729.25</v>
      </c>
      <c r="I243" s="154">
        <f>SUM(I240:I242)</f>
        <v>8729.25</v>
      </c>
      <c r="J243" s="154">
        <f>SUM(J240:J242)</f>
        <v>8729.25</v>
      </c>
      <c r="K243" s="154">
        <f>SUM(K240:K242)</f>
        <v>8729.25</v>
      </c>
    </row>
    <row r="244" spans="2:22">
      <c r="B244" s="153"/>
      <c r="C244" s="82"/>
      <c r="D244" s="82"/>
      <c r="E244" s="82"/>
      <c r="F244" s="82"/>
      <c r="G244" s="154"/>
      <c r="H244" s="154"/>
      <c r="I244" s="154"/>
      <c r="J244" s="154"/>
      <c r="K244" s="154"/>
    </row>
    <row r="245" spans="2:22">
      <c r="B245" s="148" t="s">
        <v>290</v>
      </c>
      <c r="C245" s="148"/>
      <c r="D245" s="149"/>
      <c r="E245" s="149"/>
      <c r="F245" s="150"/>
      <c r="G245" s="151">
        <f>+AVERAGE(C243:F243)</f>
        <v>8729.25</v>
      </c>
      <c r="H245" s="151">
        <f>+G245</f>
        <v>8729.25</v>
      </c>
      <c r="I245" s="151">
        <f t="shared" ref="I245:K245" si="75">+H245</f>
        <v>8729.25</v>
      </c>
      <c r="J245" s="151">
        <f t="shared" si="75"/>
        <v>8729.25</v>
      </c>
      <c r="K245" s="151">
        <f t="shared" si="75"/>
        <v>8729.25</v>
      </c>
      <c r="P245" s="11" t="s">
        <v>296</v>
      </c>
      <c r="V245" s="48"/>
    </row>
    <row r="246" spans="2:22">
      <c r="B246" s="153"/>
      <c r="C246" s="82"/>
      <c r="D246" s="82"/>
      <c r="E246" s="82"/>
      <c r="F246" s="82"/>
      <c r="G246" s="154"/>
      <c r="H246" s="154"/>
      <c r="I246" s="154"/>
      <c r="J246" s="154"/>
      <c r="K246" s="154"/>
    </row>
    <row r="247" spans="2:22" outlineLevel="1">
      <c r="B247" s="155" t="s">
        <v>291</v>
      </c>
      <c r="C247" s="156"/>
      <c r="D247" s="157"/>
      <c r="E247" s="157"/>
      <c r="F247" s="158"/>
      <c r="G247" s="159" t="str">
        <f>IF(G243&lt;0,"Negative Debt","OK")</f>
        <v>OK</v>
      </c>
      <c r="H247" s="159" t="str">
        <f>IF(H243&lt;0,"Negative Debt","OK")</f>
        <v>OK</v>
      </c>
      <c r="I247" s="159" t="str">
        <f>IF(I243&lt;0,"Negative Debt","OK")</f>
        <v>OK</v>
      </c>
      <c r="J247" s="159" t="str">
        <f>IF(J243&lt;0,"Negative Debt","OK")</f>
        <v>OK</v>
      </c>
      <c r="K247" s="159" t="str">
        <f>IF(K243&lt;0,"Negative Debt","OK")</f>
        <v>OK</v>
      </c>
      <c r="V247" s="48"/>
    </row>
    <row r="248" spans="2:22">
      <c r="D248" s="42"/>
      <c r="E248" s="42"/>
      <c r="F248" s="54"/>
      <c r="G248" s="5"/>
      <c r="H248" s="5"/>
      <c r="I248" s="5"/>
      <c r="J248" s="5"/>
      <c r="K248" s="5"/>
      <c r="V248" s="48"/>
    </row>
    <row r="249" spans="2:22">
      <c r="B249" s="93" t="s">
        <v>302</v>
      </c>
      <c r="C249" s="91"/>
      <c r="D249" s="91"/>
      <c r="E249" s="91"/>
      <c r="F249" s="91"/>
      <c r="G249" s="104"/>
      <c r="H249" s="10"/>
      <c r="I249" s="10"/>
      <c r="J249" s="10"/>
      <c r="K249" s="10"/>
      <c r="L249" s="91"/>
      <c r="M249" s="91"/>
      <c r="N249" s="91"/>
      <c r="U249" s="55"/>
    </row>
    <row r="250" spans="2:22">
      <c r="B250" s="33"/>
      <c r="C250" s="33"/>
      <c r="D250" s="42"/>
      <c r="E250" s="42"/>
      <c r="F250" s="42"/>
      <c r="G250" s="30"/>
      <c r="H250" s="30"/>
      <c r="I250" s="30"/>
      <c r="J250" s="30"/>
      <c r="K250" s="30"/>
      <c r="U250" s="55"/>
    </row>
    <row r="251" spans="2:22">
      <c r="B251" s="45" t="s">
        <v>84</v>
      </c>
      <c r="C251" s="42">
        <f>-(C25)</f>
        <v>2323</v>
      </c>
      <c r="D251" s="42">
        <f>-(D25)</f>
        <v>3240</v>
      </c>
      <c r="E251" s="42">
        <f>-(E25)</f>
        <v>3576</v>
      </c>
      <c r="F251" s="42">
        <f>-(F25)</f>
        <v>2873</v>
      </c>
      <c r="G251" s="42">
        <f>G256+G261</f>
        <v>2911.7825135771118</v>
      </c>
      <c r="H251" s="42">
        <f>H256+H261</f>
        <v>2911.7825135771118</v>
      </c>
      <c r="I251" s="42">
        <f>I256+I261</f>
        <v>2911.7825135771118</v>
      </c>
      <c r="J251" s="42">
        <f>J256+J261</f>
        <v>2911.7825135771118</v>
      </c>
      <c r="K251" s="42">
        <f>K256+K261</f>
        <v>2911.7825135771118</v>
      </c>
      <c r="P251" s="11" t="s">
        <v>85</v>
      </c>
      <c r="U251" s="48"/>
    </row>
    <row r="252" spans="2:22">
      <c r="B252" s="56"/>
      <c r="C252" s="56"/>
      <c r="U252" s="48"/>
    </row>
    <row r="253" spans="2:22">
      <c r="B253" s="57" t="s">
        <v>86</v>
      </c>
      <c r="C253" s="57"/>
      <c r="U253" s="48"/>
    </row>
    <row r="254" spans="2:22">
      <c r="B254" s="33" t="s">
        <v>294</v>
      </c>
      <c r="C254" s="58">
        <v>1.2E-2</v>
      </c>
      <c r="D254" s="58">
        <v>2.18E-2</v>
      </c>
      <c r="E254" s="58">
        <v>2.24E-2</v>
      </c>
      <c r="F254" s="58">
        <v>6.1999999999999998E-3</v>
      </c>
      <c r="G254" s="59">
        <f>F254</f>
        <v>6.1999999999999998E-3</v>
      </c>
      <c r="H254" s="59">
        <f>G254</f>
        <v>6.1999999999999998E-3</v>
      </c>
      <c r="I254" s="59">
        <f>H254</f>
        <v>6.1999999999999998E-3</v>
      </c>
      <c r="J254" s="59">
        <f>I254</f>
        <v>6.1999999999999998E-3</v>
      </c>
      <c r="K254" s="59">
        <f>J254</f>
        <v>6.1999999999999998E-3</v>
      </c>
      <c r="P254" s="11" t="s">
        <v>293</v>
      </c>
    </row>
    <row r="255" spans="2:22">
      <c r="B255" s="71" t="s">
        <v>87</v>
      </c>
      <c r="C255" s="162">
        <f t="shared" ref="C255:K255" si="76">C67</f>
        <v>11977</v>
      </c>
      <c r="D255" s="162">
        <f t="shared" si="76"/>
        <v>11964</v>
      </c>
      <c r="E255" s="162">
        <f t="shared" si="76"/>
        <v>5980</v>
      </c>
      <c r="F255" s="162">
        <f t="shared" si="76"/>
        <v>4996</v>
      </c>
      <c r="G255" s="162">
        <f t="shared" si="76"/>
        <v>8729.25</v>
      </c>
      <c r="H255" s="162">
        <f t="shared" si="76"/>
        <v>8729.25</v>
      </c>
      <c r="I255" s="162">
        <f t="shared" si="76"/>
        <v>8729.25</v>
      </c>
      <c r="J255" s="162">
        <f t="shared" si="76"/>
        <v>8729.25</v>
      </c>
      <c r="K255" s="162">
        <f t="shared" si="76"/>
        <v>8729.25</v>
      </c>
    </row>
    <row r="256" spans="2:22">
      <c r="B256" s="160" t="s">
        <v>88</v>
      </c>
      <c r="C256" s="145"/>
      <c r="D256" s="44">
        <f>AVERAGE(C255:D255)*D254</f>
        <v>260.95690000000002</v>
      </c>
      <c r="E256" s="44">
        <f>AVERAGE(D255:E255)*E254</f>
        <v>200.97280000000001</v>
      </c>
      <c r="F256" s="44">
        <f>AVERAGE(E255:F255)*F254</f>
        <v>34.025599999999997</v>
      </c>
      <c r="G256" s="161">
        <f>IF($C$10=1,AVERAGE(F255,G255)*G254,0)</f>
        <v>0</v>
      </c>
      <c r="H256" s="161">
        <f t="shared" ref="H256:K256" si="77">IF($C$10=1,AVERAGE(G255,H255)*H254,0)</f>
        <v>0</v>
      </c>
      <c r="I256" s="161">
        <f t="shared" si="77"/>
        <v>0</v>
      </c>
      <c r="J256" s="161">
        <f t="shared" si="77"/>
        <v>0</v>
      </c>
      <c r="K256" s="161">
        <f t="shared" si="77"/>
        <v>0</v>
      </c>
      <c r="P256" s="11" t="s">
        <v>89</v>
      </c>
    </row>
    <row r="257" spans="2:21">
      <c r="B257" s="60"/>
      <c r="C257" s="60"/>
      <c r="D257" s="42"/>
      <c r="E257" s="42"/>
      <c r="F257" s="42"/>
    </row>
    <row r="258" spans="2:21">
      <c r="B258" s="57" t="s">
        <v>56</v>
      </c>
      <c r="C258" s="57"/>
      <c r="D258" s="42"/>
      <c r="E258" s="42"/>
      <c r="F258" s="42"/>
    </row>
    <row r="259" spans="2:21">
      <c r="B259" s="33" t="s">
        <v>87</v>
      </c>
      <c r="C259" s="42">
        <f t="shared" ref="C259:K259" si="78">C68</f>
        <v>103703</v>
      </c>
      <c r="D259" s="42">
        <f t="shared" si="78"/>
        <v>102519</v>
      </c>
      <c r="E259" s="42">
        <f t="shared" si="78"/>
        <v>102067</v>
      </c>
      <c r="F259" s="42">
        <f t="shared" si="78"/>
        <v>107440</v>
      </c>
      <c r="G259" s="42">
        <f t="shared" si="78"/>
        <v>107440</v>
      </c>
      <c r="H259" s="42">
        <f t="shared" si="78"/>
        <v>107440</v>
      </c>
      <c r="I259" s="42">
        <f t="shared" si="78"/>
        <v>107440</v>
      </c>
      <c r="J259" s="42">
        <f t="shared" si="78"/>
        <v>107440</v>
      </c>
      <c r="K259" s="42">
        <f t="shared" si="78"/>
        <v>107440</v>
      </c>
    </row>
    <row r="260" spans="2:21">
      <c r="B260" s="71" t="s">
        <v>294</v>
      </c>
      <c r="C260" s="163"/>
      <c r="D260" s="139">
        <f t="shared" ref="D260:E260" si="79">D261/AVERAGE(C259:D259)</f>
        <v>2.8891612921996681E-2</v>
      </c>
      <c r="E260" s="139">
        <f t="shared" si="79"/>
        <v>3.2993725865895024E-2</v>
      </c>
      <c r="F260" s="139">
        <f>F261/AVERAGE(E259:F259)</f>
        <v>2.710147536836478E-2</v>
      </c>
      <c r="G260" s="164">
        <f>F260</f>
        <v>2.710147536836478E-2</v>
      </c>
      <c r="H260" s="164">
        <f>G260</f>
        <v>2.710147536836478E-2</v>
      </c>
      <c r="I260" s="164">
        <f>H260</f>
        <v>2.710147536836478E-2</v>
      </c>
      <c r="J260" s="164">
        <f>I260</f>
        <v>2.710147536836478E-2</v>
      </c>
      <c r="K260" s="164">
        <f>J260</f>
        <v>2.710147536836478E-2</v>
      </c>
      <c r="P260" s="11" t="s">
        <v>293</v>
      </c>
      <c r="U260" s="55"/>
    </row>
    <row r="261" spans="2:21">
      <c r="B261" s="50" t="s">
        <v>90</v>
      </c>
      <c r="C261" s="146"/>
      <c r="D261" s="44">
        <f t="shared" ref="D261" si="80">D251-D256</f>
        <v>2979.0430999999999</v>
      </c>
      <c r="E261" s="44">
        <f>E251-E256</f>
        <v>3375.0272</v>
      </c>
      <c r="F261" s="44">
        <f>F251-F256</f>
        <v>2838.9744000000001</v>
      </c>
      <c r="G261" s="43">
        <f>G260*AVERAGE(F259:G259)</f>
        <v>2911.7825135771118</v>
      </c>
      <c r="H261" s="43">
        <f>H260*AVERAGE(G259:H259)</f>
        <v>2911.7825135771118</v>
      </c>
      <c r="I261" s="43">
        <f>I260*AVERAGE(H259:I259)</f>
        <v>2911.7825135771118</v>
      </c>
      <c r="J261" s="43">
        <f>J260*AVERAGE(I259:J259)</f>
        <v>2911.7825135771118</v>
      </c>
      <c r="K261" s="43">
        <f>K260*AVERAGE(J259:K259)</f>
        <v>2911.7825135771118</v>
      </c>
      <c r="P261" s="11" t="s">
        <v>292</v>
      </c>
    </row>
    <row r="262" spans="2:21">
      <c r="E262" s="42"/>
    </row>
    <row r="263" spans="2:21">
      <c r="B263" s="56" t="s">
        <v>91</v>
      </c>
      <c r="C263" s="56"/>
      <c r="E263" s="42"/>
      <c r="F263" s="42"/>
    </row>
    <row r="264" spans="2:21">
      <c r="B264" s="33" t="s">
        <v>295</v>
      </c>
      <c r="C264" s="58">
        <v>1.9900000000000001E-2</v>
      </c>
      <c r="D264" s="58">
        <v>2.1600000000000001E-2</v>
      </c>
      <c r="E264" s="58">
        <v>2.1899999999999999E-2</v>
      </c>
      <c r="F264" s="58">
        <v>1.8499999999999999E-2</v>
      </c>
      <c r="G264" s="61">
        <f>F264</f>
        <v>1.8499999999999999E-2</v>
      </c>
      <c r="H264" s="61">
        <f>G264</f>
        <v>1.8499999999999999E-2</v>
      </c>
      <c r="I264" s="61">
        <f>H264</f>
        <v>1.8499999999999999E-2</v>
      </c>
      <c r="J264" s="61">
        <f>I264</f>
        <v>1.8499999999999999E-2</v>
      </c>
      <c r="K264" s="61">
        <f>J264</f>
        <v>1.8499999999999999E-2</v>
      </c>
      <c r="P264" s="11" t="s">
        <v>293</v>
      </c>
    </row>
    <row r="265" spans="2:21">
      <c r="B265" s="33" t="s">
        <v>13</v>
      </c>
      <c r="C265" s="42">
        <f>C24</f>
        <v>5201</v>
      </c>
      <c r="D265" s="42">
        <f>D24</f>
        <v>5686</v>
      </c>
      <c r="E265" s="42">
        <f>E24</f>
        <v>4961</v>
      </c>
      <c r="F265" s="42">
        <f>F24</f>
        <v>3763</v>
      </c>
      <c r="G265" s="46">
        <f>IF($C$10=1,AVERAGE(F55,G55)*G264,0)</f>
        <v>0</v>
      </c>
      <c r="H265" s="46">
        <f>IF($C$10=1,AVERAGE(G55,H55)*H264,0)</f>
        <v>0</v>
      </c>
      <c r="I265" s="46">
        <f>IF($C$10=1,AVERAGE(H55,I55)*I264,0)</f>
        <v>0</v>
      </c>
      <c r="J265" s="46">
        <f>IF($C$10=1,AVERAGE(I55,J55)*J264,0)</f>
        <v>0</v>
      </c>
      <c r="K265" s="46">
        <f>IF($C$10=1,AVERAGE(J55,K55)*K264,0)</f>
        <v>0</v>
      </c>
      <c r="P265" s="11" t="s">
        <v>92</v>
      </c>
    </row>
    <row r="266" spans="2:21">
      <c r="B266" s="62"/>
      <c r="C266" s="62"/>
      <c r="D266" s="53"/>
      <c r="E266" s="53"/>
      <c r="F266" s="53"/>
      <c r="G266" s="53"/>
      <c r="H266" s="53"/>
    </row>
    <row r="267" spans="2:21">
      <c r="B267" s="89" t="s">
        <v>303</v>
      </c>
      <c r="C267" s="90"/>
      <c r="D267" s="90"/>
      <c r="E267" s="90"/>
      <c r="F267" s="90"/>
      <c r="G267" s="90"/>
      <c r="H267" s="90"/>
      <c r="I267" s="90"/>
      <c r="J267" s="90"/>
      <c r="K267" s="90"/>
      <c r="L267" s="103"/>
      <c r="M267" s="103"/>
      <c r="N267" s="103"/>
    </row>
    <row r="268" spans="2:21" ht="6.75" customHeight="1">
      <c r="F268" s="38"/>
      <c r="G268" s="38"/>
      <c r="H268" s="38"/>
      <c r="I268" s="37"/>
      <c r="J268" s="37"/>
    </row>
    <row r="269" spans="2:21">
      <c r="B269" s="11" t="s">
        <v>19</v>
      </c>
      <c r="C269" s="42">
        <f t="shared" ref="C269:K269" si="81">C29</f>
        <v>48351</v>
      </c>
      <c r="D269" s="42">
        <f t="shared" si="81"/>
        <v>59531</v>
      </c>
      <c r="E269" s="42">
        <f t="shared" si="81"/>
        <v>55256</v>
      </c>
      <c r="F269" s="42">
        <f t="shared" si="81"/>
        <v>57411</v>
      </c>
      <c r="G269" s="42">
        <f t="shared" si="81"/>
        <v>68879.548583261858</v>
      </c>
      <c r="H269" s="42">
        <f t="shared" si="81"/>
        <v>71565.61033196676</v>
      </c>
      <c r="I269" s="42">
        <f t="shared" si="81"/>
        <v>75934.126199517894</v>
      </c>
      <c r="J269" s="42">
        <f t="shared" si="81"/>
        <v>82589.870508524022</v>
      </c>
      <c r="K269" s="42">
        <f t="shared" si="81"/>
        <v>84278.608852969366</v>
      </c>
      <c r="P269" s="11" t="s">
        <v>93</v>
      </c>
    </row>
    <row r="270" spans="2:21">
      <c r="C270" s="42"/>
      <c r="D270" s="42"/>
      <c r="E270" s="42"/>
      <c r="F270" s="42"/>
      <c r="G270" s="42"/>
      <c r="H270" s="42"/>
      <c r="I270" s="42"/>
      <c r="J270" s="42"/>
      <c r="K270" s="42"/>
    </row>
    <row r="271" spans="2:21">
      <c r="B271" s="11" t="s">
        <v>3</v>
      </c>
      <c r="C271" s="21">
        <f>17001802000/1000000</f>
        <v>17001.802</v>
      </c>
      <c r="D271" s="42"/>
      <c r="E271" s="42"/>
      <c r="F271" s="42"/>
      <c r="G271" s="42"/>
      <c r="H271" s="42"/>
      <c r="I271" s="42"/>
      <c r="J271" s="42"/>
      <c r="K271" s="42"/>
    </row>
    <row r="272" spans="2:21">
      <c r="C272" s="42"/>
      <c r="D272" s="42"/>
      <c r="E272" s="42"/>
      <c r="F272" s="42"/>
      <c r="G272" s="42"/>
      <c r="H272" s="42"/>
      <c r="I272" s="42"/>
      <c r="J272" s="42"/>
      <c r="K272" s="42"/>
    </row>
    <row r="273" spans="2:16">
      <c r="B273" s="28" t="s">
        <v>107</v>
      </c>
      <c r="C273" s="98"/>
      <c r="D273" s="98"/>
      <c r="E273" s="98"/>
      <c r="F273" s="98"/>
      <c r="G273" s="154">
        <f>C271</f>
        <v>17001.802</v>
      </c>
      <c r="H273" s="110">
        <f>G275</f>
        <v>16507.055784948945</v>
      </c>
      <c r="I273" s="110">
        <f t="shared" ref="I273:K273" si="82">H275</f>
        <v>16033.415736313011</v>
      </c>
      <c r="J273" s="110">
        <f t="shared" si="82"/>
        <v>15590.048611124384</v>
      </c>
      <c r="K273" s="110">
        <f t="shared" si="82"/>
        <v>15186.384518174324</v>
      </c>
      <c r="P273" s="35"/>
    </row>
    <row r="274" spans="2:16">
      <c r="B274" s="11" t="s">
        <v>108</v>
      </c>
      <c r="C274" s="98"/>
      <c r="D274" s="98"/>
      <c r="E274" s="98"/>
      <c r="F274" s="98"/>
      <c r="G274" s="106">
        <f>(-G283+G284)/G285</f>
        <v>-494.74621505105421</v>
      </c>
      <c r="H274" s="106">
        <f>(-H283+H284)/H285</f>
        <v>-473.6400486359347</v>
      </c>
      <c r="I274" s="106">
        <f>(-I283+I284)/I285</f>
        <v>-443.36712518862691</v>
      </c>
      <c r="J274" s="106">
        <f>(-J283+J284)/J285</f>
        <v>-403.66409295006122</v>
      </c>
      <c r="K274" s="106">
        <f>(-K283+K284)/K285</f>
        <v>-394.16833317704692</v>
      </c>
      <c r="P274" s="11" t="s">
        <v>109</v>
      </c>
    </row>
    <row r="275" spans="2:16">
      <c r="B275" s="11" t="s">
        <v>110</v>
      </c>
      <c r="C275" s="98"/>
      <c r="D275" s="98"/>
      <c r="E275" s="98"/>
      <c r="F275" s="98"/>
      <c r="G275" s="106">
        <f>SUM(G273:G274)</f>
        <v>16507.055784948945</v>
      </c>
      <c r="H275" s="106">
        <f t="shared" ref="H275:K275" si="83">SUM(H273:H274)</f>
        <v>16033.415736313011</v>
      </c>
      <c r="I275" s="106">
        <f t="shared" si="83"/>
        <v>15590.048611124384</v>
      </c>
      <c r="J275" s="106">
        <f t="shared" si="83"/>
        <v>15186.384518174324</v>
      </c>
      <c r="K275" s="106">
        <f t="shared" si="83"/>
        <v>14792.216184997276</v>
      </c>
      <c r="P275" s="11" t="s">
        <v>111</v>
      </c>
    </row>
    <row r="276" spans="2:16">
      <c r="B276" s="28" t="s">
        <v>304</v>
      </c>
      <c r="C276" s="98"/>
      <c r="D276" s="41">
        <v>19821.509999999998</v>
      </c>
      <c r="E276" s="41">
        <v>18471.335999999999</v>
      </c>
      <c r="F276" s="41">
        <v>17352.118999999999</v>
      </c>
      <c r="G276" s="110">
        <f>AVERAGE(G275,G273)</f>
        <v>16754.428892474472</v>
      </c>
      <c r="H276" s="110">
        <f t="shared" ref="H276:K276" si="84">AVERAGE(H275,H273)</f>
        <v>16270.235760630978</v>
      </c>
      <c r="I276" s="110">
        <f t="shared" si="84"/>
        <v>15811.732173718698</v>
      </c>
      <c r="J276" s="110">
        <f t="shared" si="84"/>
        <v>15388.216564649354</v>
      </c>
      <c r="K276" s="110">
        <f t="shared" si="84"/>
        <v>14989.3003515858</v>
      </c>
      <c r="P276" s="11" t="s">
        <v>112</v>
      </c>
    </row>
    <row r="277" spans="2:16">
      <c r="C277" s="42"/>
      <c r="D277" s="42"/>
      <c r="E277" s="42"/>
      <c r="F277" s="42"/>
      <c r="G277" s="42"/>
      <c r="H277" s="42"/>
      <c r="I277" s="42"/>
      <c r="J277" s="42"/>
      <c r="K277" s="42"/>
    </row>
    <row r="278" spans="2:16">
      <c r="B278" s="28" t="s">
        <v>94</v>
      </c>
      <c r="C278" s="98"/>
      <c r="D278" s="63">
        <f t="shared" ref="D278:F278" si="85">D269/D276</f>
        <v>3.0033534276651981</v>
      </c>
      <c r="E278" s="63">
        <f t="shared" si="85"/>
        <v>2.9914457730615696</v>
      </c>
      <c r="F278" s="63">
        <f t="shared" si="85"/>
        <v>3.3085872682177895</v>
      </c>
      <c r="G278" s="63">
        <f>G269/G276</f>
        <v>4.1111248270718583</v>
      </c>
      <c r="H278" s="63">
        <f t="shared" ref="H278:K278" si="86">H269/H276</f>
        <v>4.3985601305872759</v>
      </c>
      <c r="I278" s="63">
        <f t="shared" si="86"/>
        <v>4.8023913740286464</v>
      </c>
      <c r="J278" s="63">
        <f t="shared" si="86"/>
        <v>5.367085273432787</v>
      </c>
      <c r="K278" s="63">
        <f t="shared" si="86"/>
        <v>5.6225845687355962</v>
      </c>
      <c r="P278" s="11" t="s">
        <v>95</v>
      </c>
    </row>
    <row r="279" spans="2:16">
      <c r="D279" s="41"/>
      <c r="E279" s="41"/>
      <c r="F279" s="41"/>
      <c r="G279" s="42"/>
    </row>
    <row r="280" spans="2:16">
      <c r="B280" s="11" t="s">
        <v>96</v>
      </c>
      <c r="C280" s="98"/>
      <c r="D280" s="41">
        <v>20000.435000000001</v>
      </c>
      <c r="E280" s="41">
        <v>18595.651000000002</v>
      </c>
      <c r="F280" s="41">
        <v>17528.214</v>
      </c>
      <c r="G280" s="42">
        <f>G276+F280-F276</f>
        <v>16930.52389247447</v>
      </c>
      <c r="H280" s="42">
        <f>H276+G280-G276</f>
        <v>16446.330760630972</v>
      </c>
      <c r="I280" s="42">
        <f>I276+H280-H276</f>
        <v>15987.827173718691</v>
      </c>
      <c r="J280" s="42">
        <f>J276+I280-I276</f>
        <v>15564.31156464935</v>
      </c>
      <c r="K280" s="42">
        <f>K276+J280-J276</f>
        <v>15165.395351585796</v>
      </c>
      <c r="P280" s="11" t="s">
        <v>97</v>
      </c>
    </row>
    <row r="281" spans="2:16">
      <c r="B281" s="28" t="s">
        <v>98</v>
      </c>
      <c r="C281" s="98"/>
      <c r="D281" s="63">
        <f t="shared" ref="D281:K281" si="87">D269/D280</f>
        <v>2.9764852614455632</v>
      </c>
      <c r="E281" s="63">
        <f t="shared" si="87"/>
        <v>2.9714474637107351</v>
      </c>
      <c r="F281" s="63">
        <f t="shared" si="87"/>
        <v>3.2753479618630856</v>
      </c>
      <c r="G281" s="63">
        <f t="shared" si="87"/>
        <v>4.0683648669536128</v>
      </c>
      <c r="H281" s="63">
        <f t="shared" si="87"/>
        <v>4.3514636409526464</v>
      </c>
      <c r="I281" s="63">
        <f t="shared" si="87"/>
        <v>4.7494963120655243</v>
      </c>
      <c r="J281" s="63">
        <f t="shared" si="87"/>
        <v>5.3063619399721711</v>
      </c>
      <c r="K281" s="63">
        <f t="shared" si="87"/>
        <v>5.5572971821111556</v>
      </c>
      <c r="P281" s="11" t="s">
        <v>99</v>
      </c>
    </row>
    <row r="282" spans="2:16">
      <c r="G282" s="64"/>
    </row>
    <row r="283" spans="2:16">
      <c r="B283" s="11" t="s">
        <v>100</v>
      </c>
      <c r="C283" s="98"/>
      <c r="D283" s="98"/>
      <c r="E283" s="98"/>
      <c r="F283" s="98"/>
      <c r="G283" s="42">
        <f>-(G104)</f>
        <v>72516</v>
      </c>
      <c r="H283" s="42">
        <f>-(H104)</f>
        <v>72516</v>
      </c>
      <c r="I283" s="42">
        <f>-(I104)</f>
        <v>72516</v>
      </c>
      <c r="J283" s="42">
        <f>-(J104)</f>
        <v>72516</v>
      </c>
      <c r="K283" s="42">
        <f>-(K104)</f>
        <v>72516</v>
      </c>
      <c r="P283" s="11" t="s">
        <v>101</v>
      </c>
    </row>
    <row r="284" spans="2:16">
      <c r="B284" s="11" t="s">
        <v>102</v>
      </c>
      <c r="C284" s="98"/>
      <c r="D284" s="98"/>
      <c r="E284" s="98"/>
      <c r="F284" s="98"/>
      <c r="G284" s="46">
        <f>G47</f>
        <v>8198.9920433629504</v>
      </c>
      <c r="H284" s="46">
        <f>H47</f>
        <v>8541.6537504528114</v>
      </c>
      <c r="I284" s="46">
        <f>I47</f>
        <v>8975.0728190930568</v>
      </c>
      <c r="J284" s="46">
        <f>J47</f>
        <v>9594.3699852467053</v>
      </c>
      <c r="K284" s="46">
        <f>K47</f>
        <v>9818.2220752964276</v>
      </c>
      <c r="P284" s="11" t="s">
        <v>103</v>
      </c>
    </row>
    <row r="285" spans="2:16">
      <c r="B285" s="11" t="s">
        <v>104</v>
      </c>
      <c r="C285" s="98"/>
      <c r="D285" s="98"/>
      <c r="E285" s="98"/>
      <c r="F285" s="98"/>
      <c r="G285" s="65">
        <v>130</v>
      </c>
      <c r="H285" s="64">
        <f>G285*(1+H286)</f>
        <v>135.06954581604927</v>
      </c>
      <c r="I285" s="64">
        <f>H285*(1+I286)</f>
        <v>143.31447590723823</v>
      </c>
      <c r="J285" s="64">
        <f>I285*(1+J286)</f>
        <v>155.8762127067308</v>
      </c>
      <c r="K285" s="64">
        <f>J285*(1+K286)</f>
        <v>159.06345753184053</v>
      </c>
      <c r="P285" s="11" t="s">
        <v>105</v>
      </c>
    </row>
    <row r="286" spans="2:16">
      <c r="B286" s="11" t="s">
        <v>106</v>
      </c>
      <c r="C286" s="98"/>
      <c r="D286" s="98"/>
      <c r="E286" s="98"/>
      <c r="F286" s="98"/>
      <c r="H286" s="66">
        <f>H269/G269-1</f>
        <v>3.8996506277302112E-2</v>
      </c>
      <c r="I286" s="66">
        <f t="shared" ref="I286:K286" si="88">I269/H269-1</f>
        <v>6.1042110132047744E-2</v>
      </c>
      <c r="J286" s="66">
        <f t="shared" si="88"/>
        <v>8.7651555922538371E-2</v>
      </c>
      <c r="K286" s="66">
        <f t="shared" si="88"/>
        <v>2.0447281658724226E-2</v>
      </c>
      <c r="P286" s="11" t="s">
        <v>305</v>
      </c>
    </row>
    <row r="288" spans="2:16">
      <c r="B288" s="89" t="s">
        <v>255</v>
      </c>
      <c r="C288" s="90"/>
      <c r="D288" s="90"/>
      <c r="E288" s="90"/>
      <c r="F288" s="90"/>
      <c r="G288" s="90"/>
      <c r="H288" s="90"/>
      <c r="I288" s="90"/>
      <c r="J288" s="90"/>
      <c r="K288" s="90"/>
      <c r="L288" s="103"/>
      <c r="M288" s="103"/>
      <c r="N288" s="103"/>
    </row>
    <row r="290" spans="2:16">
      <c r="B290" s="11" t="s">
        <v>4</v>
      </c>
      <c r="C290" s="98"/>
      <c r="D290" s="98"/>
      <c r="E290" s="98"/>
      <c r="F290" s="106">
        <f>+F18</f>
        <v>274515</v>
      </c>
      <c r="G290" s="74">
        <f>+Estimates!C12/1000000</f>
        <v>329586.51351351303</v>
      </c>
      <c r="H290" s="74">
        <f>+Estimates!D12/1000000</f>
        <v>343360.97222222196</v>
      </c>
      <c r="I290" s="74">
        <f>+Estimates!E12/1000000</f>
        <v>360783.73333333299</v>
      </c>
      <c r="J290" s="74">
        <f>+Estimates!F12/1000000</f>
        <v>385678.5</v>
      </c>
      <c r="K290" s="74">
        <v>394677</v>
      </c>
      <c r="P290" s="11" t="s">
        <v>465</v>
      </c>
    </row>
    <row r="291" spans="2:16">
      <c r="B291" s="11" t="s">
        <v>256</v>
      </c>
      <c r="C291" s="98"/>
      <c r="D291" s="98"/>
      <c r="E291" s="98"/>
      <c r="F291" s="98"/>
      <c r="G291" s="116">
        <f>+G290/F290-1</f>
        <v>0.20061385903689422</v>
      </c>
      <c r="H291" s="116">
        <f>+H290/G290-1</f>
        <v>4.1793150338186313E-2</v>
      </c>
      <c r="I291" s="116">
        <f>+I290/H290-1</f>
        <v>5.0741821350141825E-2</v>
      </c>
      <c r="J291" s="116">
        <f>+J290/I290-1</f>
        <v>6.9001909916116988E-2</v>
      </c>
      <c r="K291" s="116">
        <f>+K290/J290-1</f>
        <v>2.3331609099288553E-2</v>
      </c>
    </row>
    <row r="292" spans="2:16">
      <c r="B292" s="11" t="s">
        <v>253</v>
      </c>
      <c r="C292" s="98"/>
      <c r="D292" s="98"/>
      <c r="E292" s="98"/>
      <c r="F292" s="98"/>
      <c r="G292" s="116">
        <f>+Estimates!C13/100</f>
        <v>0.394182894997956</v>
      </c>
      <c r="H292" s="116">
        <f>+Estimates!D13/100</f>
        <v>0.393162279501519</v>
      </c>
      <c r="I292" s="116">
        <f>+Estimates!E13/100</f>
        <v>0.39512820003072496</v>
      </c>
      <c r="J292" s="116">
        <f>+Estimates!F13/100</f>
        <v>0.39888261541617998</v>
      </c>
      <c r="K292" s="116">
        <v>0.39800000000000002</v>
      </c>
      <c r="P292" s="11" t="s">
        <v>465</v>
      </c>
    </row>
    <row r="293" spans="2:16">
      <c r="B293" s="11" t="s">
        <v>254</v>
      </c>
      <c r="C293" s="98"/>
      <c r="D293" s="98"/>
      <c r="E293" s="98"/>
      <c r="F293" s="98"/>
      <c r="G293" s="74">
        <f>-Estimates!C29/1000000</f>
        <v>10193</v>
      </c>
      <c r="H293" s="74">
        <f>-Estimates!D29/1000000</f>
        <v>10249.15</v>
      </c>
      <c r="I293" s="74">
        <f>-Estimates!E29/1000000</f>
        <v>10074.200000000001</v>
      </c>
      <c r="J293" s="74">
        <f>-Estimates!F29/1000000</f>
        <v>9870.5</v>
      </c>
      <c r="K293" s="74">
        <v>8813</v>
      </c>
      <c r="P293" s="11" t="s">
        <v>465</v>
      </c>
    </row>
    <row r="295" spans="2:16">
      <c r="B295" s="89" t="s">
        <v>297</v>
      </c>
      <c r="C295" s="90"/>
      <c r="D295" s="90"/>
      <c r="E295" s="90"/>
      <c r="F295" s="90"/>
      <c r="G295" s="90"/>
      <c r="H295" s="90"/>
      <c r="I295" s="90"/>
      <c r="J295" s="90"/>
      <c r="K295" s="90"/>
      <c r="L295" s="103"/>
      <c r="M295" s="103"/>
      <c r="N295" s="103"/>
    </row>
    <row r="297" spans="2:16" ht="12" thickBot="1">
      <c r="B297" s="170" t="str">
        <f>+G5&amp;"E net income sensitivity analysis"</f>
        <v>2021E net income sensitivity analysis</v>
      </c>
      <c r="C297" s="171"/>
      <c r="D297" s="171"/>
      <c r="E297" s="171"/>
      <c r="F297" s="171"/>
      <c r="G297" s="171"/>
      <c r="H297" s="171"/>
    </row>
    <row r="298" spans="2:16">
      <c r="C298" s="28"/>
      <c r="D298" s="172" t="s">
        <v>301</v>
      </c>
      <c r="E298" s="173"/>
      <c r="F298" s="173"/>
      <c r="G298" s="173"/>
      <c r="H298" s="173"/>
    </row>
    <row r="299" spans="2:16" ht="12" thickBot="1">
      <c r="C299" s="174">
        <f>+G29</f>
        <v>68879.548583261858</v>
      </c>
      <c r="D299" s="175">
        <v>-0.05</v>
      </c>
      <c r="E299" s="175">
        <v>-2.5000000000000001E-2</v>
      </c>
      <c r="F299" s="175">
        <v>0.15600641130721438</v>
      </c>
      <c r="G299" s="175">
        <v>2.5000000000000001E-2</v>
      </c>
      <c r="H299" s="175">
        <v>0.05</v>
      </c>
    </row>
    <row r="300" spans="2:16">
      <c r="B300" s="67"/>
      <c r="C300" s="176">
        <f>+C301+0.01</f>
        <v>0.40479999999999999</v>
      </c>
      <c r="D300" s="177">
        <f t="dataTable" ref="D300:H304" dt2D="1" dtr="1" r1="G112" r2="G117"/>
        <v>56335.45263963013</v>
      </c>
      <c r="E300" s="177">
        <v>57885.493846793521</v>
      </c>
      <c r="F300" s="177">
        <v>69108.189698271541</v>
      </c>
      <c r="G300" s="177">
        <v>60985.576261120339</v>
      </c>
      <c r="H300" s="177">
        <v>62535.61746828373</v>
      </c>
    </row>
    <row r="301" spans="2:16">
      <c r="B301" s="178" t="s">
        <v>298</v>
      </c>
      <c r="C301" s="176">
        <f>+C302+0.01</f>
        <v>0.39479999999999998</v>
      </c>
      <c r="D301" s="177">
        <v>54103.831165550131</v>
      </c>
      <c r="E301" s="177">
        <v>55595.145491816693</v>
      </c>
      <c r="F301" s="177">
        <v>66392.643664958581</v>
      </c>
      <c r="G301" s="177">
        <v>58577.774144349809</v>
      </c>
      <c r="H301" s="177">
        <v>60069.088470616378</v>
      </c>
    </row>
    <row r="302" spans="2:16">
      <c r="B302" s="178" t="s">
        <v>299</v>
      </c>
      <c r="C302" s="176">
        <v>0.38479999999999998</v>
      </c>
      <c r="D302" s="177">
        <v>51872.209691470169</v>
      </c>
      <c r="E302" s="177">
        <v>53304.797136839865</v>
      </c>
      <c r="F302" s="179">
        <v>63677.097631645622</v>
      </c>
      <c r="G302" s="177">
        <v>56169.972027579308</v>
      </c>
      <c r="H302" s="177">
        <v>57602.559472949033</v>
      </c>
    </row>
    <row r="303" spans="2:16">
      <c r="B303" s="178" t="s">
        <v>300</v>
      </c>
      <c r="C303" s="176">
        <f>+C302-0.01</f>
        <v>0.37479999999999997</v>
      </c>
      <c r="D303" s="177">
        <v>49640.58821739017</v>
      </c>
      <c r="E303" s="177">
        <v>51014.448781863051</v>
      </c>
      <c r="F303" s="177">
        <v>60961.551598332648</v>
      </c>
      <c r="G303" s="177">
        <v>53762.1699108088</v>
      </c>
      <c r="H303" s="177">
        <v>55136.030475281688</v>
      </c>
    </row>
    <row r="304" spans="2:16">
      <c r="C304" s="176">
        <f>+C303-0.01</f>
        <v>0.36479999999999996</v>
      </c>
      <c r="D304" s="177">
        <v>47408.9667433102</v>
      </c>
      <c r="E304" s="177">
        <v>48724.100426886223</v>
      </c>
      <c r="F304" s="177">
        <v>58246.005565019681</v>
      </c>
      <c r="G304" s="177">
        <v>51354.367794038291</v>
      </c>
      <c r="H304" s="177">
        <v>52669.501477614336</v>
      </c>
    </row>
    <row r="305" spans="2:2" ht="14.25">
      <c r="B305" s="1"/>
    </row>
  </sheetData>
  <conditionalFormatting sqref="B126:B127">
    <cfRule type="expression" dxfId="2" priority="2">
      <formula>#REF!=$B126</formula>
    </cfRule>
  </conditionalFormatting>
  <conditionalFormatting sqref="C127">
    <cfRule type="expression" dxfId="1" priority="5">
      <formula>#REF!=#REF!</formula>
    </cfRule>
  </conditionalFormatting>
  <dataValidations count="4">
    <dataValidation type="list" allowBlank="1" showInputMessage="1" showErrorMessage="1" sqref="F142 F153 F166" xr:uid="{6B42FFEA-8AB8-4EA5-A39E-F97C292BEE1C}">
      <formula1>"1,2"</formula1>
    </dataValidation>
    <dataValidation type="list" allowBlank="1" showInputMessage="1" showErrorMessage="1" sqref="F200" xr:uid="{2BA2013C-2B6D-43B2-AF1E-7887D3E0E13A}">
      <formula1>"1,=1/2"</formula1>
    </dataValidation>
    <dataValidation type="list" allowBlank="1" showInputMessage="1" showErrorMessage="1" sqref="C10" xr:uid="{F0B04D20-8648-496A-A5A0-011DAE92AC20}">
      <formula1>"0,1"</formula1>
    </dataValidation>
    <dataValidation type="list" allowBlank="1" showInputMessage="1" showErrorMessage="1" sqref="C11" xr:uid="{9711FB09-7F77-4BF2-81E2-B15CEFE81374}">
      <formula1>$C$12:$C$14</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30E62-995A-4CCA-9AD6-CFFE77D37E36}">
  <sheetPr codeName="Sheet2"/>
  <dimension ref="A1:S177"/>
  <sheetViews>
    <sheetView showGridLines="0" workbookViewId="0">
      <pane xSplit="1" ySplit="6" topLeftCell="B7" activePane="bottomRight" state="frozen"/>
      <selection pane="topRight" activeCell="B1" sqref="B1"/>
      <selection pane="bottomLeft" activeCell="A7" sqref="A7"/>
      <selection pane="bottomRight" activeCell="B7" sqref="B7"/>
    </sheetView>
  </sheetViews>
  <sheetFormatPr defaultColWidth="9.140625" defaultRowHeight="11.25"/>
  <cols>
    <col min="1" max="1" width="2.5703125" style="11" customWidth="1"/>
    <col min="2" max="2" width="45.42578125" style="11" customWidth="1"/>
    <col min="3" max="3" width="9.85546875" style="11" customWidth="1"/>
    <col min="4" max="11" width="9.28515625" style="11" customWidth="1"/>
    <col min="12" max="12" width="1.7109375" style="11" customWidth="1"/>
    <col min="13" max="13" width="12.140625" style="11" bestFit="1" customWidth="1"/>
    <col min="14" max="18" width="9.42578125" style="11" customWidth="1"/>
    <col min="19" max="16384" width="9.140625" style="11"/>
  </cols>
  <sheetData>
    <row r="1" spans="1:18" s="1" customFormat="1" ht="6.75" customHeight="1"/>
    <row r="2" spans="1:18" s="1" customFormat="1" ht="18.75">
      <c r="B2" s="8" t="s">
        <v>348</v>
      </c>
      <c r="C2" s="2"/>
      <c r="D2" s="2"/>
      <c r="E2" s="2"/>
      <c r="F2" s="2"/>
      <c r="G2" s="2"/>
      <c r="H2" s="2"/>
      <c r="I2" s="7" t="str">
        <f ca="1">+FSM!I2</f>
        <v>Active case: Base case</v>
      </c>
      <c r="J2" s="6"/>
      <c r="K2" s="2"/>
    </row>
    <row r="3" spans="1:18" s="1" customFormat="1" ht="12" customHeight="1">
      <c r="A3" s="3"/>
      <c r="B3" s="3"/>
      <c r="C3" s="2"/>
      <c r="D3" s="2"/>
      <c r="E3" s="2"/>
      <c r="F3" s="2"/>
      <c r="G3" s="2"/>
    </row>
    <row r="4" spans="1:18" s="1" customFormat="1" ht="14.25">
      <c r="A4" s="3"/>
      <c r="B4" s="3"/>
      <c r="C4" s="88"/>
      <c r="D4" s="288"/>
      <c r="E4" s="289" t="s">
        <v>123</v>
      </c>
      <c r="F4" s="289" t="s">
        <v>124</v>
      </c>
      <c r="G4" s="290" t="s">
        <v>230</v>
      </c>
      <c r="H4" s="288"/>
      <c r="I4" s="288"/>
      <c r="J4" s="288"/>
      <c r="K4" s="288"/>
      <c r="L4" s="87"/>
      <c r="M4" s="88"/>
      <c r="N4" s="88"/>
    </row>
    <row r="5" spans="1:18" s="1" customFormat="1" ht="14.25">
      <c r="A5" s="3"/>
      <c r="B5" s="23" t="s">
        <v>220</v>
      </c>
      <c r="C5" s="287"/>
      <c r="D5" s="287"/>
      <c r="E5" s="294">
        <f>+YEAR(E6)</f>
        <v>2021</v>
      </c>
      <c r="F5" s="287">
        <f>+FSM!F5</f>
        <v>2020</v>
      </c>
      <c r="G5" s="291">
        <f>+FSM!G5</f>
        <v>2021</v>
      </c>
      <c r="H5" s="291">
        <f>+FSM!H5</f>
        <v>2022</v>
      </c>
      <c r="I5" s="291">
        <f>+FSM!I5</f>
        <v>2023</v>
      </c>
      <c r="J5" s="291">
        <f>+FSM!J5</f>
        <v>2024</v>
      </c>
      <c r="K5" s="291">
        <f>+FSM!K5</f>
        <v>2025</v>
      </c>
      <c r="L5" s="11"/>
      <c r="M5" s="24" t="s">
        <v>252</v>
      </c>
      <c r="N5" s="285"/>
      <c r="Q5" s="2"/>
      <c r="R5" s="2"/>
    </row>
    <row r="6" spans="1:18" ht="11.25" customHeight="1">
      <c r="A6" s="9"/>
      <c r="B6" s="9"/>
      <c r="C6" s="134"/>
      <c r="D6" s="134"/>
      <c r="E6" s="293">
        <f>F13</f>
        <v>44220</v>
      </c>
      <c r="F6" s="293">
        <f>F10</f>
        <v>44100</v>
      </c>
      <c r="G6" s="293">
        <f>EOMONTH(F6,12)</f>
        <v>44469</v>
      </c>
      <c r="H6" s="293">
        <f t="shared" ref="H6:K6" si="0">EOMONTH(G6,12)</f>
        <v>44834</v>
      </c>
      <c r="I6" s="293">
        <f t="shared" si="0"/>
        <v>45199</v>
      </c>
      <c r="J6" s="293">
        <f t="shared" si="0"/>
        <v>45565</v>
      </c>
      <c r="K6" s="293">
        <f t="shared" si="0"/>
        <v>45930</v>
      </c>
      <c r="M6" s="286"/>
      <c r="N6" s="286"/>
    </row>
    <row r="7" spans="1:18" ht="4.5" customHeight="1">
      <c r="A7" s="9"/>
      <c r="B7" s="9"/>
      <c r="C7" s="134"/>
      <c r="D7" s="134"/>
      <c r="E7" s="293"/>
      <c r="F7" s="293"/>
      <c r="G7" s="293"/>
      <c r="H7" s="293"/>
      <c r="I7" s="293"/>
      <c r="J7" s="293"/>
      <c r="K7" s="293"/>
      <c r="M7" s="286"/>
      <c r="N7" s="286"/>
    </row>
    <row r="8" spans="1:18" ht="12">
      <c r="A8" s="9"/>
      <c r="B8" s="114" t="s">
        <v>234</v>
      </c>
      <c r="C8" s="95"/>
      <c r="D8" s="95"/>
      <c r="E8" s="95"/>
      <c r="F8" s="95"/>
      <c r="G8" s="95"/>
      <c r="H8" s="95"/>
      <c r="I8" s="95"/>
      <c r="J8" s="95"/>
      <c r="K8" s="95"/>
      <c r="L8" s="95"/>
      <c r="M8" s="286"/>
      <c r="N8" s="286"/>
    </row>
    <row r="9" spans="1:18" s="1" customFormat="1" ht="5.25" customHeight="1"/>
    <row r="10" spans="1:18" ht="11.25" customHeight="1">
      <c r="B10" s="11" t="s">
        <v>116</v>
      </c>
      <c r="F10" s="213">
        <f>+FSM!C9</f>
        <v>44100</v>
      </c>
      <c r="H10" s="11" t="s">
        <v>117</v>
      </c>
      <c r="K10" s="214">
        <f>WACC!C49</f>
        <v>6.9653358926616601E-2</v>
      </c>
      <c r="M10" s="11" t="s">
        <v>118</v>
      </c>
    </row>
    <row r="11" spans="1:18" ht="11.25" customHeight="1">
      <c r="B11" s="11" t="s">
        <v>119</v>
      </c>
      <c r="F11" s="215">
        <f>EOMONTH(F10,12)</f>
        <v>44469</v>
      </c>
      <c r="H11" s="11" t="s">
        <v>233</v>
      </c>
      <c r="K11" s="216">
        <v>131.96</v>
      </c>
      <c r="M11" s="11" t="s">
        <v>468</v>
      </c>
    </row>
    <row r="12" spans="1:18" ht="11.25" customHeight="1">
      <c r="B12" s="11" t="s">
        <v>120</v>
      </c>
      <c r="F12" s="217">
        <v>44191</v>
      </c>
      <c r="H12" s="11" t="s">
        <v>1</v>
      </c>
      <c r="K12" s="218">
        <v>44218</v>
      </c>
      <c r="L12" s="219"/>
    </row>
    <row r="13" spans="1:18" ht="11.25" customHeight="1">
      <c r="B13" s="11" t="s">
        <v>121</v>
      </c>
      <c r="F13" s="217">
        <v>44220</v>
      </c>
      <c r="H13" s="11" t="s">
        <v>373</v>
      </c>
      <c r="K13" s="212">
        <v>1</v>
      </c>
      <c r="L13" s="219"/>
      <c r="M13" s="11" t="s">
        <v>372</v>
      </c>
    </row>
    <row r="14" spans="1:18" ht="11.25" customHeight="1">
      <c r="B14" s="11" t="s">
        <v>358</v>
      </c>
      <c r="F14" s="182">
        <f>YEARFRAC(F13,F11,3)</f>
        <v>0.68219178082191778</v>
      </c>
    </row>
    <row r="15" spans="1:18" ht="11.25" customHeight="1">
      <c r="F15" s="220"/>
      <c r="J15" s="220"/>
      <c r="N15" s="12"/>
      <c r="O15" s="12"/>
    </row>
    <row r="16" spans="1:18" ht="11.25" customHeight="1">
      <c r="B16" s="113" t="s">
        <v>122</v>
      </c>
      <c r="C16" s="90"/>
      <c r="D16" s="90"/>
      <c r="E16" s="90"/>
      <c r="F16" s="90"/>
      <c r="G16" s="90"/>
      <c r="H16" s="90"/>
      <c r="I16" s="90"/>
      <c r="J16" s="90"/>
      <c r="K16" s="90"/>
      <c r="N16" s="12"/>
      <c r="O16" s="12"/>
    </row>
    <row r="17" spans="2:15" ht="3" customHeight="1">
      <c r="B17" s="47"/>
      <c r="C17" s="47"/>
      <c r="D17" s="47"/>
      <c r="F17" s="322"/>
      <c r="G17" s="222"/>
      <c r="H17" s="222"/>
      <c r="I17" s="222"/>
      <c r="J17" s="222"/>
      <c r="K17" s="222"/>
      <c r="N17" s="223"/>
      <c r="O17" s="12"/>
    </row>
    <row r="18" spans="2:15" ht="11.25" customHeight="1">
      <c r="B18" s="11" t="s">
        <v>113</v>
      </c>
      <c r="E18" s="112">
        <f>+G18*(1-$F$14)+F18*$F$14</f>
        <v>292017.17963717127</v>
      </c>
      <c r="F18" s="304">
        <f>FSM!F18</f>
        <v>274515</v>
      </c>
      <c r="G18" s="224">
        <f>FSM!G18</f>
        <v>329586.51351351303</v>
      </c>
      <c r="H18" s="224">
        <f>FSM!H18</f>
        <v>343360.97222222196</v>
      </c>
      <c r="I18" s="224">
        <f>FSM!I18</f>
        <v>360783.73333333293</v>
      </c>
      <c r="J18" s="224">
        <f>FSM!J18</f>
        <v>385678.49999999994</v>
      </c>
      <c r="K18" s="224">
        <f>FSM!K18</f>
        <v>394676.99999999988</v>
      </c>
      <c r="N18" s="12"/>
      <c r="O18" s="12"/>
    </row>
    <row r="19" spans="2:15" ht="11.25" customHeight="1">
      <c r="B19" s="11" t="s">
        <v>23</v>
      </c>
      <c r="E19" s="112">
        <f>+G19*(1-$F$14)+F19*$F$14</f>
        <v>82854.877703879378</v>
      </c>
      <c r="F19" s="304">
        <f>FSM!F46</f>
        <v>77344</v>
      </c>
      <c r="G19" s="224">
        <f>FSM!G46</f>
        <v>94684.261740654911</v>
      </c>
      <c r="H19" s="224">
        <f>FSM!H46</f>
        <v>96930.847748656131</v>
      </c>
      <c r="I19" s="224">
        <f>FSM!I46</f>
        <v>102469.69378894383</v>
      </c>
      <c r="J19" s="224">
        <f>FSM!J46</f>
        <v>111589.40081386433</v>
      </c>
      <c r="K19" s="224">
        <f>FSM!K46</f>
        <v>115313.29410149613</v>
      </c>
      <c r="N19" s="12"/>
      <c r="O19" s="12"/>
    </row>
    <row r="20" spans="2:15" ht="11.25" customHeight="1">
      <c r="B20" s="11" t="s">
        <v>125</v>
      </c>
      <c r="E20" s="112">
        <f>+G20*(1-$F$14)+F20*$F$14</f>
        <v>71755.581929712062</v>
      </c>
      <c r="F20" s="304">
        <f>FSM!F23</f>
        <v>66288</v>
      </c>
      <c r="G20" s="224">
        <f>FSM!G23</f>
        <v>83492.029347800883</v>
      </c>
      <c r="H20" s="224">
        <f>FSM!H23</f>
        <v>86630.984753252123</v>
      </c>
      <c r="I20" s="224">
        <f>FSM!I23</f>
        <v>91736.070852952063</v>
      </c>
      <c r="J20" s="224">
        <f>FSM!J23</f>
        <v>99514.032244245187</v>
      </c>
      <c r="K20" s="224">
        <f>FSM!K23</f>
        <v>101487.50673985026</v>
      </c>
    </row>
    <row r="21" spans="2:15" ht="11.25" customHeight="1">
      <c r="B21" s="71" t="s">
        <v>31</v>
      </c>
      <c r="C21" s="71"/>
      <c r="D21" s="71"/>
      <c r="E21" s="25"/>
      <c r="F21" s="295">
        <f>FSM!F132</f>
        <v>0.14428164731484103</v>
      </c>
      <c r="G21" s="295">
        <f>FSM!G132</f>
        <v>0.14428164731484103</v>
      </c>
      <c r="H21" s="295">
        <f>FSM!H132</f>
        <v>0.14428164731484103</v>
      </c>
      <c r="I21" s="295">
        <f>FSM!I132</f>
        <v>0.14428164731484103</v>
      </c>
      <c r="J21" s="295">
        <f>FSM!J132</f>
        <v>0.14428164731484103</v>
      </c>
      <c r="K21" s="295">
        <f>FSM!K132</f>
        <v>0.14428164731484103</v>
      </c>
    </row>
    <row r="22" spans="2:15" ht="11.25" customHeight="1">
      <c r="B22" s="28" t="s">
        <v>350</v>
      </c>
      <c r="C22" s="28"/>
      <c r="D22" s="28"/>
      <c r="E22" s="28"/>
      <c r="F22" s="109">
        <f t="shared" ref="F22:K22" si="1">F20*(1-F21)</f>
        <v>56723.858162793818</v>
      </c>
      <c r="G22" s="109">
        <f t="shared" si="1"/>
        <v>71445.661815841115</v>
      </c>
      <c r="H22" s="109">
        <f t="shared" si="1"/>
        <v>74131.723564546031</v>
      </c>
      <c r="I22" s="109">
        <f t="shared" si="1"/>
        <v>78500.239432097165</v>
      </c>
      <c r="J22" s="109">
        <f t="shared" si="1"/>
        <v>85155.983741103279</v>
      </c>
      <c r="K22" s="109">
        <f t="shared" si="1"/>
        <v>86844.722085548623</v>
      </c>
      <c r="M22" s="11" t="s">
        <v>349</v>
      </c>
    </row>
    <row r="23" spans="2:15" ht="11.25" customHeight="1">
      <c r="B23" s="33" t="s">
        <v>21</v>
      </c>
      <c r="F23" s="297"/>
      <c r="G23" s="224">
        <f>FSM!G45</f>
        <v>11192.23239285403</v>
      </c>
      <c r="H23" s="224">
        <f>FSM!H45</f>
        <v>10299.862995404013</v>
      </c>
      <c r="I23" s="224">
        <f>FSM!I45</f>
        <v>10733.622935991767</v>
      </c>
      <c r="J23" s="224">
        <f>FSM!J45</f>
        <v>12075.368569619144</v>
      </c>
      <c r="K23" s="224">
        <f>FSM!K45</f>
        <v>13825.787361645866</v>
      </c>
      <c r="O23" s="106"/>
    </row>
    <row r="24" spans="2:15" ht="11.25" customHeight="1">
      <c r="B24" s="71" t="s">
        <v>126</v>
      </c>
      <c r="C24" s="25"/>
      <c r="D24" s="25"/>
      <c r="E24" s="25"/>
      <c r="F24" s="298"/>
      <c r="G24" s="138">
        <f>F29-G29</f>
        <v>1203.3141534786846</v>
      </c>
      <c r="H24" s="138">
        <f>G29-H29</f>
        <v>2931.0538404338586</v>
      </c>
      <c r="I24" s="138">
        <f>H29-I29</f>
        <v>1275.9707570809405</v>
      </c>
      <c r="J24" s="138">
        <f>I29-J29</f>
        <v>3016.1362281891197</v>
      </c>
      <c r="K24" s="138">
        <f>J29-K29</f>
        <v>1819.8009310671332</v>
      </c>
      <c r="O24" s="106"/>
    </row>
    <row r="25" spans="2:15" ht="11.25" customHeight="1">
      <c r="B25" s="144" t="s">
        <v>355</v>
      </c>
      <c r="C25" s="28"/>
      <c r="D25" s="28"/>
      <c r="E25" s="28"/>
      <c r="F25" s="299"/>
      <c r="G25" s="109">
        <f t="shared" ref="G25:K25" si="2">SUM(G22:G24)</f>
        <v>83841.208362173827</v>
      </c>
      <c r="H25" s="109">
        <f t="shared" si="2"/>
        <v>87362.640400383898</v>
      </c>
      <c r="I25" s="109">
        <f t="shared" si="2"/>
        <v>90509.833125169869</v>
      </c>
      <c r="J25" s="109">
        <f t="shared" si="2"/>
        <v>100247.48853891154</v>
      </c>
      <c r="K25" s="109">
        <f t="shared" si="2"/>
        <v>102490.31037826162</v>
      </c>
      <c r="O25" s="106"/>
    </row>
    <row r="26" spans="2:15" ht="11.25" customHeight="1">
      <c r="B26" s="71" t="s">
        <v>351</v>
      </c>
      <c r="C26" s="25"/>
      <c r="D26" s="25"/>
      <c r="E26" s="25"/>
      <c r="F26" s="300"/>
      <c r="G26" s="296">
        <f>-(FSM!G184)</f>
        <v>-10193</v>
      </c>
      <c r="H26" s="296">
        <f>-(FSM!H184)</f>
        <v>-10249.15</v>
      </c>
      <c r="I26" s="296">
        <f>-(FSM!I184)</f>
        <v>-10769.210538290805</v>
      </c>
      <c r="J26" s="296">
        <f>-(FSM!J184)</f>
        <v>-11512.306633721644</v>
      </c>
      <c r="K26" s="296">
        <f>-(FSM!K184)</f>
        <v>-11780.907271930784</v>
      </c>
      <c r="O26" s="106"/>
    </row>
    <row r="27" spans="2:15" ht="11.25" customHeight="1" thickBot="1">
      <c r="B27" s="70" t="s">
        <v>127</v>
      </c>
      <c r="C27" s="70"/>
      <c r="D27" s="70"/>
      <c r="E27" s="70"/>
      <c r="F27" s="301"/>
      <c r="G27" s="80">
        <f>SUM(G25:G26)</f>
        <v>73648.208362173827</v>
      </c>
      <c r="H27" s="80">
        <f t="shared" ref="H27:K27" si="3">SUM(H25:H26)</f>
        <v>77113.490400383904</v>
      </c>
      <c r="I27" s="80">
        <f t="shared" si="3"/>
        <v>79740.622586879064</v>
      </c>
      <c r="J27" s="80">
        <f t="shared" si="3"/>
        <v>88735.181905189893</v>
      </c>
      <c r="K27" s="80">
        <f t="shared" si="3"/>
        <v>90709.403106330836</v>
      </c>
      <c r="O27" s="109"/>
    </row>
    <row r="28" spans="2:15" ht="11.25" customHeight="1">
      <c r="F28" s="224"/>
      <c r="O28" s="106"/>
    </row>
    <row r="29" spans="2:15" ht="11.25" customHeight="1">
      <c r="B29" s="47" t="s">
        <v>128</v>
      </c>
      <c r="C29" s="47"/>
      <c r="D29" s="47"/>
      <c r="E29" s="47"/>
      <c r="F29" s="306">
        <f>SUM(FSM!F56:F59)-SUM(FSM!F64:F66)</f>
        <v>-38853</v>
      </c>
      <c r="G29" s="306">
        <f>SUM(FSM!G56:G59)-SUM(FSM!G64:G66)</f>
        <v>-40056.314153478685</v>
      </c>
      <c r="H29" s="306">
        <f>SUM(FSM!H56:H59)-SUM(FSM!H64:H66)</f>
        <v>-42987.367993912543</v>
      </c>
      <c r="I29" s="306">
        <f>SUM(FSM!I56:I59)-SUM(FSM!I64:I66)</f>
        <v>-44263.338750993484</v>
      </c>
      <c r="J29" s="306">
        <f>SUM(FSM!J56:J59)-SUM(FSM!J64:J66)</f>
        <v>-47279.474979182603</v>
      </c>
      <c r="K29" s="306">
        <f>SUM(FSM!K56:K59)-SUM(FSM!K64:K66)</f>
        <v>-49099.275910249737</v>
      </c>
    </row>
    <row r="30" spans="2:15" ht="11.25" customHeight="1">
      <c r="F30" s="224"/>
      <c r="G30" s="182"/>
      <c r="H30" s="182"/>
      <c r="I30" s="182"/>
      <c r="J30" s="182"/>
      <c r="K30" s="182"/>
      <c r="L30" s="224"/>
      <c r="M30" s="46"/>
      <c r="O30" s="182"/>
    </row>
    <row r="31" spans="2:15" ht="11.25" customHeight="1">
      <c r="B31" s="113" t="str">
        <f>"Present value of UFCF on valuation date"</f>
        <v>Present value of UFCF on valuation date</v>
      </c>
      <c r="C31" s="90"/>
      <c r="D31" s="90"/>
      <c r="E31" s="90"/>
      <c r="F31" s="90"/>
      <c r="G31" s="90"/>
      <c r="H31" s="90"/>
      <c r="I31" s="90"/>
      <c r="J31" s="90"/>
      <c r="K31" s="90"/>
      <c r="L31" s="224"/>
    </row>
    <row r="32" spans="2:15" ht="3" customHeight="1">
      <c r="B32" s="26"/>
      <c r="C32" s="26"/>
      <c r="D32" s="26"/>
      <c r="E32" s="12"/>
      <c r="F32" s="304"/>
      <c r="G32" s="12"/>
      <c r="H32" s="304"/>
      <c r="I32" s="304"/>
      <c r="J32" s="304"/>
      <c r="K32" s="304"/>
      <c r="L32" s="224"/>
    </row>
    <row r="33" spans="2:13" ht="13.5">
      <c r="B33" s="28"/>
      <c r="C33" s="28"/>
      <c r="D33" s="28"/>
      <c r="F33" s="305" t="s">
        <v>370</v>
      </c>
      <c r="G33" s="310" t="s">
        <v>360</v>
      </c>
      <c r="H33" s="311" t="s">
        <v>129</v>
      </c>
      <c r="I33" s="311" t="s">
        <v>130</v>
      </c>
      <c r="J33" s="311" t="s">
        <v>131</v>
      </c>
      <c r="K33" s="311" t="s">
        <v>132</v>
      </c>
      <c r="L33" s="224"/>
    </row>
    <row r="34" spans="2:13" ht="11.25" customHeight="1">
      <c r="B34" s="45" t="s">
        <v>133</v>
      </c>
      <c r="F34" s="225">
        <f>F13</f>
        <v>44220</v>
      </c>
      <c r="G34" s="225">
        <f>IF($K$13=1,AVERAGE(G6,F34),G6)</f>
        <v>44344.5</v>
      </c>
      <c r="H34" s="225">
        <f>IF($K$13=1,AVERAGE(H6,G6),H6)</f>
        <v>44651.5</v>
      </c>
      <c r="I34" s="225">
        <f>IF($K$13=1,AVERAGE(I6,H6),I6)</f>
        <v>45016.5</v>
      </c>
      <c r="J34" s="225">
        <f>IF($K$13=1,AVERAGE(J6,I6),J6)</f>
        <v>45382</v>
      </c>
      <c r="K34" s="225">
        <f>IF($K$13=1,AVERAGE(K6,J6),K6)</f>
        <v>45747.5</v>
      </c>
      <c r="L34" s="224"/>
      <c r="M34" s="11" t="s">
        <v>356</v>
      </c>
    </row>
    <row r="35" spans="2:13" ht="11.25" customHeight="1">
      <c r="B35" s="45" t="s">
        <v>357</v>
      </c>
      <c r="E35" s="226"/>
      <c r="F35" s="119"/>
      <c r="G35" s="303">
        <f>+(G34-$F$34)/365</f>
        <v>0.34109589041095889</v>
      </c>
      <c r="H35" s="303">
        <f>+(H34-$F$34)/365</f>
        <v>1.1821917808219178</v>
      </c>
      <c r="I35" s="303">
        <f>+(I34-$F$34)/365</f>
        <v>2.1821917808219178</v>
      </c>
      <c r="J35" s="303">
        <f>+(J34-$F$34)/365</f>
        <v>3.1835616438356165</v>
      </c>
      <c r="K35" s="303">
        <f>+(K34-$F$34)/365</f>
        <v>4.1849315068493151</v>
      </c>
      <c r="L35" s="112"/>
    </row>
    <row r="36" spans="2:13" ht="11.25" customHeight="1">
      <c r="B36" s="45" t="s">
        <v>134</v>
      </c>
      <c r="F36" s="226">
        <f>F14</f>
        <v>0.68219178082191778</v>
      </c>
      <c r="G36" s="302">
        <f>G27*F36</f>
        <v>50242.202416935019</v>
      </c>
      <c r="H36" s="302">
        <f>H27</f>
        <v>77113.490400383904</v>
      </c>
      <c r="I36" s="302">
        <f>I27</f>
        <v>79740.622586879064</v>
      </c>
      <c r="J36" s="302">
        <f>J27</f>
        <v>88735.181905189893</v>
      </c>
      <c r="K36" s="302">
        <f>K27</f>
        <v>90709.403106330836</v>
      </c>
      <c r="L36" s="112"/>
      <c r="M36" s="11" t="s">
        <v>359</v>
      </c>
    </row>
    <row r="37" spans="2:13" ht="11.25" customHeight="1">
      <c r="B37" s="28" t="s">
        <v>135</v>
      </c>
      <c r="C37" s="28"/>
      <c r="D37" s="28"/>
      <c r="E37" s="227"/>
      <c r="F37" s="299"/>
      <c r="G37" s="109">
        <f>G36/(1+$K$10)^(G35)</f>
        <v>49101.412034806148</v>
      </c>
      <c r="H37" s="109">
        <f>H36/(1+$K$10)^(H35)</f>
        <v>71213.028703243152</v>
      </c>
      <c r="I37" s="109">
        <f>I36/(1+$K$10)^(I35)</f>
        <v>68843.930668046698</v>
      </c>
      <c r="J37" s="109">
        <f>J36/(1+$K$10)^(J35)</f>
        <v>71614.1368891866</v>
      </c>
      <c r="K37" s="109">
        <f>K36/(1+$K$10)^(K35)</f>
        <v>68434.028928550921</v>
      </c>
      <c r="L37" s="112"/>
    </row>
    <row r="38" spans="2:13" ht="11.25" customHeight="1"/>
    <row r="39" spans="2:13" ht="11.25" customHeight="1">
      <c r="B39" s="113" t="s">
        <v>136</v>
      </c>
      <c r="C39" s="113"/>
      <c r="D39" s="113"/>
      <c r="E39" s="113"/>
      <c r="G39" s="113" t="s">
        <v>137</v>
      </c>
      <c r="H39" s="113"/>
      <c r="I39" s="113"/>
      <c r="J39" s="113"/>
      <c r="K39" s="113"/>
    </row>
    <row r="40" spans="2:13" ht="11.25" customHeight="1">
      <c r="E40" s="228"/>
      <c r="K40" s="106"/>
      <c r="L40" s="106"/>
    </row>
    <row r="41" spans="2:13" ht="11.25" customHeight="1">
      <c r="B41" s="11" t="s">
        <v>138</v>
      </c>
      <c r="E41" s="228">
        <v>2.5000000000000001E-2</v>
      </c>
      <c r="G41" s="11" t="str">
        <f>+"Terminal year EBITDA ("&amp;K5&amp;")"</f>
        <v>Terminal year EBITDA (2025)</v>
      </c>
      <c r="K41" s="106">
        <f>K19</f>
        <v>115313.29410149613</v>
      </c>
      <c r="L41" s="106"/>
    </row>
    <row r="42" spans="2:13" ht="11.25" customHeight="1">
      <c r="B42" s="229" t="str">
        <f>YEAR(K6)&amp;" FCF x (1+g)"</f>
        <v>2025 FCF x (1+g)</v>
      </c>
      <c r="C42" s="229"/>
      <c r="D42" s="229"/>
      <c r="E42" s="106">
        <f>K36*(1+E41)</f>
        <v>92977.138183989096</v>
      </c>
      <c r="G42" s="11" t="s">
        <v>139</v>
      </c>
      <c r="K42" s="230">
        <f>+COMPS!D5</f>
        <v>17.62</v>
      </c>
      <c r="L42" s="230"/>
      <c r="M42" s="11" t="s">
        <v>429</v>
      </c>
    </row>
    <row r="43" spans="2:13" ht="11.25" customHeight="1">
      <c r="B43" s="11" t="str">
        <f>"Terminal value in "&amp;YEAR(K6)</f>
        <v>Terminal value in 2025</v>
      </c>
      <c r="E43" s="106">
        <f>E42/(K10-E41)</f>
        <v>2082198.0791363954</v>
      </c>
      <c r="G43" s="11" t="str">
        <f>"Terminal value in "&amp;YEAR(K6)</f>
        <v>Terminal value in 2025</v>
      </c>
      <c r="K43" s="106">
        <f>K41*K42</f>
        <v>2031820.242068362</v>
      </c>
      <c r="L43" s="106"/>
    </row>
    <row r="44" spans="2:13" ht="11.25" customHeight="1">
      <c r="B44" s="11" t="s">
        <v>140</v>
      </c>
      <c r="E44" s="106">
        <f>E43/(1+K10)^((K34-$F$34)/365)</f>
        <v>1570875.7714518383</v>
      </c>
      <c r="G44" s="11" t="s">
        <v>140</v>
      </c>
      <c r="K44" s="106">
        <f>K43/(1+K10)^((K34-F34)/365)</f>
        <v>1532869.1454438339</v>
      </c>
      <c r="L44" s="106"/>
    </row>
    <row r="45" spans="2:13" ht="11.25" customHeight="1">
      <c r="B45" s="25" t="s">
        <v>141</v>
      </c>
      <c r="C45" s="25"/>
      <c r="D45" s="25"/>
      <c r="E45" s="138">
        <f>SUM(G37:K37)</f>
        <v>329206.5372238335</v>
      </c>
      <c r="G45" s="25" t="s">
        <v>141</v>
      </c>
      <c r="H45" s="25"/>
      <c r="I45" s="25"/>
      <c r="J45" s="25"/>
      <c r="K45" s="125">
        <f>E45</f>
        <v>329206.5372238335</v>
      </c>
      <c r="L45" s="106"/>
    </row>
    <row r="46" spans="2:13" ht="11.25" customHeight="1">
      <c r="B46" s="28" t="s">
        <v>142</v>
      </c>
      <c r="C46" s="28"/>
      <c r="D46" s="28"/>
      <c r="E46" s="110">
        <f>E45+E44</f>
        <v>1900082.3086756719</v>
      </c>
      <c r="G46" s="28" t="s">
        <v>143</v>
      </c>
      <c r="K46" s="110">
        <f>SUM(K44:K45)</f>
        <v>1862075.6826676675</v>
      </c>
      <c r="L46" s="110"/>
    </row>
    <row r="47" spans="2:13" ht="11.25" customHeight="1"/>
    <row r="48" spans="2:13" ht="11.25" customHeight="1">
      <c r="B48" s="231" t="s">
        <v>144</v>
      </c>
      <c r="C48" s="231"/>
      <c r="D48" s="231"/>
      <c r="E48" s="232">
        <f>E44/$E$46</f>
        <v>0.82674090710665815</v>
      </c>
      <c r="G48" s="231" t="s">
        <v>144</v>
      </c>
      <c r="K48" s="232">
        <f>+K44/K46</f>
        <v>0.82320453444072583</v>
      </c>
      <c r="L48" s="232"/>
    </row>
    <row r="49" spans="2:13" ht="11.25" customHeight="1">
      <c r="B49" s="231" t="s">
        <v>145</v>
      </c>
      <c r="C49" s="231"/>
      <c r="D49" s="231"/>
      <c r="E49" s="232">
        <f>1-E48</f>
        <v>0.17325909289334185</v>
      </c>
      <c r="G49" s="231" t="s">
        <v>146</v>
      </c>
      <c r="I49" s="233"/>
      <c r="K49" s="53">
        <f>1-K48</f>
        <v>0.17679546555927417</v>
      </c>
      <c r="L49" s="53"/>
    </row>
    <row r="50" spans="2:13" ht="11.25" customHeight="1">
      <c r="B50" s="231" t="s">
        <v>147</v>
      </c>
      <c r="C50" s="231"/>
      <c r="D50" s="231"/>
      <c r="E50" s="234">
        <f>(E43/K19)</f>
        <v>18.056877963296166</v>
      </c>
      <c r="G50" s="11" t="s">
        <v>148</v>
      </c>
      <c r="K50" s="235">
        <f>(K10-K36/K43)/(1+K36/K43)</f>
        <v>2.3940161026415076E-2</v>
      </c>
      <c r="L50" s="235"/>
      <c r="M50" s="11" t="s">
        <v>361</v>
      </c>
    </row>
    <row r="51" spans="2:13" ht="11.25" customHeight="1">
      <c r="B51" s="231"/>
      <c r="C51" s="231"/>
      <c r="D51" s="231"/>
      <c r="E51" s="47"/>
      <c r="F51" s="234"/>
      <c r="K51" s="235"/>
      <c r="L51" s="235"/>
    </row>
    <row r="52" spans="2:13" ht="11.25" customHeight="1">
      <c r="B52" s="113" t="s">
        <v>149</v>
      </c>
      <c r="C52" s="113"/>
      <c r="D52" s="113"/>
      <c r="E52" s="113"/>
    </row>
    <row r="53" spans="2:13" ht="3" customHeight="1">
      <c r="B53" s="26"/>
      <c r="C53" s="26"/>
      <c r="D53" s="26"/>
      <c r="E53" s="12"/>
    </row>
    <row r="54" spans="2:13" ht="11.25" customHeight="1">
      <c r="B54" s="11" t="s">
        <v>183</v>
      </c>
      <c r="E54" s="218" t="s">
        <v>428</v>
      </c>
    </row>
    <row r="55" spans="2:13" ht="11.25" customHeight="1">
      <c r="B55" s="45" t="s">
        <v>152</v>
      </c>
      <c r="C55" s="45"/>
      <c r="D55" s="45"/>
      <c r="E55" s="225">
        <f>F12</f>
        <v>44191</v>
      </c>
    </row>
    <row r="56" spans="2:13" ht="3" customHeight="1">
      <c r="B56" s="45"/>
      <c r="C56" s="45"/>
      <c r="D56" s="45"/>
      <c r="E56" s="225"/>
    </row>
    <row r="57" spans="2:13" ht="11.25" customHeight="1">
      <c r="B57" s="314" t="s">
        <v>365</v>
      </c>
      <c r="C57" s="237"/>
      <c r="D57" s="237"/>
      <c r="E57" s="238"/>
    </row>
    <row r="58" spans="2:13" ht="11.25" customHeight="1">
      <c r="B58" s="33" t="s">
        <v>155</v>
      </c>
      <c r="C58" s="33"/>
      <c r="D58" s="33"/>
      <c r="E58" s="41">
        <f>7762+99281+5000</f>
        <v>112043</v>
      </c>
      <c r="M58" s="11" t="s">
        <v>377</v>
      </c>
    </row>
    <row r="59" spans="2:13" ht="11.25" customHeight="1">
      <c r="B59" s="33" t="s">
        <v>157</v>
      </c>
      <c r="C59" s="33"/>
      <c r="D59" s="33"/>
      <c r="E59" s="241"/>
    </row>
    <row r="60" spans="2:13" ht="11.25" customHeight="1">
      <c r="B60" s="33" t="s">
        <v>159</v>
      </c>
      <c r="C60" s="33"/>
      <c r="D60" s="33"/>
      <c r="E60" s="41">
        <v>0</v>
      </c>
    </row>
    <row r="61" spans="2:13" ht="11.25" customHeight="1">
      <c r="B61" s="242" t="s">
        <v>160</v>
      </c>
      <c r="C61" s="242"/>
      <c r="D61" s="242"/>
      <c r="E61" s="41">
        <v>0</v>
      </c>
    </row>
    <row r="62" spans="2:13" ht="11.25" customHeight="1">
      <c r="B62" s="307" t="s">
        <v>364</v>
      </c>
      <c r="C62" s="315"/>
      <c r="D62" s="315"/>
      <c r="E62" s="316">
        <f>SUM(E58:E61)</f>
        <v>112043</v>
      </c>
    </row>
    <row r="63" spans="2:13" ht="3" customHeight="1">
      <c r="B63" s="242"/>
      <c r="C63" s="242"/>
      <c r="D63" s="242"/>
      <c r="E63" s="41"/>
    </row>
    <row r="64" spans="2:13" ht="11.25" customHeight="1">
      <c r="B64" s="314" t="s">
        <v>366</v>
      </c>
      <c r="C64" s="237"/>
      <c r="D64" s="237"/>
    </row>
    <row r="65" spans="2:13" ht="11.25" customHeight="1">
      <c r="B65" s="244" t="s">
        <v>163</v>
      </c>
      <c r="C65" s="244"/>
      <c r="D65" s="244"/>
      <c r="E65" s="41">
        <f>36010+40816+118745</f>
        <v>195571</v>
      </c>
      <c r="L65" s="245"/>
      <c r="M65" s="11" t="s">
        <v>362</v>
      </c>
    </row>
    <row r="66" spans="2:13" ht="11.25" customHeight="1">
      <c r="B66" s="312" t="s">
        <v>164</v>
      </c>
      <c r="C66" s="312"/>
      <c r="D66" s="312"/>
      <c r="E66" s="313">
        <v>0</v>
      </c>
      <c r="L66" s="245"/>
    </row>
    <row r="67" spans="2:13" ht="11.25" customHeight="1">
      <c r="B67" s="247" t="s">
        <v>363</v>
      </c>
      <c r="C67" s="317"/>
      <c r="D67" s="317"/>
      <c r="E67" s="318">
        <f>SUM(E65:E66)</f>
        <v>195571</v>
      </c>
      <c r="L67" s="245"/>
    </row>
    <row r="68" spans="2:13" ht="3" customHeight="1">
      <c r="L68" s="246"/>
    </row>
    <row r="69" spans="2:13" ht="11.25" customHeight="1" thickBot="1">
      <c r="B69" s="319" t="s">
        <v>149</v>
      </c>
      <c r="C69" s="319"/>
      <c r="D69" s="319"/>
      <c r="E69" s="128">
        <f>SUM(E58:E61)-SUM(E65:E66)</f>
        <v>-83528</v>
      </c>
    </row>
    <row r="70" spans="2:13" ht="11.25" customHeight="1"/>
    <row r="71" spans="2:13" ht="11.25" customHeight="1">
      <c r="B71" s="113" t="s">
        <v>3</v>
      </c>
      <c r="C71" s="113"/>
      <c r="D71" s="113"/>
      <c r="E71" s="113"/>
    </row>
    <row r="72" spans="2:13" ht="11.25" customHeight="1">
      <c r="B72" s="26"/>
      <c r="C72" s="26"/>
      <c r="D72" s="12"/>
      <c r="E72" s="12"/>
    </row>
    <row r="73" spans="2:13" ht="11.25" customHeight="1">
      <c r="C73" s="35" t="s">
        <v>150</v>
      </c>
      <c r="D73" s="236" t="s">
        <v>153</v>
      </c>
      <c r="E73" s="236" t="s">
        <v>154</v>
      </c>
    </row>
    <row r="74" spans="2:13" ht="11.25" customHeight="1">
      <c r="B74" s="11" t="s">
        <v>367</v>
      </c>
      <c r="C74" s="343" t="s">
        <v>151</v>
      </c>
      <c r="D74" s="218">
        <v>44211</v>
      </c>
      <c r="E74" s="107">
        <f>16788096000/1000000</f>
        <v>16788.096000000001</v>
      </c>
      <c r="G74" s="239"/>
    </row>
    <row r="75" spans="2:13" ht="11.25" customHeight="1">
      <c r="B75" s="45" t="s">
        <v>156</v>
      </c>
      <c r="C75" s="343" t="s">
        <v>151</v>
      </c>
      <c r="D75" s="218">
        <v>44191</v>
      </c>
      <c r="E75" s="107">
        <f>315353 /1000</f>
        <v>315.35300000000001</v>
      </c>
      <c r="G75" s="240"/>
    </row>
    <row r="76" spans="2:13" ht="11.25" customHeight="1">
      <c r="B76" s="45" t="s">
        <v>158</v>
      </c>
      <c r="C76" s="218"/>
      <c r="D76" s="218"/>
      <c r="E76" s="334">
        <v>0</v>
      </c>
      <c r="M76" s="11" t="s">
        <v>374</v>
      </c>
    </row>
    <row r="77" spans="2:13" ht="11.25" customHeight="1">
      <c r="B77" s="11" t="s">
        <v>157</v>
      </c>
      <c r="C77" s="218"/>
      <c r="D77" s="218"/>
      <c r="E77" s="334">
        <v>0</v>
      </c>
      <c r="M77" s="11" t="s">
        <v>375</v>
      </c>
    </row>
    <row r="78" spans="2:13" ht="11.25" customHeight="1">
      <c r="B78" s="11" t="s">
        <v>161</v>
      </c>
      <c r="C78" s="218"/>
      <c r="D78" s="218"/>
      <c r="E78" s="334">
        <v>0</v>
      </c>
      <c r="M78" s="11" t="s">
        <v>376</v>
      </c>
    </row>
    <row r="79" spans="2:13" ht="11.25" customHeight="1">
      <c r="B79" s="308" t="s">
        <v>162</v>
      </c>
      <c r="C79" s="309"/>
      <c r="D79" s="309"/>
      <c r="E79" s="335">
        <f>SUM(E74:E78)</f>
        <v>17103.449000000001</v>
      </c>
      <c r="G79" s="243"/>
    </row>
    <row r="80" spans="2:13" ht="11.25" customHeight="1"/>
    <row r="81" spans="2:8" ht="11.25" customHeight="1">
      <c r="B81" s="113" t="s">
        <v>378</v>
      </c>
      <c r="C81" s="113"/>
      <c r="D81" s="113"/>
      <c r="E81" s="113"/>
    </row>
    <row r="82" spans="2:8" ht="5.25" customHeight="1">
      <c r="B82" s="26"/>
      <c r="C82" s="26"/>
      <c r="D82" s="26"/>
      <c r="E82" s="26"/>
    </row>
    <row r="83" spans="2:8" ht="13.5">
      <c r="D83" s="248" t="s">
        <v>165</v>
      </c>
      <c r="E83" s="248" t="s">
        <v>23</v>
      </c>
    </row>
    <row r="84" spans="2:8" ht="11.25" customHeight="1">
      <c r="B84" s="28" t="s">
        <v>166</v>
      </c>
      <c r="C84" s="28"/>
      <c r="D84" s="320">
        <f>E46</f>
        <v>1900082.3086756719</v>
      </c>
      <c r="E84" s="320">
        <f>K46</f>
        <v>1862075.6826676675</v>
      </c>
    </row>
    <row r="85" spans="2:8" ht="11.25" customHeight="1">
      <c r="B85" s="71" t="s">
        <v>368</v>
      </c>
      <c r="C85" s="25"/>
      <c r="D85" s="321">
        <f>$E$69</f>
        <v>-83528</v>
      </c>
      <c r="E85" s="321">
        <f>D85</f>
        <v>-83528</v>
      </c>
    </row>
    <row r="86" spans="2:8" ht="11.25" customHeight="1">
      <c r="B86" s="28" t="s">
        <v>167</v>
      </c>
      <c r="C86" s="28"/>
      <c r="D86" s="320">
        <f>D84-D85</f>
        <v>1983610.3086756719</v>
      </c>
      <c r="E86" s="320">
        <f>E84-E85</f>
        <v>1945603.6826676675</v>
      </c>
    </row>
    <row r="87" spans="2:8" ht="11.25" customHeight="1">
      <c r="B87" s="33" t="s">
        <v>369</v>
      </c>
      <c r="D87" s="249">
        <f>$E$79</f>
        <v>17103.449000000001</v>
      </c>
      <c r="E87" s="249">
        <f>D87</f>
        <v>17103.449000000001</v>
      </c>
    </row>
    <row r="88" spans="2:8" ht="11.25" customHeight="1">
      <c r="B88" s="28" t="s">
        <v>168</v>
      </c>
      <c r="C88" s="28"/>
      <c r="D88" s="250">
        <f>D86/D87</f>
        <v>115.97721071788924</v>
      </c>
      <c r="E88" s="250">
        <f>E86/E87</f>
        <v>113.75504921069823</v>
      </c>
    </row>
    <row r="89" spans="2:8" ht="11.25" customHeight="1">
      <c r="B89" s="47" t="s">
        <v>379</v>
      </c>
      <c r="C89" s="47"/>
      <c r="D89" s="232">
        <f>+$K$11/D88-1</f>
        <v>0.13780974023412562</v>
      </c>
      <c r="E89" s="232">
        <f>+$K$11/E88-1</f>
        <v>0.16003641961933823</v>
      </c>
    </row>
    <row r="90" spans="2:8" ht="11.25" customHeight="1"/>
    <row r="91" spans="2:8" ht="13.5">
      <c r="D91" s="221" t="s">
        <v>169</v>
      </c>
      <c r="E91" s="221"/>
    </row>
    <row r="92" spans="2:8" ht="11.25" customHeight="1">
      <c r="B92" s="35"/>
      <c r="C92" s="35"/>
      <c r="D92" s="236" t="s">
        <v>165</v>
      </c>
      <c r="E92" s="236" t="s">
        <v>23</v>
      </c>
    </row>
    <row r="93" spans="2:8" ht="11.25" customHeight="1">
      <c r="B93" s="11" t="s">
        <v>170</v>
      </c>
      <c r="D93" s="251">
        <f>D84/$E$18</f>
        <v>6.5067483736282474</v>
      </c>
      <c r="E93" s="251">
        <f>E84/$E$18</f>
        <v>6.3765963529312897</v>
      </c>
    </row>
    <row r="94" spans="2:8" ht="11.25" customHeight="1">
      <c r="B94" s="11" t="s">
        <v>171</v>
      </c>
      <c r="D94" s="252">
        <f>D84/$E$19</f>
        <v>22.932654797542565</v>
      </c>
      <c r="E94" s="252">
        <f>E84/$E$19</f>
        <v>22.473941598497859</v>
      </c>
    </row>
    <row r="95" spans="2:8" ht="11.25" customHeight="1">
      <c r="B95" s="112" t="s">
        <v>172</v>
      </c>
      <c r="C95" s="112"/>
      <c r="D95" s="252">
        <f>D84/$E$20</f>
        <v>26.479923339439868</v>
      </c>
      <c r="E95" s="252">
        <f>E84/$E$20</f>
        <v>25.950255472691413</v>
      </c>
    </row>
    <row r="96" spans="2:8" ht="13.5">
      <c r="B96" s="112"/>
      <c r="C96" s="112"/>
      <c r="D96" s="221" t="s">
        <v>173</v>
      </c>
      <c r="E96" s="221"/>
      <c r="G96" s="252"/>
      <c r="H96" s="252"/>
    </row>
    <row r="97" spans="2:19" ht="11.25" customHeight="1">
      <c r="B97" s="35"/>
      <c r="C97" s="35"/>
      <c r="D97" s="236" t="s">
        <v>165</v>
      </c>
      <c r="E97" s="236" t="s">
        <v>23</v>
      </c>
      <c r="G97" s="252"/>
      <c r="H97" s="252"/>
    </row>
    <row r="98" spans="2:19" ht="11.25" customHeight="1">
      <c r="B98" s="11" t="s">
        <v>170</v>
      </c>
      <c r="D98" s="251">
        <f>D84/$G$18</f>
        <v>5.7650487224737992</v>
      </c>
      <c r="E98" s="251">
        <f>E84/$G$18</f>
        <v>5.6497326386849336</v>
      </c>
      <c r="G98" s="252"/>
      <c r="H98" s="252"/>
    </row>
    <row r="99" spans="2:19" ht="11.25" customHeight="1">
      <c r="B99" s="11" t="s">
        <v>171</v>
      </c>
      <c r="D99" s="252">
        <f>D84/$G$19</f>
        <v>20.067562166562546</v>
      </c>
      <c r="E99" s="252">
        <f>E84/$G$19</f>
        <v>19.666158329121149</v>
      </c>
      <c r="G99" s="252"/>
      <c r="H99" s="252"/>
    </row>
    <row r="100" spans="2:19" ht="11.25" customHeight="1">
      <c r="B100" s="112" t="s">
        <v>172</v>
      </c>
      <c r="C100" s="112"/>
      <c r="D100" s="252">
        <f>D84/$G$20</f>
        <v>22.757649125529593</v>
      </c>
      <c r="E100" s="252">
        <f>E84/$G$20</f>
        <v>22.30243649858911</v>
      </c>
      <c r="G100" s="252"/>
      <c r="H100" s="252"/>
    </row>
    <row r="101" spans="2:19" ht="11.25" customHeight="1"/>
    <row r="102" spans="2:19" ht="11.25" customHeight="1">
      <c r="B102" s="113" t="s">
        <v>174</v>
      </c>
      <c r="C102" s="113"/>
      <c r="D102" s="113"/>
      <c r="E102" s="113"/>
      <c r="F102" s="113"/>
      <c r="G102" s="113"/>
      <c r="H102" s="113"/>
      <c r="I102" s="113"/>
      <c r="J102" s="113"/>
      <c r="K102" s="113"/>
      <c r="L102" s="113"/>
      <c r="M102" s="113"/>
      <c r="N102" s="113"/>
      <c r="O102" s="113"/>
      <c r="P102" s="113"/>
      <c r="Q102" s="113"/>
      <c r="R102" s="113"/>
      <c r="S102" s="113"/>
    </row>
    <row r="103" spans="2:19" ht="11.25" customHeight="1">
      <c r="B103" s="28"/>
      <c r="C103" s="28"/>
      <c r="D103" s="28"/>
      <c r="K103" s="286"/>
    </row>
    <row r="104" spans="2:19" ht="12">
      <c r="B104" s="28"/>
      <c r="C104" s="331" t="s">
        <v>168</v>
      </c>
      <c r="D104" s="331"/>
      <c r="E104" s="331"/>
      <c r="F104" s="331"/>
      <c r="G104" s="331"/>
      <c r="H104" s="331"/>
      <c r="I104" s="331"/>
      <c r="J104" s="331"/>
      <c r="K104" s="331"/>
      <c r="L104" s="331"/>
      <c r="M104" s="331"/>
      <c r="N104" s="331"/>
      <c r="O104" s="331"/>
      <c r="P104" s="331"/>
      <c r="Q104" s="331"/>
      <c r="R104" s="331"/>
    </row>
    <row r="105" spans="2:19" ht="11.25" customHeight="1">
      <c r="C105" s="45"/>
      <c r="D105" s="173" t="s">
        <v>176</v>
      </c>
      <c r="E105" s="173"/>
      <c r="F105" s="173"/>
      <c r="G105" s="173"/>
      <c r="H105" s="173"/>
      <c r="K105" s="286"/>
      <c r="L105" s="323"/>
    </row>
    <row r="106" spans="2:19" ht="11.25" customHeight="1">
      <c r="B106" s="67"/>
      <c r="C106" s="253">
        <f>D88</f>
        <v>115.97721071788924</v>
      </c>
      <c r="D106" s="254">
        <f>E106-0.005</f>
        <v>1.9999999999999997E-2</v>
      </c>
      <c r="E106" s="255">
        <f>F106-0.005</f>
        <v>2.4999999999999998E-2</v>
      </c>
      <c r="F106" s="256">
        <v>0.03</v>
      </c>
      <c r="G106" s="255">
        <f>F106+0.005</f>
        <v>3.4999999999999996E-2</v>
      </c>
      <c r="H106" s="255">
        <f>G106+0.005</f>
        <v>3.9999999999999994E-2</v>
      </c>
      <c r="K106" s="286"/>
      <c r="L106" s="325"/>
    </row>
    <row r="107" spans="2:19" ht="11.25" customHeight="1">
      <c r="C107" s="259">
        <f>C108+0.005</f>
        <v>0.1</v>
      </c>
      <c r="D107" s="260">
        <f t="dataTable" ref="D107:H111" dt2D="1" dtr="1" r1="E41" r2="K10" ca="1"/>
        <v>68.310540318160861</v>
      </c>
      <c r="E107" s="260">
        <v>71.573070206914764</v>
      </c>
      <c r="F107" s="260">
        <v>75.301675794062106</v>
      </c>
      <c r="G107" s="260">
        <v>79.603913010001321</v>
      </c>
      <c r="H107" s="260">
        <v>84.623189761930419</v>
      </c>
      <c r="K107" s="286"/>
      <c r="L107" s="326"/>
    </row>
    <row r="108" spans="2:19" ht="11.25" customHeight="1">
      <c r="C108" s="259">
        <f>C109+0.005</f>
        <v>9.5000000000000001E-2</v>
      </c>
      <c r="D108" s="260">
        <v>72.455988623932825</v>
      </c>
      <c r="E108" s="260">
        <v>76.239090556383047</v>
      </c>
      <c r="F108" s="260">
        <v>80.604208170748706</v>
      </c>
      <c r="G108" s="260">
        <v>85.696845387508631</v>
      </c>
      <c r="H108" s="260">
        <v>91.715416643679433</v>
      </c>
      <c r="K108" s="286"/>
      <c r="L108" s="326"/>
    </row>
    <row r="109" spans="2:19" ht="11.25" customHeight="1">
      <c r="B109" s="67" t="s">
        <v>177</v>
      </c>
      <c r="C109" s="262">
        <v>0.09</v>
      </c>
      <c r="D109" s="260">
        <v>77.194154540651439</v>
      </c>
      <c r="E109" s="260">
        <v>81.623365719835945</v>
      </c>
      <c r="F109" s="260">
        <v>86.790778762217883</v>
      </c>
      <c r="G109" s="260">
        <v>92.897721448669245</v>
      </c>
      <c r="H109" s="260">
        <v>100.22605267241089</v>
      </c>
      <c r="K109" s="286"/>
      <c r="L109" s="326"/>
    </row>
    <row r="110" spans="2:19" ht="11.25" customHeight="1">
      <c r="C110" s="259">
        <f>C109-0.005</f>
        <v>8.4999999999999992E-2</v>
      </c>
      <c r="D110" s="260">
        <v>82.661833620394887</v>
      </c>
      <c r="E110" s="260">
        <v>87.90547183769165</v>
      </c>
      <c r="F110" s="260">
        <v>94.102498821769672</v>
      </c>
      <c r="G110" s="260">
        <v>101.53893120266328</v>
      </c>
      <c r="H110" s="260">
        <v>110.62790411264434</v>
      </c>
      <c r="K110" s="286"/>
      <c r="L110" s="326"/>
    </row>
    <row r="111" spans="2:19" ht="11.25" customHeight="1">
      <c r="C111" s="263">
        <f>C110-0.005</f>
        <v>7.9999999999999988E-2</v>
      </c>
      <c r="D111" s="260">
        <v>89.041420350835239</v>
      </c>
      <c r="E111" s="260">
        <v>95.33028582410445</v>
      </c>
      <c r="F111" s="260">
        <v>102.87692439202753</v>
      </c>
      <c r="G111" s="260">
        <v>112.10059375282238</v>
      </c>
      <c r="H111" s="260">
        <v>123.63018045381592</v>
      </c>
      <c r="K111" s="286"/>
      <c r="L111" s="326"/>
    </row>
    <row r="112" spans="2:19" ht="11.25" customHeight="1">
      <c r="D112" s="264"/>
      <c r="E112" s="264"/>
      <c r="F112" s="264"/>
      <c r="G112" s="264"/>
      <c r="H112" s="264"/>
      <c r="K112" s="286"/>
      <c r="L112" s="327"/>
    </row>
    <row r="113" spans="2:12" ht="11.25" customHeight="1">
      <c r="C113" s="332"/>
      <c r="D113" s="333"/>
      <c r="E113" s="333"/>
      <c r="F113" s="333"/>
      <c r="G113" s="333"/>
      <c r="H113" s="333"/>
      <c r="K113" s="286"/>
      <c r="L113" s="328"/>
    </row>
    <row r="114" spans="2:12" ht="11.25" customHeight="1">
      <c r="D114" s="173" t="s">
        <v>178</v>
      </c>
      <c r="E114" s="173"/>
      <c r="F114" s="173"/>
      <c r="G114" s="173"/>
      <c r="H114" s="173"/>
      <c r="K114" s="286"/>
      <c r="L114" s="329"/>
    </row>
    <row r="115" spans="2:12" ht="11.25" customHeight="1">
      <c r="C115" s="265">
        <f>E88</f>
        <v>113.75504921069823</v>
      </c>
      <c r="D115" s="266">
        <f>E115-0.5</f>
        <v>12</v>
      </c>
      <c r="E115" s="266">
        <f>F115-0.5</f>
        <v>12.5</v>
      </c>
      <c r="F115" s="267">
        <v>13</v>
      </c>
      <c r="G115" s="266">
        <f>F115+0.5</f>
        <v>13.5</v>
      </c>
      <c r="H115" s="266">
        <f>G115+0.5</f>
        <v>14</v>
      </c>
      <c r="K115" s="286"/>
      <c r="L115" s="330"/>
    </row>
    <row r="116" spans="2:12" ht="11.25" customHeight="1">
      <c r="C116" s="259">
        <f>C117+0.005</f>
        <v>0.1</v>
      </c>
      <c r="D116" s="260">
        <f t="dataTable" ref="D116:H120" dt2D="1" dtr="1" r1="K42" r2="K10" ca="1"/>
        <v>77.225657594913045</v>
      </c>
      <c r="E116" s="260">
        <v>79.48790518212374</v>
      </c>
      <c r="F116" s="260">
        <v>81.75015276933442</v>
      </c>
      <c r="G116" s="260">
        <v>84.012400356545115</v>
      </c>
      <c r="H116" s="260">
        <v>86.274647943755824</v>
      </c>
      <c r="K116" s="286"/>
      <c r="L116" s="326"/>
    </row>
    <row r="117" spans="2:12" ht="11.25" customHeight="1">
      <c r="C117" s="259">
        <f>C118+0.005</f>
        <v>9.5000000000000001E-2</v>
      </c>
      <c r="D117" s="260">
        <v>78.459223062500058</v>
      </c>
      <c r="E117" s="260">
        <v>80.765015958452125</v>
      </c>
      <c r="F117" s="260">
        <v>83.070808854404191</v>
      </c>
      <c r="G117" s="260">
        <v>85.376601750356244</v>
      </c>
      <c r="H117" s="260">
        <v>87.682394646308325</v>
      </c>
      <c r="K117" s="286"/>
      <c r="L117" s="324"/>
    </row>
    <row r="118" spans="2:12" ht="11.25" customHeight="1">
      <c r="B118" s="67" t="s">
        <v>177</v>
      </c>
      <c r="C118" s="262">
        <v>0.09</v>
      </c>
      <c r="D118" s="260">
        <v>79.72134642901004</v>
      </c>
      <c r="E118" s="260">
        <v>82.071727904327219</v>
      </c>
      <c r="F118" s="260">
        <v>84.422109379644397</v>
      </c>
      <c r="G118" s="260">
        <v>86.772490854961575</v>
      </c>
      <c r="H118" s="260">
        <v>89.122872330278767</v>
      </c>
      <c r="K118" s="286"/>
      <c r="L118" s="324"/>
    </row>
    <row r="119" spans="2:12" ht="11.25" customHeight="1">
      <c r="C119" s="259">
        <f>C118-0.005</f>
        <v>8.4999999999999992E-2</v>
      </c>
      <c r="D119" s="260">
        <v>81.012833814712849</v>
      </c>
      <c r="E119" s="260">
        <v>83.408877093919742</v>
      </c>
      <c r="F119" s="260">
        <v>85.804920373126606</v>
      </c>
      <c r="G119" s="260">
        <v>88.200963652333499</v>
      </c>
      <c r="H119" s="260">
        <v>90.597006931540406</v>
      </c>
      <c r="K119" s="286"/>
      <c r="L119" s="324"/>
    </row>
    <row r="120" spans="2:12" ht="11.25" customHeight="1">
      <c r="C120" s="263">
        <f>C119-0.005</f>
        <v>7.9999999999999988E-2</v>
      </c>
      <c r="D120" s="260">
        <v>82.334518077859215</v>
      </c>
      <c r="E120" s="260">
        <v>84.777327343108695</v>
      </c>
      <c r="F120" s="260">
        <v>87.220136608358175</v>
      </c>
      <c r="G120" s="260">
        <v>89.66294587360764</v>
      </c>
      <c r="H120" s="260">
        <v>92.105755138857134</v>
      </c>
      <c r="K120" s="286"/>
      <c r="L120" s="324"/>
    </row>
    <row r="121" spans="2:12" ht="11.25" customHeight="1">
      <c r="K121" s="286"/>
      <c r="L121" s="12"/>
    </row>
    <row r="122" spans="2:12" ht="11.25" customHeight="1">
      <c r="K122" s="286"/>
      <c r="L122" s="12"/>
    </row>
    <row r="123" spans="2:12" ht="11.25" customHeight="1">
      <c r="C123" s="269"/>
      <c r="D123" s="270"/>
      <c r="E123" s="271"/>
      <c r="F123" s="271"/>
      <c r="G123" s="271"/>
      <c r="H123" s="271"/>
      <c r="I123" s="271" t="s">
        <v>179</v>
      </c>
      <c r="J123" s="271" t="s">
        <v>180</v>
      </c>
      <c r="K123" s="272" t="s">
        <v>181</v>
      </c>
      <c r="L123" s="12"/>
    </row>
    <row r="124" spans="2:12" ht="11.25" customHeight="1">
      <c r="C124" s="273" t="str">
        <f>"DCF value at "&amp;TEXT(D115,"0,0x")&amp;"-"&amp;TEXT(H115,"0,0x")&amp;" exit EBITDA multiple range &amp; "&amp;TEXT(C118,"0,0%")&amp;" WACC"</f>
        <v>DCF value at 12,0x-14,0x exit EBITDA multiple range &amp; 9,0% WACC</v>
      </c>
      <c r="D124" s="274"/>
      <c r="E124" s="275"/>
      <c r="F124" s="275"/>
      <c r="G124" s="275"/>
      <c r="H124" s="275"/>
      <c r="I124" s="275">
        <f>D118</f>
        <v>79.72134642901004</v>
      </c>
      <c r="J124" s="275">
        <f>K124-I124</f>
        <v>9.4015259012687267</v>
      </c>
      <c r="K124" s="276">
        <f>H118</f>
        <v>89.122872330278767</v>
      </c>
      <c r="L124" s="12"/>
    </row>
    <row r="125" spans="2:12" ht="11.25" customHeight="1">
      <c r="C125" s="278" t="str">
        <f>"DCF value at "&amp;TEXT(D106,"0,0%")&amp;"-"&amp;TEXT(H106,"0,0%")&amp;" perpetuity growth rate &amp; "&amp;TEXT(C109,"0,0%")&amp;" WACC"</f>
        <v>DCF value at 2,0%-4,0% perpetuity growth rate &amp; 9,0% WACC</v>
      </c>
      <c r="D125" s="12"/>
      <c r="E125" s="275"/>
      <c r="F125" s="275"/>
      <c r="G125" s="275"/>
      <c r="H125" s="275"/>
      <c r="I125" s="275">
        <f>D109</f>
        <v>77.194154540651439</v>
      </c>
      <c r="J125" s="275">
        <f>K125-I125</f>
        <v>23.031898131759448</v>
      </c>
      <c r="K125" s="276">
        <f>H109</f>
        <v>100.22605267241089</v>
      </c>
      <c r="L125" s="12"/>
    </row>
    <row r="126" spans="2:12" ht="11.25" customHeight="1">
      <c r="C126" s="279" t="s">
        <v>371</v>
      </c>
      <c r="D126" s="280"/>
      <c r="E126" s="281"/>
      <c r="F126" s="281"/>
      <c r="G126" s="281"/>
      <c r="H126" s="281"/>
      <c r="I126" s="281">
        <v>53.15</v>
      </c>
      <c r="J126" s="282">
        <f>K126-I126</f>
        <v>91.93</v>
      </c>
      <c r="K126" s="283">
        <v>145.08000000000001</v>
      </c>
      <c r="L126" s="12"/>
    </row>
    <row r="127" spans="2:12" ht="11.25" customHeight="1">
      <c r="K127" s="286"/>
      <c r="L127" s="12"/>
    </row>
    <row r="128" spans="2:12" ht="11.25" customHeight="1">
      <c r="K128" s="286"/>
      <c r="L128" s="12"/>
    </row>
    <row r="129" spans="2:18" ht="11.25" customHeight="1">
      <c r="C129" s="331" t="s">
        <v>175</v>
      </c>
      <c r="D129" s="331"/>
      <c r="E129" s="331"/>
      <c r="F129" s="331"/>
      <c r="G129" s="331"/>
      <c r="H129" s="331"/>
      <c r="I129" s="331"/>
      <c r="J129" s="331"/>
      <c r="K129" s="331"/>
      <c r="L129" s="331"/>
      <c r="M129" s="331"/>
      <c r="N129" s="331"/>
      <c r="O129" s="331"/>
      <c r="P129" s="331"/>
      <c r="Q129" s="331"/>
      <c r="R129" s="331"/>
    </row>
    <row r="130" spans="2:18" ht="11.25" customHeight="1">
      <c r="C130" s="45"/>
      <c r="D130" s="173" t="s">
        <v>176</v>
      </c>
      <c r="E130" s="173"/>
      <c r="F130" s="173"/>
      <c r="G130" s="173"/>
      <c r="H130" s="173"/>
      <c r="K130" s="286"/>
      <c r="L130" s="12"/>
    </row>
    <row r="131" spans="2:18" ht="11.25" customHeight="1">
      <c r="C131" s="257">
        <f>D94</f>
        <v>22.932654797542565</v>
      </c>
      <c r="D131" s="255">
        <f>E131-0.005</f>
        <v>1.9999999999999997E-2</v>
      </c>
      <c r="E131" s="255">
        <f>F131-0.005</f>
        <v>2.4999999999999998E-2</v>
      </c>
      <c r="F131" s="256">
        <v>0.03</v>
      </c>
      <c r="G131" s="255">
        <f>F131+0.005</f>
        <v>3.4999999999999996E-2</v>
      </c>
      <c r="H131" s="258">
        <f>G131+0.005</f>
        <v>3.9999999999999994E-2</v>
      </c>
      <c r="K131" s="286"/>
      <c r="L131" s="12"/>
    </row>
    <row r="132" spans="2:18" ht="11.25" customHeight="1">
      <c r="C132" s="259">
        <f>C133+0.005</f>
        <v>0.1</v>
      </c>
      <c r="D132" s="261">
        <f t="dataTable" ref="D132:H136" dt2D="1" dtr="1" r1="E41" r2="K10" ca="1"/>
        <v>13.092987070371542</v>
      </c>
      <c r="E132" s="261">
        <v>13.766459955850985</v>
      </c>
      <c r="F132" s="261">
        <v>14.536143253541784</v>
      </c>
      <c r="G132" s="261">
        <v>15.424239366261931</v>
      </c>
      <c r="H132" s="261">
        <v>16.460351497768769</v>
      </c>
      <c r="K132" s="286"/>
      <c r="L132" s="12"/>
    </row>
    <row r="133" spans="2:18" ht="11.25" customHeight="1">
      <c r="C133" s="259">
        <f>C134+0.005</f>
        <v>9.5000000000000001E-2</v>
      </c>
      <c r="D133" s="261">
        <v>13.948717784661012</v>
      </c>
      <c r="E133" s="261">
        <v>14.729650576508391</v>
      </c>
      <c r="F133" s="261">
        <v>15.630726874793835</v>
      </c>
      <c r="G133" s="261">
        <v>16.681982556126847</v>
      </c>
      <c r="H133" s="261">
        <v>17.924375634065864</v>
      </c>
      <c r="K133" s="286"/>
      <c r="L133" s="12"/>
    </row>
    <row r="134" spans="2:18" ht="11.25" customHeight="1">
      <c r="B134" s="67" t="s">
        <v>177</v>
      </c>
      <c r="C134" s="262">
        <v>0.09</v>
      </c>
      <c r="D134" s="261">
        <v>14.926801167992595</v>
      </c>
      <c r="E134" s="261">
        <v>15.841108081632095</v>
      </c>
      <c r="F134" s="261">
        <v>16.907799480878179</v>
      </c>
      <c r="G134" s="261">
        <v>18.168434770896276</v>
      </c>
      <c r="H134" s="261">
        <v>19.681197118917993</v>
      </c>
      <c r="K134" s="286"/>
      <c r="L134" s="12"/>
    </row>
    <row r="135" spans="2:18" ht="11.25" customHeight="1">
      <c r="C135" s="259">
        <f>C134-0.005</f>
        <v>8.4999999999999992E-2</v>
      </c>
      <c r="D135" s="261">
        <v>16.055475458273765</v>
      </c>
      <c r="E135" s="261">
        <v>17.137901759649946</v>
      </c>
      <c r="F135" s="261">
        <v>18.417132843094532</v>
      </c>
      <c r="G135" s="261">
        <v>19.952210143228033</v>
      </c>
      <c r="H135" s="261">
        <v>21.828415732280082</v>
      </c>
      <c r="K135" s="286"/>
      <c r="L135" s="12"/>
    </row>
    <row r="136" spans="2:18" ht="11.25" customHeight="1">
      <c r="C136" s="263">
        <f>C135-0.005</f>
        <v>7.9999999999999988E-2</v>
      </c>
      <c r="D136" s="261">
        <v>17.37239172571585</v>
      </c>
      <c r="E136" s="261">
        <v>18.670580714351392</v>
      </c>
      <c r="F136" s="261">
        <v>20.228407500714052</v>
      </c>
      <c r="G136" s="261">
        <v>22.132418017379514</v>
      </c>
      <c r="H136" s="261">
        <v>24.512431163211346</v>
      </c>
      <c r="K136" s="286"/>
      <c r="L136" s="12"/>
    </row>
    <row r="137" spans="2:18" ht="11.25" customHeight="1">
      <c r="K137" s="286"/>
      <c r="L137" s="12"/>
    </row>
    <row r="138" spans="2:18" ht="11.25" customHeight="1">
      <c r="C138" s="332"/>
      <c r="D138" s="333"/>
      <c r="E138" s="333"/>
      <c r="F138" s="333"/>
      <c r="G138" s="333"/>
      <c r="H138" s="333"/>
      <c r="K138" s="286"/>
      <c r="L138" s="12"/>
    </row>
    <row r="139" spans="2:18" ht="11.25" customHeight="1">
      <c r="D139" s="173" t="s">
        <v>178</v>
      </c>
      <c r="E139" s="173"/>
      <c r="F139" s="173"/>
      <c r="G139" s="173"/>
      <c r="H139" s="173"/>
      <c r="K139" s="286"/>
      <c r="L139" s="12"/>
    </row>
    <row r="140" spans="2:18" ht="11.25" customHeight="1">
      <c r="C140" s="257">
        <f>E94</f>
        <v>22.473941598497859</v>
      </c>
      <c r="D140" s="266">
        <f>E140-0.5</f>
        <v>12</v>
      </c>
      <c r="E140" s="266">
        <f>F140-0.5</f>
        <v>12.5</v>
      </c>
      <c r="F140" s="267">
        <v>13</v>
      </c>
      <c r="G140" s="266">
        <f>F140+0.5</f>
        <v>13.5</v>
      </c>
      <c r="H140" s="266">
        <f>G140+0.5</f>
        <v>14</v>
      </c>
      <c r="K140" s="286"/>
      <c r="L140" s="12"/>
    </row>
    <row r="141" spans="2:18" ht="11.25" customHeight="1">
      <c r="C141" s="259">
        <f>C142+0.005</f>
        <v>0.1</v>
      </c>
      <c r="D141" s="261">
        <f t="dataTable" ref="D141:H145" dt2D="1" dtr="1" r1="K42" r2="K10" ca="1"/>
        <v>14.933304235727887</v>
      </c>
      <c r="E141" s="261">
        <v>15.400292267156958</v>
      </c>
      <c r="F141" s="261">
        <v>15.867280298586028</v>
      </c>
      <c r="G141" s="261">
        <v>16.334268330015099</v>
      </c>
      <c r="H141" s="261">
        <v>16.801256361444175</v>
      </c>
      <c r="K141" s="286"/>
      <c r="L141" s="12"/>
    </row>
    <row r="142" spans="2:18" ht="11.25" customHeight="1">
      <c r="C142" s="259">
        <f>C143+0.005</f>
        <v>9.5000000000000001E-2</v>
      </c>
      <c r="D142" s="261">
        <v>15.187944935801575</v>
      </c>
      <c r="E142" s="261">
        <v>15.663921876367766</v>
      </c>
      <c r="F142" s="261">
        <v>16.139898816933957</v>
      </c>
      <c r="G142" s="261">
        <v>16.615875757500149</v>
      </c>
      <c r="H142" s="261">
        <v>17.09185269806634</v>
      </c>
      <c r="K142" s="286"/>
      <c r="L142" s="12"/>
    </row>
    <row r="143" spans="2:18" ht="11.25" customHeight="1">
      <c r="B143" s="67" t="s">
        <v>177</v>
      </c>
      <c r="C143" s="262">
        <v>0.09</v>
      </c>
      <c r="D143" s="261">
        <v>15.448480745267878</v>
      </c>
      <c r="E143" s="261">
        <v>15.93366195375755</v>
      </c>
      <c r="F143" s="261">
        <v>16.418843162247221</v>
      </c>
      <c r="G143" s="261">
        <v>16.904024370736892</v>
      </c>
      <c r="H143" s="261">
        <v>17.389205579226566</v>
      </c>
      <c r="K143" s="286"/>
      <c r="L143" s="12"/>
    </row>
    <row r="144" spans="2:18" ht="11.25" customHeight="1">
      <c r="C144" s="259">
        <f>C143-0.005</f>
        <v>8.4999999999999992E-2</v>
      </c>
      <c r="D144" s="261">
        <v>15.715078068776775</v>
      </c>
      <c r="E144" s="261">
        <v>16.209685087257583</v>
      </c>
      <c r="F144" s="261">
        <v>16.704292105738389</v>
      </c>
      <c r="G144" s="261">
        <v>17.198899124219199</v>
      </c>
      <c r="H144" s="261">
        <v>17.693506142700009</v>
      </c>
      <c r="K144" s="286"/>
      <c r="L144" s="12"/>
    </row>
    <row r="145" spans="3:12" ht="11.25" customHeight="1">
      <c r="C145" s="263">
        <f>C144-0.005</f>
        <v>7.9999999999999988E-2</v>
      </c>
      <c r="D145" s="261">
        <v>15.987908830408184</v>
      </c>
      <c r="E145" s="261">
        <v>16.492169591425103</v>
      </c>
      <c r="F145" s="261">
        <v>16.996430352442019</v>
      </c>
      <c r="G145" s="261">
        <v>17.500691113458938</v>
      </c>
      <c r="H145" s="261">
        <v>18.004951874475857</v>
      </c>
      <c r="K145" s="286"/>
      <c r="L145" s="12"/>
    </row>
    <row r="146" spans="3:12" ht="11.25" customHeight="1">
      <c r="K146" s="286"/>
      <c r="L146" s="12"/>
    </row>
    <row r="147" spans="3:12" ht="11.25" customHeight="1">
      <c r="K147" s="286"/>
      <c r="L147" s="12"/>
    </row>
    <row r="148" spans="3:12" ht="11.25" customHeight="1">
      <c r="C148" s="269"/>
      <c r="D148" s="270"/>
      <c r="E148" s="270"/>
      <c r="F148" s="270"/>
      <c r="G148" s="270"/>
      <c r="H148" s="270"/>
      <c r="I148" s="271" t="s">
        <v>179</v>
      </c>
      <c r="J148" s="271" t="s">
        <v>180</v>
      </c>
      <c r="K148" s="272" t="s">
        <v>181</v>
      </c>
    </row>
    <row r="149" spans="3:12" ht="11.25" customHeight="1">
      <c r="C149" s="273" t="str">
        <f>"LTM EBITDA multiple at "&amp;TEXT(D131,"0,0%")&amp;"-"&amp;TEXT(H131,"0,0%")&amp;" perpetuity growth rate &amp; "&amp;TEXT(C134,"0,0%")&amp;" WACC"</f>
        <v>LTM EBITDA multiple at 2,0%-4,0% perpetuity growth rate &amp; 9,0% WACC</v>
      </c>
      <c r="I149" s="198">
        <f>D134</f>
        <v>14.926801167992595</v>
      </c>
      <c r="J149" s="198">
        <f>K149-I149</f>
        <v>4.7543959509253977</v>
      </c>
      <c r="K149" s="277">
        <f>H134</f>
        <v>19.681197118917993</v>
      </c>
    </row>
    <row r="150" spans="3:12" ht="11.25" customHeight="1">
      <c r="C150" s="278" t="str">
        <f>"LTM EBITDA multiple at "&amp;TEXT(D143,"0,0x")&amp;"-"&amp;TEXT(H143,"0,0x")&amp;" Exit EBITDA multiple &amp; "&amp;TEXT(C143,"0,0%")&amp;" WACC"</f>
        <v>LTM EBITDA multiple at 15,4x-17,4x Exit EBITDA multiple &amp; 9,0% WACC</v>
      </c>
      <c r="I150" s="198">
        <f>D143</f>
        <v>15.448480745267878</v>
      </c>
      <c r="J150" s="198">
        <f>K150-I150</f>
        <v>1.9407248339586882</v>
      </c>
      <c r="K150" s="277">
        <f>H143</f>
        <v>17.389205579226566</v>
      </c>
    </row>
    <row r="151" spans="3:12" ht="11.25" customHeight="1">
      <c r="C151" s="279" t="str">
        <f>"LTM EBITDA multiple at "&amp;TEXT(C145,"0,0%")&amp;"-"&amp;TEXT(C141,"0,0%")&amp;" WACC &amp; "&amp;TEXT(F140,"0,0x")&amp;" Exit EBITDA multiple"</f>
        <v>LTM EBITDA multiple at 8,0%-10,0% WACC &amp; 13,0x Exit EBITDA multiple</v>
      </c>
      <c r="D151" s="280"/>
      <c r="E151" s="280"/>
      <c r="F151" s="280"/>
      <c r="G151" s="280"/>
      <c r="H151" s="280"/>
      <c r="I151" s="282">
        <f>F141</f>
        <v>15.867280298586028</v>
      </c>
      <c r="J151" s="282">
        <f>K151-I151</f>
        <v>1.1291500538559909</v>
      </c>
      <c r="K151" s="284">
        <f>F145</f>
        <v>16.996430352442019</v>
      </c>
    </row>
    <row r="152" spans="3:12" ht="11.25" customHeight="1">
      <c r="K152" s="286"/>
      <c r="L152" s="12"/>
    </row>
    <row r="153" spans="3:12" ht="11.25" customHeight="1">
      <c r="K153" s="12"/>
      <c r="L153" s="12"/>
    </row>
    <row r="154" spans="3:12" ht="11.25" customHeight="1">
      <c r="K154" s="12"/>
      <c r="L154" s="12"/>
    </row>
    <row r="155" spans="3:12" ht="11.25" customHeight="1">
      <c r="K155" s="12"/>
      <c r="L155" s="12"/>
    </row>
    <row r="156" spans="3:12" ht="11.25" customHeight="1">
      <c r="K156" s="12"/>
      <c r="L156" s="12"/>
    </row>
    <row r="157" spans="3:12" ht="11.25" customHeight="1">
      <c r="K157" s="12"/>
      <c r="L157" s="12"/>
    </row>
    <row r="158" spans="3:12" ht="11.25" customHeight="1">
      <c r="K158" s="12"/>
      <c r="L158" s="12"/>
    </row>
    <row r="159" spans="3:12" ht="11.25" customHeight="1">
      <c r="K159" s="12"/>
      <c r="L159" s="12"/>
    </row>
    <row r="160" spans="3:12" ht="11.25" customHeight="1">
      <c r="K160" s="12"/>
      <c r="L160" s="12"/>
    </row>
    <row r="161" spans="11:15" ht="11.25" customHeight="1">
      <c r="K161" s="12"/>
      <c r="L161" s="12"/>
    </row>
    <row r="162" spans="11:15" ht="11.25" customHeight="1">
      <c r="K162" s="12"/>
      <c r="L162" s="12"/>
    </row>
    <row r="163" spans="11:15" ht="11.25" customHeight="1">
      <c r="K163" s="12"/>
      <c r="L163" s="12"/>
      <c r="O163" s="268"/>
    </row>
    <row r="164" spans="11:15" ht="11.25" customHeight="1">
      <c r="K164" s="12"/>
      <c r="L164" s="12"/>
    </row>
    <row r="165" spans="11:15" ht="11.25" customHeight="1">
      <c r="K165" s="12"/>
      <c r="L165" s="12"/>
    </row>
    <row r="166" spans="11:15" ht="11.25" customHeight="1">
      <c r="K166" s="12"/>
      <c r="L166" s="12"/>
    </row>
    <row r="167" spans="11:15" ht="11.25" customHeight="1">
      <c r="K167" s="12"/>
      <c r="L167" s="12"/>
    </row>
    <row r="168" spans="11:15" ht="11.25" customHeight="1">
      <c r="K168" s="12"/>
      <c r="L168" s="12"/>
    </row>
    <row r="169" spans="11:15" ht="11.25" customHeight="1">
      <c r="K169" s="12"/>
      <c r="L169" s="12"/>
    </row>
    <row r="170" spans="11:15" ht="11.25" customHeight="1"/>
    <row r="171" spans="11:15" ht="11.25" customHeight="1"/>
    <row r="172" spans="11:15" ht="11.25" customHeight="1"/>
    <row r="173" spans="11:15" ht="11.25" customHeight="1"/>
    <row r="174" spans="11:15">
      <c r="K174" s="12"/>
      <c r="L174" s="12"/>
    </row>
    <row r="175" spans="11:15">
      <c r="K175" s="12"/>
      <c r="L175" s="12"/>
    </row>
    <row r="176" spans="11:15">
      <c r="K176" s="12"/>
      <c r="L176" s="12"/>
    </row>
    <row r="177" spans="11:12">
      <c r="K177" s="12"/>
      <c r="L177" s="12"/>
    </row>
  </sheetData>
  <conditionalFormatting sqref="L107:L111 D107:H111 L116:L120 D116:H120">
    <cfRule type="cellIs" dxfId="0" priority="1" operator="lessThan">
      <formula>$E$13</formula>
    </cfRule>
  </conditionalFormatting>
  <dataValidations disablePrompts="1" count="1">
    <dataValidation type="list" allowBlank="1" showInputMessage="1" showErrorMessage="1" sqref="K13" xr:uid="{7CCE3F0D-B1AE-453E-90CD-7C60C8981B08}">
      <formula1>"0,1"</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C3BD0-EAF5-4438-A581-AC2E01B30D4E}">
  <sheetPr codeName="Sheet4"/>
  <dimension ref="A1:N75"/>
  <sheetViews>
    <sheetView showGridLines="0" workbookViewId="0">
      <pane xSplit="1" ySplit="6" topLeftCell="B7" activePane="bottomRight" state="frozen"/>
      <selection pane="topRight" activeCell="B1" sqref="B1"/>
      <selection pane="bottomLeft" activeCell="A7" sqref="A7"/>
      <selection pane="bottomRight" activeCell="B7" sqref="B7"/>
    </sheetView>
  </sheetViews>
  <sheetFormatPr defaultColWidth="9.140625" defaultRowHeight="11.25"/>
  <cols>
    <col min="1" max="1" width="2.5703125" style="11" customWidth="1"/>
    <col min="2" max="2" width="45.42578125" style="11" customWidth="1"/>
    <col min="3" max="3" width="9.85546875" style="11" customWidth="1"/>
    <col min="4" max="5" width="9.28515625" style="11" customWidth="1"/>
    <col min="6" max="6" width="11.42578125" style="11" customWidth="1"/>
    <col min="7" max="11" width="9.28515625" style="11" customWidth="1"/>
    <col min="12" max="12" width="1.7109375" style="11" customWidth="1"/>
    <col min="13" max="13" width="12.140625" style="11" bestFit="1" customWidth="1"/>
    <col min="14" max="16" width="9.42578125" style="11" customWidth="1"/>
    <col min="17" max="16384" width="9.140625" style="11"/>
  </cols>
  <sheetData>
    <row r="1" spans="1:13" customFormat="1" ht="6.75" customHeight="1">
      <c r="A1" s="1"/>
      <c r="B1" s="1"/>
      <c r="C1" s="1"/>
      <c r="D1" s="1"/>
      <c r="E1" s="1"/>
      <c r="F1" s="1"/>
      <c r="G1" s="1"/>
      <c r="H1" s="1"/>
      <c r="I1" s="1"/>
      <c r="J1" s="1"/>
      <c r="K1" s="1"/>
      <c r="L1" s="1"/>
      <c r="M1" s="1"/>
    </row>
    <row r="2" spans="1:13" customFormat="1" ht="18.75" customHeight="1">
      <c r="A2" s="1"/>
      <c r="B2" s="8" t="s">
        <v>486</v>
      </c>
      <c r="C2" s="2"/>
      <c r="D2" s="2"/>
      <c r="E2" s="2"/>
      <c r="F2" s="2"/>
      <c r="G2" s="2"/>
      <c r="H2" s="2"/>
      <c r="I2" s="7" t="str">
        <f ca="1">+FSM!I2</f>
        <v>Active case: Base case</v>
      </c>
      <c r="J2" s="6"/>
      <c r="K2" s="2"/>
      <c r="L2" s="1"/>
      <c r="M2" s="1"/>
    </row>
    <row r="3" spans="1:13" customFormat="1" ht="12" customHeight="1">
      <c r="A3" s="3"/>
      <c r="B3" s="3"/>
      <c r="C3" s="2"/>
      <c r="D3" s="2"/>
      <c r="E3" s="2"/>
      <c r="F3" s="2"/>
      <c r="G3" s="2"/>
      <c r="H3" s="1"/>
      <c r="I3" s="1"/>
      <c r="J3" s="1"/>
      <c r="K3" s="1"/>
      <c r="L3" s="1"/>
      <c r="M3" s="1"/>
    </row>
    <row r="4" spans="1:13" customFormat="1" ht="14.25" customHeight="1">
      <c r="A4" s="3"/>
      <c r="B4" s="3"/>
      <c r="C4" s="88"/>
      <c r="D4" s="288"/>
      <c r="E4" s="289"/>
      <c r="F4" s="289"/>
      <c r="G4" s="290"/>
      <c r="H4" s="288"/>
      <c r="I4" s="288"/>
      <c r="J4" s="288"/>
      <c r="K4" s="288"/>
      <c r="L4" s="87"/>
      <c r="M4" s="88"/>
    </row>
    <row r="5" spans="1:13" customFormat="1" ht="14.25" customHeight="1">
      <c r="A5" s="3"/>
      <c r="B5" s="23" t="s">
        <v>220</v>
      </c>
      <c r="C5" s="287"/>
      <c r="D5" s="287"/>
      <c r="E5" s="294"/>
      <c r="F5" s="287"/>
      <c r="G5" s="291"/>
      <c r="H5" s="291"/>
      <c r="I5" s="291"/>
      <c r="J5" s="291"/>
      <c r="K5" s="291"/>
      <c r="L5" s="11"/>
      <c r="M5" s="24" t="s">
        <v>252</v>
      </c>
    </row>
    <row r="6" spans="1:13" customFormat="1" ht="11.25" customHeight="1">
      <c r="A6" s="9"/>
      <c r="B6" s="9"/>
      <c r="C6" s="134"/>
      <c r="D6" s="134"/>
      <c r="E6" s="293"/>
      <c r="F6" s="293"/>
      <c r="G6" s="293"/>
      <c r="H6" s="293"/>
      <c r="I6" s="293"/>
      <c r="J6" s="293"/>
      <c r="K6" s="293"/>
      <c r="L6" s="11"/>
      <c r="M6" s="286"/>
    </row>
    <row r="7" spans="1:13" customFormat="1" ht="4.5" customHeight="1">
      <c r="A7" s="9"/>
      <c r="B7" s="9"/>
      <c r="C7" s="134"/>
      <c r="D7" s="134"/>
      <c r="E7" s="293"/>
      <c r="F7" s="293"/>
      <c r="G7" s="293"/>
      <c r="H7" s="293"/>
      <c r="I7" s="293"/>
      <c r="J7" s="293"/>
      <c r="K7" s="293"/>
      <c r="L7" s="11"/>
      <c r="M7" s="286"/>
    </row>
    <row r="8" spans="1:13" ht="11.25" customHeight="1">
      <c r="B8" s="89" t="s">
        <v>182</v>
      </c>
      <c r="C8" s="90"/>
      <c r="D8" s="90"/>
      <c r="E8" s="90"/>
      <c r="F8" s="90"/>
      <c r="G8" s="90"/>
      <c r="H8" s="90"/>
      <c r="I8" s="90"/>
      <c r="J8" s="90"/>
      <c r="K8" s="90"/>
      <c r="L8" s="89"/>
    </row>
    <row r="9" spans="1:13" ht="3" customHeight="1">
      <c r="E9" s="35"/>
    </row>
    <row r="10" spans="1:13" ht="11.25" customHeight="1">
      <c r="B10" s="11" t="s">
        <v>184</v>
      </c>
      <c r="C10" s="349">
        <v>2.6980000000000001E-2</v>
      </c>
      <c r="M10" s="11" t="s">
        <v>472</v>
      </c>
    </row>
    <row r="11" spans="1:13" ht="11.25" customHeight="1">
      <c r="B11" s="25" t="s">
        <v>31</v>
      </c>
      <c r="C11" s="350">
        <f>+DCF!K21</f>
        <v>0.14428164731484103</v>
      </c>
      <c r="M11" s="11" t="s">
        <v>185</v>
      </c>
    </row>
    <row r="12" spans="1:13" ht="11.25" customHeight="1">
      <c r="B12" s="28" t="s">
        <v>186</v>
      </c>
      <c r="C12" s="351">
        <f>C10*(1-C11)</f>
        <v>2.3087281155445588E-2</v>
      </c>
      <c r="M12" s="11" t="s">
        <v>187</v>
      </c>
    </row>
    <row r="13" spans="1:13" ht="11.25" customHeight="1"/>
    <row r="14" spans="1:13" ht="11.25" customHeight="1">
      <c r="B14" s="11" t="s">
        <v>188</v>
      </c>
      <c r="C14" s="349">
        <v>1.15E-2</v>
      </c>
      <c r="M14" s="11" t="s">
        <v>471</v>
      </c>
    </row>
    <row r="15" spans="1:13" ht="11.25" customHeight="1">
      <c r="B15" s="11" t="s">
        <v>189</v>
      </c>
      <c r="C15" s="352">
        <f>IF(D15="Observed",C21,C22)</f>
        <v>1.026</v>
      </c>
      <c r="D15" s="348" t="s">
        <v>204</v>
      </c>
      <c r="M15" s="353"/>
    </row>
    <row r="16" spans="1:13" ht="11.25" customHeight="1">
      <c r="B16" s="25" t="s">
        <v>190</v>
      </c>
      <c r="C16" s="360">
        <v>5.5E-2</v>
      </c>
      <c r="M16" s="11" t="s">
        <v>484</v>
      </c>
    </row>
    <row r="17" spans="2:14" ht="11.25" customHeight="1">
      <c r="B17" s="28" t="s">
        <v>191</v>
      </c>
      <c r="C17" s="361">
        <f>C14+C15*C16</f>
        <v>6.7930000000000004E-2</v>
      </c>
      <c r="M17" s="11" t="s">
        <v>192</v>
      </c>
    </row>
    <row r="18" spans="2:14" ht="11.25" customHeight="1"/>
    <row r="19" spans="2:14" ht="11.25" customHeight="1">
      <c r="B19" s="93" t="s">
        <v>473</v>
      </c>
      <c r="C19" s="91"/>
      <c r="D19" s="91"/>
      <c r="E19" s="91"/>
      <c r="F19" s="91"/>
      <c r="G19" s="92"/>
      <c r="H19" s="91"/>
      <c r="I19" s="91"/>
      <c r="J19" s="91"/>
      <c r="K19" s="91"/>
      <c r="L19" s="91"/>
      <c r="M19" s="363"/>
      <c r="N19" s="363"/>
    </row>
    <row r="20" spans="2:14" ht="3" customHeight="1"/>
    <row r="21" spans="2:14" ht="11.25" customHeight="1">
      <c r="B21" s="33" t="s">
        <v>204</v>
      </c>
      <c r="C21" s="240">
        <f>+D37</f>
        <v>1.026</v>
      </c>
      <c r="D21" s="11" t="s">
        <v>467</v>
      </c>
    </row>
    <row r="22" spans="2:14" ht="11.25" customHeight="1">
      <c r="B22" s="33" t="s">
        <v>205</v>
      </c>
      <c r="C22" s="245">
        <f>+C40</f>
        <v>0.96144506769785354</v>
      </c>
      <c r="D22" s="11" t="s">
        <v>206</v>
      </c>
    </row>
    <row r="23" spans="2:14" ht="11.25" customHeight="1">
      <c r="B23" s="33"/>
      <c r="C23" s="245"/>
    </row>
    <row r="24" spans="2:14" ht="11.25" customHeight="1">
      <c r="C24" s="364" t="s">
        <v>478</v>
      </c>
      <c r="D24" s="173"/>
      <c r="M24" s="11" t="s">
        <v>485</v>
      </c>
    </row>
    <row r="25" spans="2:14" ht="13.5">
      <c r="B25" s="28" t="s">
        <v>205</v>
      </c>
      <c r="C25" s="311" t="s">
        <v>474</v>
      </c>
      <c r="D25" s="311" t="s">
        <v>475</v>
      </c>
      <c r="E25" s="311" t="s">
        <v>207</v>
      </c>
      <c r="F25" s="311" t="s">
        <v>476</v>
      </c>
      <c r="G25" s="311" t="s">
        <v>208</v>
      </c>
      <c r="H25" s="311" t="s">
        <v>209</v>
      </c>
      <c r="I25" s="311" t="s">
        <v>31</v>
      </c>
      <c r="J25" s="311" t="s">
        <v>487</v>
      </c>
    </row>
    <row r="26" spans="2:14" ht="11.25" customHeight="1">
      <c r="B26" s="11" t="s">
        <v>406</v>
      </c>
      <c r="C26" s="240">
        <v>0.89</v>
      </c>
      <c r="D26" s="240">
        <v>0.92600000000000005</v>
      </c>
      <c r="E26" s="365">
        <v>239.65</v>
      </c>
      <c r="F26" s="366">
        <f>7683</f>
        <v>7683</v>
      </c>
      <c r="G26" s="42">
        <f>E26*F26</f>
        <v>1841230.95</v>
      </c>
      <c r="H26" s="41">
        <f>-49751000/1000</f>
        <v>-49751</v>
      </c>
      <c r="I26" s="368">
        <v>0.17</v>
      </c>
      <c r="J26" s="245">
        <f>D26/(1+(1-I26)*(H26)/G26)</f>
        <v>0.94724386042889641</v>
      </c>
    </row>
    <row r="27" spans="2:14" ht="11.25" customHeight="1">
      <c r="B27" s="11" t="s">
        <v>408</v>
      </c>
      <c r="C27" s="240">
        <v>1.121</v>
      </c>
      <c r="D27" s="240">
        <v>1.081</v>
      </c>
      <c r="E27" s="365">
        <v>83000</v>
      </c>
      <c r="F27" s="366">
        <v>5969.7830000000004</v>
      </c>
      <c r="G27" s="42">
        <f>E27*F27</f>
        <v>495491989</v>
      </c>
      <c r="H27" s="41">
        <v>-93426.880000000005</v>
      </c>
      <c r="I27" s="368">
        <v>0.27700000000000002</v>
      </c>
      <c r="J27" s="245">
        <f>D27/(1+(1-I27)*(H27)/G27)</f>
        <v>1.0811473867385553</v>
      </c>
      <c r="M27" s="11" t="s">
        <v>470</v>
      </c>
    </row>
    <row r="28" spans="2:14" ht="11.25" customHeight="1">
      <c r="B28" s="11" t="s">
        <v>410</v>
      </c>
      <c r="C28" s="240">
        <v>1.258</v>
      </c>
      <c r="D28" s="240">
        <v>1.1719999999999999</v>
      </c>
      <c r="E28" s="365">
        <v>73.95</v>
      </c>
      <c r="F28" s="366">
        <v>751</v>
      </c>
      <c r="G28" s="42">
        <f>E28*F28</f>
        <v>55536.450000000004</v>
      </c>
      <c r="H28" s="41">
        <v>42754</v>
      </c>
      <c r="I28" s="368">
        <v>7.5999999999999998E-2</v>
      </c>
      <c r="J28" s="245">
        <f>D28/(1+(1-I28)*(H28)/G28)</f>
        <v>0.68484779634285964</v>
      </c>
    </row>
    <row r="29" spans="2:14" ht="11.25" customHeight="1">
      <c r="B29" s="11" t="s">
        <v>412</v>
      </c>
      <c r="C29" s="240">
        <v>0.94</v>
      </c>
      <c r="D29" s="240">
        <v>0.96</v>
      </c>
      <c r="E29" s="365">
        <v>26.56</v>
      </c>
      <c r="F29" s="366">
        <v>103.783</v>
      </c>
      <c r="G29" s="42">
        <f t="shared" ref="G29:G36" si="0">E29*F29</f>
        <v>2756.4764799999998</v>
      </c>
      <c r="H29" s="41">
        <v>-382.18</v>
      </c>
      <c r="I29" s="368">
        <v>0</v>
      </c>
      <c r="J29" s="245">
        <f>D29/(1+(1-I29)*(H29)/G29)</f>
        <v>1.1145269527586545</v>
      </c>
    </row>
    <row r="30" spans="2:14" ht="11.25" customHeight="1">
      <c r="B30" s="11" t="s">
        <v>414</v>
      </c>
      <c r="C30" s="240">
        <v>1.0349999999999999</v>
      </c>
      <c r="D30" s="240">
        <v>1.024</v>
      </c>
      <c r="E30" s="365">
        <v>262.01</v>
      </c>
      <c r="F30" s="366">
        <v>2876</v>
      </c>
      <c r="G30" s="42">
        <f t="shared" si="0"/>
        <v>753540.76</v>
      </c>
      <c r="H30" s="41">
        <v>-61431</v>
      </c>
      <c r="I30" s="368">
        <v>0.122</v>
      </c>
      <c r="J30" s="245">
        <f>D30/(1+(1-I30)*(H30)/G30)</f>
        <v>1.1029458965822141</v>
      </c>
    </row>
    <row r="31" spans="2:14" ht="11.25" customHeight="1">
      <c r="B31" s="11" t="s">
        <v>416</v>
      </c>
      <c r="C31" s="240">
        <v>1.36</v>
      </c>
      <c r="D31" s="240">
        <v>1.24</v>
      </c>
      <c r="E31" s="365">
        <v>24.48</v>
      </c>
      <c r="F31" s="366">
        <v>1420</v>
      </c>
      <c r="G31" s="42">
        <f t="shared" si="0"/>
        <v>34761.599999999999</v>
      </c>
      <c r="H31" s="41">
        <v>1353</v>
      </c>
      <c r="I31" s="368">
        <v>0.12</v>
      </c>
      <c r="J31" s="245">
        <f>D31/(1+(1-I31)*(H31)/G31)</f>
        <v>1.1989345865514915</v>
      </c>
    </row>
    <row r="32" spans="2:14" ht="11.25" customHeight="1">
      <c r="B32" s="11" t="s">
        <v>418</v>
      </c>
      <c r="C32" s="240">
        <v>0.93799999999999994</v>
      </c>
      <c r="D32" s="240">
        <v>0.95799999999999996</v>
      </c>
      <c r="E32" s="365">
        <v>1893.07</v>
      </c>
      <c r="F32" s="366">
        <v>698.55600000000004</v>
      </c>
      <c r="G32" s="42">
        <f t="shared" si="0"/>
        <v>1322415.40692</v>
      </c>
      <c r="H32" s="41">
        <v>-72810.45</v>
      </c>
      <c r="I32" s="368">
        <v>0.16200000000000001</v>
      </c>
      <c r="J32" s="245">
        <f>D32/(1+(1-I32)*(H32)/G32)</f>
        <v>1.004339391886232</v>
      </c>
    </row>
    <row r="33" spans="2:13" ht="11.25" customHeight="1">
      <c r="B33" s="11" t="s">
        <v>420</v>
      </c>
      <c r="C33" s="240">
        <v>0.94599999999999995</v>
      </c>
      <c r="D33" s="240">
        <v>0.96399999999999997</v>
      </c>
      <c r="E33" s="365">
        <v>539.04</v>
      </c>
      <c r="F33" s="366">
        <v>451.76499999999999</v>
      </c>
      <c r="G33" s="42">
        <f t="shared" si="0"/>
        <v>243519.40559999997</v>
      </c>
      <c r="H33" s="41">
        <v>8103.42</v>
      </c>
      <c r="I33" s="368">
        <v>0.14000000000000001</v>
      </c>
      <c r="J33" s="245">
        <f>D33/(1+(1-I33)*(H33)/G33)</f>
        <v>0.93718015228004203</v>
      </c>
    </row>
    <row r="34" spans="2:13" ht="11.25" customHeight="1">
      <c r="B34" s="11" t="s">
        <v>422</v>
      </c>
      <c r="C34" s="240">
        <v>0.96099999999999997</v>
      </c>
      <c r="D34" s="240">
        <v>0.97399999999999998</v>
      </c>
      <c r="E34" s="365">
        <v>10465</v>
      </c>
      <c r="F34" s="366">
        <v>1262.2550000000001</v>
      </c>
      <c r="G34" s="42">
        <f t="shared" si="0"/>
        <v>13209498.575000001</v>
      </c>
      <c r="H34" s="41">
        <v>-1885.18</v>
      </c>
      <c r="I34" s="368">
        <v>0.245</v>
      </c>
      <c r="J34" s="245">
        <f>D34/(1+(1-I34)*(H34)/G34)</f>
        <v>0.97410495888226556</v>
      </c>
      <c r="M34" s="11" t="s">
        <v>469</v>
      </c>
    </row>
    <row r="35" spans="2:13" ht="11.25" customHeight="1">
      <c r="B35" s="11" t="s">
        <v>424</v>
      </c>
      <c r="C35" s="240">
        <v>0.89600000000000002</v>
      </c>
      <c r="D35" s="240">
        <v>0.93100000000000005</v>
      </c>
      <c r="E35" s="365">
        <v>470</v>
      </c>
      <c r="F35" s="366">
        <v>485</v>
      </c>
      <c r="G35" s="42">
        <f t="shared" si="0"/>
        <v>227950</v>
      </c>
      <c r="H35" s="41">
        <v>-1875</v>
      </c>
      <c r="I35" s="368">
        <v>0.1</v>
      </c>
      <c r="J35" s="245">
        <f>D35/(1+(1-I35)*(H35)/G35)</f>
        <v>0.93794353903099281</v>
      </c>
    </row>
    <row r="36" spans="2:13" ht="11.25" customHeight="1">
      <c r="B36" s="11" t="s">
        <v>426</v>
      </c>
      <c r="C36" s="240">
        <v>0.78300000000000003</v>
      </c>
      <c r="D36" s="240">
        <v>0.85499999999999998</v>
      </c>
      <c r="E36" s="365">
        <v>3342.88</v>
      </c>
      <c r="F36" s="366">
        <v>504</v>
      </c>
      <c r="G36" s="42">
        <f t="shared" si="0"/>
        <v>1684811.52</v>
      </c>
      <c r="H36" s="41">
        <v>-38790.17</v>
      </c>
      <c r="I36" s="368">
        <f>984/6221</f>
        <v>0.1581739270213792</v>
      </c>
      <c r="J36" s="245">
        <f>D36/(1+(1-I36)*(H36)/G36)</f>
        <v>0.87189891689830978</v>
      </c>
    </row>
    <row r="37" spans="2:13" ht="11.25" customHeight="1">
      <c r="B37" s="11" t="s">
        <v>404</v>
      </c>
      <c r="C37" s="240">
        <v>1.0389999999999999</v>
      </c>
      <c r="D37" s="240">
        <v>1.026</v>
      </c>
      <c r="E37" s="240"/>
      <c r="F37" s="240"/>
      <c r="G37" s="42">
        <f>+C46</f>
        <v>2256971.1300400002</v>
      </c>
      <c r="H37" s="41">
        <f>+C47</f>
        <v>-83528</v>
      </c>
      <c r="I37" s="367">
        <f>+C11</f>
        <v>0.14428164731484103</v>
      </c>
      <c r="J37" s="245">
        <f>D37/(1+(1-I37)*(H37)/G37)</f>
        <v>1.0595552543275175</v>
      </c>
    </row>
    <row r="38" spans="2:13" ht="11.25" customHeight="1">
      <c r="C38" s="245"/>
      <c r="F38" s="42"/>
      <c r="G38" s="42"/>
      <c r="H38" s="42"/>
      <c r="I38" s="51"/>
    </row>
    <row r="39" spans="2:13" ht="11.25" customHeight="1">
      <c r="B39" s="25" t="s">
        <v>210</v>
      </c>
      <c r="C39" s="369">
        <f>AVERAGE(J26:J37)</f>
        <v>0.99288905772566916</v>
      </c>
    </row>
    <row r="40" spans="2:13" ht="11.25" customHeight="1">
      <c r="B40" s="28" t="s">
        <v>477</v>
      </c>
      <c r="C40" s="359">
        <f>C39*(1+(1-I37)*(H37)/G37)</f>
        <v>0.96144506769785354</v>
      </c>
    </row>
    <row r="41" spans="2:13" ht="11.25" customHeight="1"/>
    <row r="42" spans="2:13" ht="11.25" customHeight="1">
      <c r="B42" s="89" t="s">
        <v>193</v>
      </c>
      <c r="C42" s="90"/>
      <c r="D42" s="90"/>
      <c r="E42" s="90"/>
      <c r="F42" s="90"/>
      <c r="G42" s="90"/>
      <c r="H42" s="90"/>
      <c r="I42" s="90"/>
      <c r="J42" s="90"/>
      <c r="K42" s="90"/>
      <c r="L42" s="89"/>
    </row>
    <row r="43" spans="2:13" ht="3" customHeight="1">
      <c r="B43" s="26"/>
      <c r="C43" s="12"/>
      <c r="D43" s="12"/>
      <c r="E43" s="12"/>
      <c r="F43" s="28"/>
    </row>
    <row r="44" spans="2:13" ht="11.25" customHeight="1">
      <c r="B44" s="28"/>
      <c r="C44" s="67"/>
      <c r="D44" s="67" t="s">
        <v>194</v>
      </c>
      <c r="F44" s="28"/>
    </row>
    <row r="45" spans="2:13" ht="11.25" customHeight="1">
      <c r="C45" s="354" t="s">
        <v>195</v>
      </c>
      <c r="D45" s="354" t="s">
        <v>196</v>
      </c>
      <c r="E45" s="354" t="s">
        <v>197</v>
      </c>
    </row>
    <row r="46" spans="2:13" ht="11.25" customHeight="1">
      <c r="B46" s="11" t="s">
        <v>198</v>
      </c>
      <c r="C46" s="355">
        <f>+DCF!K11*DCF!E79</f>
        <v>2256971.1300400002</v>
      </c>
      <c r="D46" s="356"/>
      <c r="E46" s="51">
        <f>IF(D46,D46,C46/(C46+C47))</f>
        <v>1.0384311872924243</v>
      </c>
    </row>
    <row r="47" spans="2:13" ht="11.25" customHeight="1">
      <c r="B47" s="11" t="s">
        <v>155</v>
      </c>
      <c r="C47" s="355">
        <f>+DCF!E69</f>
        <v>-83528</v>
      </c>
      <c r="D47" s="66">
        <f>1-D46</f>
        <v>1</v>
      </c>
      <c r="E47" s="51">
        <f>1-E46</f>
        <v>-3.843118729242434E-2</v>
      </c>
    </row>
    <row r="48" spans="2:13" ht="11.25" customHeight="1"/>
    <row r="49" spans="2:12" ht="11.25" customHeight="1">
      <c r="B49" s="362" t="s">
        <v>199</v>
      </c>
      <c r="C49" s="381">
        <f>C12*E47+C17*E46</f>
        <v>6.9653358926616601E-2</v>
      </c>
      <c r="D49" s="12"/>
    </row>
    <row r="50" spans="2:12" ht="11.25" customHeight="1">
      <c r="B50" s="28"/>
      <c r="C50" s="357"/>
    </row>
    <row r="51" spans="2:12" ht="11.25" customHeight="1">
      <c r="B51" s="89" t="s">
        <v>479</v>
      </c>
      <c r="C51" s="90"/>
      <c r="D51" s="90"/>
      <c r="E51" s="90"/>
      <c r="F51" s="90"/>
      <c r="G51" s="90"/>
      <c r="H51" s="90"/>
      <c r="I51" s="90"/>
      <c r="J51" s="90"/>
      <c r="K51" s="90"/>
      <c r="L51" s="89"/>
    </row>
    <row r="52" spans="2:12" ht="3" customHeight="1">
      <c r="B52" s="26"/>
      <c r="C52" s="12"/>
      <c r="D52" s="12"/>
      <c r="E52" s="12"/>
      <c r="F52" s="12"/>
    </row>
    <row r="53" spans="2:12" ht="11.25" customHeight="1">
      <c r="D53" s="173" t="s">
        <v>200</v>
      </c>
      <c r="E53" s="323"/>
      <c r="F53" s="173"/>
    </row>
    <row r="54" spans="2:12" ht="11.25" customHeight="1">
      <c r="C54" s="371">
        <f>C49</f>
        <v>6.9653358926616601E-2</v>
      </c>
      <c r="D54" s="372">
        <f>E54-0.1</f>
        <v>0.92600000000000005</v>
      </c>
      <c r="E54" s="370">
        <v>1.026</v>
      </c>
      <c r="F54" s="376">
        <f>E54+0.1</f>
        <v>1.1260000000000001</v>
      </c>
    </row>
    <row r="55" spans="2:12" ht="11.25" customHeight="1">
      <c r="C55" s="373">
        <f>C56-0.005</f>
        <v>4.5000000000000005E-2</v>
      </c>
      <c r="D55" s="358">
        <f t="dataTable" ref="D55:F59" dt2D="1" dtr="1" r1="C15" r2="C16"/>
        <v>5.4326114602180425E-2</v>
      </c>
      <c r="E55" s="53">
        <v>5.899905494499634E-2</v>
      </c>
      <c r="F55" s="53">
        <v>6.3671995287812255E-2</v>
      </c>
    </row>
    <row r="56" spans="2:12" ht="11.25" customHeight="1">
      <c r="B56" s="67" t="s">
        <v>201</v>
      </c>
      <c r="C56" s="259">
        <f>C57-0.005</f>
        <v>0.05</v>
      </c>
      <c r="D56" s="53">
        <v>5.9134050999344344E-2</v>
      </c>
      <c r="E56" s="53">
        <v>6.4326206935806471E-2</v>
      </c>
      <c r="F56" s="53">
        <v>6.9518362872268591E-2</v>
      </c>
    </row>
    <row r="57" spans="2:12" ht="11.25" customHeight="1">
      <c r="B57" s="67" t="s">
        <v>202</v>
      </c>
      <c r="C57" s="262">
        <v>5.5E-2</v>
      </c>
      <c r="D57" s="53">
        <v>6.3941987396508262E-2</v>
      </c>
      <c r="E57" s="53">
        <v>6.9653358926616601E-2</v>
      </c>
      <c r="F57" s="53">
        <v>7.536473045672494E-2</v>
      </c>
    </row>
    <row r="58" spans="2:12" ht="11.25" customHeight="1">
      <c r="B58" s="67" t="s">
        <v>203</v>
      </c>
      <c r="C58" s="259">
        <f>C57+0.005</f>
        <v>0.06</v>
      </c>
      <c r="D58" s="53">
        <v>6.8749923793672188E-2</v>
      </c>
      <c r="E58" s="53">
        <v>7.4980510917426732E-2</v>
      </c>
      <c r="F58" s="53">
        <v>8.121109804118129E-2</v>
      </c>
    </row>
    <row r="59" spans="2:12" ht="11.25" customHeight="1">
      <c r="C59" s="375">
        <f>C58+0.005</f>
        <v>6.5000000000000002E-2</v>
      </c>
      <c r="D59" s="53">
        <v>7.3557860190836113E-2</v>
      </c>
      <c r="E59" s="53">
        <v>8.0307662908236863E-2</v>
      </c>
      <c r="F59" s="53">
        <v>8.7057465625637626E-2</v>
      </c>
    </row>
    <row r="60" spans="2:12" ht="11.25" customHeight="1">
      <c r="C60" s="374"/>
      <c r="D60" s="53"/>
      <c r="E60" s="53"/>
      <c r="F60" s="53"/>
    </row>
    <row r="61" spans="2:12" ht="11.25" customHeight="1">
      <c r="D61" s="173" t="s">
        <v>200</v>
      </c>
      <c r="E61" s="323"/>
      <c r="F61" s="173"/>
    </row>
    <row r="62" spans="2:12" ht="11.25" customHeight="1">
      <c r="C62" s="371">
        <f>+C49</f>
        <v>6.9653358926616601E-2</v>
      </c>
      <c r="D62" s="372">
        <f>E62-0.1</f>
        <v>0.92600000000000005</v>
      </c>
      <c r="E62" s="370">
        <v>1.026</v>
      </c>
      <c r="F62" s="376">
        <f>E62+0.1</f>
        <v>1.1260000000000001</v>
      </c>
    </row>
    <row r="63" spans="2:12" ht="11.25" customHeight="1">
      <c r="C63" s="378">
        <f>C64-0.005</f>
        <v>1.6979999999999999E-2</v>
      </c>
      <c r="D63" s="358">
        <f t="dataTable" ref="D63:F67" dt2D="1" dtr="1" r1="C15" r2="C10" ca="1"/>
        <v>6.4270850119324346E-2</v>
      </c>
      <c r="E63" s="53">
        <v>6.9982221649432685E-2</v>
      </c>
      <c r="F63" s="53">
        <v>7.5693593179541024E-2</v>
      </c>
    </row>
    <row r="64" spans="2:12" ht="11.25" customHeight="1">
      <c r="B64" s="67" t="s">
        <v>480</v>
      </c>
      <c r="C64" s="379">
        <f>C65-0.005</f>
        <v>2.198E-2</v>
      </c>
      <c r="D64" s="53">
        <v>6.4106418757916298E-2</v>
      </c>
      <c r="E64" s="53">
        <v>6.9817790288024636E-2</v>
      </c>
      <c r="F64" s="53">
        <v>7.5529161818132975E-2</v>
      </c>
    </row>
    <row r="65" spans="2:6" ht="11.25" customHeight="1">
      <c r="B65" s="67" t="s">
        <v>481</v>
      </c>
      <c r="C65" s="377">
        <v>2.6980000000000001E-2</v>
      </c>
      <c r="D65" s="53">
        <v>6.3941987396508262E-2</v>
      </c>
      <c r="E65" s="53">
        <v>6.9653358926616601E-2</v>
      </c>
      <c r="F65" s="53">
        <v>7.536473045672494E-2</v>
      </c>
    </row>
    <row r="66" spans="2:6" ht="11.25" customHeight="1">
      <c r="B66" s="67" t="s">
        <v>155</v>
      </c>
      <c r="C66" s="379">
        <f>C65+0.005</f>
        <v>3.1980000000000001E-2</v>
      </c>
      <c r="D66" s="53">
        <v>6.3777556035100214E-2</v>
      </c>
      <c r="E66" s="53">
        <v>6.9488927565208553E-2</v>
      </c>
      <c r="F66" s="53">
        <v>7.5200299095316891E-2</v>
      </c>
    </row>
    <row r="67" spans="2:6" ht="11.25" customHeight="1">
      <c r="C67" s="380">
        <f>C66+0.005</f>
        <v>3.6979999999999999E-2</v>
      </c>
      <c r="D67" s="53">
        <v>6.3613124673692178E-2</v>
      </c>
      <c r="E67" s="53">
        <v>6.9324496203800517E-2</v>
      </c>
      <c r="F67" s="53">
        <v>7.5035867733908856E-2</v>
      </c>
    </row>
    <row r="69" spans="2:6">
      <c r="D69" s="173" t="s">
        <v>200</v>
      </c>
      <c r="E69" s="323"/>
      <c r="F69" s="173"/>
    </row>
    <row r="70" spans="2:6">
      <c r="C70" s="371">
        <f>+C49</f>
        <v>6.9653358926616601E-2</v>
      </c>
      <c r="D70" s="372">
        <f>E70-0.1</f>
        <v>0.92600000000000005</v>
      </c>
      <c r="E70" s="370">
        <v>1.026</v>
      </c>
      <c r="F70" s="376">
        <f>E70+0.1</f>
        <v>1.1260000000000001</v>
      </c>
    </row>
    <row r="71" spans="2:6">
      <c r="C71" s="378">
        <f>C72-0.005</f>
        <v>1.4999999999999996E-3</v>
      </c>
      <c r="D71" s="358">
        <f t="dataTable" ref="D71:F75" dt2D="1" dtr="1" r1="C15" r2="C14" ca="1"/>
        <v>5.3557675523584022E-2</v>
      </c>
      <c r="E71" s="53">
        <v>5.9269047053692354E-2</v>
      </c>
      <c r="F71" s="53">
        <v>6.4980418583800686E-2</v>
      </c>
    </row>
    <row r="72" spans="2:6">
      <c r="B72" s="67" t="s">
        <v>202</v>
      </c>
      <c r="C72" s="379">
        <f>C73-0.005</f>
        <v>6.4999999999999997E-3</v>
      </c>
      <c r="D72" s="53">
        <v>5.8749831460046142E-2</v>
      </c>
      <c r="E72" s="53">
        <v>6.4461202990154481E-2</v>
      </c>
      <c r="F72" s="53">
        <v>7.017257452026282E-2</v>
      </c>
    </row>
    <row r="73" spans="2:6">
      <c r="B73" s="67" t="s">
        <v>482</v>
      </c>
      <c r="C73" s="377">
        <v>1.15E-2</v>
      </c>
      <c r="D73" s="53">
        <v>6.3941987396508262E-2</v>
      </c>
      <c r="E73" s="53">
        <v>6.9653358926616601E-2</v>
      </c>
      <c r="F73" s="53">
        <v>7.536473045672494E-2</v>
      </c>
    </row>
    <row r="74" spans="2:6">
      <c r="B74" s="67" t="s">
        <v>483</v>
      </c>
      <c r="C74" s="379">
        <f>C73+0.005</f>
        <v>1.6500000000000001E-2</v>
      </c>
      <c r="D74" s="53">
        <v>6.9134143332970396E-2</v>
      </c>
      <c r="E74" s="53">
        <v>7.4845514863078708E-2</v>
      </c>
      <c r="F74" s="53">
        <v>8.0556886393187047E-2</v>
      </c>
    </row>
    <row r="75" spans="2:6">
      <c r="C75" s="380">
        <f>C74+0.005</f>
        <v>2.1500000000000002E-2</v>
      </c>
      <c r="D75" s="53">
        <v>7.4326299269432516E-2</v>
      </c>
      <c r="E75" s="53">
        <v>8.0037670799540842E-2</v>
      </c>
      <c r="F75" s="53">
        <v>8.574904232964918E-2</v>
      </c>
    </row>
  </sheetData>
  <dataValidations count="1">
    <dataValidation type="list" allowBlank="1" showInputMessage="1" showErrorMessage="1" sqref="D15" xr:uid="{BFC001AC-8D2C-4276-849A-988FA7AC1748}">
      <formula1>"Industry, Observed"</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3C245-6AAE-41C7-8AE0-468958C09AED}">
  <sheetPr>
    <tabColor rgb="FF0000FF"/>
  </sheetPr>
  <dimension ref="A1"/>
  <sheetViews>
    <sheetView showGridLines="0"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DDFBE-EA44-41E1-B765-24E17BB11263}">
  <sheetPr>
    <outlinePr summaryBelow="0"/>
  </sheetPr>
  <dimension ref="A1:F20"/>
  <sheetViews>
    <sheetView workbookViewId="0"/>
  </sheetViews>
  <sheetFormatPr defaultRowHeight="12"/>
  <cols>
    <col min="1" max="1" width="17.85546875" style="337" bestFit="1" customWidth="1"/>
    <col min="2" max="2" width="33.5703125" style="337" customWidth="1"/>
    <col min="3" max="3" width="13.7109375" style="337" customWidth="1"/>
    <col min="4" max="4" width="18.42578125" style="337" bestFit="1" customWidth="1"/>
    <col min="5" max="5" width="17.7109375" style="337" bestFit="1" customWidth="1"/>
    <col min="6" max="6" width="9.140625" style="337" customWidth="1"/>
    <col min="7" max="16384" width="9.140625" style="337"/>
  </cols>
  <sheetData>
    <row r="1" spans="1:5">
      <c r="A1" s="336" t="s">
        <v>392</v>
      </c>
      <c r="B1" s="336" t="s">
        <v>393</v>
      </c>
      <c r="C1" s="336" t="s">
        <v>394</v>
      </c>
    </row>
    <row r="2" spans="1:5">
      <c r="A2" s="336" t="s">
        <v>395</v>
      </c>
      <c r="B2" s="338"/>
      <c r="C2" s="336" t="s">
        <v>396</v>
      </c>
    </row>
    <row r="3" spans="1:5" ht="12.75">
      <c r="A3" s="339" t="s">
        <v>397</v>
      </c>
      <c r="B3" s="339" t="s">
        <v>398</v>
      </c>
      <c r="C3" s="339" t="s">
        <v>397</v>
      </c>
      <c r="D3" s="339" t="s">
        <v>399</v>
      </c>
      <c r="E3" s="339" t="s">
        <v>400</v>
      </c>
    </row>
    <row r="4" spans="1:5" s="342" customFormat="1" ht="12.75">
      <c r="A4" s="340" t="s">
        <v>401</v>
      </c>
      <c r="B4" s="340"/>
      <c r="C4" s="340"/>
      <c r="D4" s="341"/>
      <c r="E4" s="341"/>
    </row>
    <row r="5" spans="1:5" s="342" customFormat="1" ht="12.75">
      <c r="A5" s="340" t="s">
        <v>402</v>
      </c>
      <c r="B5" s="340" t="s">
        <v>402</v>
      </c>
      <c r="C5" s="340"/>
      <c r="D5" s="341">
        <f>IFERROR(MEDIAN($D7:$D17),0)</f>
        <v>17.62</v>
      </c>
      <c r="E5" s="341">
        <f>IFERROR(MEDIAN($E6:$E17),0)</f>
        <v>22.407867431640625</v>
      </c>
    </row>
    <row r="6" spans="1:5" s="342" customFormat="1" ht="12.75"/>
    <row r="7" spans="1:5" s="342" customFormat="1" ht="12.75">
      <c r="A7" s="340" t="s">
        <v>405</v>
      </c>
      <c r="B7" s="340" t="s">
        <v>406</v>
      </c>
      <c r="C7" s="340" t="s">
        <v>381</v>
      </c>
      <c r="D7" s="341">
        <v>21.8</v>
      </c>
      <c r="E7" s="341">
        <v>22.846307754516602</v>
      </c>
    </row>
    <row r="8" spans="1:5" s="342" customFormat="1" ht="12.75">
      <c r="A8" s="340" t="s">
        <v>407</v>
      </c>
      <c r="B8" s="340" t="s">
        <v>408</v>
      </c>
      <c r="C8" s="340" t="s">
        <v>382</v>
      </c>
      <c r="D8" s="341">
        <v>3.93</v>
      </c>
      <c r="E8" s="341">
        <v>6.4371585845947266</v>
      </c>
    </row>
    <row r="9" spans="1:5" s="342" customFormat="1" ht="12.75">
      <c r="A9" s="340" t="s">
        <v>409</v>
      </c>
      <c r="B9" s="340" t="s">
        <v>410</v>
      </c>
      <c r="C9" s="340" t="s">
        <v>383</v>
      </c>
      <c r="D9" s="341">
        <v>8.69</v>
      </c>
      <c r="E9" s="341">
        <v>9.6738529205322266</v>
      </c>
    </row>
    <row r="10" spans="1:5" s="342" customFormat="1" ht="12.75">
      <c r="A10" s="340" t="s">
        <v>411</v>
      </c>
      <c r="B10" s="340" t="s">
        <v>412</v>
      </c>
      <c r="C10" s="340" t="s">
        <v>384</v>
      </c>
      <c r="D10" s="341">
        <v>20.170000000000002</v>
      </c>
      <c r="E10" s="341">
        <v>41.692577362060547</v>
      </c>
    </row>
    <row r="11" spans="1:5" s="342" customFormat="1" ht="12.75">
      <c r="A11" s="340" t="s">
        <v>413</v>
      </c>
      <c r="B11" s="340" t="s">
        <v>414</v>
      </c>
      <c r="C11" s="340" t="s">
        <v>385</v>
      </c>
      <c r="D11" s="341">
        <v>14.92</v>
      </c>
      <c r="E11" s="341">
        <v>17.842056274414063</v>
      </c>
    </row>
    <row r="12" spans="1:5" s="342" customFormat="1" ht="12.75">
      <c r="A12" s="340" t="s">
        <v>415</v>
      </c>
      <c r="B12" s="340" t="s">
        <v>416</v>
      </c>
      <c r="C12" s="340" t="s">
        <v>386</v>
      </c>
      <c r="D12" s="341">
        <v>5.01</v>
      </c>
      <c r="E12" s="341">
        <v>6.6768608093261719</v>
      </c>
    </row>
    <row r="13" spans="1:5" s="342" customFormat="1" ht="12.75">
      <c r="A13" s="340" t="s">
        <v>417</v>
      </c>
      <c r="B13" s="340" t="s">
        <v>418</v>
      </c>
      <c r="C13" s="340" t="s">
        <v>387</v>
      </c>
      <c r="D13" s="341">
        <v>17.62</v>
      </c>
      <c r="E13" s="341">
        <v>22.407867431640625</v>
      </c>
    </row>
    <row r="14" spans="1:5" s="342" customFormat="1" ht="12.75">
      <c r="A14" s="340" t="s">
        <v>419</v>
      </c>
      <c r="B14" s="340" t="s">
        <v>420</v>
      </c>
      <c r="C14" s="340" t="s">
        <v>388</v>
      </c>
      <c r="D14" s="341">
        <v>46.29</v>
      </c>
      <c r="E14" s="341">
        <v>43.558769226074219</v>
      </c>
    </row>
    <row r="15" spans="1:5" s="342" customFormat="1" ht="12.75">
      <c r="A15" s="340" t="s">
        <v>421</v>
      </c>
      <c r="B15" s="340" t="s">
        <v>422</v>
      </c>
      <c r="C15" s="340" t="s">
        <v>389</v>
      </c>
      <c r="D15" s="341">
        <v>6.17</v>
      </c>
      <c r="E15" s="341">
        <v>8.5039339065551758</v>
      </c>
    </row>
    <row r="16" spans="1:5" s="342" customFormat="1" ht="12.75">
      <c r="A16" s="340" t="s">
        <v>423</v>
      </c>
      <c r="B16" s="340" t="s">
        <v>424</v>
      </c>
      <c r="C16" s="340" t="s">
        <v>390</v>
      </c>
      <c r="D16" s="341">
        <v>44.97</v>
      </c>
      <c r="E16" s="341">
        <v>43.332935333251953</v>
      </c>
    </row>
    <row r="17" spans="1:6" s="342" customFormat="1" ht="12.75">
      <c r="A17" s="340" t="s">
        <v>425</v>
      </c>
      <c r="B17" s="340" t="s">
        <v>426</v>
      </c>
      <c r="C17" s="340" t="s">
        <v>391</v>
      </c>
      <c r="D17" s="341">
        <v>33.049999999999997</v>
      </c>
      <c r="E17" s="341">
        <v>34.165309906005859</v>
      </c>
    </row>
    <row r="18" spans="1:6" ht="12.75">
      <c r="A18" s="340" t="s">
        <v>403</v>
      </c>
      <c r="B18" s="340" t="s">
        <v>404</v>
      </c>
      <c r="C18" s="340" t="s">
        <v>380</v>
      </c>
      <c r="D18" s="341">
        <v>24.76</v>
      </c>
      <c r="E18" s="341">
        <v>26.724267959594727</v>
      </c>
    </row>
    <row r="20" spans="1:6" ht="60" customHeight="1">
      <c r="A20" s="346" t="s">
        <v>427</v>
      </c>
      <c r="B20" s="346"/>
      <c r="C20" s="346"/>
      <c r="D20" s="346"/>
      <c r="E20" s="346"/>
      <c r="F20" s="347"/>
    </row>
  </sheetData>
  <mergeCells count="1">
    <mergeCell ref="A20:F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E2A72-5C85-43AC-9301-E52CAC1C0AA2}">
  <dimension ref="A1:F31"/>
  <sheetViews>
    <sheetView workbookViewId="0"/>
  </sheetViews>
  <sheetFormatPr defaultRowHeight="15"/>
  <cols>
    <col min="1" max="1" width="18.5703125" bestFit="1" customWidth="1"/>
    <col min="2" max="6" width="15.85546875" bestFit="1" customWidth="1"/>
  </cols>
  <sheetData>
    <row r="1" spans="1:6">
      <c r="A1" s="344" t="s">
        <v>403</v>
      </c>
      <c r="B1" s="344"/>
      <c r="C1" s="344"/>
      <c r="D1" s="344"/>
      <c r="E1" s="344"/>
      <c r="F1" s="344"/>
    </row>
    <row r="3" spans="1:6">
      <c r="A3" t="s">
        <v>183</v>
      </c>
      <c r="B3" t="s">
        <v>430</v>
      </c>
    </row>
    <row r="4" spans="1:6">
      <c r="A4" t="s">
        <v>431</v>
      </c>
      <c r="B4" t="s">
        <v>432</v>
      </c>
    </row>
    <row r="5" spans="1:6">
      <c r="A5" t="s">
        <v>433</v>
      </c>
      <c r="B5" t="s">
        <v>434</v>
      </c>
    </row>
    <row r="6" spans="1:6">
      <c r="A6" t="s">
        <v>435</v>
      </c>
      <c r="B6" t="s">
        <v>395</v>
      </c>
    </row>
    <row r="8" spans="1:6">
      <c r="B8" t="s">
        <v>436</v>
      </c>
      <c r="C8" t="s">
        <v>437</v>
      </c>
      <c r="D8" t="s">
        <v>438</v>
      </c>
      <c r="E8" t="s">
        <v>439</v>
      </c>
      <c r="F8" t="s">
        <v>440</v>
      </c>
    </row>
    <row r="9" spans="1:6">
      <c r="A9" t="s">
        <v>441</v>
      </c>
      <c r="B9" t="s">
        <v>442</v>
      </c>
      <c r="C9" t="s">
        <v>443</v>
      </c>
      <c r="D9" t="s">
        <v>444</v>
      </c>
      <c r="E9" t="s">
        <v>445</v>
      </c>
      <c r="F9" t="s">
        <v>446</v>
      </c>
    </row>
    <row r="10" spans="1:6">
      <c r="A10" t="s">
        <v>447</v>
      </c>
      <c r="B10" s="345">
        <v>3.2753480000000001</v>
      </c>
      <c r="C10" s="345">
        <v>4.3382051282051304</v>
      </c>
      <c r="D10" s="345">
        <v>4.5358974358974304</v>
      </c>
      <c r="E10" s="345">
        <v>4.8346666666666698</v>
      </c>
      <c r="F10" s="345">
        <v>4.92</v>
      </c>
    </row>
    <row r="11" spans="1:6">
      <c r="A11" t="s">
        <v>448</v>
      </c>
      <c r="B11" s="345">
        <v>3.28</v>
      </c>
      <c r="C11" s="345">
        <v>4.3382051282051304</v>
      </c>
      <c r="D11" s="345">
        <v>4.5358974358974304</v>
      </c>
      <c r="E11" s="345">
        <v>4.8346666666666698</v>
      </c>
      <c r="F11" s="345">
        <v>4.92</v>
      </c>
    </row>
    <row r="12" spans="1:6">
      <c r="A12" t="s">
        <v>4</v>
      </c>
      <c r="B12" s="345">
        <v>274515000000</v>
      </c>
      <c r="C12" s="345">
        <v>329586513513.513</v>
      </c>
      <c r="D12" s="345">
        <v>343360972222.22198</v>
      </c>
      <c r="E12" s="345">
        <v>360783733333.33301</v>
      </c>
      <c r="F12" s="345">
        <v>385678500000</v>
      </c>
    </row>
    <row r="13" spans="1:6">
      <c r="A13" t="s">
        <v>449</v>
      </c>
      <c r="B13" s="345">
        <v>38.233248000000003</v>
      </c>
      <c r="C13" s="345">
        <v>39.418289499795598</v>
      </c>
      <c r="D13" s="345">
        <v>39.316227950151898</v>
      </c>
      <c r="E13" s="345">
        <v>39.512820003072498</v>
      </c>
      <c r="F13" s="345">
        <v>39.888261541618</v>
      </c>
    </row>
    <row r="14" spans="1:6">
      <c r="A14" t="s">
        <v>450</v>
      </c>
      <c r="B14" s="345">
        <v>66288000000</v>
      </c>
      <c r="C14" s="345">
        <v>86818900000</v>
      </c>
      <c r="D14" s="345">
        <v>88642035714.285706</v>
      </c>
      <c r="E14" s="345">
        <v>92591538461.538498</v>
      </c>
      <c r="F14" s="345">
        <v>101832500000</v>
      </c>
    </row>
    <row r="15" spans="1:6">
      <c r="A15" t="s">
        <v>125</v>
      </c>
      <c r="B15" s="345">
        <v>66288000000</v>
      </c>
      <c r="C15" s="345">
        <v>86041700000</v>
      </c>
      <c r="D15" s="345">
        <v>89809777777.777802</v>
      </c>
      <c r="E15" s="345">
        <v>93729000000</v>
      </c>
      <c r="F15" s="345"/>
    </row>
    <row r="16" spans="1:6">
      <c r="A16" t="s">
        <v>23</v>
      </c>
      <c r="B16" s="345">
        <v>77344000000</v>
      </c>
      <c r="C16" s="345">
        <v>98174000000</v>
      </c>
      <c r="D16" s="345">
        <v>100432052631.57899</v>
      </c>
      <c r="E16" s="345">
        <v>104692666666.66701</v>
      </c>
      <c r="F16" s="345">
        <v>117271500000</v>
      </c>
    </row>
    <row r="17" spans="1:6">
      <c r="A17" t="s">
        <v>451</v>
      </c>
      <c r="B17" s="345">
        <v>67091000000</v>
      </c>
      <c r="C17" s="345">
        <v>86878433333.333298</v>
      </c>
      <c r="D17" s="345">
        <v>88310592592.592606</v>
      </c>
      <c r="E17" s="345">
        <v>91646833333.333298</v>
      </c>
      <c r="F17" s="345">
        <v>89684000000</v>
      </c>
    </row>
    <row r="18" spans="1:6">
      <c r="A18" t="s">
        <v>452</v>
      </c>
      <c r="B18" s="345">
        <v>57411000000</v>
      </c>
      <c r="C18" s="345">
        <v>73394647058.823502</v>
      </c>
      <c r="D18" s="345">
        <v>74369387096.7742</v>
      </c>
      <c r="E18" s="345">
        <v>76761428571.428604</v>
      </c>
      <c r="F18" s="345">
        <v>83622500000</v>
      </c>
    </row>
    <row r="19" spans="1:6">
      <c r="A19" t="s">
        <v>453</v>
      </c>
      <c r="B19" s="345">
        <v>57411000000</v>
      </c>
      <c r="C19" s="345">
        <v>73394647058.823502</v>
      </c>
      <c r="D19" s="345">
        <v>74369387096.7742</v>
      </c>
      <c r="E19" s="345">
        <v>76761428571.428604</v>
      </c>
      <c r="F19" s="345">
        <v>83622500000</v>
      </c>
    </row>
    <row r="20" spans="1:6">
      <c r="A20" t="s">
        <v>209</v>
      </c>
      <c r="B20" s="345">
        <v>-69552000000</v>
      </c>
      <c r="C20" s="345">
        <v>-64698250000</v>
      </c>
      <c r="D20" s="345">
        <v>-57753666666.666702</v>
      </c>
      <c r="E20" s="345">
        <v>-158679000000</v>
      </c>
      <c r="F20" s="345">
        <v>-375562000000</v>
      </c>
    </row>
    <row r="21" spans="1:6">
      <c r="A21" t="s">
        <v>454</v>
      </c>
      <c r="B21" s="345">
        <v>3.8487313512004602</v>
      </c>
      <c r="C21" s="345">
        <v>3.0454545454545499</v>
      </c>
      <c r="D21" s="345">
        <v>2.3454545454545501</v>
      </c>
      <c r="E21" s="345">
        <v>2.0074999999999998</v>
      </c>
      <c r="F21" s="345">
        <v>10.73</v>
      </c>
    </row>
    <row r="22" spans="1:6">
      <c r="A22" t="s">
        <v>455</v>
      </c>
      <c r="B22" s="345">
        <v>4.6492304484541602</v>
      </c>
      <c r="C22" s="345">
        <v>5.2</v>
      </c>
      <c r="D22" s="345">
        <v>5.6275000000000004</v>
      </c>
      <c r="E22" s="345">
        <v>5.7949999999999999</v>
      </c>
      <c r="F22" s="345"/>
    </row>
    <row r="23" spans="1:6">
      <c r="A23" t="s">
        <v>456</v>
      </c>
      <c r="B23" s="345">
        <v>0.79500000000000004</v>
      </c>
      <c r="C23" s="345">
        <v>0.85235294117647098</v>
      </c>
      <c r="D23" s="345">
        <v>0.91058823529411803</v>
      </c>
      <c r="E23" s="345">
        <v>1.0069999999999999</v>
      </c>
      <c r="F23" s="345">
        <v>0.98499999999999999</v>
      </c>
    </row>
    <row r="24" spans="1:6">
      <c r="A24" t="s">
        <v>457</v>
      </c>
      <c r="B24" s="345">
        <v>73.685561552234205</v>
      </c>
      <c r="C24" s="345">
        <v>129.750909090909</v>
      </c>
      <c r="D24" s="345">
        <v>189.833</v>
      </c>
      <c r="E24" s="345">
        <v>228.946666666667</v>
      </c>
      <c r="F24" s="345">
        <v>44.04</v>
      </c>
    </row>
    <row r="25" spans="1:6">
      <c r="A25" t="s">
        <v>458</v>
      </c>
      <c r="B25" s="345">
        <v>17.334134455709801</v>
      </c>
      <c r="C25" s="345">
        <v>22.088571428571399</v>
      </c>
      <c r="D25" s="345">
        <v>23.143750000000001</v>
      </c>
      <c r="E25" s="345">
        <v>23.9725</v>
      </c>
      <c r="F25" s="345">
        <v>17.73</v>
      </c>
    </row>
    <row r="26" spans="1:6">
      <c r="A26" t="s">
        <v>459</v>
      </c>
      <c r="B26" s="345">
        <v>9700000000</v>
      </c>
      <c r="C26" s="345">
        <v>11753492091.7029</v>
      </c>
      <c r="D26" s="345">
        <v>11691618587.195299</v>
      </c>
      <c r="E26" s="345">
        <v>7265404704.83181</v>
      </c>
      <c r="F26" s="345"/>
    </row>
    <row r="27" spans="1:6">
      <c r="A27" t="s">
        <v>460</v>
      </c>
      <c r="B27" s="345"/>
      <c r="C27" s="345">
        <v>7151500000</v>
      </c>
      <c r="D27" s="345">
        <v>7051500000</v>
      </c>
      <c r="E27" s="345">
        <v>1603000000</v>
      </c>
      <c r="F27" s="345"/>
    </row>
    <row r="28" spans="1:6">
      <c r="A28" t="s">
        <v>461</v>
      </c>
      <c r="B28" s="345">
        <v>73365000000</v>
      </c>
      <c r="C28" s="345">
        <v>79386156470.912994</v>
      </c>
      <c r="D28" s="345">
        <v>86943732349.312302</v>
      </c>
      <c r="E28" s="345">
        <v>96500290818.6819</v>
      </c>
      <c r="F28" s="345">
        <v>109310000000</v>
      </c>
    </row>
    <row r="29" spans="1:6">
      <c r="A29" t="s">
        <v>462</v>
      </c>
      <c r="B29" s="345">
        <v>-7309000000</v>
      </c>
      <c r="C29" s="345">
        <v>-10193000000</v>
      </c>
      <c r="D29" s="345">
        <v>-10249150000</v>
      </c>
      <c r="E29" s="345">
        <v>-10074200000</v>
      </c>
      <c r="F29" s="345">
        <v>-9870500000</v>
      </c>
    </row>
    <row r="30" spans="1:6">
      <c r="A30" t="s">
        <v>463</v>
      </c>
      <c r="B30" s="345"/>
      <c r="C30" s="345">
        <v>56648750000</v>
      </c>
      <c r="D30" s="345">
        <v>54845375000</v>
      </c>
      <c r="E30" s="345">
        <v>63518857142.857101</v>
      </c>
      <c r="F30" s="345">
        <v>254368000000</v>
      </c>
    </row>
    <row r="31" spans="1:6">
      <c r="A31" t="s">
        <v>464</v>
      </c>
      <c r="B31" s="345"/>
      <c r="C31" s="345">
        <v>10.375</v>
      </c>
      <c r="D31" s="345"/>
      <c r="E31" s="345"/>
      <c r="F31" s="3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FSM</vt:lpstr>
      <vt:lpstr>DCF</vt:lpstr>
      <vt:lpstr>WACC</vt:lpstr>
      <vt:lpstr>Indata &gt;&gt;</vt:lpstr>
      <vt:lpstr>COMPS</vt:lpstr>
      <vt:lpstr>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2021-01-05T15:39:15Z</dcterms:created>
  <dcterms:modified xsi:type="dcterms:W3CDTF">2021-02-05T11:36:19Z</dcterms:modified>
</cp:coreProperties>
</file>