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ne/AKB/MSKAP/NM 5-kamp/NM 5-kamp 2021/"/>
    </mc:Choice>
  </mc:AlternateContent>
  <xr:revisionPtr revIDLastSave="0" documentId="13_ncr:1_{D84E4E6A-F2D8-EB41-8796-48B7FE7070D1}" xr6:coauthVersionLast="47" xr6:coauthVersionMax="47" xr10:uidLastSave="{00000000-0000-0000-0000-000000000000}"/>
  <bookViews>
    <workbookView xWindow="1660" yWindow="980" windowWidth="25600" windowHeight="14520" xr2:uid="{00000000-000D-0000-FFFF-FFFF00000000}"/>
  </bookViews>
  <sheets>
    <sheet name="P1" sheetId="18" r:id="rId1"/>
    <sheet name="P2" sheetId="77" r:id="rId2"/>
    <sheet name="P3" sheetId="79" r:id="rId3"/>
    <sheet name="P4" sheetId="80" r:id="rId4"/>
    <sheet name="P5" sheetId="81" r:id="rId5"/>
    <sheet name="P6" sheetId="82" r:id="rId6"/>
    <sheet name="P7" sheetId="83" r:id="rId7"/>
    <sheet name="P8" sheetId="84" r:id="rId8"/>
    <sheet name="P9" sheetId="85" r:id="rId9"/>
    <sheet name="Res NM 5-kamp kategori" sheetId="94" r:id="rId10"/>
    <sheet name="Res NM 5-kamp ranking" sheetId="91" r:id="rId11"/>
    <sheet name="Resultat NC4 U og J" sheetId="92" r:id="rId12"/>
    <sheet name="Res NM 5-kamp lagfinale" sheetId="22" r:id="rId13"/>
    <sheet name="K1" sheetId="26" r:id="rId14"/>
    <sheet name="K2" sheetId="27" r:id="rId15"/>
    <sheet name="K3" sheetId="61" r:id="rId16"/>
    <sheet name="K4" sheetId="28" r:id="rId17"/>
    <sheet name="K5" sheetId="29" r:id="rId18"/>
    <sheet name="K6" sheetId="32" r:id="rId19"/>
    <sheet name="K7" sheetId="38" r:id="rId20"/>
    <sheet name="K8" sheetId="48" r:id="rId21"/>
    <sheet name="K9" sheetId="49" r:id="rId22"/>
    <sheet name="Meltzer-Faber" sheetId="35" state="hidden" r:id="rId23"/>
    <sheet name="Module1" sheetId="2" state="veryHidden" r:id="rId24"/>
  </sheets>
  <definedNames>
    <definedName name="_xlnm.Print_Area" localSheetId="13">'K1'!$A$1:$N$30</definedName>
    <definedName name="_xlnm.Print_Area" localSheetId="14">'K2'!$A$1:$N$30</definedName>
    <definedName name="_xlnm.Print_Area" localSheetId="15">'K3'!$A$1:$N$30</definedName>
    <definedName name="_xlnm.Print_Area" localSheetId="16">'K4'!$A$1:$N$30</definedName>
    <definedName name="_xlnm.Print_Area" localSheetId="17">'K5'!$A$1:$N$30</definedName>
    <definedName name="_xlnm.Print_Area" localSheetId="18">'K6'!$A$1:$N$30</definedName>
    <definedName name="_xlnm.Print_Area" localSheetId="19">'K7'!$A$1:$N$30</definedName>
    <definedName name="_xlnm.Print_Area" localSheetId="20">'K8'!$A$1:$N$30</definedName>
    <definedName name="_xlnm.Print_Area" localSheetId="21">'K9'!$A$1:$N$30</definedName>
    <definedName name="_xlnm.Print_Area" localSheetId="0">'P1'!$A$1:$Z$47</definedName>
    <definedName name="_xlnm.Print_Area" localSheetId="1">'P2'!$A$1:$Z$47</definedName>
    <definedName name="_xlnm.Print_Area" localSheetId="2">'P3'!$A$1:$Z$47</definedName>
    <definedName name="_xlnm.Print_Area" localSheetId="3">'P4'!$A$1:$Z$47</definedName>
    <definedName name="_xlnm.Print_Area" localSheetId="4">'P5'!$A$1:$Z$47</definedName>
    <definedName name="_xlnm.Print_Area" localSheetId="5">'P6'!$A$1:$Z$47</definedName>
    <definedName name="_xlnm.Print_Area" localSheetId="6">'P7'!$A$1:$Z$47</definedName>
    <definedName name="_xlnm.Print_Area" localSheetId="7">'P8'!$A$1:$Z$47</definedName>
    <definedName name="_xlnm.Print_Area" localSheetId="8">'P9'!$A$1:$Z$47</definedName>
    <definedName name="_xlnm.Print_Area" localSheetId="9">'Res NM 5-kamp kategori'!$A:$M</definedName>
    <definedName name="_xlnm.Print_Area" localSheetId="12">'Res NM 5-kamp lagfinale'!$A:$L</definedName>
    <definedName name="_xlnm.Print_Area" localSheetId="10">'Res NM 5-kamp ranking'!$A:$M</definedName>
    <definedName name="_xlnm.Print_Area" localSheetId="11">'Resultat NC4 U og J'!$A:$M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8" l="1"/>
  <c r="C22" i="61" l="1"/>
  <c r="C20" i="61"/>
  <c r="C18" i="61"/>
  <c r="C16" i="61"/>
  <c r="C14" i="61"/>
  <c r="C12" i="61"/>
  <c r="C10" i="61"/>
  <c r="C8" i="61"/>
  <c r="O9" i="82" l="1"/>
  <c r="O11" i="82"/>
  <c r="O13" i="82"/>
  <c r="O15" i="82"/>
  <c r="O17" i="82"/>
  <c r="O19" i="82"/>
  <c r="O21" i="82"/>
  <c r="O23" i="82"/>
  <c r="O25" i="82"/>
  <c r="G85" i="94" l="1"/>
  <c r="F85" i="94"/>
  <c r="E85" i="94"/>
  <c r="D85" i="94"/>
  <c r="C85" i="94"/>
  <c r="B85" i="94"/>
  <c r="G81" i="94"/>
  <c r="F81" i="94"/>
  <c r="E81" i="94"/>
  <c r="D81" i="94"/>
  <c r="C81" i="94"/>
  <c r="B81" i="94"/>
  <c r="G74" i="94"/>
  <c r="F74" i="94"/>
  <c r="E74" i="94"/>
  <c r="D74" i="94"/>
  <c r="C74" i="94"/>
  <c r="B74" i="94"/>
  <c r="G76" i="94"/>
  <c r="F76" i="94"/>
  <c r="E76" i="94"/>
  <c r="D76" i="94"/>
  <c r="C76" i="94"/>
  <c r="B76" i="94"/>
  <c r="G78" i="94"/>
  <c r="F78" i="94"/>
  <c r="E78" i="94"/>
  <c r="D78" i="94"/>
  <c r="C78" i="94"/>
  <c r="B78" i="94"/>
  <c r="G77" i="94"/>
  <c r="F77" i="94"/>
  <c r="E77" i="94"/>
  <c r="D77" i="94"/>
  <c r="C77" i="94"/>
  <c r="B77" i="94"/>
  <c r="G80" i="94"/>
  <c r="F80" i="94"/>
  <c r="E80" i="94"/>
  <c r="D80" i="94"/>
  <c r="C80" i="94"/>
  <c r="B80" i="94"/>
  <c r="G89" i="94"/>
  <c r="F89" i="94"/>
  <c r="E89" i="94"/>
  <c r="D89" i="94"/>
  <c r="C89" i="94"/>
  <c r="B89" i="94"/>
  <c r="G87" i="94"/>
  <c r="F87" i="94"/>
  <c r="E87" i="94"/>
  <c r="D87" i="94"/>
  <c r="C87" i="94"/>
  <c r="B87" i="94"/>
  <c r="G88" i="94"/>
  <c r="F88" i="94"/>
  <c r="E88" i="94"/>
  <c r="D88" i="94"/>
  <c r="C88" i="94"/>
  <c r="B88" i="94"/>
  <c r="G84" i="94"/>
  <c r="F84" i="94"/>
  <c r="E84" i="94"/>
  <c r="D84" i="94"/>
  <c r="C84" i="94"/>
  <c r="B84" i="94"/>
  <c r="G79" i="94"/>
  <c r="F79" i="94"/>
  <c r="E79" i="94"/>
  <c r="D79" i="94"/>
  <c r="C79" i="94"/>
  <c r="B79" i="94"/>
  <c r="G82" i="94"/>
  <c r="F82" i="94"/>
  <c r="E82" i="94"/>
  <c r="D82" i="94"/>
  <c r="C82" i="94"/>
  <c r="B82" i="94"/>
  <c r="G83" i="94"/>
  <c r="F83" i="94"/>
  <c r="E83" i="94"/>
  <c r="D83" i="94"/>
  <c r="C83" i="94"/>
  <c r="B83" i="94"/>
  <c r="G75" i="94"/>
  <c r="F75" i="94"/>
  <c r="E75" i="94"/>
  <c r="D75" i="94"/>
  <c r="C75" i="94"/>
  <c r="B75" i="94"/>
  <c r="G31" i="94"/>
  <c r="F31" i="94"/>
  <c r="E31" i="94"/>
  <c r="D31" i="94"/>
  <c r="C31" i="94"/>
  <c r="B31" i="94"/>
  <c r="G28" i="94"/>
  <c r="F28" i="94"/>
  <c r="E28" i="94"/>
  <c r="D28" i="94"/>
  <c r="C28" i="94"/>
  <c r="B28" i="94"/>
  <c r="G35" i="94"/>
  <c r="F35" i="94"/>
  <c r="E35" i="94"/>
  <c r="D35" i="94"/>
  <c r="C35" i="94"/>
  <c r="B35" i="94"/>
  <c r="G32" i="94"/>
  <c r="F32" i="94"/>
  <c r="E32" i="94"/>
  <c r="D32" i="94"/>
  <c r="C32" i="94"/>
  <c r="B32" i="94"/>
  <c r="G34" i="94"/>
  <c r="F34" i="94"/>
  <c r="E34" i="94"/>
  <c r="D34" i="94"/>
  <c r="C34" i="94"/>
  <c r="B34" i="94"/>
  <c r="G33" i="94"/>
  <c r="F33" i="94"/>
  <c r="E33" i="94"/>
  <c r="D33" i="94"/>
  <c r="C33" i="94"/>
  <c r="B33" i="94"/>
  <c r="G30" i="94"/>
  <c r="F30" i="94"/>
  <c r="E30" i="94"/>
  <c r="D30" i="94"/>
  <c r="C30" i="94"/>
  <c r="B30" i="94"/>
  <c r="G29" i="94"/>
  <c r="F29" i="94"/>
  <c r="E29" i="94"/>
  <c r="D29" i="94"/>
  <c r="C29" i="94"/>
  <c r="B29" i="94"/>
  <c r="G71" i="94"/>
  <c r="F71" i="94"/>
  <c r="E71" i="94"/>
  <c r="D71" i="94"/>
  <c r="C71" i="94"/>
  <c r="B71" i="94"/>
  <c r="G70" i="94"/>
  <c r="F70" i="94"/>
  <c r="E70" i="94"/>
  <c r="D70" i="94"/>
  <c r="C70" i="94"/>
  <c r="B70" i="94"/>
  <c r="G67" i="94"/>
  <c r="F67" i="94"/>
  <c r="E67" i="94"/>
  <c r="D67" i="94"/>
  <c r="C67" i="94"/>
  <c r="B67" i="94"/>
  <c r="G72" i="94"/>
  <c r="F72" i="94"/>
  <c r="E72" i="94"/>
  <c r="D72" i="94"/>
  <c r="C72" i="94"/>
  <c r="B72" i="94"/>
  <c r="G69" i="94"/>
  <c r="F69" i="94"/>
  <c r="E69" i="94"/>
  <c r="D69" i="94"/>
  <c r="C69" i="94"/>
  <c r="B69" i="94"/>
  <c r="G68" i="94"/>
  <c r="F68" i="94"/>
  <c r="E68" i="94"/>
  <c r="D68" i="94"/>
  <c r="C68" i="94"/>
  <c r="B68" i="94"/>
  <c r="G63" i="94"/>
  <c r="F63" i="94"/>
  <c r="E63" i="94"/>
  <c r="D63" i="94"/>
  <c r="C63" i="94"/>
  <c r="B63" i="94"/>
  <c r="G65" i="94"/>
  <c r="F65" i="94"/>
  <c r="E65" i="94"/>
  <c r="D65" i="94"/>
  <c r="C65" i="94"/>
  <c r="B65" i="94"/>
  <c r="G64" i="94"/>
  <c r="F64" i="94"/>
  <c r="E64" i="94"/>
  <c r="D64" i="94"/>
  <c r="C64" i="94"/>
  <c r="B64" i="94"/>
  <c r="G26" i="94"/>
  <c r="F26" i="94"/>
  <c r="E26" i="94"/>
  <c r="D26" i="94"/>
  <c r="C26" i="94"/>
  <c r="B26" i="94"/>
  <c r="G23" i="94"/>
  <c r="F23" i="94"/>
  <c r="E23" i="94"/>
  <c r="D23" i="94"/>
  <c r="C23" i="94"/>
  <c r="B23" i="94"/>
  <c r="G24" i="94"/>
  <c r="F24" i="94"/>
  <c r="E24" i="94"/>
  <c r="D24" i="94"/>
  <c r="C24" i="94"/>
  <c r="B24" i="94"/>
  <c r="G25" i="94"/>
  <c r="F25" i="94"/>
  <c r="E25" i="94"/>
  <c r="D25" i="94"/>
  <c r="C25" i="94"/>
  <c r="B25" i="94"/>
  <c r="G22" i="94"/>
  <c r="F22" i="94"/>
  <c r="E22" i="94"/>
  <c r="D22" i="94"/>
  <c r="C22" i="94"/>
  <c r="B22" i="94"/>
  <c r="G60" i="94"/>
  <c r="F60" i="94"/>
  <c r="E60" i="94"/>
  <c r="D60" i="94"/>
  <c r="C60" i="94"/>
  <c r="B60" i="94"/>
  <c r="G59" i="94"/>
  <c r="F59" i="94"/>
  <c r="E59" i="94"/>
  <c r="D59" i="94"/>
  <c r="C59" i="94"/>
  <c r="B59" i="94"/>
  <c r="G54" i="94"/>
  <c r="F54" i="94"/>
  <c r="E54" i="94"/>
  <c r="D54" i="94"/>
  <c r="C54" i="94"/>
  <c r="B54" i="94"/>
  <c r="G52" i="94"/>
  <c r="F52" i="94"/>
  <c r="E52" i="94"/>
  <c r="D52" i="94"/>
  <c r="C52" i="94"/>
  <c r="B52" i="94"/>
  <c r="G48" i="94"/>
  <c r="F48" i="94"/>
  <c r="E48" i="94"/>
  <c r="D48" i="94"/>
  <c r="C48" i="94"/>
  <c r="B48" i="94"/>
  <c r="G58" i="94"/>
  <c r="F58" i="94"/>
  <c r="E58" i="94"/>
  <c r="D58" i="94"/>
  <c r="C58" i="94"/>
  <c r="B58" i="94"/>
  <c r="G47" i="94"/>
  <c r="F47" i="94"/>
  <c r="E47" i="94"/>
  <c r="D47" i="94"/>
  <c r="C47" i="94"/>
  <c r="B47" i="94"/>
  <c r="G49" i="94"/>
  <c r="F49" i="94"/>
  <c r="E49" i="94"/>
  <c r="D49" i="94"/>
  <c r="C49" i="94"/>
  <c r="B49" i="94"/>
  <c r="G55" i="94"/>
  <c r="F55" i="94"/>
  <c r="E55" i="94"/>
  <c r="D55" i="94"/>
  <c r="C55" i="94"/>
  <c r="B55" i="94"/>
  <c r="G56" i="94"/>
  <c r="F56" i="94"/>
  <c r="E56" i="94"/>
  <c r="D56" i="94"/>
  <c r="C56" i="94"/>
  <c r="B56" i="94"/>
  <c r="G39" i="94"/>
  <c r="F39" i="94"/>
  <c r="E39" i="94"/>
  <c r="D39" i="94"/>
  <c r="C39" i="94"/>
  <c r="B39" i="94"/>
  <c r="G38" i="94"/>
  <c r="F38" i="94"/>
  <c r="E38" i="94"/>
  <c r="D38" i="94"/>
  <c r="C38" i="94"/>
  <c r="B38" i="94"/>
  <c r="G37" i="94"/>
  <c r="F37" i="94"/>
  <c r="E37" i="94"/>
  <c r="D37" i="94"/>
  <c r="C37" i="94"/>
  <c r="B37" i="94"/>
  <c r="G18" i="94"/>
  <c r="F18" i="94"/>
  <c r="E18" i="94"/>
  <c r="D18" i="94"/>
  <c r="C18" i="94"/>
  <c r="B18" i="94"/>
  <c r="G19" i="94"/>
  <c r="F19" i="94"/>
  <c r="E19" i="94"/>
  <c r="D19" i="94"/>
  <c r="C19" i="94"/>
  <c r="B19" i="94"/>
  <c r="G17" i="94"/>
  <c r="F17" i="94"/>
  <c r="E17" i="94"/>
  <c r="D17" i="94"/>
  <c r="C17" i="94"/>
  <c r="B17" i="94"/>
  <c r="G20" i="94"/>
  <c r="F20" i="94"/>
  <c r="E20" i="94"/>
  <c r="D20" i="94"/>
  <c r="C20" i="94"/>
  <c r="B20" i="94"/>
  <c r="G16" i="94"/>
  <c r="F16" i="94"/>
  <c r="E16" i="94"/>
  <c r="D16" i="94"/>
  <c r="C16" i="94"/>
  <c r="B16" i="94"/>
  <c r="G51" i="94"/>
  <c r="F51" i="94"/>
  <c r="E51" i="94"/>
  <c r="D51" i="94"/>
  <c r="C51" i="94"/>
  <c r="B51" i="94"/>
  <c r="G53" i="94"/>
  <c r="F53" i="94"/>
  <c r="E53" i="94"/>
  <c r="D53" i="94"/>
  <c r="C53" i="94"/>
  <c r="B53" i="94"/>
  <c r="G57" i="94"/>
  <c r="F57" i="94"/>
  <c r="E57" i="94"/>
  <c r="D57" i="94"/>
  <c r="C57" i="94"/>
  <c r="B57" i="94"/>
  <c r="G50" i="94"/>
  <c r="F50" i="94"/>
  <c r="E50" i="94"/>
  <c r="D50" i="94"/>
  <c r="C50" i="94"/>
  <c r="B50" i="94"/>
  <c r="G61" i="94"/>
  <c r="F61" i="94"/>
  <c r="E61" i="94"/>
  <c r="D61" i="94"/>
  <c r="C61" i="94"/>
  <c r="B61" i="94"/>
  <c r="G43" i="94"/>
  <c r="F43" i="94"/>
  <c r="E43" i="94"/>
  <c r="D43" i="94"/>
  <c r="C43" i="94"/>
  <c r="B43" i="94"/>
  <c r="G45" i="94"/>
  <c r="F45" i="94"/>
  <c r="E45" i="94"/>
  <c r="D45" i="94"/>
  <c r="C45" i="94"/>
  <c r="B45" i="94"/>
  <c r="G44" i="94"/>
  <c r="F44" i="94"/>
  <c r="E44" i="94"/>
  <c r="D44" i="94"/>
  <c r="C44" i="94"/>
  <c r="B44" i="94"/>
  <c r="G13" i="94"/>
  <c r="F13" i="94"/>
  <c r="E13" i="94"/>
  <c r="D13" i="94"/>
  <c r="C13" i="94"/>
  <c r="B13" i="94"/>
  <c r="G12" i="94"/>
  <c r="F12" i="94"/>
  <c r="E12" i="94"/>
  <c r="D12" i="94"/>
  <c r="C12" i="94"/>
  <c r="B12" i="94"/>
  <c r="G14" i="94"/>
  <c r="F14" i="94"/>
  <c r="E14" i="94"/>
  <c r="D14" i="94"/>
  <c r="C14" i="94"/>
  <c r="B14" i="94"/>
  <c r="G11" i="94"/>
  <c r="F11" i="94"/>
  <c r="E11" i="94"/>
  <c r="D11" i="94"/>
  <c r="C11" i="94"/>
  <c r="B11" i="94"/>
  <c r="G8" i="94"/>
  <c r="F8" i="94"/>
  <c r="E8" i="94"/>
  <c r="D8" i="94"/>
  <c r="C8" i="94"/>
  <c r="B8" i="94"/>
  <c r="G9" i="94"/>
  <c r="F9" i="94"/>
  <c r="E9" i="94"/>
  <c r="D9" i="94"/>
  <c r="C9" i="94"/>
  <c r="B9" i="94"/>
  <c r="G6" i="94"/>
  <c r="F6" i="94"/>
  <c r="E6" i="94"/>
  <c r="D6" i="94"/>
  <c r="C6" i="94"/>
  <c r="B6" i="94"/>
  <c r="G7" i="94"/>
  <c r="F7" i="94"/>
  <c r="E7" i="94"/>
  <c r="D7" i="94"/>
  <c r="C7" i="94"/>
  <c r="B7" i="94"/>
  <c r="F2" i="94"/>
  <c r="A2" i="94"/>
  <c r="G53" i="92" l="1"/>
  <c r="F53" i="92"/>
  <c r="E53" i="92"/>
  <c r="D53" i="92"/>
  <c r="C53" i="92"/>
  <c r="B53" i="92"/>
  <c r="G54" i="92"/>
  <c r="F54" i="92"/>
  <c r="E54" i="92"/>
  <c r="D54" i="92"/>
  <c r="C54" i="92"/>
  <c r="B54" i="92"/>
  <c r="G21" i="92"/>
  <c r="F21" i="92"/>
  <c r="E21" i="92"/>
  <c r="D21" i="92"/>
  <c r="C21" i="92"/>
  <c r="B21" i="92"/>
  <c r="G34" i="92"/>
  <c r="F34" i="92"/>
  <c r="E34" i="92"/>
  <c r="D34" i="92"/>
  <c r="C34" i="92"/>
  <c r="B34" i="92"/>
  <c r="G26" i="92"/>
  <c r="F26" i="92"/>
  <c r="E26" i="92"/>
  <c r="D26" i="92"/>
  <c r="C26" i="92"/>
  <c r="B26" i="92"/>
  <c r="G48" i="92"/>
  <c r="F48" i="92"/>
  <c r="E48" i="92"/>
  <c r="D48" i="92"/>
  <c r="C48" i="92"/>
  <c r="B48" i="92"/>
  <c r="G49" i="92"/>
  <c r="F49" i="92"/>
  <c r="E49" i="92"/>
  <c r="D49" i="92"/>
  <c r="C49" i="92"/>
  <c r="B49" i="92"/>
  <c r="G46" i="92"/>
  <c r="F46" i="92"/>
  <c r="E46" i="92"/>
  <c r="D46" i="92"/>
  <c r="C46" i="92"/>
  <c r="B46" i="92"/>
  <c r="G45" i="92"/>
  <c r="F45" i="92"/>
  <c r="E45" i="92"/>
  <c r="D45" i="92"/>
  <c r="C45" i="92"/>
  <c r="B45" i="92"/>
  <c r="G38" i="92"/>
  <c r="F38" i="92"/>
  <c r="E38" i="92"/>
  <c r="D38" i="92"/>
  <c r="C38" i="92"/>
  <c r="B38" i="92"/>
  <c r="G36" i="92"/>
  <c r="F36" i="92"/>
  <c r="E36" i="92"/>
  <c r="D36" i="92"/>
  <c r="C36" i="92"/>
  <c r="B36" i="92"/>
  <c r="G30" i="92"/>
  <c r="F30" i="92"/>
  <c r="E30" i="92"/>
  <c r="D30" i="92"/>
  <c r="C30" i="92"/>
  <c r="B30" i="92"/>
  <c r="G28" i="92"/>
  <c r="F28" i="92"/>
  <c r="E28" i="92"/>
  <c r="D28" i="92"/>
  <c r="C28" i="92"/>
  <c r="B28" i="92"/>
  <c r="G23" i="92"/>
  <c r="F23" i="92"/>
  <c r="E23" i="92"/>
  <c r="D23" i="92"/>
  <c r="C23" i="92"/>
  <c r="B23" i="92"/>
  <c r="G35" i="92"/>
  <c r="F35" i="92"/>
  <c r="E35" i="92"/>
  <c r="D35" i="92"/>
  <c r="C35" i="92"/>
  <c r="B35" i="92"/>
  <c r="G22" i="92"/>
  <c r="F22" i="92"/>
  <c r="E22" i="92"/>
  <c r="D22" i="92"/>
  <c r="C22" i="92"/>
  <c r="B22" i="92"/>
  <c r="G24" i="92"/>
  <c r="F24" i="92"/>
  <c r="E24" i="92"/>
  <c r="D24" i="92"/>
  <c r="C24" i="92"/>
  <c r="B24" i="92"/>
  <c r="G31" i="92"/>
  <c r="F31" i="92"/>
  <c r="E31" i="92"/>
  <c r="D31" i="92"/>
  <c r="C31" i="92"/>
  <c r="B31" i="92"/>
  <c r="G32" i="92"/>
  <c r="F32" i="92"/>
  <c r="E32" i="92"/>
  <c r="D32" i="92"/>
  <c r="C32" i="92"/>
  <c r="B32" i="92"/>
  <c r="G47" i="92"/>
  <c r="F47" i="92"/>
  <c r="E47" i="92"/>
  <c r="D47" i="92"/>
  <c r="C47" i="92"/>
  <c r="B47" i="92"/>
  <c r="G10" i="92"/>
  <c r="F10" i="92"/>
  <c r="E10" i="92"/>
  <c r="D10" i="92"/>
  <c r="C10" i="92"/>
  <c r="B10" i="92"/>
  <c r="G8" i="92"/>
  <c r="F8" i="92"/>
  <c r="E8" i="92"/>
  <c r="D8" i="92"/>
  <c r="C8" i="92"/>
  <c r="B8" i="92"/>
  <c r="G15" i="92"/>
  <c r="F15" i="92"/>
  <c r="E15" i="92"/>
  <c r="D15" i="92"/>
  <c r="C15" i="92"/>
  <c r="B15" i="92"/>
  <c r="G6" i="92"/>
  <c r="F6" i="92"/>
  <c r="E6" i="92"/>
  <c r="D6" i="92"/>
  <c r="C6" i="92"/>
  <c r="B6" i="92"/>
  <c r="G27" i="92"/>
  <c r="F27" i="92"/>
  <c r="E27" i="92"/>
  <c r="D27" i="92"/>
  <c r="C27" i="92"/>
  <c r="B27" i="92"/>
  <c r="G29" i="92"/>
  <c r="F29" i="92"/>
  <c r="E29" i="92"/>
  <c r="D29" i="92"/>
  <c r="C29" i="92"/>
  <c r="B29" i="92"/>
  <c r="G33" i="92"/>
  <c r="F33" i="92"/>
  <c r="E33" i="92"/>
  <c r="D33" i="92"/>
  <c r="C33" i="92"/>
  <c r="B33" i="92"/>
  <c r="G25" i="92"/>
  <c r="F25" i="92"/>
  <c r="E25" i="92"/>
  <c r="D25" i="92"/>
  <c r="C25" i="92"/>
  <c r="B25" i="92"/>
  <c r="G40" i="92"/>
  <c r="F40" i="92"/>
  <c r="E40" i="92"/>
  <c r="D40" i="92"/>
  <c r="C40" i="92"/>
  <c r="B40" i="92"/>
  <c r="G37" i="92"/>
  <c r="F37" i="92"/>
  <c r="E37" i="92"/>
  <c r="D37" i="92"/>
  <c r="C37" i="92"/>
  <c r="B37" i="92"/>
  <c r="G41" i="92"/>
  <c r="F41" i="92"/>
  <c r="E41" i="92"/>
  <c r="D41" i="92"/>
  <c r="C41" i="92"/>
  <c r="B41" i="92"/>
  <c r="G39" i="92"/>
  <c r="F39" i="92"/>
  <c r="E39" i="92"/>
  <c r="D39" i="92"/>
  <c r="C39" i="92"/>
  <c r="B39" i="92"/>
  <c r="G11" i="92"/>
  <c r="F11" i="92"/>
  <c r="E11" i="92"/>
  <c r="D11" i="92"/>
  <c r="C11" i="92"/>
  <c r="B11" i="92"/>
  <c r="G9" i="92"/>
  <c r="F9" i="92"/>
  <c r="E9" i="92"/>
  <c r="D9" i="92"/>
  <c r="C9" i="92"/>
  <c r="B9" i="92"/>
  <c r="G13" i="92"/>
  <c r="F13" i="92"/>
  <c r="E13" i="92"/>
  <c r="D13" i="92"/>
  <c r="C13" i="92"/>
  <c r="B13" i="92"/>
  <c r="G7" i="92"/>
  <c r="F7" i="92"/>
  <c r="E7" i="92"/>
  <c r="D7" i="92"/>
  <c r="C7" i="92"/>
  <c r="B7" i="92"/>
  <c r="G16" i="92"/>
  <c r="F16" i="92"/>
  <c r="E16" i="92"/>
  <c r="D16" i="92"/>
  <c r="C16" i="92"/>
  <c r="B16" i="92"/>
  <c r="G17" i="92"/>
  <c r="F17" i="92"/>
  <c r="E17" i="92"/>
  <c r="D17" i="92"/>
  <c r="C17" i="92"/>
  <c r="B17" i="92"/>
  <c r="G12" i="92"/>
  <c r="F12" i="92"/>
  <c r="E12" i="92"/>
  <c r="D12" i="92"/>
  <c r="C12" i="92"/>
  <c r="B12" i="92"/>
  <c r="G14" i="92"/>
  <c r="F14" i="92"/>
  <c r="E14" i="92"/>
  <c r="D14" i="92"/>
  <c r="C14" i="92"/>
  <c r="B14" i="92"/>
  <c r="F2" i="92"/>
  <c r="A2" i="92"/>
  <c r="G79" i="91"/>
  <c r="F79" i="91"/>
  <c r="E79" i="91"/>
  <c r="D79" i="91"/>
  <c r="C79" i="91"/>
  <c r="B79" i="91"/>
  <c r="G65" i="91"/>
  <c r="F65" i="91"/>
  <c r="E65" i="91"/>
  <c r="D65" i="91"/>
  <c r="C65" i="91"/>
  <c r="B65" i="91"/>
  <c r="G38" i="91"/>
  <c r="F38" i="91"/>
  <c r="E38" i="91"/>
  <c r="D38" i="91"/>
  <c r="C38" i="91"/>
  <c r="B38" i="91"/>
  <c r="G42" i="91"/>
  <c r="F42" i="91"/>
  <c r="E42" i="91"/>
  <c r="D42" i="91"/>
  <c r="C42" i="91"/>
  <c r="B42" i="91"/>
  <c r="G45" i="91"/>
  <c r="F45" i="91"/>
  <c r="E45" i="91"/>
  <c r="D45" i="91"/>
  <c r="C45" i="91"/>
  <c r="B45" i="91"/>
  <c r="G44" i="91"/>
  <c r="F44" i="91"/>
  <c r="E44" i="91"/>
  <c r="D44" i="91"/>
  <c r="C44" i="91"/>
  <c r="B44" i="91"/>
  <c r="G50" i="91"/>
  <c r="F50" i="91"/>
  <c r="E50" i="91"/>
  <c r="D50" i="91"/>
  <c r="C50" i="91"/>
  <c r="B50" i="91"/>
  <c r="G71" i="91"/>
  <c r="F71" i="91"/>
  <c r="E71" i="91"/>
  <c r="D71" i="91"/>
  <c r="C71" i="91"/>
  <c r="B71" i="91"/>
  <c r="G52" i="91"/>
  <c r="F52" i="91"/>
  <c r="E52" i="91"/>
  <c r="D52" i="91"/>
  <c r="C52" i="91"/>
  <c r="B52" i="91"/>
  <c r="G60" i="91"/>
  <c r="F60" i="91"/>
  <c r="E60" i="91"/>
  <c r="D60" i="91"/>
  <c r="C60" i="91"/>
  <c r="B60" i="91"/>
  <c r="G77" i="91"/>
  <c r="F77" i="91"/>
  <c r="E77" i="91"/>
  <c r="D77" i="91"/>
  <c r="C77" i="91"/>
  <c r="B77" i="91"/>
  <c r="G47" i="91"/>
  <c r="F47" i="91"/>
  <c r="E47" i="91"/>
  <c r="D47" i="91"/>
  <c r="C47" i="91"/>
  <c r="B47" i="91"/>
  <c r="G76" i="91"/>
  <c r="F76" i="91"/>
  <c r="E76" i="91"/>
  <c r="D76" i="91"/>
  <c r="C76" i="91"/>
  <c r="B76" i="91"/>
  <c r="G78" i="91"/>
  <c r="F78" i="91"/>
  <c r="E78" i="91"/>
  <c r="D78" i="91"/>
  <c r="C78" i="91"/>
  <c r="B78" i="91"/>
  <c r="G41" i="91"/>
  <c r="F41" i="91"/>
  <c r="E41" i="91"/>
  <c r="D41" i="91"/>
  <c r="C41" i="91"/>
  <c r="B41" i="91"/>
  <c r="G13" i="91"/>
  <c r="F13" i="91"/>
  <c r="E13" i="91"/>
  <c r="D13" i="91"/>
  <c r="C13" i="91"/>
  <c r="B13" i="91"/>
  <c r="G6" i="91"/>
  <c r="F6" i="91"/>
  <c r="E6" i="91"/>
  <c r="D6" i="91"/>
  <c r="C6" i="91"/>
  <c r="B6" i="91"/>
  <c r="G34" i="91"/>
  <c r="F34" i="91"/>
  <c r="E34" i="91"/>
  <c r="D34" i="91"/>
  <c r="C34" i="91"/>
  <c r="B34" i="91"/>
  <c r="G14" i="91"/>
  <c r="F14" i="91"/>
  <c r="E14" i="91"/>
  <c r="D14" i="91"/>
  <c r="C14" i="91"/>
  <c r="B14" i="91"/>
  <c r="G22" i="91"/>
  <c r="F22" i="91"/>
  <c r="E22" i="91"/>
  <c r="D22" i="91"/>
  <c r="C22" i="91"/>
  <c r="B22" i="91"/>
  <c r="G21" i="91"/>
  <c r="F21" i="91"/>
  <c r="E21" i="91"/>
  <c r="D21" i="91"/>
  <c r="C21" i="91"/>
  <c r="B21" i="91"/>
  <c r="G8" i="91"/>
  <c r="F8" i="91"/>
  <c r="E8" i="91"/>
  <c r="D8" i="91"/>
  <c r="C8" i="91"/>
  <c r="B8" i="91"/>
  <c r="G7" i="91"/>
  <c r="F7" i="91"/>
  <c r="E7" i="91"/>
  <c r="D7" i="91"/>
  <c r="C7" i="91"/>
  <c r="B7" i="91"/>
  <c r="G48" i="91"/>
  <c r="F48" i="91"/>
  <c r="E48" i="91"/>
  <c r="D48" i="91"/>
  <c r="C48" i="91"/>
  <c r="B48" i="91"/>
  <c r="G46" i="91"/>
  <c r="F46" i="91"/>
  <c r="E46" i="91"/>
  <c r="D46" i="91"/>
  <c r="C46" i="91"/>
  <c r="B46" i="91"/>
  <c r="G39" i="91"/>
  <c r="F39" i="91"/>
  <c r="E39" i="91"/>
  <c r="D39" i="91"/>
  <c r="C39" i="91"/>
  <c r="B39" i="91"/>
  <c r="G51" i="91"/>
  <c r="F51" i="91"/>
  <c r="E51" i="91"/>
  <c r="D51" i="91"/>
  <c r="C51" i="91"/>
  <c r="B51" i="91"/>
  <c r="G43" i="91"/>
  <c r="F43" i="91"/>
  <c r="E43" i="91"/>
  <c r="D43" i="91"/>
  <c r="C43" i="91"/>
  <c r="B43" i="91"/>
  <c r="G40" i="91"/>
  <c r="F40" i="91"/>
  <c r="E40" i="91"/>
  <c r="D40" i="91"/>
  <c r="C40" i="91"/>
  <c r="B40" i="91"/>
  <c r="G49" i="91"/>
  <c r="F49" i="91"/>
  <c r="E49" i="91"/>
  <c r="D49" i="91"/>
  <c r="C49" i="91"/>
  <c r="B49" i="91"/>
  <c r="G67" i="91"/>
  <c r="F67" i="91"/>
  <c r="E67" i="91"/>
  <c r="D67" i="91"/>
  <c r="C67" i="91"/>
  <c r="B67" i="91"/>
  <c r="G57" i="91"/>
  <c r="F57" i="91"/>
  <c r="E57" i="91"/>
  <c r="D57" i="91"/>
  <c r="C57" i="91"/>
  <c r="B57" i="91"/>
  <c r="G27" i="91"/>
  <c r="F27" i="91"/>
  <c r="E27" i="91"/>
  <c r="D27" i="91"/>
  <c r="C27" i="91"/>
  <c r="B27" i="91"/>
  <c r="G10" i="91"/>
  <c r="F10" i="91"/>
  <c r="E10" i="91"/>
  <c r="D10" i="91"/>
  <c r="C10" i="91"/>
  <c r="B10" i="91"/>
  <c r="G19" i="91"/>
  <c r="F19" i="91"/>
  <c r="E19" i="91"/>
  <c r="D19" i="91"/>
  <c r="C19" i="91"/>
  <c r="B19" i="91"/>
  <c r="G20" i="91"/>
  <c r="F20" i="91"/>
  <c r="E20" i="91"/>
  <c r="D20" i="91"/>
  <c r="C20" i="91"/>
  <c r="B20" i="91"/>
  <c r="G9" i="91"/>
  <c r="F9" i="91"/>
  <c r="E9" i="91"/>
  <c r="D9" i="91"/>
  <c r="C9" i="91"/>
  <c r="B9" i="91"/>
  <c r="G72" i="91"/>
  <c r="F72" i="91"/>
  <c r="E72" i="91"/>
  <c r="D72" i="91"/>
  <c r="C72" i="91"/>
  <c r="B72" i="91"/>
  <c r="G69" i="91"/>
  <c r="F69" i="91"/>
  <c r="E69" i="91"/>
  <c r="D69" i="91"/>
  <c r="C69" i="91"/>
  <c r="B69" i="91"/>
  <c r="G62" i="91"/>
  <c r="F62" i="91"/>
  <c r="E62" i="91"/>
  <c r="D62" i="91"/>
  <c r="C62" i="91"/>
  <c r="B62" i="91"/>
  <c r="G59" i="91"/>
  <c r="F59" i="91"/>
  <c r="E59" i="91"/>
  <c r="D59" i="91"/>
  <c r="C59" i="91"/>
  <c r="B59" i="91"/>
  <c r="G54" i="91"/>
  <c r="F54" i="91"/>
  <c r="E54" i="91"/>
  <c r="D54" i="91"/>
  <c r="C54" i="91"/>
  <c r="B54" i="91"/>
  <c r="G68" i="91"/>
  <c r="F68" i="91"/>
  <c r="E68" i="91"/>
  <c r="D68" i="91"/>
  <c r="C68" i="91"/>
  <c r="B68" i="91"/>
  <c r="G53" i="91"/>
  <c r="F53" i="91"/>
  <c r="E53" i="91"/>
  <c r="D53" i="91"/>
  <c r="C53" i="91"/>
  <c r="B53" i="91"/>
  <c r="G55" i="91"/>
  <c r="F55" i="91"/>
  <c r="E55" i="91"/>
  <c r="D55" i="91"/>
  <c r="C55" i="91"/>
  <c r="B55" i="91"/>
  <c r="G63" i="91"/>
  <c r="F63" i="91"/>
  <c r="E63" i="91"/>
  <c r="D63" i="91"/>
  <c r="C63" i="91"/>
  <c r="B63" i="91"/>
  <c r="G64" i="91"/>
  <c r="F64" i="91"/>
  <c r="E64" i="91"/>
  <c r="D64" i="91"/>
  <c r="C64" i="91"/>
  <c r="B64" i="91"/>
  <c r="G33" i="91"/>
  <c r="F33" i="91"/>
  <c r="E33" i="91"/>
  <c r="D33" i="91"/>
  <c r="C33" i="91"/>
  <c r="B33" i="91"/>
  <c r="G23" i="91"/>
  <c r="F23" i="91"/>
  <c r="E23" i="91"/>
  <c r="D23" i="91"/>
  <c r="C23" i="91"/>
  <c r="B23" i="91"/>
  <c r="G18" i="91"/>
  <c r="F18" i="91"/>
  <c r="E18" i="91"/>
  <c r="D18" i="91"/>
  <c r="C18" i="91"/>
  <c r="B18" i="91"/>
  <c r="G16" i="91"/>
  <c r="F16" i="91"/>
  <c r="E16" i="91"/>
  <c r="D16" i="91"/>
  <c r="C16" i="91"/>
  <c r="B16" i="91"/>
  <c r="G24" i="91"/>
  <c r="F24" i="91"/>
  <c r="E24" i="91"/>
  <c r="D24" i="91"/>
  <c r="C24" i="91"/>
  <c r="B24" i="91"/>
  <c r="G15" i="91"/>
  <c r="F15" i="91"/>
  <c r="E15" i="91"/>
  <c r="D15" i="91"/>
  <c r="C15" i="91"/>
  <c r="B15" i="91"/>
  <c r="G30" i="91"/>
  <c r="F30" i="91"/>
  <c r="E30" i="91"/>
  <c r="D30" i="91"/>
  <c r="C30" i="91"/>
  <c r="B30" i="91"/>
  <c r="G11" i="91"/>
  <c r="F11" i="91"/>
  <c r="E11" i="91"/>
  <c r="D11" i="91"/>
  <c r="C11" i="91"/>
  <c r="B11" i="91"/>
  <c r="G58" i="91"/>
  <c r="F58" i="91"/>
  <c r="E58" i="91"/>
  <c r="D58" i="91"/>
  <c r="C58" i="91"/>
  <c r="B58" i="91"/>
  <c r="G61" i="91"/>
  <c r="F61" i="91"/>
  <c r="E61" i="91"/>
  <c r="D61" i="91"/>
  <c r="C61" i="91"/>
  <c r="B61" i="91"/>
  <c r="G66" i="91"/>
  <c r="F66" i="91"/>
  <c r="E66" i="91"/>
  <c r="D66" i="91"/>
  <c r="C66" i="91"/>
  <c r="B66" i="91"/>
  <c r="G56" i="91"/>
  <c r="F56" i="91"/>
  <c r="E56" i="91"/>
  <c r="D56" i="91"/>
  <c r="C56" i="91"/>
  <c r="B56" i="91"/>
  <c r="G74" i="91"/>
  <c r="F74" i="91"/>
  <c r="E74" i="91"/>
  <c r="D74" i="91"/>
  <c r="C74" i="91"/>
  <c r="B74" i="91"/>
  <c r="G70" i="91"/>
  <c r="F70" i="91"/>
  <c r="E70" i="91"/>
  <c r="D70" i="91"/>
  <c r="C70" i="91"/>
  <c r="B70" i="91"/>
  <c r="G75" i="91"/>
  <c r="F75" i="91"/>
  <c r="E75" i="91"/>
  <c r="D75" i="91"/>
  <c r="C75" i="91"/>
  <c r="B75" i="91"/>
  <c r="G73" i="91"/>
  <c r="F73" i="91"/>
  <c r="E73" i="91"/>
  <c r="D73" i="91"/>
  <c r="C73" i="91"/>
  <c r="B73" i="91"/>
  <c r="G25" i="91"/>
  <c r="F25" i="91"/>
  <c r="E25" i="91"/>
  <c r="D25" i="91"/>
  <c r="C25" i="91"/>
  <c r="B25" i="91"/>
  <c r="G17" i="91"/>
  <c r="F17" i="91"/>
  <c r="E17" i="91"/>
  <c r="D17" i="91"/>
  <c r="C17" i="91"/>
  <c r="B17" i="91"/>
  <c r="G28" i="91"/>
  <c r="F28" i="91"/>
  <c r="E28" i="91"/>
  <c r="D28" i="91"/>
  <c r="C28" i="91"/>
  <c r="B28" i="91"/>
  <c r="G12" i="91"/>
  <c r="F12" i="91"/>
  <c r="E12" i="91"/>
  <c r="D12" i="91"/>
  <c r="C12" i="91"/>
  <c r="B12" i="91"/>
  <c r="G31" i="91"/>
  <c r="F31" i="91"/>
  <c r="E31" i="91"/>
  <c r="D31" i="91"/>
  <c r="C31" i="91"/>
  <c r="B31" i="91"/>
  <c r="G32" i="91"/>
  <c r="F32" i="91"/>
  <c r="E32" i="91"/>
  <c r="D32" i="91"/>
  <c r="C32" i="91"/>
  <c r="B32" i="91"/>
  <c r="G26" i="91"/>
  <c r="F26" i="91"/>
  <c r="E26" i="91"/>
  <c r="D26" i="91"/>
  <c r="C26" i="91"/>
  <c r="B26" i="91"/>
  <c r="G29" i="91"/>
  <c r="F29" i="91"/>
  <c r="E29" i="91"/>
  <c r="D29" i="91"/>
  <c r="C29" i="91"/>
  <c r="B29" i="91"/>
  <c r="F2" i="91"/>
  <c r="A2" i="91"/>
  <c r="C30" i="49" l="1"/>
  <c r="C29" i="49"/>
  <c r="B29" i="49"/>
  <c r="C28" i="49"/>
  <c r="C27" i="49"/>
  <c r="B27" i="49"/>
  <c r="C26" i="49"/>
  <c r="C25" i="49"/>
  <c r="B25" i="49"/>
  <c r="C24" i="49"/>
  <c r="C23" i="49"/>
  <c r="B23" i="49"/>
  <c r="C22" i="49"/>
  <c r="C21" i="49"/>
  <c r="B21" i="49"/>
  <c r="C20" i="49"/>
  <c r="C19" i="49"/>
  <c r="B19" i="49"/>
  <c r="C18" i="49"/>
  <c r="C17" i="49"/>
  <c r="B17" i="49"/>
  <c r="C16" i="49"/>
  <c r="C15" i="49"/>
  <c r="B15" i="49"/>
  <c r="C14" i="49"/>
  <c r="C13" i="49"/>
  <c r="B13" i="49"/>
  <c r="C12" i="49"/>
  <c r="C11" i="49"/>
  <c r="B11" i="49"/>
  <c r="C10" i="49"/>
  <c r="C8" i="49"/>
  <c r="C9" i="49"/>
  <c r="B9" i="49"/>
  <c r="C7" i="49"/>
  <c r="B7" i="49"/>
  <c r="C30" i="48" l="1"/>
  <c r="C29" i="48"/>
  <c r="B29" i="48"/>
  <c r="C28" i="48"/>
  <c r="C27" i="48"/>
  <c r="B27" i="48"/>
  <c r="C26" i="48"/>
  <c r="C25" i="48"/>
  <c r="B25" i="48"/>
  <c r="C24" i="48"/>
  <c r="C23" i="48"/>
  <c r="B23" i="48"/>
  <c r="C22" i="48"/>
  <c r="C21" i="48"/>
  <c r="B21" i="48"/>
  <c r="C20" i="48"/>
  <c r="C19" i="48"/>
  <c r="B19" i="48"/>
  <c r="C18" i="48"/>
  <c r="C17" i="48"/>
  <c r="B17" i="48"/>
  <c r="C16" i="48"/>
  <c r="C15" i="48"/>
  <c r="B15" i="48"/>
  <c r="C14" i="48"/>
  <c r="C13" i="48"/>
  <c r="B13" i="48"/>
  <c r="C12" i="48"/>
  <c r="C11" i="48"/>
  <c r="B11" i="48"/>
  <c r="C10" i="48"/>
  <c r="C9" i="48"/>
  <c r="B9" i="48"/>
  <c r="C8" i="48" l="1"/>
  <c r="C7" i="48"/>
  <c r="B7" i="48"/>
  <c r="C30" i="38"/>
  <c r="C29" i="38"/>
  <c r="B29" i="38"/>
  <c r="C28" i="38"/>
  <c r="C27" i="38"/>
  <c r="B27" i="38"/>
  <c r="C26" i="38"/>
  <c r="C25" i="38"/>
  <c r="B25" i="38"/>
  <c r="C24" i="38"/>
  <c r="C23" i="38"/>
  <c r="B23" i="38"/>
  <c r="C22" i="38"/>
  <c r="C21" i="38"/>
  <c r="B21" i="38"/>
  <c r="C20" i="38"/>
  <c r="C19" i="38"/>
  <c r="B19" i="38"/>
  <c r="C18" i="38"/>
  <c r="C17" i="38"/>
  <c r="B17" i="38"/>
  <c r="C16" i="38"/>
  <c r="C15" i="38"/>
  <c r="B15" i="38"/>
  <c r="C14" i="38"/>
  <c r="C13" i="38"/>
  <c r="B13" i="38"/>
  <c r="C12" i="38"/>
  <c r="C11" i="38"/>
  <c r="B11" i="38"/>
  <c r="C10" i="38"/>
  <c r="C9" i="38"/>
  <c r="B9" i="38"/>
  <c r="C8" i="38"/>
  <c r="C7" i="38"/>
  <c r="B7" i="38"/>
  <c r="C30" i="32"/>
  <c r="C29" i="32"/>
  <c r="B29" i="32"/>
  <c r="C28" i="32"/>
  <c r="C27" i="32"/>
  <c r="B27" i="32"/>
  <c r="C26" i="32"/>
  <c r="C25" i="32"/>
  <c r="B25" i="32"/>
  <c r="C24" i="32"/>
  <c r="C23" i="32"/>
  <c r="B23" i="32"/>
  <c r="C22" i="32"/>
  <c r="C21" i="32"/>
  <c r="B21" i="32"/>
  <c r="C20" i="32"/>
  <c r="C19" i="32"/>
  <c r="B19" i="32"/>
  <c r="C18" i="32"/>
  <c r="C17" i="32"/>
  <c r="B17" i="32"/>
  <c r="C16" i="32"/>
  <c r="C15" i="32"/>
  <c r="B15" i="32"/>
  <c r="C14" i="32"/>
  <c r="C13" i="32"/>
  <c r="B13" i="32"/>
  <c r="C12" i="32"/>
  <c r="C11" i="32"/>
  <c r="B11" i="32"/>
  <c r="C10" i="32"/>
  <c r="C9" i="32"/>
  <c r="B9" i="32"/>
  <c r="C8" i="32"/>
  <c r="C7" i="32"/>
  <c r="B7" i="32"/>
  <c r="C30" i="29"/>
  <c r="C29" i="29"/>
  <c r="B29" i="29"/>
  <c r="C28" i="29"/>
  <c r="C27" i="29"/>
  <c r="B27" i="29"/>
  <c r="C26" i="29"/>
  <c r="C25" i="29"/>
  <c r="B25" i="29"/>
  <c r="C24" i="29"/>
  <c r="C23" i="29"/>
  <c r="B23" i="29"/>
  <c r="C22" i="29"/>
  <c r="C21" i="29"/>
  <c r="B21" i="29"/>
  <c r="C20" i="29"/>
  <c r="C19" i="29"/>
  <c r="B19" i="29"/>
  <c r="C18" i="29"/>
  <c r="C17" i="29"/>
  <c r="B17" i="29"/>
  <c r="C16" i="29"/>
  <c r="C15" i="29"/>
  <c r="B15" i="29"/>
  <c r="C14" i="29"/>
  <c r="C13" i="29"/>
  <c r="B13" i="29"/>
  <c r="C12" i="29"/>
  <c r="C11" i="29"/>
  <c r="B11" i="29"/>
  <c r="C10" i="29"/>
  <c r="C9" i="29"/>
  <c r="B9" i="29"/>
  <c r="C8" i="29"/>
  <c r="C7" i="29"/>
  <c r="B7" i="29"/>
  <c r="B7" i="28"/>
  <c r="C30" i="28" l="1"/>
  <c r="C29" i="28"/>
  <c r="B29" i="28"/>
  <c r="C28" i="28"/>
  <c r="C27" i="28"/>
  <c r="B27" i="28"/>
  <c r="C26" i="28"/>
  <c r="C25" i="28"/>
  <c r="B25" i="28"/>
  <c r="C24" i="28"/>
  <c r="C23" i="28"/>
  <c r="B23" i="28"/>
  <c r="C22" i="28"/>
  <c r="C21" i="28"/>
  <c r="B21" i="28"/>
  <c r="C20" i="28"/>
  <c r="C19" i="28"/>
  <c r="B19" i="28"/>
  <c r="C18" i="28"/>
  <c r="C17" i="28"/>
  <c r="B17" i="28"/>
  <c r="C16" i="28"/>
  <c r="C15" i="28"/>
  <c r="B15" i="28"/>
  <c r="C14" i="28"/>
  <c r="C13" i="28"/>
  <c r="B13" i="28"/>
  <c r="C12" i="28"/>
  <c r="C11" i="28"/>
  <c r="B11" i="28"/>
  <c r="C10" i="28"/>
  <c r="C9" i="28"/>
  <c r="B9" i="28"/>
  <c r="C8" i="28"/>
  <c r="C7" i="28"/>
  <c r="C30" i="61"/>
  <c r="C29" i="61"/>
  <c r="B29" i="61"/>
  <c r="C28" i="61"/>
  <c r="C27" i="61"/>
  <c r="B27" i="61"/>
  <c r="C26" i="61"/>
  <c r="C25" i="61"/>
  <c r="B25" i="61"/>
  <c r="C24" i="61"/>
  <c r="C23" i="61"/>
  <c r="B23" i="61"/>
  <c r="C21" i="61"/>
  <c r="B21" i="61"/>
  <c r="C19" i="61"/>
  <c r="B19" i="61"/>
  <c r="C17" i="61"/>
  <c r="B17" i="61"/>
  <c r="C15" i="61"/>
  <c r="B15" i="61"/>
  <c r="C13" i="61"/>
  <c r="B13" i="61"/>
  <c r="C11" i="61"/>
  <c r="B11" i="61"/>
  <c r="C9" i="61"/>
  <c r="B9" i="61"/>
  <c r="C7" i="61"/>
  <c r="B7" i="61"/>
  <c r="B61" i="22" l="1"/>
  <c r="C61" i="22"/>
  <c r="D61" i="22"/>
  <c r="E61" i="22"/>
  <c r="F61" i="22"/>
  <c r="B56" i="22"/>
  <c r="C56" i="22"/>
  <c r="D56" i="22"/>
  <c r="E56" i="22"/>
  <c r="F56" i="22"/>
  <c r="B66" i="22"/>
  <c r="C66" i="22"/>
  <c r="D66" i="22"/>
  <c r="E66" i="22"/>
  <c r="F66" i="22"/>
  <c r="B62" i="22"/>
  <c r="C62" i="22"/>
  <c r="D62" i="22"/>
  <c r="E62" i="22"/>
  <c r="F62" i="22"/>
  <c r="F60" i="22"/>
  <c r="E60" i="22"/>
  <c r="D60" i="22"/>
  <c r="C60" i="22"/>
  <c r="B60" i="22"/>
  <c r="AB31" i="85"/>
  <c r="AG31" i="85" s="1"/>
  <c r="AA31" i="85"/>
  <c r="AC31" i="85" s="1"/>
  <c r="AD31" i="85" s="1"/>
  <c r="AF31" i="85" s="1"/>
  <c r="P31" i="85"/>
  <c r="O31" i="85"/>
  <c r="Q31" i="85" s="1"/>
  <c r="AG29" i="85"/>
  <c r="AB29" i="85"/>
  <c r="AA29" i="85"/>
  <c r="AC29" i="85" s="1"/>
  <c r="AD29" i="85" s="1"/>
  <c r="P29" i="85"/>
  <c r="O29" i="85"/>
  <c r="AB27" i="85"/>
  <c r="AG27" i="85" s="1"/>
  <c r="AA27" i="85"/>
  <c r="AC27" i="85" s="1"/>
  <c r="AD27" i="85" s="1"/>
  <c r="P27" i="85"/>
  <c r="O27" i="85"/>
  <c r="AC25" i="85"/>
  <c r="AD25" i="85" s="1"/>
  <c r="AB25" i="85"/>
  <c r="AG25" i="85" s="1"/>
  <c r="AA25" i="85"/>
  <c r="P25" i="85"/>
  <c r="O25" i="85"/>
  <c r="Q25" i="85" s="1"/>
  <c r="AB23" i="85"/>
  <c r="AG23" i="85" s="1"/>
  <c r="AA23" i="85"/>
  <c r="AC23" i="85" s="1"/>
  <c r="AD23" i="85" s="1"/>
  <c r="AE23" i="85" s="1"/>
  <c r="P23" i="85"/>
  <c r="O23" i="85"/>
  <c r="Q23" i="85" s="1"/>
  <c r="R23" i="85" s="1"/>
  <c r="Q24" i="85" s="1"/>
  <c r="AB21" i="85"/>
  <c r="AA21" i="85"/>
  <c r="AC21" i="85" s="1"/>
  <c r="AD21" i="85" s="1"/>
  <c r="P21" i="85"/>
  <c r="O21" i="85"/>
  <c r="AB19" i="85"/>
  <c r="AA19" i="85"/>
  <c r="AC19" i="85" s="1"/>
  <c r="AD19" i="85" s="1"/>
  <c r="P19" i="85"/>
  <c r="H62" i="22" s="1"/>
  <c r="O19" i="85"/>
  <c r="AC17" i="85"/>
  <c r="AD17" i="85" s="1"/>
  <c r="AB17" i="85"/>
  <c r="AA17" i="85"/>
  <c r="P17" i="85"/>
  <c r="O17" i="85"/>
  <c r="AB15" i="85"/>
  <c r="AA15" i="85"/>
  <c r="AC15" i="85" s="1"/>
  <c r="AD15" i="85" s="1"/>
  <c r="AE15" i="85" s="1"/>
  <c r="P15" i="85"/>
  <c r="O15" i="85"/>
  <c r="AB13" i="85"/>
  <c r="AA13" i="85"/>
  <c r="AC13" i="85" s="1"/>
  <c r="AD13" i="85" s="1"/>
  <c r="P13" i="85"/>
  <c r="O13" i="85"/>
  <c r="AB11" i="85"/>
  <c r="AA11" i="85"/>
  <c r="AC11" i="85" s="1"/>
  <c r="AD11" i="85" s="1"/>
  <c r="P11" i="85"/>
  <c r="O11" i="85"/>
  <c r="AC9" i="85"/>
  <c r="AD9" i="85" s="1"/>
  <c r="AB9" i="85"/>
  <c r="AA9" i="85"/>
  <c r="P9" i="85"/>
  <c r="H60" i="22" s="1"/>
  <c r="O9" i="85"/>
  <c r="G60" i="22" s="1"/>
  <c r="C30" i="27"/>
  <c r="C29" i="27"/>
  <c r="B29" i="27"/>
  <c r="C28" i="27"/>
  <c r="C27" i="27"/>
  <c r="B27" i="27"/>
  <c r="C26" i="27"/>
  <c r="C25" i="27"/>
  <c r="B25" i="27"/>
  <c r="C24" i="27"/>
  <c r="C23" i="27"/>
  <c r="B23" i="27"/>
  <c r="C22" i="27"/>
  <c r="C21" i="27"/>
  <c r="B21" i="27"/>
  <c r="C20" i="27"/>
  <c r="C19" i="27"/>
  <c r="B19" i="27"/>
  <c r="C18" i="27"/>
  <c r="C17" i="27"/>
  <c r="B17" i="27"/>
  <c r="C16" i="27"/>
  <c r="C15" i="27"/>
  <c r="B15" i="27"/>
  <c r="C14" i="27"/>
  <c r="C13" i="27"/>
  <c r="B13" i="27"/>
  <c r="C12" i="27"/>
  <c r="C11" i="27"/>
  <c r="B11" i="27"/>
  <c r="C10" i="27"/>
  <c r="C9" i="27"/>
  <c r="B9" i="27"/>
  <c r="C8" i="27"/>
  <c r="C7" i="27"/>
  <c r="B7" i="27"/>
  <c r="R25" i="85" l="1"/>
  <c r="Q26" i="85" s="1"/>
  <c r="R31" i="85"/>
  <c r="Q32" i="85" s="1"/>
  <c r="Q27" i="85"/>
  <c r="Q29" i="85"/>
  <c r="Q9" i="85"/>
  <c r="Q17" i="85"/>
  <c r="Q19" i="85"/>
  <c r="H81" i="94"/>
  <c r="H65" i="91"/>
  <c r="G62" i="22"/>
  <c r="I80" i="94"/>
  <c r="I50" i="91"/>
  <c r="Q11" i="85"/>
  <c r="H77" i="94"/>
  <c r="H44" i="91"/>
  <c r="Q13" i="85"/>
  <c r="H78" i="94"/>
  <c r="H45" i="91"/>
  <c r="Q21" i="85"/>
  <c r="H85" i="94"/>
  <c r="H79" i="91"/>
  <c r="H80" i="94"/>
  <c r="H50" i="91"/>
  <c r="I77" i="94"/>
  <c r="I44" i="91"/>
  <c r="I78" i="94"/>
  <c r="I45" i="91"/>
  <c r="H76" i="94"/>
  <c r="H42" i="91"/>
  <c r="H74" i="94"/>
  <c r="H38" i="91"/>
  <c r="I81" i="94"/>
  <c r="I65" i="91"/>
  <c r="I85" i="94"/>
  <c r="I79" i="91"/>
  <c r="H61" i="22"/>
  <c r="H66" i="22"/>
  <c r="I76" i="94"/>
  <c r="I42" i="91"/>
  <c r="H56" i="22"/>
  <c r="G61" i="22"/>
  <c r="I74" i="94"/>
  <c r="I38" i="91"/>
  <c r="G56" i="22"/>
  <c r="Q15" i="85"/>
  <c r="R15" i="85" s="1"/>
  <c r="Q16" i="85" s="1"/>
  <c r="G66" i="22"/>
  <c r="AF9" i="85"/>
  <c r="AE9" i="85"/>
  <c r="AG9" i="85" s="1"/>
  <c r="S9" i="85"/>
  <c r="AE11" i="85"/>
  <c r="AG11" i="85" s="1"/>
  <c r="S11" i="85"/>
  <c r="AF11" i="85"/>
  <c r="AF13" i="85"/>
  <c r="AE13" i="85"/>
  <c r="AG13" i="85" s="1"/>
  <c r="S13" i="85"/>
  <c r="AF17" i="85"/>
  <c r="AE17" i="85"/>
  <c r="AG17" i="85" s="1"/>
  <c r="S17" i="85"/>
  <c r="AF19" i="85"/>
  <c r="AE19" i="85"/>
  <c r="AG19" i="85" s="1"/>
  <c r="S19" i="85"/>
  <c r="AF21" i="85"/>
  <c r="AE21" i="85"/>
  <c r="AG21" i="85" s="1"/>
  <c r="S21" i="85"/>
  <c r="AF25" i="85"/>
  <c r="AE25" i="85"/>
  <c r="S25" i="85"/>
  <c r="AF27" i="85"/>
  <c r="AE27" i="85"/>
  <c r="S27" i="85"/>
  <c r="AF29" i="85"/>
  <c r="AE29" i="85"/>
  <c r="S29" i="85"/>
  <c r="AE31" i="85"/>
  <c r="S31" i="85"/>
  <c r="AF15" i="85"/>
  <c r="AG15" i="85" s="1"/>
  <c r="S15" i="85" s="1"/>
  <c r="AF23" i="85"/>
  <c r="S23" i="85"/>
  <c r="B59" i="22"/>
  <c r="C59" i="22"/>
  <c r="D59" i="22"/>
  <c r="E59" i="22"/>
  <c r="F59" i="22"/>
  <c r="B57" i="22"/>
  <c r="C57" i="22"/>
  <c r="D57" i="22"/>
  <c r="E57" i="22"/>
  <c r="F57" i="22"/>
  <c r="B79" i="22"/>
  <c r="C79" i="22"/>
  <c r="D79" i="22"/>
  <c r="E79" i="22"/>
  <c r="F79" i="22"/>
  <c r="B71" i="22"/>
  <c r="C71" i="22"/>
  <c r="D71" i="22"/>
  <c r="E71" i="22"/>
  <c r="F71" i="22"/>
  <c r="B80" i="22"/>
  <c r="C80" i="22"/>
  <c r="D80" i="22"/>
  <c r="E80" i="22"/>
  <c r="F80" i="22"/>
  <c r="AB31" i="84"/>
  <c r="AG31" i="84" s="1"/>
  <c r="AA31" i="84"/>
  <c r="AC31" i="84" s="1"/>
  <c r="AD31" i="84" s="1"/>
  <c r="AF31" i="84" s="1"/>
  <c r="Q31" i="84"/>
  <c r="P31" i="84"/>
  <c r="O31" i="84"/>
  <c r="AB29" i="84"/>
  <c r="AG29" i="84" s="1"/>
  <c r="AA29" i="84"/>
  <c r="AC29" i="84" s="1"/>
  <c r="AD29" i="84" s="1"/>
  <c r="P29" i="84"/>
  <c r="O29" i="84"/>
  <c r="AB27" i="84"/>
  <c r="AG27" i="84" s="1"/>
  <c r="AA27" i="84"/>
  <c r="AC27" i="84" s="1"/>
  <c r="AD27" i="84" s="1"/>
  <c r="AF27" i="84" s="1"/>
  <c r="P27" i="84"/>
  <c r="O27" i="84"/>
  <c r="AB25" i="84"/>
  <c r="AG25" i="84" s="1"/>
  <c r="AA25" i="84"/>
  <c r="AC25" i="84" s="1"/>
  <c r="AD25" i="84" s="1"/>
  <c r="P25" i="84"/>
  <c r="O25" i="84"/>
  <c r="AB23" i="84"/>
  <c r="AA23" i="84"/>
  <c r="AC23" i="84" s="1"/>
  <c r="AD23" i="84" s="1"/>
  <c r="P23" i="84"/>
  <c r="H80" i="22" s="1"/>
  <c r="O23" i="84"/>
  <c r="AB21" i="84"/>
  <c r="AA21" i="84"/>
  <c r="AC21" i="84" s="1"/>
  <c r="AD21" i="84" s="1"/>
  <c r="P21" i="84"/>
  <c r="H71" i="22" s="1"/>
  <c r="O21" i="84"/>
  <c r="G71" i="22" s="1"/>
  <c r="AB19" i="84"/>
  <c r="AA19" i="84"/>
  <c r="AC19" i="84" s="1"/>
  <c r="AD19" i="84" s="1"/>
  <c r="AF19" i="84" s="1"/>
  <c r="P19" i="84"/>
  <c r="O19" i="84"/>
  <c r="G79" i="22" s="1"/>
  <c r="AB17" i="84"/>
  <c r="AA17" i="84"/>
  <c r="AC17" i="84" s="1"/>
  <c r="AD17" i="84" s="1"/>
  <c r="P17" i="84"/>
  <c r="O17" i="84"/>
  <c r="AB15" i="84"/>
  <c r="AA15" i="84"/>
  <c r="AC15" i="84" s="1"/>
  <c r="AD15" i="84" s="1"/>
  <c r="P15" i="84"/>
  <c r="O15" i="84"/>
  <c r="G59" i="22" s="1"/>
  <c r="AB13" i="84"/>
  <c r="AA13" i="84"/>
  <c r="AC13" i="84" s="1"/>
  <c r="AD13" i="84" s="1"/>
  <c r="P13" i="84"/>
  <c r="O13" i="84"/>
  <c r="AB11" i="84"/>
  <c r="AA11" i="84"/>
  <c r="AC11" i="84" s="1"/>
  <c r="AD11" i="84" s="1"/>
  <c r="AF11" i="84" s="1"/>
  <c r="P11" i="84"/>
  <c r="O11" i="84"/>
  <c r="AB9" i="84"/>
  <c r="AA9" i="84"/>
  <c r="AC9" i="84" s="1"/>
  <c r="AD9" i="84" s="1"/>
  <c r="P9" i="84"/>
  <c r="O9" i="84"/>
  <c r="Q27" i="84" l="1"/>
  <c r="R27" i="84" s="1"/>
  <c r="Q28" i="84" s="1"/>
  <c r="R31" i="84"/>
  <c r="Q32" i="84" s="1"/>
  <c r="R29" i="85"/>
  <c r="Q30" i="85" s="1"/>
  <c r="Q28" i="85"/>
  <c r="R27" i="85"/>
  <c r="Q25" i="84"/>
  <c r="Q13" i="84"/>
  <c r="R13" i="84" s="1"/>
  <c r="Q14" i="84" s="1"/>
  <c r="Q29" i="84"/>
  <c r="R17" i="85"/>
  <c r="Q18" i="85" s="1"/>
  <c r="R9" i="85"/>
  <c r="Q10" i="85" s="1"/>
  <c r="R21" i="85"/>
  <c r="Q22" i="85" s="1"/>
  <c r="R13" i="85"/>
  <c r="Q14" i="85" s="1"/>
  <c r="R11" i="85"/>
  <c r="Q12" i="85" s="1"/>
  <c r="R19" i="85"/>
  <c r="Q20" i="85" s="1"/>
  <c r="I79" i="94"/>
  <c r="I47" i="91"/>
  <c r="I84" i="94"/>
  <c r="I77" i="91"/>
  <c r="H88" i="94"/>
  <c r="H60" i="91"/>
  <c r="I87" i="94"/>
  <c r="I52" i="91"/>
  <c r="H75" i="94"/>
  <c r="H41" i="91"/>
  <c r="H83" i="94"/>
  <c r="H78" i="91"/>
  <c r="I82" i="94"/>
  <c r="I76" i="91"/>
  <c r="I88" i="94"/>
  <c r="I60" i="91"/>
  <c r="Q21" i="84"/>
  <c r="H59" i="22"/>
  <c r="I75" i="94"/>
  <c r="I41" i="91"/>
  <c r="I83" i="94"/>
  <c r="I78" i="91"/>
  <c r="Q19" i="84"/>
  <c r="R19" i="84" s="1"/>
  <c r="Q20" i="84" s="1"/>
  <c r="Q23" i="84"/>
  <c r="H89" i="94"/>
  <c r="H71" i="91"/>
  <c r="G80" i="22"/>
  <c r="H57" i="22"/>
  <c r="H82" i="94"/>
  <c r="H76" i="91"/>
  <c r="Q11" i="84"/>
  <c r="R11" i="84" s="1"/>
  <c r="Q12" i="84" s="1"/>
  <c r="Q15" i="84"/>
  <c r="H79" i="94"/>
  <c r="H47" i="91"/>
  <c r="Q17" i="84"/>
  <c r="H84" i="94"/>
  <c r="H77" i="91"/>
  <c r="H87" i="94"/>
  <c r="H52" i="91"/>
  <c r="I89" i="94"/>
  <c r="I71" i="91"/>
  <c r="H79" i="22"/>
  <c r="G57" i="22"/>
  <c r="Q9" i="84"/>
  <c r="AE17" i="84"/>
  <c r="AG17" i="84" s="1"/>
  <c r="S17" i="84"/>
  <c r="AF17" i="84"/>
  <c r="AF29" i="84"/>
  <c r="AE29" i="84"/>
  <c r="S29" i="84"/>
  <c r="AE15" i="84"/>
  <c r="AG15" i="84" s="1"/>
  <c r="S15" i="84"/>
  <c r="AF15" i="84"/>
  <c r="AF21" i="84"/>
  <c r="AE21" i="84"/>
  <c r="AG21" i="84" s="1"/>
  <c r="AE23" i="84"/>
  <c r="AG23" i="84" s="1"/>
  <c r="AF23" i="84"/>
  <c r="S25" i="84"/>
  <c r="AE25" i="84"/>
  <c r="AF25" i="84"/>
  <c r="AE31" i="84"/>
  <c r="S31" i="84"/>
  <c r="S9" i="84"/>
  <c r="AE9" i="84"/>
  <c r="AG9" i="84" s="1"/>
  <c r="AF9" i="84"/>
  <c r="AF13" i="84"/>
  <c r="AE13" i="84"/>
  <c r="AG13" i="84" s="1"/>
  <c r="S13" i="84"/>
  <c r="S11" i="84"/>
  <c r="AE11" i="84"/>
  <c r="AG11" i="84" s="1"/>
  <c r="AE19" i="84"/>
  <c r="AG19" i="84" s="1"/>
  <c r="S27" i="84"/>
  <c r="AE27" i="84"/>
  <c r="S19" i="84" l="1"/>
  <c r="R29" i="84"/>
  <c r="Q30" i="84" s="1"/>
  <c r="R25" i="84"/>
  <c r="Q26" i="84" s="1"/>
  <c r="R9" i="84"/>
  <c r="Q10" i="84" s="1"/>
  <c r="R23" i="84"/>
  <c r="Q24" i="84" s="1"/>
  <c r="R21" i="84"/>
  <c r="Q22" i="84" s="1"/>
  <c r="R15" i="84"/>
  <c r="Q16" i="84" s="1"/>
  <c r="R17" i="84"/>
  <c r="Q18" i="84" s="1"/>
  <c r="B27" i="22"/>
  <c r="C27" i="22"/>
  <c r="D27" i="22"/>
  <c r="E27" i="22"/>
  <c r="F27" i="22"/>
  <c r="B32" i="22"/>
  <c r="C32" i="22"/>
  <c r="D32" i="22"/>
  <c r="E32" i="22"/>
  <c r="F32" i="22"/>
  <c r="B33" i="22"/>
  <c r="C33" i="22"/>
  <c r="D33" i="22"/>
  <c r="E33" i="22"/>
  <c r="F33" i="22"/>
  <c r="B20" i="22"/>
  <c r="C20" i="22"/>
  <c r="D20" i="22"/>
  <c r="E20" i="22"/>
  <c r="F20" i="22"/>
  <c r="B28" i="22"/>
  <c r="C28" i="22"/>
  <c r="D28" i="22"/>
  <c r="E28" i="22"/>
  <c r="F28" i="22"/>
  <c r="B65" i="22"/>
  <c r="C65" i="22"/>
  <c r="D65" i="22"/>
  <c r="E65" i="22"/>
  <c r="F65" i="22"/>
  <c r="AB31" i="83"/>
  <c r="AG31" i="83" s="1"/>
  <c r="AA31" i="83"/>
  <c r="AC31" i="83" s="1"/>
  <c r="AD31" i="83" s="1"/>
  <c r="AF31" i="83" s="1"/>
  <c r="P31" i="83"/>
  <c r="O31" i="83"/>
  <c r="AB29" i="83"/>
  <c r="AA29" i="83"/>
  <c r="AC29" i="83" s="1"/>
  <c r="AD29" i="83" s="1"/>
  <c r="P29" i="83"/>
  <c r="H65" i="22" s="1"/>
  <c r="O29" i="83"/>
  <c r="AB27" i="83"/>
  <c r="AG27" i="83" s="1"/>
  <c r="AA27" i="83"/>
  <c r="AC27" i="83" s="1"/>
  <c r="AD27" i="83" s="1"/>
  <c r="AF27" i="83" s="1"/>
  <c r="P27" i="83"/>
  <c r="O27" i="83"/>
  <c r="AB25" i="83"/>
  <c r="AA25" i="83"/>
  <c r="AC25" i="83" s="1"/>
  <c r="AD25" i="83" s="1"/>
  <c r="P25" i="83"/>
  <c r="O25" i="83"/>
  <c r="AB23" i="83"/>
  <c r="AA23" i="83"/>
  <c r="AC23" i="83" s="1"/>
  <c r="AD23" i="83" s="1"/>
  <c r="P23" i="83"/>
  <c r="O23" i="83"/>
  <c r="AB21" i="83"/>
  <c r="AA21" i="83"/>
  <c r="AC21" i="83" s="1"/>
  <c r="AD21" i="83" s="1"/>
  <c r="P21" i="83"/>
  <c r="H20" i="22" s="1"/>
  <c r="O21" i="83"/>
  <c r="AB19" i="83"/>
  <c r="AA19" i="83"/>
  <c r="AC19" i="83" s="1"/>
  <c r="AD19" i="83" s="1"/>
  <c r="P19" i="83"/>
  <c r="H33" i="22" s="1"/>
  <c r="O19" i="83"/>
  <c r="AB17" i="83"/>
  <c r="AA17" i="83"/>
  <c r="AC17" i="83" s="1"/>
  <c r="AD17" i="83" s="1"/>
  <c r="P17" i="83"/>
  <c r="H32" i="22" s="1"/>
  <c r="O17" i="83"/>
  <c r="G32" i="22" s="1"/>
  <c r="AB15" i="83"/>
  <c r="AA15" i="83"/>
  <c r="AC15" i="83" s="1"/>
  <c r="AD15" i="83" s="1"/>
  <c r="AE15" i="83" s="1"/>
  <c r="P15" i="83"/>
  <c r="O15" i="83"/>
  <c r="G27" i="22" s="1"/>
  <c r="AB13" i="83"/>
  <c r="AA13" i="83"/>
  <c r="AC13" i="83" s="1"/>
  <c r="AD13" i="83" s="1"/>
  <c r="P13" i="83"/>
  <c r="O13" i="83"/>
  <c r="AB11" i="83"/>
  <c r="AA11" i="83"/>
  <c r="AC11" i="83" s="1"/>
  <c r="AD11" i="83" s="1"/>
  <c r="P11" i="83"/>
  <c r="O11" i="83"/>
  <c r="AB9" i="83"/>
  <c r="AA9" i="83"/>
  <c r="AC9" i="83" s="1"/>
  <c r="AD9" i="83" s="1"/>
  <c r="P9" i="83"/>
  <c r="O9" i="83"/>
  <c r="B55" i="22"/>
  <c r="C55" i="22"/>
  <c r="D55" i="22"/>
  <c r="E55" i="22"/>
  <c r="F55" i="22"/>
  <c r="B75" i="22"/>
  <c r="C75" i="22"/>
  <c r="D75" i="22"/>
  <c r="E75" i="22"/>
  <c r="F75" i="22"/>
  <c r="B64" i="22"/>
  <c r="C64" i="22"/>
  <c r="D64" i="22"/>
  <c r="E64" i="22"/>
  <c r="F64" i="22"/>
  <c r="B46" i="22"/>
  <c r="C46" i="22"/>
  <c r="D46" i="22"/>
  <c r="E46" i="22"/>
  <c r="F46" i="22"/>
  <c r="B41" i="22"/>
  <c r="C41" i="22"/>
  <c r="D41" i="22"/>
  <c r="E41" i="22"/>
  <c r="F41" i="22"/>
  <c r="B70" i="22"/>
  <c r="C70" i="22"/>
  <c r="D70" i="22"/>
  <c r="E70" i="22"/>
  <c r="F70" i="22"/>
  <c r="B54" i="22"/>
  <c r="C54" i="22"/>
  <c r="D54" i="22"/>
  <c r="E54" i="22"/>
  <c r="F54" i="22"/>
  <c r="B74" i="22"/>
  <c r="C74" i="22"/>
  <c r="D74" i="22"/>
  <c r="E74" i="22"/>
  <c r="F74" i="22"/>
  <c r="F45" i="22"/>
  <c r="E45" i="22"/>
  <c r="D45" i="22"/>
  <c r="C45" i="22"/>
  <c r="B45" i="22"/>
  <c r="AB31" i="82"/>
  <c r="AG31" i="82" s="1"/>
  <c r="AA31" i="82"/>
  <c r="AC31" i="82" s="1"/>
  <c r="AD31" i="82" s="1"/>
  <c r="P31" i="82"/>
  <c r="O31" i="82"/>
  <c r="AB29" i="82"/>
  <c r="AG29" i="82" s="1"/>
  <c r="AA29" i="82"/>
  <c r="AC29" i="82" s="1"/>
  <c r="AD29" i="82" s="1"/>
  <c r="P29" i="82"/>
  <c r="O29" i="82"/>
  <c r="AB27" i="82"/>
  <c r="AA27" i="82"/>
  <c r="AC27" i="82" s="1"/>
  <c r="AD27" i="82" s="1"/>
  <c r="P27" i="82"/>
  <c r="O27" i="82"/>
  <c r="AB25" i="82"/>
  <c r="AA25" i="82"/>
  <c r="AC25" i="82" s="1"/>
  <c r="AD25" i="82" s="1"/>
  <c r="P25" i="82"/>
  <c r="AC23" i="82"/>
  <c r="AD23" i="82" s="1"/>
  <c r="AE23" i="82" s="1"/>
  <c r="AB23" i="82"/>
  <c r="AA23" i="82"/>
  <c r="P23" i="82"/>
  <c r="H75" i="22" s="1"/>
  <c r="AB21" i="82"/>
  <c r="AA21" i="82"/>
  <c r="AC21" i="82" s="1"/>
  <c r="AD21" i="82" s="1"/>
  <c r="P21" i="82"/>
  <c r="H55" i="22" s="1"/>
  <c r="AB19" i="82"/>
  <c r="AA19" i="82"/>
  <c r="AC19" i="82" s="1"/>
  <c r="AD19" i="82" s="1"/>
  <c r="P19" i="82"/>
  <c r="H74" i="22" s="1"/>
  <c r="AB17" i="82"/>
  <c r="AA17" i="82"/>
  <c r="AC17" i="82" s="1"/>
  <c r="AD17" i="82" s="1"/>
  <c r="P17" i="82"/>
  <c r="G54" i="22"/>
  <c r="AB15" i="82"/>
  <c r="AA15" i="82"/>
  <c r="AC15" i="82" s="1"/>
  <c r="AD15" i="82" s="1"/>
  <c r="AE15" i="82" s="1"/>
  <c r="P15" i="82"/>
  <c r="G70" i="22"/>
  <c r="AB13" i="82"/>
  <c r="AA13" i="82"/>
  <c r="AC13" i="82" s="1"/>
  <c r="AD13" i="82" s="1"/>
  <c r="P13" i="82"/>
  <c r="G41" i="22"/>
  <c r="AB11" i="82"/>
  <c r="AA11" i="82"/>
  <c r="AC11" i="82" s="1"/>
  <c r="AD11" i="82" s="1"/>
  <c r="P11" i="82"/>
  <c r="H46" i="22" s="1"/>
  <c r="AB9" i="82"/>
  <c r="AA9" i="82"/>
  <c r="AC9" i="82" s="1"/>
  <c r="AD9" i="82" s="1"/>
  <c r="P9" i="82"/>
  <c r="H45" i="22" s="1"/>
  <c r="S21" i="84" l="1"/>
  <c r="Q21" i="83"/>
  <c r="R21" i="83" s="1"/>
  <c r="Q22" i="83" s="1"/>
  <c r="S23" i="84"/>
  <c r="Q13" i="83"/>
  <c r="R13" i="83" s="1"/>
  <c r="Q14" i="83" s="1"/>
  <c r="Q29" i="82"/>
  <c r="Q31" i="83"/>
  <c r="G65" i="22"/>
  <c r="Q15" i="82"/>
  <c r="R15" i="82" s="1"/>
  <c r="Q16" i="82" s="1"/>
  <c r="Q17" i="82"/>
  <c r="R17" i="82" s="1"/>
  <c r="Q18" i="82" s="1"/>
  <c r="Q25" i="82"/>
  <c r="R25" i="82" s="1"/>
  <c r="Q26" i="82" s="1"/>
  <c r="Q31" i="82"/>
  <c r="R31" i="82" s="1"/>
  <c r="Q32" i="82" s="1"/>
  <c r="Q27" i="83"/>
  <c r="R27" i="83" s="1"/>
  <c r="Q28" i="83" s="1"/>
  <c r="Q29" i="83"/>
  <c r="H31" i="94"/>
  <c r="H13" i="91"/>
  <c r="G28" i="22"/>
  <c r="I30" i="94"/>
  <c r="I8" i="91"/>
  <c r="H34" i="94"/>
  <c r="H22" i="91"/>
  <c r="I31" i="94"/>
  <c r="I13" i="91"/>
  <c r="I29" i="94"/>
  <c r="I7" i="91"/>
  <c r="I33" i="94"/>
  <c r="I21" i="91"/>
  <c r="Q17" i="83"/>
  <c r="H32" i="94"/>
  <c r="H14" i="91"/>
  <c r="H29" i="94"/>
  <c r="H7" i="91"/>
  <c r="Q11" i="83"/>
  <c r="H30" i="94"/>
  <c r="H8" i="91"/>
  <c r="H33" i="94"/>
  <c r="H21" i="91"/>
  <c r="I34" i="94"/>
  <c r="I22" i="91"/>
  <c r="I32" i="94"/>
  <c r="I14" i="91"/>
  <c r="Q19" i="83"/>
  <c r="H35" i="94"/>
  <c r="H34" i="91"/>
  <c r="H28" i="94"/>
  <c r="H6" i="91"/>
  <c r="Q23" i="83"/>
  <c r="Q25" i="83"/>
  <c r="G33" i="22"/>
  <c r="Q15" i="83"/>
  <c r="R15" i="83" s="1"/>
  <c r="Q16" i="83" s="1"/>
  <c r="I35" i="94"/>
  <c r="I34" i="91"/>
  <c r="I28" i="94"/>
  <c r="I6" i="91"/>
  <c r="H28" i="22"/>
  <c r="G20" i="22"/>
  <c r="H27" i="22"/>
  <c r="AE31" i="82"/>
  <c r="AF31" i="82"/>
  <c r="AG15" i="82"/>
  <c r="AG23" i="82"/>
  <c r="H54" i="22"/>
  <c r="H64" i="94"/>
  <c r="H57" i="91"/>
  <c r="H26" i="92"/>
  <c r="I64" i="94"/>
  <c r="I26" i="92"/>
  <c r="I57" i="91"/>
  <c r="Q23" i="82"/>
  <c r="R23" i="82" s="1"/>
  <c r="Q24" i="82" s="1"/>
  <c r="I71" i="94"/>
  <c r="I48" i="91"/>
  <c r="Q19" i="82"/>
  <c r="H72" i="94"/>
  <c r="H54" i="92"/>
  <c r="H51" i="91"/>
  <c r="Q21" i="82"/>
  <c r="H67" i="94"/>
  <c r="H39" i="91"/>
  <c r="G55" i="22"/>
  <c r="Q9" i="82"/>
  <c r="Q11" i="82"/>
  <c r="H65" i="94"/>
  <c r="H34" i="92"/>
  <c r="H67" i="91"/>
  <c r="Q13" i="82"/>
  <c r="H63" i="94"/>
  <c r="H21" i="92"/>
  <c r="H49" i="91"/>
  <c r="I65" i="94"/>
  <c r="I67" i="91"/>
  <c r="I34" i="92"/>
  <c r="I63" i="94"/>
  <c r="I21" i="92"/>
  <c r="I49" i="91"/>
  <c r="H68" i="94"/>
  <c r="H40" i="91"/>
  <c r="H69" i="94"/>
  <c r="H43" i="91"/>
  <c r="I72" i="94"/>
  <c r="I51" i="91"/>
  <c r="I54" i="92"/>
  <c r="I67" i="94"/>
  <c r="I39" i="91"/>
  <c r="H70" i="94"/>
  <c r="H53" i="92"/>
  <c r="H46" i="91"/>
  <c r="Q27" i="82"/>
  <c r="G74" i="22"/>
  <c r="H41" i="22"/>
  <c r="G46" i="22"/>
  <c r="H64" i="22"/>
  <c r="G75" i="22"/>
  <c r="I68" i="94"/>
  <c r="I40" i="91"/>
  <c r="I69" i="94"/>
  <c r="I43" i="91"/>
  <c r="I70" i="94"/>
  <c r="I53" i="92"/>
  <c r="I46" i="91"/>
  <c r="H71" i="94"/>
  <c r="H48" i="91"/>
  <c r="G45" i="22"/>
  <c r="H70" i="22"/>
  <c r="G64" i="22"/>
  <c r="AF15" i="83"/>
  <c r="AG15" i="83" s="1"/>
  <c r="Q9" i="83"/>
  <c r="AF29" i="83"/>
  <c r="AG29" i="83" s="1"/>
  <c r="AE29" i="83"/>
  <c r="S29" i="83"/>
  <c r="AE25" i="83"/>
  <c r="S25" i="83"/>
  <c r="AF25" i="83"/>
  <c r="AG25" i="83" s="1"/>
  <c r="AE31" i="83"/>
  <c r="S31" i="83"/>
  <c r="AF11" i="83"/>
  <c r="AG11" i="83" s="1"/>
  <c r="AE11" i="83"/>
  <c r="S11" i="83"/>
  <c r="AE23" i="83"/>
  <c r="S23" i="83"/>
  <c r="AF23" i="83"/>
  <c r="AG23" i="83" s="1"/>
  <c r="AE9" i="83"/>
  <c r="S9" i="83"/>
  <c r="AF9" i="83"/>
  <c r="AG9" i="83" s="1"/>
  <c r="AF21" i="83"/>
  <c r="AG21" i="83" s="1"/>
  <c r="AE21" i="83"/>
  <c r="S21" i="83"/>
  <c r="AE17" i="83"/>
  <c r="S17" i="83"/>
  <c r="AF17" i="83"/>
  <c r="AG17" i="83" s="1"/>
  <c r="AF13" i="83"/>
  <c r="AG13" i="83" s="1"/>
  <c r="AE13" i="83"/>
  <c r="S13" i="83"/>
  <c r="AF19" i="83"/>
  <c r="AG19" i="83" s="1"/>
  <c r="AE19" i="83"/>
  <c r="S19" i="83"/>
  <c r="S27" i="83"/>
  <c r="AE27" i="83"/>
  <c r="S15" i="83"/>
  <c r="AF13" i="82"/>
  <c r="AE13" i="82"/>
  <c r="AG13" i="82" s="1"/>
  <c r="S13" i="82"/>
  <c r="AF17" i="82"/>
  <c r="AE17" i="82"/>
  <c r="AG17" i="82" s="1"/>
  <c r="S17" i="82"/>
  <c r="AF27" i="82"/>
  <c r="AE27" i="82"/>
  <c r="AG27" i="82" s="1"/>
  <c r="S27" i="82"/>
  <c r="AF11" i="82"/>
  <c r="AE11" i="82"/>
  <c r="AG11" i="82" s="1"/>
  <c r="S11" i="82"/>
  <c r="AF19" i="82"/>
  <c r="AE19" i="82"/>
  <c r="AG19" i="82" s="1"/>
  <c r="S19" i="82"/>
  <c r="AF25" i="82"/>
  <c r="AE25" i="82"/>
  <c r="AG25" i="82" s="1"/>
  <c r="S25" i="82"/>
  <c r="AF29" i="82"/>
  <c r="AE29" i="82"/>
  <c r="S29" i="82"/>
  <c r="AF9" i="82"/>
  <c r="AE9" i="82"/>
  <c r="AG9" i="82" s="1"/>
  <c r="S9" i="82"/>
  <c r="AF21" i="82"/>
  <c r="S21" i="82"/>
  <c r="AE21" i="82"/>
  <c r="AG21" i="82" s="1"/>
  <c r="AF15" i="82"/>
  <c r="AF23" i="82"/>
  <c r="S15" i="82"/>
  <c r="S23" i="82"/>
  <c r="S31" i="82"/>
  <c r="C8" i="26"/>
  <c r="C7" i="26"/>
  <c r="B7" i="26"/>
  <c r="B23" i="22"/>
  <c r="C23" i="22"/>
  <c r="D23" i="22"/>
  <c r="E23" i="22"/>
  <c r="F23" i="22"/>
  <c r="B24" i="22"/>
  <c r="C24" i="22"/>
  <c r="D24" i="22"/>
  <c r="E24" i="22"/>
  <c r="F24" i="22"/>
  <c r="F22" i="22"/>
  <c r="E22" i="22"/>
  <c r="D22" i="22"/>
  <c r="C22" i="22"/>
  <c r="B22" i="22"/>
  <c r="AB31" i="81"/>
  <c r="AG31" i="81" s="1"/>
  <c r="AA31" i="81"/>
  <c r="AC31" i="81" s="1"/>
  <c r="AD31" i="81" s="1"/>
  <c r="AF31" i="81" s="1"/>
  <c r="P31" i="81"/>
  <c r="O31" i="81"/>
  <c r="AG29" i="81"/>
  <c r="AB29" i="81"/>
  <c r="AA29" i="81"/>
  <c r="AC29" i="81" s="1"/>
  <c r="AD29" i="81" s="1"/>
  <c r="Q29" i="81"/>
  <c r="P29" i="81"/>
  <c r="O29" i="81"/>
  <c r="AB27" i="81"/>
  <c r="AG27" i="81" s="1"/>
  <c r="AA27" i="81"/>
  <c r="AC27" i="81" s="1"/>
  <c r="AD27" i="81" s="1"/>
  <c r="P27" i="81"/>
  <c r="O27" i="81"/>
  <c r="AB25" i="81"/>
  <c r="AG25" i="81" s="1"/>
  <c r="AA25" i="81"/>
  <c r="AC25" i="81" s="1"/>
  <c r="AD25" i="81" s="1"/>
  <c r="P25" i="81"/>
  <c r="O25" i="81"/>
  <c r="AB23" i="81"/>
  <c r="AG23" i="81" s="1"/>
  <c r="AA23" i="81"/>
  <c r="AC23" i="81" s="1"/>
  <c r="AD23" i="81" s="1"/>
  <c r="P23" i="81"/>
  <c r="O23" i="81"/>
  <c r="AB21" i="81"/>
  <c r="AA21" i="81"/>
  <c r="AC21" i="81" s="1"/>
  <c r="AD21" i="81" s="1"/>
  <c r="P21" i="81"/>
  <c r="O21" i="81"/>
  <c r="AB19" i="81"/>
  <c r="AA19" i="81"/>
  <c r="AC19" i="81" s="1"/>
  <c r="AD19" i="81" s="1"/>
  <c r="P19" i="81"/>
  <c r="O19" i="81"/>
  <c r="AB17" i="81"/>
  <c r="AA17" i="81"/>
  <c r="AC17" i="81" s="1"/>
  <c r="AD17" i="81" s="1"/>
  <c r="P17" i="81"/>
  <c r="H24" i="22" s="1"/>
  <c r="O17" i="81"/>
  <c r="G24" i="22" s="1"/>
  <c r="AB15" i="81"/>
  <c r="AA15" i="81"/>
  <c r="AC15" i="81" s="1"/>
  <c r="AD15" i="81" s="1"/>
  <c r="P15" i="81"/>
  <c r="O15" i="81"/>
  <c r="AB13" i="81"/>
  <c r="AA13" i="81"/>
  <c r="AC13" i="81" s="1"/>
  <c r="AD13" i="81" s="1"/>
  <c r="P13" i="81"/>
  <c r="O13" i="81"/>
  <c r="AB11" i="81"/>
  <c r="AA11" i="81"/>
  <c r="AC11" i="81" s="1"/>
  <c r="AD11" i="81" s="1"/>
  <c r="P11" i="81"/>
  <c r="O11" i="81"/>
  <c r="AB9" i="81"/>
  <c r="AA9" i="81"/>
  <c r="AC9" i="81" s="1"/>
  <c r="AD9" i="81" s="1"/>
  <c r="P9" i="81"/>
  <c r="O9" i="81"/>
  <c r="B39" i="22"/>
  <c r="C39" i="22"/>
  <c r="D39" i="22"/>
  <c r="E39" i="22"/>
  <c r="F39" i="22"/>
  <c r="B40" i="22"/>
  <c r="C40" i="22"/>
  <c r="D40" i="22"/>
  <c r="E40" i="22"/>
  <c r="F40" i="22"/>
  <c r="B49" i="22"/>
  <c r="C49" i="22"/>
  <c r="D49" i="22"/>
  <c r="E49" i="22"/>
  <c r="F49" i="22"/>
  <c r="B43" i="22"/>
  <c r="C43" i="22"/>
  <c r="D43" i="22"/>
  <c r="E43" i="22"/>
  <c r="F43" i="22"/>
  <c r="B78" i="22"/>
  <c r="C78" i="22"/>
  <c r="D78" i="22"/>
  <c r="E78" i="22"/>
  <c r="F78" i="22"/>
  <c r="B44" i="22"/>
  <c r="C44" i="22"/>
  <c r="D44" i="22"/>
  <c r="E44" i="22"/>
  <c r="F44" i="22"/>
  <c r="B50" i="22"/>
  <c r="C50" i="22"/>
  <c r="D50" i="22"/>
  <c r="E50" i="22"/>
  <c r="F50" i="22"/>
  <c r="F48" i="22"/>
  <c r="E48" i="22"/>
  <c r="D48" i="22"/>
  <c r="C48" i="22"/>
  <c r="B48" i="22"/>
  <c r="AB31" i="80"/>
  <c r="AG31" i="80" s="1"/>
  <c r="AA31" i="80"/>
  <c r="AC31" i="80" s="1"/>
  <c r="AD31" i="80" s="1"/>
  <c r="AF31" i="80" s="1"/>
  <c r="P31" i="80"/>
  <c r="O31" i="80"/>
  <c r="AG29" i="80"/>
  <c r="AB29" i="80"/>
  <c r="AA29" i="80"/>
  <c r="AC29" i="80" s="1"/>
  <c r="AD29" i="80" s="1"/>
  <c r="Q29" i="80"/>
  <c r="P29" i="80"/>
  <c r="O29" i="80"/>
  <c r="AB27" i="80"/>
  <c r="AA27" i="80"/>
  <c r="AC27" i="80" s="1"/>
  <c r="AD27" i="80" s="1"/>
  <c r="AF27" i="80" s="1"/>
  <c r="P27" i="80"/>
  <c r="O27" i="80"/>
  <c r="AB25" i="80"/>
  <c r="AA25" i="80"/>
  <c r="AC25" i="80" s="1"/>
  <c r="AD25" i="80" s="1"/>
  <c r="P25" i="80"/>
  <c r="H50" i="22" s="1"/>
  <c r="O25" i="80"/>
  <c r="G50" i="22" s="1"/>
  <c r="AB23" i="80"/>
  <c r="AA23" i="80"/>
  <c r="AC23" i="80" s="1"/>
  <c r="AD23" i="80" s="1"/>
  <c r="P23" i="80"/>
  <c r="O23" i="80"/>
  <c r="AC21" i="80"/>
  <c r="AD21" i="80" s="1"/>
  <c r="AB21" i="80"/>
  <c r="AA21" i="80"/>
  <c r="P21" i="80"/>
  <c r="O21" i="80"/>
  <c r="AB19" i="80"/>
  <c r="AA19" i="80"/>
  <c r="AC19" i="80" s="1"/>
  <c r="AD19" i="80" s="1"/>
  <c r="P19" i="80"/>
  <c r="O19" i="80"/>
  <c r="AB17" i="80"/>
  <c r="AA17" i="80"/>
  <c r="AC17" i="80" s="1"/>
  <c r="AD17" i="80" s="1"/>
  <c r="P17" i="80"/>
  <c r="O17" i="80"/>
  <c r="AB15" i="80"/>
  <c r="AA15" i="80"/>
  <c r="AC15" i="80" s="1"/>
  <c r="AD15" i="80" s="1"/>
  <c r="P15" i="80"/>
  <c r="O15" i="80"/>
  <c r="G49" i="22" s="1"/>
  <c r="AB13" i="80"/>
  <c r="AA13" i="80"/>
  <c r="AC13" i="80" s="1"/>
  <c r="AD13" i="80" s="1"/>
  <c r="P13" i="80"/>
  <c r="O13" i="80"/>
  <c r="AB11" i="80"/>
  <c r="AA11" i="80"/>
  <c r="AC11" i="80" s="1"/>
  <c r="AD11" i="80" s="1"/>
  <c r="P11" i="80"/>
  <c r="H39" i="22" s="1"/>
  <c r="O11" i="80"/>
  <c r="G39" i="22" s="1"/>
  <c r="AB9" i="80"/>
  <c r="AA9" i="80"/>
  <c r="AC9" i="80" s="1"/>
  <c r="AD9" i="80" s="1"/>
  <c r="P9" i="80"/>
  <c r="O9" i="80"/>
  <c r="B13" i="22"/>
  <c r="C13" i="22"/>
  <c r="D13" i="22"/>
  <c r="E13" i="22"/>
  <c r="F13" i="22"/>
  <c r="B9" i="22"/>
  <c r="C9" i="22"/>
  <c r="D9" i="22"/>
  <c r="E9" i="22"/>
  <c r="F9" i="22"/>
  <c r="B31" i="22"/>
  <c r="C31" i="22"/>
  <c r="D31" i="22"/>
  <c r="E31" i="22"/>
  <c r="F31" i="22"/>
  <c r="B30" i="22"/>
  <c r="C30" i="22"/>
  <c r="D30" i="22"/>
  <c r="E30" i="22"/>
  <c r="F30" i="22"/>
  <c r="AB31" i="79"/>
  <c r="AG31" i="79" s="1"/>
  <c r="AA31" i="79"/>
  <c r="AC31" i="79" s="1"/>
  <c r="AD31" i="79" s="1"/>
  <c r="AF31" i="79" s="1"/>
  <c r="P31" i="79"/>
  <c r="O31" i="79"/>
  <c r="AC29" i="79"/>
  <c r="AD29" i="79" s="1"/>
  <c r="AB29" i="79"/>
  <c r="AG29" i="79" s="1"/>
  <c r="AA29" i="79"/>
  <c r="P29" i="79"/>
  <c r="O29" i="79"/>
  <c r="Q29" i="79" s="1"/>
  <c r="AB27" i="79"/>
  <c r="AG27" i="79" s="1"/>
  <c r="AA27" i="79"/>
  <c r="AC27" i="79" s="1"/>
  <c r="AD27" i="79" s="1"/>
  <c r="Q27" i="79"/>
  <c r="P27" i="79"/>
  <c r="O27" i="79"/>
  <c r="AB25" i="79"/>
  <c r="AA25" i="79"/>
  <c r="AC25" i="79" s="1"/>
  <c r="AD25" i="79" s="1"/>
  <c r="P25" i="79"/>
  <c r="O25" i="79"/>
  <c r="AB23" i="79"/>
  <c r="AA23" i="79"/>
  <c r="AC23" i="79" s="1"/>
  <c r="AD23" i="79" s="1"/>
  <c r="P23" i="79"/>
  <c r="O23" i="79"/>
  <c r="G30" i="22" s="1"/>
  <c r="AB21" i="79"/>
  <c r="AA21" i="79"/>
  <c r="AC21" i="79" s="1"/>
  <c r="AD21" i="79" s="1"/>
  <c r="P21" i="79"/>
  <c r="O21" i="79"/>
  <c r="AB19" i="79"/>
  <c r="AA19" i="79"/>
  <c r="AC19" i="79" s="1"/>
  <c r="AD19" i="79" s="1"/>
  <c r="P19" i="79"/>
  <c r="O19" i="79"/>
  <c r="AB17" i="79"/>
  <c r="AA17" i="79"/>
  <c r="AC17" i="79" s="1"/>
  <c r="AD17" i="79" s="1"/>
  <c r="P17" i="79"/>
  <c r="H9" i="22" s="1"/>
  <c r="O17" i="79"/>
  <c r="AB15" i="79"/>
  <c r="AA15" i="79"/>
  <c r="AC15" i="79" s="1"/>
  <c r="AD15" i="79" s="1"/>
  <c r="P15" i="79"/>
  <c r="O15" i="79"/>
  <c r="AB13" i="79"/>
  <c r="AA13" i="79"/>
  <c r="AC13" i="79" s="1"/>
  <c r="AD13" i="79" s="1"/>
  <c r="P13" i="79"/>
  <c r="O13" i="79"/>
  <c r="AB11" i="79"/>
  <c r="AA11" i="79"/>
  <c r="AC11" i="79" s="1"/>
  <c r="AD11" i="79" s="1"/>
  <c r="P11" i="79"/>
  <c r="H13" i="22" s="1"/>
  <c r="O11" i="79"/>
  <c r="AB9" i="79"/>
  <c r="AA9" i="79"/>
  <c r="AC9" i="79" s="1"/>
  <c r="AD9" i="79" s="1"/>
  <c r="P9" i="79"/>
  <c r="O9" i="79"/>
  <c r="Q27" i="80" l="1"/>
  <c r="R27" i="80" s="1"/>
  <c r="Q28" i="80" s="1"/>
  <c r="Q11" i="79"/>
  <c r="R11" i="79" s="1"/>
  <c r="Q12" i="79" s="1"/>
  <c r="Q30" i="79"/>
  <c r="R29" i="79"/>
  <c r="Q15" i="80"/>
  <c r="R15" i="80" s="1"/>
  <c r="Q16" i="80" s="1"/>
  <c r="R29" i="80"/>
  <c r="Q30" i="80" s="1"/>
  <c r="Q21" i="81"/>
  <c r="R29" i="81"/>
  <c r="Q30" i="81" s="1"/>
  <c r="Q31" i="79"/>
  <c r="R29" i="83"/>
  <c r="Q30" i="83" s="1"/>
  <c r="Q31" i="80"/>
  <c r="Q23" i="81"/>
  <c r="Q25" i="81"/>
  <c r="Q27" i="81"/>
  <c r="Q31" i="81"/>
  <c r="R31" i="83"/>
  <c r="Q32" i="83" s="1"/>
  <c r="R27" i="79"/>
  <c r="Q28" i="79" s="1"/>
  <c r="Q30" i="82"/>
  <c r="R29" i="82"/>
  <c r="Q15" i="81"/>
  <c r="R23" i="83"/>
  <c r="Q24" i="83" s="1"/>
  <c r="R9" i="83"/>
  <c r="Q10" i="83" s="1"/>
  <c r="R11" i="83"/>
  <c r="Q12" i="83" s="1"/>
  <c r="R17" i="83"/>
  <c r="Q18" i="83" s="1"/>
  <c r="R25" i="83"/>
  <c r="Q26" i="83" s="1"/>
  <c r="R19" i="83"/>
  <c r="Q20" i="83" s="1"/>
  <c r="R27" i="82"/>
  <c r="Q28" i="82" s="1"/>
  <c r="R19" i="82"/>
  <c r="Q20" i="82" s="1"/>
  <c r="R13" i="82"/>
  <c r="Q14" i="82" s="1"/>
  <c r="R11" i="82"/>
  <c r="Q12" i="82" s="1"/>
  <c r="R21" i="82"/>
  <c r="Q22" i="82" s="1"/>
  <c r="R9" i="82"/>
  <c r="Q10" i="82" s="1"/>
  <c r="I22" i="94"/>
  <c r="I45" i="92"/>
  <c r="I9" i="91"/>
  <c r="I25" i="94"/>
  <c r="I46" i="92"/>
  <c r="I20" i="91"/>
  <c r="I24" i="94"/>
  <c r="I19" i="91"/>
  <c r="I49" i="92"/>
  <c r="Q9" i="81"/>
  <c r="H22" i="94"/>
  <c r="H45" i="92"/>
  <c r="H9" i="91"/>
  <c r="H24" i="94"/>
  <c r="H19" i="91"/>
  <c r="H49" i="92"/>
  <c r="R15" i="81"/>
  <c r="Q16" i="81" s="1"/>
  <c r="Q13" i="81"/>
  <c r="H23" i="94"/>
  <c r="H10" i="91"/>
  <c r="G22" i="22"/>
  <c r="H23" i="22"/>
  <c r="Q11" i="81"/>
  <c r="H25" i="94"/>
  <c r="H20" i="91"/>
  <c r="H46" i="92"/>
  <c r="I26" i="94"/>
  <c r="I48" i="92"/>
  <c r="I27" i="91"/>
  <c r="I23" i="94"/>
  <c r="I10" i="91"/>
  <c r="Q17" i="81"/>
  <c r="H26" i="94"/>
  <c r="H48" i="92"/>
  <c r="H27" i="91"/>
  <c r="Q19" i="81"/>
  <c r="H22" i="22"/>
  <c r="G23" i="22"/>
  <c r="Q9" i="80"/>
  <c r="H56" i="94"/>
  <c r="H64" i="91"/>
  <c r="H32" i="92"/>
  <c r="H54" i="94"/>
  <c r="H30" i="92"/>
  <c r="H62" i="91"/>
  <c r="G44" i="22"/>
  <c r="I56" i="94"/>
  <c r="I32" i="92"/>
  <c r="I64" i="91"/>
  <c r="I58" i="94"/>
  <c r="I35" i="92"/>
  <c r="I68" i="91"/>
  <c r="I48" i="94"/>
  <c r="I54" i="91"/>
  <c r="I23" i="92"/>
  <c r="H52" i="94"/>
  <c r="H59" i="91"/>
  <c r="H28" i="92"/>
  <c r="I54" i="94"/>
  <c r="I62" i="91"/>
  <c r="I30" i="92"/>
  <c r="G48" i="22"/>
  <c r="H43" i="22"/>
  <c r="Q17" i="80"/>
  <c r="H58" i="94"/>
  <c r="H68" i="91"/>
  <c r="H35" i="92"/>
  <c r="Q19" i="80"/>
  <c r="H48" i="94"/>
  <c r="H23" i="92"/>
  <c r="H54" i="91"/>
  <c r="H49" i="94"/>
  <c r="H24" i="92"/>
  <c r="H55" i="91"/>
  <c r="I55" i="94"/>
  <c r="I63" i="91"/>
  <c r="I31" i="92"/>
  <c r="I49" i="94"/>
  <c r="I24" i="92"/>
  <c r="I55" i="91"/>
  <c r="I52" i="94"/>
  <c r="I28" i="92"/>
  <c r="I59" i="91"/>
  <c r="Q23" i="80"/>
  <c r="Q25" i="80"/>
  <c r="H59" i="94"/>
  <c r="H69" i="91"/>
  <c r="H36" i="92"/>
  <c r="H60" i="94"/>
  <c r="H38" i="92"/>
  <c r="H72" i="91"/>
  <c r="H48" i="22"/>
  <c r="H78" i="22"/>
  <c r="G43" i="22"/>
  <c r="H40" i="22"/>
  <c r="I47" i="94"/>
  <c r="I22" i="92"/>
  <c r="I53" i="91"/>
  <c r="Q11" i="80"/>
  <c r="H55" i="94"/>
  <c r="H31" i="92"/>
  <c r="H63" i="91"/>
  <c r="Q13" i="80"/>
  <c r="H47" i="94"/>
  <c r="H22" i="92"/>
  <c r="H53" i="91"/>
  <c r="Q21" i="80"/>
  <c r="I59" i="94"/>
  <c r="I36" i="92"/>
  <c r="I69" i="91"/>
  <c r="I60" i="94"/>
  <c r="I72" i="91"/>
  <c r="I38" i="92"/>
  <c r="H44" i="22"/>
  <c r="G78" i="22"/>
  <c r="H49" i="22"/>
  <c r="G40" i="22"/>
  <c r="I16" i="94"/>
  <c r="I6" i="92"/>
  <c r="I11" i="91"/>
  <c r="Q13" i="79"/>
  <c r="R13" i="79" s="1"/>
  <c r="Q14" i="79" s="1"/>
  <c r="Q15" i="79"/>
  <c r="H19" i="94"/>
  <c r="H10" i="92"/>
  <c r="H24" i="91"/>
  <c r="H38" i="94"/>
  <c r="H23" i="91"/>
  <c r="I39" i="94"/>
  <c r="I33" i="91"/>
  <c r="Q25" i="79"/>
  <c r="H30" i="22"/>
  <c r="H17" i="94"/>
  <c r="H15" i="91"/>
  <c r="H8" i="92"/>
  <c r="I19" i="94"/>
  <c r="I24" i="91"/>
  <c r="I10" i="92"/>
  <c r="Q17" i="79"/>
  <c r="H18" i="94"/>
  <c r="H16" i="91"/>
  <c r="H47" i="92"/>
  <c r="H37" i="94"/>
  <c r="H18" i="91"/>
  <c r="I38" i="94"/>
  <c r="I23" i="91"/>
  <c r="H20" i="94"/>
  <c r="H30" i="91"/>
  <c r="H15" i="92"/>
  <c r="I17" i="94"/>
  <c r="I15" i="91"/>
  <c r="I8" i="92"/>
  <c r="I18" i="94"/>
  <c r="I47" i="92"/>
  <c r="I16" i="91"/>
  <c r="I37" i="94"/>
  <c r="I18" i="91"/>
  <c r="Q21" i="79"/>
  <c r="R21" i="79" s="1"/>
  <c r="Q22" i="79" s="1"/>
  <c r="H31" i="22"/>
  <c r="G9" i="22"/>
  <c r="Q9" i="79"/>
  <c r="H16" i="94"/>
  <c r="H11" i="91"/>
  <c r="H6" i="92"/>
  <c r="I20" i="94"/>
  <c r="I30" i="91"/>
  <c r="I15" i="92"/>
  <c r="Q19" i="79"/>
  <c r="Q23" i="79"/>
  <c r="H39" i="94"/>
  <c r="H33" i="91"/>
  <c r="G31" i="22"/>
  <c r="G13" i="22"/>
  <c r="AE21" i="79"/>
  <c r="AF21" i="79"/>
  <c r="AG21" i="79" s="1"/>
  <c r="AE13" i="79"/>
  <c r="AF13" i="79"/>
  <c r="AG13" i="79" s="1"/>
  <c r="R21" i="81"/>
  <c r="Q22" i="81" s="1"/>
  <c r="AE31" i="81"/>
  <c r="S31" i="81"/>
  <c r="AF9" i="81"/>
  <c r="AG9" i="81" s="1"/>
  <c r="AE9" i="81"/>
  <c r="S9" i="81"/>
  <c r="AF19" i="81"/>
  <c r="AG19" i="81" s="1"/>
  <c r="AE19" i="81"/>
  <c r="S19" i="81"/>
  <c r="AF21" i="81"/>
  <c r="AG21" i="81" s="1"/>
  <c r="S21" i="81" s="1"/>
  <c r="AE21" i="81"/>
  <c r="AE23" i="81"/>
  <c r="S23" i="81"/>
  <c r="AF23" i="81"/>
  <c r="S11" i="81"/>
  <c r="AF11" i="81"/>
  <c r="AG11" i="81" s="1"/>
  <c r="AE11" i="81"/>
  <c r="AF13" i="81"/>
  <c r="AG13" i="81" s="1"/>
  <c r="AE13" i="81"/>
  <c r="S13" i="81"/>
  <c r="AE15" i="81"/>
  <c r="S15" i="81"/>
  <c r="AF15" i="81"/>
  <c r="AG15" i="81" s="1"/>
  <c r="AF17" i="81"/>
  <c r="AG17" i="81" s="1"/>
  <c r="AE17" i="81"/>
  <c r="S17" i="81"/>
  <c r="AE27" i="81"/>
  <c r="AF27" i="81"/>
  <c r="S27" i="81"/>
  <c r="AF29" i="81"/>
  <c r="AE29" i="81"/>
  <c r="S29" i="81"/>
  <c r="AF25" i="81"/>
  <c r="AE25" i="81"/>
  <c r="S25" i="81"/>
  <c r="AF13" i="80"/>
  <c r="AE13" i="80"/>
  <c r="AG13" i="80" s="1"/>
  <c r="S13" i="80"/>
  <c r="AF19" i="80"/>
  <c r="AE19" i="80"/>
  <c r="AG19" i="80" s="1"/>
  <c r="S19" i="80"/>
  <c r="AF21" i="80"/>
  <c r="AE21" i="80"/>
  <c r="AG21" i="80" s="1"/>
  <c r="S21" i="80"/>
  <c r="AF29" i="80"/>
  <c r="AE29" i="80"/>
  <c r="S29" i="80"/>
  <c r="AF11" i="80"/>
  <c r="AE11" i="80"/>
  <c r="AG11" i="80" s="1"/>
  <c r="S11" i="80"/>
  <c r="AE31" i="80"/>
  <c r="S31" i="80"/>
  <c r="AE9" i="80"/>
  <c r="AG9" i="80" s="1"/>
  <c r="S9" i="80"/>
  <c r="AF9" i="80"/>
  <c r="AE15" i="80"/>
  <c r="AG15" i="80" s="1"/>
  <c r="S15" i="80"/>
  <c r="AF15" i="80"/>
  <c r="AE17" i="80"/>
  <c r="AG17" i="80" s="1"/>
  <c r="AF17" i="80"/>
  <c r="S17" i="80"/>
  <c r="AE23" i="80"/>
  <c r="AG23" i="80" s="1"/>
  <c r="S23" i="80"/>
  <c r="AF23" i="80"/>
  <c r="AF25" i="80"/>
  <c r="AE25" i="80"/>
  <c r="AG25" i="80" s="1"/>
  <c r="S25" i="80"/>
  <c r="S27" i="80"/>
  <c r="AE27" i="80"/>
  <c r="AG27" i="80" s="1"/>
  <c r="AF15" i="79"/>
  <c r="AG15" i="79" s="1"/>
  <c r="AE15" i="79"/>
  <c r="S15" i="79"/>
  <c r="AF19" i="79"/>
  <c r="AG19" i="79" s="1"/>
  <c r="AE19" i="79"/>
  <c r="AF25" i="79"/>
  <c r="AG25" i="79" s="1"/>
  <c r="S25" i="79" s="1"/>
  <c r="AE25" i="79"/>
  <c r="AE31" i="79"/>
  <c r="S31" i="79"/>
  <c r="AF17" i="79"/>
  <c r="AG17" i="79" s="1"/>
  <c r="AE17" i="79"/>
  <c r="S17" i="79"/>
  <c r="AE29" i="79"/>
  <c r="S29" i="79"/>
  <c r="AF29" i="79"/>
  <c r="AF11" i="79"/>
  <c r="AG11" i="79" s="1"/>
  <c r="AE11" i="79"/>
  <c r="S11" i="79"/>
  <c r="AF9" i="79"/>
  <c r="AG9" i="79" s="1"/>
  <c r="AE9" i="79"/>
  <c r="S9" i="79"/>
  <c r="AE23" i="79"/>
  <c r="AF23" i="79"/>
  <c r="AG23" i="79" s="1"/>
  <c r="AF27" i="79"/>
  <c r="AE27" i="79"/>
  <c r="S27" i="79"/>
  <c r="S13" i="79"/>
  <c r="B77" i="22"/>
  <c r="C77" i="22"/>
  <c r="D77" i="22"/>
  <c r="E77" i="22"/>
  <c r="F77" i="22"/>
  <c r="B38" i="22"/>
  <c r="C38" i="22"/>
  <c r="D38" i="22"/>
  <c r="E38" i="22"/>
  <c r="F38" i="22"/>
  <c r="B73" i="22"/>
  <c r="C73" i="22"/>
  <c r="D73" i="22"/>
  <c r="E73" i="22"/>
  <c r="F73" i="22"/>
  <c r="B69" i="22"/>
  <c r="C69" i="22"/>
  <c r="D69" i="22"/>
  <c r="E69" i="22"/>
  <c r="F69" i="22"/>
  <c r="F68" i="22"/>
  <c r="E68" i="22"/>
  <c r="D68" i="22"/>
  <c r="C68" i="22"/>
  <c r="B68" i="22"/>
  <c r="AB31" i="77"/>
  <c r="AG31" i="77" s="1"/>
  <c r="AA31" i="77"/>
  <c r="AC31" i="77" s="1"/>
  <c r="AD31" i="77" s="1"/>
  <c r="AF31" i="77" s="1"/>
  <c r="P31" i="77"/>
  <c r="O31" i="77"/>
  <c r="AB29" i="77"/>
  <c r="AG29" i="77" s="1"/>
  <c r="AA29" i="77"/>
  <c r="AC29" i="77" s="1"/>
  <c r="AD29" i="77" s="1"/>
  <c r="Q29" i="77"/>
  <c r="P29" i="77"/>
  <c r="O29" i="77"/>
  <c r="AB27" i="77"/>
  <c r="AA27" i="77"/>
  <c r="AC27" i="77" s="1"/>
  <c r="AD27" i="77" s="1"/>
  <c r="P27" i="77"/>
  <c r="O27" i="77"/>
  <c r="AB25" i="77"/>
  <c r="AG25" i="77" s="1"/>
  <c r="AA25" i="77"/>
  <c r="AC25" i="77" s="1"/>
  <c r="AD25" i="77" s="1"/>
  <c r="P25" i="77"/>
  <c r="O25" i="77"/>
  <c r="AB23" i="77"/>
  <c r="AA23" i="77"/>
  <c r="AC23" i="77" s="1"/>
  <c r="AD23" i="77" s="1"/>
  <c r="P23" i="77"/>
  <c r="H69" i="22" s="1"/>
  <c r="O23" i="77"/>
  <c r="AB21" i="77"/>
  <c r="AA21" i="77"/>
  <c r="AC21" i="77" s="1"/>
  <c r="AD21" i="77" s="1"/>
  <c r="P21" i="77"/>
  <c r="O21" i="77"/>
  <c r="AB19" i="77"/>
  <c r="AA19" i="77"/>
  <c r="AC19" i="77" s="1"/>
  <c r="AD19" i="77" s="1"/>
  <c r="P19" i="77"/>
  <c r="O19" i="77"/>
  <c r="AB17" i="77"/>
  <c r="AA17" i="77"/>
  <c r="AC17" i="77" s="1"/>
  <c r="AD17" i="77" s="1"/>
  <c r="P17" i="77"/>
  <c r="O17" i="77"/>
  <c r="AB15" i="77"/>
  <c r="AA15" i="77"/>
  <c r="AC15" i="77" s="1"/>
  <c r="AD15" i="77" s="1"/>
  <c r="P15" i="77"/>
  <c r="O15" i="77"/>
  <c r="AB13" i="77"/>
  <c r="AA13" i="77"/>
  <c r="AC13" i="77" s="1"/>
  <c r="AD13" i="77" s="1"/>
  <c r="P13" i="77"/>
  <c r="O13" i="77"/>
  <c r="AB11" i="77"/>
  <c r="AA11" i="77"/>
  <c r="AC11" i="77" s="1"/>
  <c r="AD11" i="77" s="1"/>
  <c r="P11" i="77"/>
  <c r="H77" i="22" s="1"/>
  <c r="O11" i="77"/>
  <c r="G77" i="22" s="1"/>
  <c r="AB9" i="77"/>
  <c r="AA9" i="77"/>
  <c r="AC9" i="77" s="1"/>
  <c r="AD9" i="77" s="1"/>
  <c r="P9" i="77"/>
  <c r="O9" i="77"/>
  <c r="AB31" i="18"/>
  <c r="AG31" i="18" s="1"/>
  <c r="AB29" i="18"/>
  <c r="AG29" i="18" s="1"/>
  <c r="AB27" i="18"/>
  <c r="AG27" i="18" s="1"/>
  <c r="AB25" i="18"/>
  <c r="AG25" i="18" s="1"/>
  <c r="AB23" i="18"/>
  <c r="AB21" i="18"/>
  <c r="AB19" i="18"/>
  <c r="AB17" i="18"/>
  <c r="AB15" i="18"/>
  <c r="AB13" i="18"/>
  <c r="AB11" i="18"/>
  <c r="AA9" i="18"/>
  <c r="AC9" i="18" s="1"/>
  <c r="AD9" i="18" s="1"/>
  <c r="AB9" i="18"/>
  <c r="S21" i="79" l="1"/>
  <c r="Q23" i="77"/>
  <c r="R23" i="77" s="1"/>
  <c r="Q24" i="77" s="1"/>
  <c r="Q15" i="77"/>
  <c r="R15" i="77" s="1"/>
  <c r="Q16" i="77" s="1"/>
  <c r="Q28" i="81"/>
  <c r="R27" i="81"/>
  <c r="R25" i="81"/>
  <c r="Q26" i="81" s="1"/>
  <c r="Q32" i="80"/>
  <c r="R31" i="80"/>
  <c r="Q25" i="77"/>
  <c r="Q31" i="77"/>
  <c r="R31" i="81"/>
  <c r="Q32" i="81" s="1"/>
  <c r="R23" i="81"/>
  <c r="Q24" i="81" s="1"/>
  <c r="R31" i="79"/>
  <c r="Q32" i="79" s="1"/>
  <c r="R29" i="77"/>
  <c r="Q30" i="77" s="1"/>
  <c r="R13" i="81"/>
  <c r="Q14" i="81" s="1"/>
  <c r="R9" i="81"/>
  <c r="Q10" i="81" s="1"/>
  <c r="R19" i="81"/>
  <c r="Q20" i="81" s="1"/>
  <c r="R17" i="81"/>
  <c r="Q18" i="81" s="1"/>
  <c r="R11" i="81"/>
  <c r="Q12" i="81" s="1"/>
  <c r="R17" i="80"/>
  <c r="Q18" i="80" s="1"/>
  <c r="R21" i="80"/>
  <c r="Q22" i="80" s="1"/>
  <c r="R25" i="80"/>
  <c r="Q26" i="80" s="1"/>
  <c r="R19" i="80"/>
  <c r="Q20" i="80" s="1"/>
  <c r="R13" i="80"/>
  <c r="Q14" i="80" s="1"/>
  <c r="R11" i="80"/>
  <c r="Q12" i="80" s="1"/>
  <c r="R23" i="80"/>
  <c r="Q24" i="80" s="1"/>
  <c r="R9" i="80"/>
  <c r="Q10" i="80" s="1"/>
  <c r="R23" i="79"/>
  <c r="Q24" i="79" s="1"/>
  <c r="R9" i="79"/>
  <c r="Q10" i="79" s="1"/>
  <c r="R19" i="79"/>
  <c r="R17" i="79"/>
  <c r="Q18" i="79" s="1"/>
  <c r="R15" i="79"/>
  <c r="Q16" i="79" s="1"/>
  <c r="R25" i="79"/>
  <c r="Q26" i="79" s="1"/>
  <c r="H50" i="94"/>
  <c r="H25" i="92"/>
  <c r="H56" i="91"/>
  <c r="H38" i="22"/>
  <c r="I50" i="94"/>
  <c r="I56" i="91"/>
  <c r="I25" i="92"/>
  <c r="I57" i="94"/>
  <c r="I66" i="91"/>
  <c r="I33" i="92"/>
  <c r="I53" i="94"/>
  <c r="I29" i="92"/>
  <c r="I61" i="91"/>
  <c r="H73" i="22"/>
  <c r="H53" i="94"/>
  <c r="H61" i="91"/>
  <c r="H29" i="92"/>
  <c r="Q11" i="77"/>
  <c r="H45" i="94"/>
  <c r="H41" i="92"/>
  <c r="H75" i="91"/>
  <c r="H43" i="94"/>
  <c r="H70" i="91"/>
  <c r="H37" i="92"/>
  <c r="H61" i="94"/>
  <c r="H74" i="91"/>
  <c r="H40" i="92"/>
  <c r="Q21" i="77"/>
  <c r="H51" i="94"/>
  <c r="H58" i="91"/>
  <c r="H27" i="92"/>
  <c r="G73" i="22"/>
  <c r="Q19" i="77"/>
  <c r="H57" i="94"/>
  <c r="H33" i="92"/>
  <c r="H66" i="91"/>
  <c r="H44" i="94"/>
  <c r="H39" i="92"/>
  <c r="H73" i="91"/>
  <c r="H68" i="22"/>
  <c r="I44" i="94"/>
  <c r="I73" i="91"/>
  <c r="I39" i="92"/>
  <c r="I45" i="94"/>
  <c r="I41" i="92"/>
  <c r="I75" i="91"/>
  <c r="I43" i="94"/>
  <c r="I37" i="92"/>
  <c r="I70" i="91"/>
  <c r="I61" i="94"/>
  <c r="I74" i="91"/>
  <c r="I40" i="92"/>
  <c r="I51" i="94"/>
  <c r="I58" i="91"/>
  <c r="I27" i="92"/>
  <c r="G69" i="22"/>
  <c r="Q27" i="77"/>
  <c r="Q9" i="77"/>
  <c r="G68" i="22"/>
  <c r="Q17" i="77"/>
  <c r="G38" i="22"/>
  <c r="Q13" i="77"/>
  <c r="AF11" i="77"/>
  <c r="AE11" i="77"/>
  <c r="AG11" i="77" s="1"/>
  <c r="S11" i="77"/>
  <c r="AF13" i="77"/>
  <c r="AG13" i="77" s="1"/>
  <c r="AE13" i="77"/>
  <c r="AE15" i="77"/>
  <c r="AG15" i="77" s="1"/>
  <c r="S15" i="77"/>
  <c r="AF15" i="77"/>
  <c r="AF17" i="77"/>
  <c r="AE17" i="77"/>
  <c r="AE27" i="77"/>
  <c r="AF27" i="77"/>
  <c r="AG27" i="77" s="1"/>
  <c r="AF29" i="77"/>
  <c r="AE29" i="77"/>
  <c r="S29" i="77"/>
  <c r="AE31" i="77"/>
  <c r="S31" i="77"/>
  <c r="AF9" i="77"/>
  <c r="AE9" i="77"/>
  <c r="AF19" i="77"/>
  <c r="AE19" i="77"/>
  <c r="AG19" i="77" s="1"/>
  <c r="S19" i="77"/>
  <c r="AF21" i="77"/>
  <c r="AE21" i="77"/>
  <c r="AG21" i="77" s="1"/>
  <c r="S21" i="77"/>
  <c r="AE23" i="77"/>
  <c r="AG23" i="77" s="1"/>
  <c r="S23" i="77"/>
  <c r="AF23" i="77"/>
  <c r="AF25" i="77"/>
  <c r="AE25" i="77"/>
  <c r="S25" i="77"/>
  <c r="AE9" i="18"/>
  <c r="AF9" i="18"/>
  <c r="AG9" i="18" s="1"/>
  <c r="Q20" i="79" l="1"/>
  <c r="S19" i="79"/>
  <c r="S23" i="79"/>
  <c r="Q32" i="77"/>
  <c r="R31" i="77"/>
  <c r="R27" i="77"/>
  <c r="Q28" i="77" s="1"/>
  <c r="R25" i="77"/>
  <c r="Q26" i="77" s="1"/>
  <c r="AG9" i="77"/>
  <c r="S9" i="77" s="1"/>
  <c r="R17" i="77"/>
  <c r="Q18" i="77" s="1"/>
  <c r="AG17" i="77"/>
  <c r="R11" i="77"/>
  <c r="Q12" i="77" s="1"/>
  <c r="R13" i="77"/>
  <c r="Q14" i="77" s="1"/>
  <c r="R9" i="77"/>
  <c r="Q10" i="77" s="1"/>
  <c r="R19" i="77"/>
  <c r="Q20" i="77" s="1"/>
  <c r="R21" i="77"/>
  <c r="Q22" i="77" s="1"/>
  <c r="S27" i="77"/>
  <c r="S17" i="77"/>
  <c r="S13" i="77"/>
  <c r="F2" i="22" l="1"/>
  <c r="A2" i="22"/>
  <c r="B19" i="22" l="1"/>
  <c r="B8" i="22"/>
  <c r="B12" i="22"/>
  <c r="B7" i="22"/>
  <c r="B11" i="22"/>
  <c r="B26" i="22"/>
  <c r="B18" i="22"/>
  <c r="K3" i="61" l="1"/>
  <c r="K3" i="28"/>
  <c r="K3" i="29"/>
  <c r="K3" i="32"/>
  <c r="K3" i="27"/>
  <c r="C3" i="48"/>
  <c r="C3" i="49"/>
  <c r="C3" i="38"/>
  <c r="C3" i="29"/>
  <c r="C3" i="32"/>
  <c r="C3" i="28"/>
  <c r="C3" i="61"/>
  <c r="C3" i="27"/>
  <c r="K3" i="26"/>
  <c r="C3" i="26"/>
  <c r="P23" i="18" l="1"/>
  <c r="O23" i="18"/>
  <c r="P15" i="18"/>
  <c r="O15" i="18"/>
  <c r="H8" i="94" l="1"/>
  <c r="H16" i="92"/>
  <c r="H31" i="91"/>
  <c r="I8" i="94"/>
  <c r="I31" i="91"/>
  <c r="I16" i="92"/>
  <c r="Q15" i="18"/>
  <c r="R15" i="18" s="1"/>
  <c r="H13" i="94"/>
  <c r="H11" i="92"/>
  <c r="H25" i="91"/>
  <c r="I13" i="94"/>
  <c r="I25" i="91"/>
  <c r="I11" i="92"/>
  <c r="Q23" i="18"/>
  <c r="R23" i="18" s="1"/>
  <c r="C26" i="22" l="1"/>
  <c r="D26" i="22"/>
  <c r="E26" i="22"/>
  <c r="F26" i="22"/>
  <c r="C11" i="22"/>
  <c r="D11" i="22"/>
  <c r="E11" i="22"/>
  <c r="F11" i="22"/>
  <c r="G11" i="22"/>
  <c r="C7" i="22"/>
  <c r="D7" i="22"/>
  <c r="E7" i="22"/>
  <c r="F7" i="22"/>
  <c r="C12" i="22"/>
  <c r="D12" i="22"/>
  <c r="E12" i="22"/>
  <c r="F12" i="22"/>
  <c r="C8" i="22"/>
  <c r="D8" i="22"/>
  <c r="E8" i="22"/>
  <c r="F8" i="22"/>
  <c r="C19" i="22"/>
  <c r="D19" i="22"/>
  <c r="E19" i="22"/>
  <c r="F19" i="22"/>
  <c r="G19" i="22"/>
  <c r="C30" i="26" l="1"/>
  <c r="C28" i="26"/>
  <c r="C26" i="26"/>
  <c r="C24" i="26"/>
  <c r="C22" i="26"/>
  <c r="C20" i="26"/>
  <c r="C18" i="26"/>
  <c r="C16" i="26"/>
  <c r="C14" i="26"/>
  <c r="C12" i="26"/>
  <c r="C10" i="26"/>
  <c r="O30" i="61" l="1"/>
  <c r="N29" i="61"/>
  <c r="V31" i="79" s="1"/>
  <c r="K29" i="61"/>
  <c r="U31" i="79" s="1"/>
  <c r="G29" i="61"/>
  <c r="T31" i="79" s="1"/>
  <c r="O28" i="61"/>
  <c r="N27" i="61"/>
  <c r="V29" i="79" s="1"/>
  <c r="K27" i="61"/>
  <c r="U29" i="79" s="1"/>
  <c r="G27" i="61"/>
  <c r="T29" i="79" s="1"/>
  <c r="O26" i="61"/>
  <c r="N25" i="61"/>
  <c r="V27" i="79" s="1"/>
  <c r="K25" i="61"/>
  <c r="U27" i="79" s="1"/>
  <c r="G25" i="61"/>
  <c r="T27" i="79" s="1"/>
  <c r="O24" i="61"/>
  <c r="N23" i="61"/>
  <c r="V25" i="79" s="1"/>
  <c r="K23" i="61"/>
  <c r="U25" i="79" s="1"/>
  <c r="G23" i="61"/>
  <c r="T25" i="79" s="1"/>
  <c r="O22" i="61"/>
  <c r="N21" i="61"/>
  <c r="V23" i="79" s="1"/>
  <c r="K21" i="61"/>
  <c r="U23" i="79" s="1"/>
  <c r="G21" i="61"/>
  <c r="T23" i="79" s="1"/>
  <c r="O20" i="61"/>
  <c r="N19" i="61"/>
  <c r="V21" i="79" s="1"/>
  <c r="K19" i="61"/>
  <c r="U21" i="79" s="1"/>
  <c r="G19" i="61"/>
  <c r="T21" i="79" s="1"/>
  <c r="O18" i="61"/>
  <c r="N17" i="61"/>
  <c r="V19" i="79" s="1"/>
  <c r="K17" i="61"/>
  <c r="U19" i="79" s="1"/>
  <c r="G17" i="61"/>
  <c r="T19" i="79" s="1"/>
  <c r="O16" i="61"/>
  <c r="N15" i="61"/>
  <c r="V17" i="79" s="1"/>
  <c r="K15" i="61"/>
  <c r="U17" i="79" s="1"/>
  <c r="G15" i="61"/>
  <c r="T17" i="79" s="1"/>
  <c r="O14" i="61"/>
  <c r="N13" i="61"/>
  <c r="V15" i="79" s="1"/>
  <c r="K13" i="61"/>
  <c r="U15" i="79" s="1"/>
  <c r="G13" i="61"/>
  <c r="T15" i="79" s="1"/>
  <c r="O12" i="61"/>
  <c r="N11" i="61"/>
  <c r="V13" i="79" s="1"/>
  <c r="K11" i="61"/>
  <c r="U13" i="79" s="1"/>
  <c r="G11" i="61"/>
  <c r="T13" i="79" s="1"/>
  <c r="O10" i="61"/>
  <c r="N9" i="61"/>
  <c r="V11" i="79" s="1"/>
  <c r="K9" i="61"/>
  <c r="U11" i="79" s="1"/>
  <c r="G9" i="61"/>
  <c r="T11" i="79" s="1"/>
  <c r="O8" i="61"/>
  <c r="N7" i="61"/>
  <c r="V9" i="79" s="1"/>
  <c r="K7" i="61"/>
  <c r="U9" i="79" s="1"/>
  <c r="G7" i="61"/>
  <c r="T9" i="79" s="1"/>
  <c r="F3" i="61"/>
  <c r="C2" i="61"/>
  <c r="U28" i="79" l="1"/>
  <c r="U30" i="79"/>
  <c r="U32" i="79"/>
  <c r="L39" i="94"/>
  <c r="L33" i="91"/>
  <c r="L38" i="94"/>
  <c r="L23" i="91"/>
  <c r="L37" i="94"/>
  <c r="L18" i="91"/>
  <c r="L18" i="94"/>
  <c r="L16" i="91"/>
  <c r="L47" i="92"/>
  <c r="L19" i="94"/>
  <c r="L10" i="92"/>
  <c r="L24" i="91"/>
  <c r="L17" i="94"/>
  <c r="L15" i="91"/>
  <c r="L8" i="92"/>
  <c r="L20" i="94"/>
  <c r="L30" i="91"/>
  <c r="L15" i="92"/>
  <c r="L16" i="94"/>
  <c r="L11" i="91"/>
  <c r="L6" i="92"/>
  <c r="U26" i="79"/>
  <c r="U24" i="79"/>
  <c r="K39" i="94"/>
  <c r="K33" i="91"/>
  <c r="U22" i="79"/>
  <c r="K38" i="94"/>
  <c r="K23" i="91"/>
  <c r="U20" i="79"/>
  <c r="K37" i="94"/>
  <c r="K18" i="91"/>
  <c r="U18" i="79"/>
  <c r="K18" i="94"/>
  <c r="K47" i="92"/>
  <c r="K16" i="91"/>
  <c r="U16" i="79"/>
  <c r="K19" i="94"/>
  <c r="K10" i="92"/>
  <c r="K24" i="91"/>
  <c r="K17" i="94"/>
  <c r="U14" i="79"/>
  <c r="K15" i="91"/>
  <c r="K8" i="92"/>
  <c r="K20" i="94"/>
  <c r="U12" i="79"/>
  <c r="K30" i="91"/>
  <c r="K15" i="92"/>
  <c r="U10" i="79"/>
  <c r="K16" i="94"/>
  <c r="K6" i="92"/>
  <c r="K11" i="91"/>
  <c r="J39" i="94"/>
  <c r="J33" i="91"/>
  <c r="J38" i="94"/>
  <c r="J23" i="91"/>
  <c r="J37" i="94"/>
  <c r="J18" i="91"/>
  <c r="J18" i="94"/>
  <c r="J16" i="91"/>
  <c r="J47" i="92"/>
  <c r="J19" i="94"/>
  <c r="J10" i="92"/>
  <c r="J24" i="91"/>
  <c r="J17" i="94"/>
  <c r="J15" i="91"/>
  <c r="J8" i="92"/>
  <c r="J20" i="94"/>
  <c r="J15" i="92"/>
  <c r="J30" i="91"/>
  <c r="J16" i="94"/>
  <c r="J11" i="91"/>
  <c r="J6" i="92"/>
  <c r="I13" i="22"/>
  <c r="T12" i="79"/>
  <c r="T14" i="79"/>
  <c r="T16" i="79"/>
  <c r="I9" i="22"/>
  <c r="T18" i="79"/>
  <c r="T20" i="79"/>
  <c r="I31" i="22"/>
  <c r="T22" i="79"/>
  <c r="I30" i="22"/>
  <c r="T24" i="79"/>
  <c r="T26" i="79"/>
  <c r="T28" i="79"/>
  <c r="T30" i="79"/>
  <c r="T32" i="79"/>
  <c r="J9" i="22"/>
  <c r="J31" i="22"/>
  <c r="J30" i="22"/>
  <c r="V10" i="79"/>
  <c r="V14" i="79"/>
  <c r="K9" i="22"/>
  <c r="V18" i="79"/>
  <c r="V22" i="79"/>
  <c r="K30" i="22"/>
  <c r="V26" i="79"/>
  <c r="V28" i="79"/>
  <c r="V30" i="79"/>
  <c r="V32" i="79"/>
  <c r="T10" i="79"/>
  <c r="J13" i="22"/>
  <c r="K13" i="22"/>
  <c r="V12" i="79"/>
  <c r="V16" i="79"/>
  <c r="K31" i="22"/>
  <c r="V20" i="79"/>
  <c r="AA31" i="18"/>
  <c r="AC31" i="18" s="1"/>
  <c r="AD31" i="18" s="1"/>
  <c r="AF31" i="18" s="1"/>
  <c r="P31" i="18"/>
  <c r="O31" i="18"/>
  <c r="AA29" i="18"/>
  <c r="AC29" i="18" s="1"/>
  <c r="AD29" i="18" s="1"/>
  <c r="P29" i="18"/>
  <c r="O29" i="18"/>
  <c r="AA27" i="18"/>
  <c r="AC27" i="18" s="1"/>
  <c r="AD27" i="18" s="1"/>
  <c r="P27" i="18"/>
  <c r="O27" i="18"/>
  <c r="AA25" i="18"/>
  <c r="AC25" i="18" s="1"/>
  <c r="AD25" i="18" s="1"/>
  <c r="P25" i="18"/>
  <c r="O25" i="18"/>
  <c r="AA23" i="18"/>
  <c r="AC23" i="18" s="1"/>
  <c r="AD23" i="18" s="1"/>
  <c r="Q24" i="18"/>
  <c r="AA21" i="18"/>
  <c r="AC21" i="18" s="1"/>
  <c r="AD21" i="18" s="1"/>
  <c r="P21" i="18"/>
  <c r="O21" i="18"/>
  <c r="AA19" i="18"/>
  <c r="AC19" i="18" s="1"/>
  <c r="AD19" i="18" s="1"/>
  <c r="P19" i="18"/>
  <c r="O19" i="18"/>
  <c r="AA17" i="18"/>
  <c r="AC17" i="18" s="1"/>
  <c r="AD17" i="18" s="1"/>
  <c r="P17" i="18"/>
  <c r="O17" i="18"/>
  <c r="AA15" i="18"/>
  <c r="AC15" i="18" s="1"/>
  <c r="AD15" i="18" s="1"/>
  <c r="AA13" i="18"/>
  <c r="AC13" i="18" s="1"/>
  <c r="AD13" i="18" s="1"/>
  <c r="P13" i="18"/>
  <c r="O13" i="18"/>
  <c r="AA11" i="18"/>
  <c r="AC11" i="18" s="1"/>
  <c r="AD11" i="18" s="1"/>
  <c r="P11" i="18"/>
  <c r="O11" i="18"/>
  <c r="P9" i="18"/>
  <c r="O9" i="18"/>
  <c r="H9" i="94" l="1"/>
  <c r="H32" i="91"/>
  <c r="H17" i="92"/>
  <c r="H11" i="94"/>
  <c r="H12" i="91"/>
  <c r="H7" i="92"/>
  <c r="I14" i="94"/>
  <c r="I28" i="91"/>
  <c r="I13" i="92"/>
  <c r="I7" i="94"/>
  <c r="I14" i="92"/>
  <c r="I29" i="91"/>
  <c r="H6" i="94"/>
  <c r="H26" i="91"/>
  <c r="H12" i="92"/>
  <c r="I9" i="94"/>
  <c r="I32" i="91"/>
  <c r="I17" i="92"/>
  <c r="I11" i="94"/>
  <c r="I7" i="92"/>
  <c r="I12" i="91"/>
  <c r="H12" i="94"/>
  <c r="H17" i="91"/>
  <c r="H9" i="92"/>
  <c r="I6" i="94"/>
  <c r="I26" i="91"/>
  <c r="I12" i="92"/>
  <c r="H7" i="94"/>
  <c r="H29" i="91"/>
  <c r="H14" i="92"/>
  <c r="H14" i="94"/>
  <c r="H28" i="91"/>
  <c r="H13" i="92"/>
  <c r="I12" i="94"/>
  <c r="I17" i="91"/>
  <c r="I9" i="92"/>
  <c r="AF21" i="18"/>
  <c r="AG21" i="18" s="1"/>
  <c r="AE21" i="18"/>
  <c r="S21" i="18"/>
  <c r="AF27" i="18"/>
  <c r="S27" i="18"/>
  <c r="AE27" i="18"/>
  <c r="AF11" i="18"/>
  <c r="AG11" i="18" s="1"/>
  <c r="AE11" i="18"/>
  <c r="S11" i="18"/>
  <c r="AE19" i="18"/>
  <c r="AF19" i="18"/>
  <c r="AG19" i="18" s="1"/>
  <c r="S19" i="18"/>
  <c r="S25" i="18"/>
  <c r="AF25" i="18"/>
  <c r="AE25" i="18"/>
  <c r="AE13" i="18"/>
  <c r="S13" i="18"/>
  <c r="AF13" i="18"/>
  <c r="AG13" i="18" s="1"/>
  <c r="S17" i="18"/>
  <c r="AE17" i="18"/>
  <c r="AF17" i="18"/>
  <c r="AG17" i="18" s="1"/>
  <c r="AE23" i="18"/>
  <c r="S23" i="18"/>
  <c r="AF23" i="18"/>
  <c r="AG23" i="18" s="1"/>
  <c r="AE31" i="18"/>
  <c r="S31" i="18"/>
  <c r="S15" i="18"/>
  <c r="AF15" i="18"/>
  <c r="AG15" i="18" s="1"/>
  <c r="AE15" i="18"/>
  <c r="AF29" i="18"/>
  <c r="AE29" i="18"/>
  <c r="S29" i="18"/>
  <c r="X10" i="79"/>
  <c r="M16" i="94" s="1"/>
  <c r="W10" i="79"/>
  <c r="W28" i="79"/>
  <c r="X28" i="79"/>
  <c r="W26" i="79"/>
  <c r="X26" i="79"/>
  <c r="X24" i="79"/>
  <c r="M39" i="94" s="1"/>
  <c r="W24" i="79"/>
  <c r="X18" i="79"/>
  <c r="M18" i="94" s="1"/>
  <c r="W18" i="79"/>
  <c r="X16" i="79"/>
  <c r="M19" i="94" s="1"/>
  <c r="W16" i="79"/>
  <c r="W12" i="79"/>
  <c r="X12" i="79" s="1"/>
  <c r="M20" i="94" s="1"/>
  <c r="W32" i="79"/>
  <c r="X32" i="79"/>
  <c r="W30" i="79"/>
  <c r="X30" i="79"/>
  <c r="X22" i="79"/>
  <c r="M38" i="94" s="1"/>
  <c r="W22" i="79"/>
  <c r="X20" i="79"/>
  <c r="M37" i="94" s="1"/>
  <c r="W20" i="79"/>
  <c r="W14" i="79"/>
  <c r="X14" i="79"/>
  <c r="M17" i="94" s="1"/>
  <c r="Q27" i="18"/>
  <c r="Q25" i="18"/>
  <c r="R25" i="18" s="1"/>
  <c r="Q26" i="18" s="1"/>
  <c r="Q31" i="18"/>
  <c r="H19" i="22"/>
  <c r="H8" i="22"/>
  <c r="H12" i="22"/>
  <c r="H7" i="22"/>
  <c r="H11" i="22"/>
  <c r="H26" i="22"/>
  <c r="H18" i="22"/>
  <c r="G18" i="22"/>
  <c r="Q29" i="18"/>
  <c r="Q13" i="18"/>
  <c r="R13" i="18" s="1"/>
  <c r="G26" i="22"/>
  <c r="Q17" i="18"/>
  <c r="R17" i="18" s="1"/>
  <c r="G7" i="22"/>
  <c r="Q19" i="18"/>
  <c r="R19" i="18" s="1"/>
  <c r="G12" i="22"/>
  <c r="Q21" i="18"/>
  <c r="G8" i="22"/>
  <c r="Q11" i="18"/>
  <c r="R11" i="18" s="1"/>
  <c r="Q9" i="18"/>
  <c r="Q16" i="18"/>
  <c r="R31" i="18" l="1"/>
  <c r="Q32" i="18" s="1"/>
  <c r="R27" i="18"/>
  <c r="Q28" i="18" s="1"/>
  <c r="R29" i="18"/>
  <c r="Q30" i="18" s="1"/>
  <c r="R21" i="18"/>
  <c r="Q22" i="18" s="1"/>
  <c r="M33" i="91"/>
  <c r="M23" i="91"/>
  <c r="M18" i="91"/>
  <c r="M47" i="92"/>
  <c r="M16" i="91"/>
  <c r="M10" i="92"/>
  <c r="M24" i="91"/>
  <c r="M15" i="91"/>
  <c r="M8" i="92"/>
  <c r="M30" i="91"/>
  <c r="M15" i="92"/>
  <c r="M6" i="92"/>
  <c r="M11" i="91"/>
  <c r="L30" i="22"/>
  <c r="L31" i="22"/>
  <c r="L9" i="22"/>
  <c r="L13" i="22"/>
  <c r="S9" i="18"/>
  <c r="R9" i="18"/>
  <c r="Q10" i="18" s="1"/>
  <c r="Q20" i="18"/>
  <c r="Q18" i="18"/>
  <c r="Q14" i="18"/>
  <c r="Q12" i="18"/>
  <c r="O30" i="49" l="1"/>
  <c r="N29" i="49"/>
  <c r="V31" i="85" s="1"/>
  <c r="K29" i="49"/>
  <c r="U31" i="85" s="1"/>
  <c r="G29" i="49"/>
  <c r="T31" i="85" s="1"/>
  <c r="O28" i="49"/>
  <c r="N27" i="49"/>
  <c r="V29" i="85" s="1"/>
  <c r="K27" i="49"/>
  <c r="U29" i="85" s="1"/>
  <c r="G27" i="49"/>
  <c r="T29" i="85" s="1"/>
  <c r="O26" i="49"/>
  <c r="N25" i="49"/>
  <c r="V27" i="85" s="1"/>
  <c r="K25" i="49"/>
  <c r="U27" i="85" s="1"/>
  <c r="G25" i="49"/>
  <c r="T27" i="85" s="1"/>
  <c r="O24" i="49"/>
  <c r="N23" i="49"/>
  <c r="V25" i="85" s="1"/>
  <c r="K23" i="49"/>
  <c r="U25" i="85" s="1"/>
  <c r="G23" i="49"/>
  <c r="T25" i="85" s="1"/>
  <c r="O22" i="49"/>
  <c r="N21" i="49"/>
  <c r="V23" i="85" s="1"/>
  <c r="K21" i="49"/>
  <c r="U23" i="85" s="1"/>
  <c r="G21" i="49"/>
  <c r="T23" i="85" s="1"/>
  <c r="O20" i="49"/>
  <c r="N19" i="49"/>
  <c r="V21" i="85" s="1"/>
  <c r="K19" i="49"/>
  <c r="U21" i="85" s="1"/>
  <c r="G19" i="49"/>
  <c r="T21" i="85" s="1"/>
  <c r="O18" i="49"/>
  <c r="N17" i="49"/>
  <c r="V19" i="85" s="1"/>
  <c r="K17" i="49"/>
  <c r="U19" i="85" s="1"/>
  <c r="G17" i="49"/>
  <c r="T19" i="85" s="1"/>
  <c r="O16" i="49"/>
  <c r="N15" i="49"/>
  <c r="V17" i="85" s="1"/>
  <c r="K15" i="49"/>
  <c r="U17" i="85" s="1"/>
  <c r="G15" i="49"/>
  <c r="T17" i="85" s="1"/>
  <c r="O14" i="49"/>
  <c r="N13" i="49"/>
  <c r="V15" i="85" s="1"/>
  <c r="K13" i="49"/>
  <c r="U15" i="85" s="1"/>
  <c r="G13" i="49"/>
  <c r="T15" i="85" s="1"/>
  <c r="O12" i="49"/>
  <c r="N11" i="49"/>
  <c r="V13" i="85" s="1"/>
  <c r="K11" i="49"/>
  <c r="U13" i="85" s="1"/>
  <c r="G11" i="49"/>
  <c r="T13" i="85" s="1"/>
  <c r="O10" i="49"/>
  <c r="N9" i="49"/>
  <c r="V11" i="85" s="1"/>
  <c r="K9" i="49"/>
  <c r="U11" i="85" s="1"/>
  <c r="G9" i="49"/>
  <c r="T11" i="85" s="1"/>
  <c r="O8" i="49"/>
  <c r="N7" i="49"/>
  <c r="V9" i="85" s="1"/>
  <c r="K7" i="49"/>
  <c r="U9" i="85" s="1"/>
  <c r="G7" i="49"/>
  <c r="T9" i="85" s="1"/>
  <c r="F3" i="49"/>
  <c r="C2" i="49"/>
  <c r="O30" i="48"/>
  <c r="N29" i="48"/>
  <c r="V31" i="84" s="1"/>
  <c r="K29" i="48"/>
  <c r="U31" i="84" s="1"/>
  <c r="G29" i="48"/>
  <c r="T31" i="84" s="1"/>
  <c r="O28" i="48"/>
  <c r="N27" i="48"/>
  <c r="V29" i="84" s="1"/>
  <c r="K27" i="48"/>
  <c r="U29" i="84" s="1"/>
  <c r="G27" i="48"/>
  <c r="T29" i="84" s="1"/>
  <c r="O26" i="48"/>
  <c r="N25" i="48"/>
  <c r="V27" i="84" s="1"/>
  <c r="K25" i="48"/>
  <c r="U27" i="84" s="1"/>
  <c r="G25" i="48"/>
  <c r="T27" i="84" s="1"/>
  <c r="O24" i="48"/>
  <c r="N23" i="48"/>
  <c r="V25" i="84" s="1"/>
  <c r="K23" i="48"/>
  <c r="U25" i="84" s="1"/>
  <c r="G23" i="48"/>
  <c r="T25" i="84" s="1"/>
  <c r="O22" i="48"/>
  <c r="N21" i="48"/>
  <c r="V23" i="84" s="1"/>
  <c r="K21" i="48"/>
  <c r="U23" i="84" s="1"/>
  <c r="G21" i="48"/>
  <c r="T23" i="84" s="1"/>
  <c r="O20" i="48"/>
  <c r="N19" i="48"/>
  <c r="V21" i="84" s="1"/>
  <c r="K19" i="48"/>
  <c r="U21" i="84" s="1"/>
  <c r="G19" i="48"/>
  <c r="T21" i="84" s="1"/>
  <c r="O18" i="48"/>
  <c r="N17" i="48"/>
  <c r="V19" i="84" s="1"/>
  <c r="K17" i="48"/>
  <c r="U19" i="84" s="1"/>
  <c r="G17" i="48"/>
  <c r="T19" i="84" s="1"/>
  <c r="O16" i="48"/>
  <c r="N15" i="48"/>
  <c r="V17" i="84" s="1"/>
  <c r="K15" i="48"/>
  <c r="U17" i="84" s="1"/>
  <c r="G15" i="48"/>
  <c r="T17" i="84" s="1"/>
  <c r="O14" i="48"/>
  <c r="N13" i="48"/>
  <c r="V15" i="84" s="1"/>
  <c r="K13" i="48"/>
  <c r="U15" i="84" s="1"/>
  <c r="G13" i="48"/>
  <c r="T15" i="84" s="1"/>
  <c r="O12" i="48"/>
  <c r="N11" i="48"/>
  <c r="V13" i="84" s="1"/>
  <c r="K11" i="48"/>
  <c r="U13" i="84" s="1"/>
  <c r="G11" i="48"/>
  <c r="T13" i="84" s="1"/>
  <c r="O10" i="48"/>
  <c r="N9" i="48"/>
  <c r="V11" i="84" s="1"/>
  <c r="K9" i="48"/>
  <c r="U11" i="84" s="1"/>
  <c r="G9" i="48"/>
  <c r="T11" i="84" s="1"/>
  <c r="O8" i="48"/>
  <c r="N7" i="48"/>
  <c r="V9" i="84" s="1"/>
  <c r="K7" i="48"/>
  <c r="U9" i="84" s="1"/>
  <c r="G7" i="48"/>
  <c r="T9" i="84" s="1"/>
  <c r="F3" i="48"/>
  <c r="C2" i="48"/>
  <c r="G7" i="38"/>
  <c r="T9" i="83" s="1"/>
  <c r="K7" i="38"/>
  <c r="U9" i="83" s="1"/>
  <c r="N7" i="38"/>
  <c r="V9" i="83" s="1"/>
  <c r="G7" i="26"/>
  <c r="T9" i="18" s="1"/>
  <c r="K7" i="26"/>
  <c r="U9" i="18" s="1"/>
  <c r="N7" i="26"/>
  <c r="V9" i="18" s="1"/>
  <c r="G29" i="38"/>
  <c r="T31" i="83" s="1"/>
  <c r="K29" i="38"/>
  <c r="U31" i="83" s="1"/>
  <c r="N29" i="38"/>
  <c r="V31" i="83" s="1"/>
  <c r="G27" i="38"/>
  <c r="T29" i="83" s="1"/>
  <c r="K27" i="38"/>
  <c r="U29" i="83" s="1"/>
  <c r="N27" i="38"/>
  <c r="V29" i="83" s="1"/>
  <c r="G25" i="38"/>
  <c r="T27" i="83" s="1"/>
  <c r="K25" i="38"/>
  <c r="U27" i="83" s="1"/>
  <c r="N25" i="38"/>
  <c r="V27" i="83" s="1"/>
  <c r="G23" i="38"/>
  <c r="T25" i="83" s="1"/>
  <c r="K23" i="38"/>
  <c r="U25" i="83" s="1"/>
  <c r="N23" i="38"/>
  <c r="V25" i="83" s="1"/>
  <c r="G21" i="38"/>
  <c r="T23" i="83" s="1"/>
  <c r="K21" i="38"/>
  <c r="U23" i="83" s="1"/>
  <c r="N21" i="38"/>
  <c r="V23" i="83" s="1"/>
  <c r="G19" i="38"/>
  <c r="T21" i="83" s="1"/>
  <c r="K19" i="38"/>
  <c r="U21" i="83" s="1"/>
  <c r="N19" i="38"/>
  <c r="V21" i="83" s="1"/>
  <c r="G17" i="38"/>
  <c r="T19" i="83" s="1"/>
  <c r="K17" i="38"/>
  <c r="U19" i="83" s="1"/>
  <c r="N17" i="38"/>
  <c r="V19" i="83" s="1"/>
  <c r="G15" i="38"/>
  <c r="T17" i="83" s="1"/>
  <c r="K15" i="38"/>
  <c r="U17" i="83" s="1"/>
  <c r="N15" i="38"/>
  <c r="V17" i="83" s="1"/>
  <c r="G13" i="38"/>
  <c r="T15" i="83" s="1"/>
  <c r="K13" i="38"/>
  <c r="U15" i="83" s="1"/>
  <c r="N13" i="38"/>
  <c r="V15" i="83" s="1"/>
  <c r="G11" i="38"/>
  <c r="T13" i="83" s="1"/>
  <c r="K11" i="38"/>
  <c r="U13" i="83" s="1"/>
  <c r="N11" i="38"/>
  <c r="V13" i="83" s="1"/>
  <c r="G9" i="38"/>
  <c r="T11" i="83" s="1"/>
  <c r="K9" i="38"/>
  <c r="U11" i="83" s="1"/>
  <c r="N9" i="38"/>
  <c r="V11" i="83" s="1"/>
  <c r="G29" i="32"/>
  <c r="T31" i="82" s="1"/>
  <c r="K29" i="32"/>
  <c r="U31" i="82" s="1"/>
  <c r="N29" i="32"/>
  <c r="V31" i="82" s="1"/>
  <c r="G27" i="32"/>
  <c r="T29" i="82" s="1"/>
  <c r="K27" i="32"/>
  <c r="U29" i="82" s="1"/>
  <c r="N27" i="32"/>
  <c r="V29" i="82" s="1"/>
  <c r="G25" i="32"/>
  <c r="T27" i="82" s="1"/>
  <c r="K25" i="32"/>
  <c r="U27" i="82" s="1"/>
  <c r="N25" i="32"/>
  <c r="V27" i="82" s="1"/>
  <c r="G23" i="32"/>
  <c r="T25" i="82" s="1"/>
  <c r="K23" i="32"/>
  <c r="U25" i="82" s="1"/>
  <c r="N23" i="32"/>
  <c r="V25" i="82" s="1"/>
  <c r="G21" i="32"/>
  <c r="T23" i="82" s="1"/>
  <c r="K21" i="32"/>
  <c r="U23" i="82" s="1"/>
  <c r="N21" i="32"/>
  <c r="V23" i="82" s="1"/>
  <c r="G19" i="32"/>
  <c r="T21" i="82" s="1"/>
  <c r="K19" i="32"/>
  <c r="U21" i="82" s="1"/>
  <c r="N19" i="32"/>
  <c r="V21" i="82" s="1"/>
  <c r="G17" i="32"/>
  <c r="T19" i="82" s="1"/>
  <c r="K17" i="32"/>
  <c r="U19" i="82" s="1"/>
  <c r="N17" i="32"/>
  <c r="V19" i="82" s="1"/>
  <c r="G15" i="32"/>
  <c r="T17" i="82" s="1"/>
  <c r="K15" i="32"/>
  <c r="U17" i="82" s="1"/>
  <c r="N15" i="32"/>
  <c r="V17" i="82" s="1"/>
  <c r="G13" i="32"/>
  <c r="T15" i="82" s="1"/>
  <c r="K13" i="32"/>
  <c r="U15" i="82" s="1"/>
  <c r="N13" i="32"/>
  <c r="V15" i="82" s="1"/>
  <c r="G11" i="32"/>
  <c r="T13" i="82" s="1"/>
  <c r="K11" i="32"/>
  <c r="U13" i="82" s="1"/>
  <c r="N11" i="32"/>
  <c r="V13" i="82" s="1"/>
  <c r="G9" i="32"/>
  <c r="T11" i="82" s="1"/>
  <c r="K9" i="32"/>
  <c r="U11" i="82" s="1"/>
  <c r="N9" i="32"/>
  <c r="V11" i="82" s="1"/>
  <c r="G7" i="32"/>
  <c r="T9" i="82" s="1"/>
  <c r="K7" i="32"/>
  <c r="U9" i="82" s="1"/>
  <c r="N7" i="32"/>
  <c r="V9" i="82" s="1"/>
  <c r="G29" i="29"/>
  <c r="T31" i="81" s="1"/>
  <c r="K29" i="29"/>
  <c r="U31" i="81" s="1"/>
  <c r="N29" i="29"/>
  <c r="V31" i="81" s="1"/>
  <c r="G27" i="29"/>
  <c r="T29" i="81" s="1"/>
  <c r="K27" i="29"/>
  <c r="U29" i="81" s="1"/>
  <c r="N27" i="29"/>
  <c r="V29" i="81" s="1"/>
  <c r="G25" i="29"/>
  <c r="T27" i="81" s="1"/>
  <c r="K25" i="29"/>
  <c r="U27" i="81" s="1"/>
  <c r="N25" i="29"/>
  <c r="V27" i="81" s="1"/>
  <c r="G23" i="29"/>
  <c r="T25" i="81" s="1"/>
  <c r="K23" i="29"/>
  <c r="U25" i="81" s="1"/>
  <c r="N23" i="29"/>
  <c r="V25" i="81" s="1"/>
  <c r="G21" i="29"/>
  <c r="T23" i="81" s="1"/>
  <c r="K21" i="29"/>
  <c r="U23" i="81" s="1"/>
  <c r="N21" i="29"/>
  <c r="V23" i="81" s="1"/>
  <c r="G19" i="29"/>
  <c r="T21" i="81" s="1"/>
  <c r="K19" i="29"/>
  <c r="U21" i="81" s="1"/>
  <c r="N19" i="29"/>
  <c r="V21" i="81" s="1"/>
  <c r="G17" i="29"/>
  <c r="T19" i="81" s="1"/>
  <c r="K17" i="29"/>
  <c r="U19" i="81" s="1"/>
  <c r="N17" i="29"/>
  <c r="V19" i="81" s="1"/>
  <c r="G15" i="29"/>
  <c r="T17" i="81" s="1"/>
  <c r="K15" i="29"/>
  <c r="U17" i="81" s="1"/>
  <c r="N15" i="29"/>
  <c r="V17" i="81" s="1"/>
  <c r="G13" i="29"/>
  <c r="T15" i="81" s="1"/>
  <c r="K13" i="29"/>
  <c r="U15" i="81" s="1"/>
  <c r="N13" i="29"/>
  <c r="V15" i="81" s="1"/>
  <c r="G11" i="29"/>
  <c r="T13" i="81" s="1"/>
  <c r="K11" i="29"/>
  <c r="U13" i="81" s="1"/>
  <c r="N11" i="29"/>
  <c r="V13" i="81" s="1"/>
  <c r="G9" i="29"/>
  <c r="T11" i="81" s="1"/>
  <c r="U11" i="81"/>
  <c r="N9" i="29"/>
  <c r="V11" i="81" s="1"/>
  <c r="G7" i="29"/>
  <c r="T9" i="81" s="1"/>
  <c r="K7" i="29"/>
  <c r="U9" i="81" s="1"/>
  <c r="N7" i="29"/>
  <c r="V9" i="81" s="1"/>
  <c r="G29" i="27"/>
  <c r="T31" i="77" s="1"/>
  <c r="K29" i="27"/>
  <c r="U31" i="77" s="1"/>
  <c r="N29" i="27"/>
  <c r="V31" i="77" s="1"/>
  <c r="G27" i="27"/>
  <c r="T29" i="77" s="1"/>
  <c r="K27" i="27"/>
  <c r="U29" i="77" s="1"/>
  <c r="N27" i="27"/>
  <c r="V29" i="77" s="1"/>
  <c r="G25" i="27"/>
  <c r="T27" i="77" s="1"/>
  <c r="K25" i="27"/>
  <c r="U27" i="77" s="1"/>
  <c r="N25" i="27"/>
  <c r="V27" i="77" s="1"/>
  <c r="G23" i="27"/>
  <c r="T25" i="77" s="1"/>
  <c r="K23" i="27"/>
  <c r="U25" i="77" s="1"/>
  <c r="N23" i="27"/>
  <c r="V25" i="77" s="1"/>
  <c r="G21" i="27"/>
  <c r="T23" i="77" s="1"/>
  <c r="K21" i="27"/>
  <c r="U23" i="77" s="1"/>
  <c r="N21" i="27"/>
  <c r="V23" i="77" s="1"/>
  <c r="G19" i="27"/>
  <c r="T21" i="77" s="1"/>
  <c r="K19" i="27"/>
  <c r="U21" i="77" s="1"/>
  <c r="N19" i="27"/>
  <c r="V21" i="77" s="1"/>
  <c r="G17" i="27"/>
  <c r="T19" i="77" s="1"/>
  <c r="K17" i="27"/>
  <c r="U19" i="77" s="1"/>
  <c r="N17" i="27"/>
  <c r="V19" i="77" s="1"/>
  <c r="G15" i="27"/>
  <c r="T17" i="77" s="1"/>
  <c r="K15" i="27"/>
  <c r="U17" i="77" s="1"/>
  <c r="N15" i="27"/>
  <c r="V17" i="77" s="1"/>
  <c r="G13" i="27"/>
  <c r="T15" i="77" s="1"/>
  <c r="K13" i="27"/>
  <c r="U15" i="77" s="1"/>
  <c r="N13" i="27"/>
  <c r="V15" i="77" s="1"/>
  <c r="G11" i="27"/>
  <c r="T13" i="77" s="1"/>
  <c r="K11" i="27"/>
  <c r="U13" i="77" s="1"/>
  <c r="N11" i="27"/>
  <c r="V13" i="77" s="1"/>
  <c r="G9" i="27"/>
  <c r="T11" i="77" s="1"/>
  <c r="K9" i="27"/>
  <c r="U11" i="77" s="1"/>
  <c r="N9" i="27"/>
  <c r="V11" i="77" s="1"/>
  <c r="G7" i="27"/>
  <c r="T9" i="77" s="1"/>
  <c r="K7" i="27"/>
  <c r="U9" i="77" s="1"/>
  <c r="N7" i="27"/>
  <c r="V9" i="77" s="1"/>
  <c r="G29" i="28"/>
  <c r="T31" i="80" s="1"/>
  <c r="K29" i="28"/>
  <c r="U31" i="80" s="1"/>
  <c r="N29" i="28"/>
  <c r="V31" i="80" s="1"/>
  <c r="G27" i="28"/>
  <c r="T29" i="80" s="1"/>
  <c r="K27" i="28"/>
  <c r="U29" i="80" s="1"/>
  <c r="N27" i="28"/>
  <c r="V29" i="80" s="1"/>
  <c r="G25" i="28"/>
  <c r="T27" i="80" s="1"/>
  <c r="K25" i="28"/>
  <c r="U27" i="80" s="1"/>
  <c r="N25" i="28"/>
  <c r="V27" i="80" s="1"/>
  <c r="G23" i="28"/>
  <c r="T25" i="80" s="1"/>
  <c r="K23" i="28"/>
  <c r="U25" i="80" s="1"/>
  <c r="N23" i="28"/>
  <c r="V25" i="80" s="1"/>
  <c r="G21" i="28"/>
  <c r="T23" i="80" s="1"/>
  <c r="K21" i="28"/>
  <c r="U23" i="80" s="1"/>
  <c r="N21" i="28"/>
  <c r="V23" i="80" s="1"/>
  <c r="G19" i="28"/>
  <c r="T21" i="80" s="1"/>
  <c r="K19" i="28"/>
  <c r="U21" i="80" s="1"/>
  <c r="N19" i="28"/>
  <c r="V21" i="80" s="1"/>
  <c r="G17" i="28"/>
  <c r="T19" i="80" s="1"/>
  <c r="K17" i="28"/>
  <c r="U19" i="80" s="1"/>
  <c r="N17" i="28"/>
  <c r="V19" i="80" s="1"/>
  <c r="G15" i="28"/>
  <c r="T17" i="80" s="1"/>
  <c r="K15" i="28"/>
  <c r="U17" i="80" s="1"/>
  <c r="N15" i="28"/>
  <c r="V17" i="80" s="1"/>
  <c r="T15" i="80"/>
  <c r="K13" i="28"/>
  <c r="U15" i="80" s="1"/>
  <c r="N13" i="28"/>
  <c r="V15" i="80" s="1"/>
  <c r="G11" i="28"/>
  <c r="T13" i="80" s="1"/>
  <c r="K11" i="28"/>
  <c r="U13" i="80" s="1"/>
  <c r="N11" i="28"/>
  <c r="V13" i="80" s="1"/>
  <c r="G9" i="28"/>
  <c r="T11" i="80" s="1"/>
  <c r="K9" i="28"/>
  <c r="U11" i="80" s="1"/>
  <c r="N9" i="28"/>
  <c r="V11" i="80" s="1"/>
  <c r="G7" i="28"/>
  <c r="T9" i="80" s="1"/>
  <c r="K7" i="28"/>
  <c r="U9" i="80" s="1"/>
  <c r="N7" i="28"/>
  <c r="V9" i="80" s="1"/>
  <c r="G29" i="26"/>
  <c r="K29" i="26"/>
  <c r="N29" i="26"/>
  <c r="G27" i="26"/>
  <c r="T29" i="18" s="1"/>
  <c r="K27" i="26"/>
  <c r="U29" i="18" s="1"/>
  <c r="N27" i="26"/>
  <c r="V29" i="18" s="1"/>
  <c r="G25" i="26"/>
  <c r="K25" i="26"/>
  <c r="N25" i="26"/>
  <c r="G23" i="26"/>
  <c r="K23" i="26"/>
  <c r="N23" i="26"/>
  <c r="G21" i="26"/>
  <c r="K21" i="26"/>
  <c r="N21" i="26"/>
  <c r="G19" i="26"/>
  <c r="K19" i="26"/>
  <c r="U21" i="18" s="1"/>
  <c r="N19" i="26"/>
  <c r="G15" i="26"/>
  <c r="K15" i="26"/>
  <c r="N15" i="26"/>
  <c r="G13" i="26"/>
  <c r="K13" i="26"/>
  <c r="N13" i="26"/>
  <c r="G17" i="26"/>
  <c r="K17" i="26"/>
  <c r="N17" i="26"/>
  <c r="G11" i="26"/>
  <c r="K11" i="26"/>
  <c r="N11" i="26"/>
  <c r="G9" i="26"/>
  <c r="K9" i="26"/>
  <c r="N9" i="26"/>
  <c r="O30" i="38"/>
  <c r="O28" i="38"/>
  <c r="O26" i="38"/>
  <c r="O24" i="38"/>
  <c r="O22" i="38"/>
  <c r="O20" i="38"/>
  <c r="O18" i="38"/>
  <c r="O16" i="38"/>
  <c r="O14" i="38"/>
  <c r="O12" i="38"/>
  <c r="O10" i="38"/>
  <c r="O8" i="38"/>
  <c r="F3" i="38"/>
  <c r="C2" i="38"/>
  <c r="F3" i="32"/>
  <c r="F3" i="29"/>
  <c r="F3" i="28"/>
  <c r="F3" i="27"/>
  <c r="F3" i="26"/>
  <c r="C2" i="32"/>
  <c r="O8" i="32"/>
  <c r="O10" i="32"/>
  <c r="O12" i="32"/>
  <c r="O14" i="32"/>
  <c r="O16" i="32"/>
  <c r="O18" i="32"/>
  <c r="O20" i="32"/>
  <c r="O22" i="32"/>
  <c r="O24" i="32"/>
  <c r="O26" i="32"/>
  <c r="O28" i="32"/>
  <c r="O30" i="32"/>
  <c r="C2" i="27"/>
  <c r="C2" i="28"/>
  <c r="C2" i="29"/>
  <c r="C2" i="26"/>
  <c r="O8" i="29"/>
  <c r="O10" i="29"/>
  <c r="O12" i="29"/>
  <c r="O14" i="29"/>
  <c r="O16" i="29"/>
  <c r="O18" i="29"/>
  <c r="O20" i="29"/>
  <c r="O22" i="29"/>
  <c r="O24" i="29"/>
  <c r="O26" i="29"/>
  <c r="O28" i="29"/>
  <c r="O30" i="29"/>
  <c r="O8" i="28"/>
  <c r="O10" i="28"/>
  <c r="O12" i="28"/>
  <c r="O14" i="28"/>
  <c r="O16" i="28"/>
  <c r="O18" i="28"/>
  <c r="O20" i="28"/>
  <c r="O22" i="28"/>
  <c r="O24" i="28"/>
  <c r="O26" i="28"/>
  <c r="O28" i="28"/>
  <c r="O30" i="28"/>
  <c r="O8" i="27"/>
  <c r="O10" i="27"/>
  <c r="O12" i="27"/>
  <c r="O14" i="27"/>
  <c r="O16" i="27"/>
  <c r="O18" i="27"/>
  <c r="O20" i="27"/>
  <c r="O22" i="27"/>
  <c r="O24" i="27"/>
  <c r="O26" i="27"/>
  <c r="O28" i="27"/>
  <c r="O30" i="27"/>
  <c r="C29" i="26"/>
  <c r="B29" i="26"/>
  <c r="C27" i="26"/>
  <c r="B27" i="26"/>
  <c r="C25" i="26"/>
  <c r="B25" i="26"/>
  <c r="C23" i="26"/>
  <c r="B23" i="26"/>
  <c r="C21" i="26"/>
  <c r="B21" i="26"/>
  <c r="C19" i="26"/>
  <c r="B19" i="26"/>
  <c r="C17" i="26"/>
  <c r="B17" i="26"/>
  <c r="C15" i="26"/>
  <c r="B15" i="26"/>
  <c r="C13" i="26"/>
  <c r="B13" i="26"/>
  <c r="C11" i="26"/>
  <c r="B11" i="26"/>
  <c r="C9" i="26"/>
  <c r="B9" i="26"/>
  <c r="O30" i="26"/>
  <c r="O28" i="26"/>
  <c r="O26" i="26"/>
  <c r="O24" i="26"/>
  <c r="O22" i="26"/>
  <c r="O20" i="26"/>
  <c r="O18" i="26"/>
  <c r="O16" i="26"/>
  <c r="O14" i="26"/>
  <c r="O12" i="26"/>
  <c r="O10" i="26"/>
  <c r="O8" i="26"/>
  <c r="F18" i="22"/>
  <c r="D18" i="22"/>
  <c r="E18" i="22"/>
  <c r="C18" i="22"/>
  <c r="U26" i="81" l="1"/>
  <c r="U28" i="83"/>
  <c r="U26" i="77"/>
  <c r="U32" i="80"/>
  <c r="U32" i="77"/>
  <c r="U24" i="81"/>
  <c r="U32" i="81"/>
  <c r="U32" i="82"/>
  <c r="U26" i="84"/>
  <c r="U28" i="84"/>
  <c r="U30" i="84"/>
  <c r="U32" i="84"/>
  <c r="U30" i="18"/>
  <c r="U30" i="80"/>
  <c r="U30" i="77"/>
  <c r="U22" i="81"/>
  <c r="U30" i="81"/>
  <c r="U30" i="82"/>
  <c r="U32" i="83"/>
  <c r="U28" i="77"/>
  <c r="U28" i="81"/>
  <c r="U30" i="83"/>
  <c r="U24" i="85"/>
  <c r="U26" i="85"/>
  <c r="U28" i="85"/>
  <c r="U30" i="85"/>
  <c r="U32" i="85"/>
  <c r="L85" i="94"/>
  <c r="L79" i="91"/>
  <c r="L81" i="94"/>
  <c r="L65" i="91"/>
  <c r="L74" i="94"/>
  <c r="L38" i="91"/>
  <c r="L76" i="94"/>
  <c r="L42" i="91"/>
  <c r="L78" i="94"/>
  <c r="L45" i="91"/>
  <c r="L77" i="94"/>
  <c r="L44" i="91"/>
  <c r="L80" i="94"/>
  <c r="L50" i="91"/>
  <c r="K85" i="94"/>
  <c r="U22" i="85"/>
  <c r="K79" i="91"/>
  <c r="U20" i="85"/>
  <c r="K81" i="94"/>
  <c r="K65" i="91"/>
  <c r="K74" i="94"/>
  <c r="U18" i="85"/>
  <c r="K38" i="91"/>
  <c r="K76" i="94"/>
  <c r="U16" i="85"/>
  <c r="K42" i="91"/>
  <c r="K78" i="94"/>
  <c r="U14" i="85"/>
  <c r="K45" i="91"/>
  <c r="U12" i="85"/>
  <c r="X12" i="85" s="1"/>
  <c r="K77" i="94"/>
  <c r="K44" i="91"/>
  <c r="K80" i="94"/>
  <c r="U10" i="85"/>
  <c r="K50" i="91"/>
  <c r="J85" i="94"/>
  <c r="J79" i="91"/>
  <c r="J81" i="94"/>
  <c r="J65" i="91"/>
  <c r="J74" i="94"/>
  <c r="J38" i="91"/>
  <c r="J76" i="94"/>
  <c r="J42" i="91"/>
  <c r="J78" i="94"/>
  <c r="J45" i="91"/>
  <c r="J77" i="94"/>
  <c r="J44" i="91"/>
  <c r="J80" i="94"/>
  <c r="J50" i="91"/>
  <c r="L89" i="94"/>
  <c r="L71" i="91"/>
  <c r="L87" i="94"/>
  <c r="L52" i="91"/>
  <c r="L88" i="94"/>
  <c r="L60" i="91"/>
  <c r="L84" i="94"/>
  <c r="L77" i="91"/>
  <c r="L79" i="94"/>
  <c r="L47" i="91"/>
  <c r="L82" i="94"/>
  <c r="L76" i="91"/>
  <c r="L83" i="94"/>
  <c r="L78" i="91"/>
  <c r="L75" i="94"/>
  <c r="L41" i="91"/>
  <c r="K89" i="94"/>
  <c r="U24" i="84"/>
  <c r="K71" i="91"/>
  <c r="K87" i="94"/>
  <c r="U22" i="84"/>
  <c r="K52" i="91"/>
  <c r="K88" i="94"/>
  <c r="U20" i="84"/>
  <c r="K60" i="91"/>
  <c r="K84" i="94"/>
  <c r="U18" i="84"/>
  <c r="K77" i="91"/>
  <c r="U16" i="84"/>
  <c r="K79" i="94"/>
  <c r="K47" i="91"/>
  <c r="K82" i="94"/>
  <c r="U14" i="84"/>
  <c r="K76" i="91"/>
  <c r="K83" i="94"/>
  <c r="U12" i="84"/>
  <c r="K78" i="91"/>
  <c r="K75" i="94"/>
  <c r="U10" i="84"/>
  <c r="K41" i="91"/>
  <c r="J89" i="94"/>
  <c r="J71" i="91"/>
  <c r="J87" i="94"/>
  <c r="J52" i="91"/>
  <c r="J88" i="94"/>
  <c r="J60" i="91"/>
  <c r="J84" i="94"/>
  <c r="J77" i="91"/>
  <c r="J79" i="94"/>
  <c r="J47" i="91"/>
  <c r="J82" i="94"/>
  <c r="J76" i="91"/>
  <c r="J83" i="94"/>
  <c r="J78" i="91"/>
  <c r="J75" i="94"/>
  <c r="J41" i="91"/>
  <c r="L31" i="94"/>
  <c r="L13" i="91"/>
  <c r="L28" i="94"/>
  <c r="L6" i="91"/>
  <c r="L35" i="94"/>
  <c r="L34" i="91"/>
  <c r="L32" i="94"/>
  <c r="L14" i="91"/>
  <c r="L34" i="94"/>
  <c r="L22" i="91"/>
  <c r="L33" i="94"/>
  <c r="L21" i="91"/>
  <c r="L30" i="94"/>
  <c r="L8" i="91"/>
  <c r="L29" i="94"/>
  <c r="L7" i="91"/>
  <c r="U26" i="83"/>
  <c r="K31" i="94"/>
  <c r="U24" i="83"/>
  <c r="K13" i="91"/>
  <c r="K28" i="94"/>
  <c r="U22" i="83"/>
  <c r="K6" i="91"/>
  <c r="K35" i="94"/>
  <c r="U20" i="83"/>
  <c r="K34" i="91"/>
  <c r="K32" i="94"/>
  <c r="U18" i="83"/>
  <c r="K14" i="91"/>
  <c r="K34" i="94"/>
  <c r="U16" i="83"/>
  <c r="K22" i="91"/>
  <c r="K33" i="94"/>
  <c r="U14" i="83"/>
  <c r="K21" i="91"/>
  <c r="K30" i="94"/>
  <c r="U12" i="83"/>
  <c r="K8" i="91"/>
  <c r="K29" i="94"/>
  <c r="U10" i="83"/>
  <c r="K7" i="91"/>
  <c r="J31" i="94"/>
  <c r="J13" i="91"/>
  <c r="J28" i="94"/>
  <c r="J6" i="91"/>
  <c r="J35" i="94"/>
  <c r="J34" i="91"/>
  <c r="J32" i="94"/>
  <c r="J14" i="91"/>
  <c r="J34" i="94"/>
  <c r="J22" i="91"/>
  <c r="J33" i="94"/>
  <c r="J21" i="91"/>
  <c r="J30" i="94"/>
  <c r="J8" i="91"/>
  <c r="J29" i="94"/>
  <c r="J7" i="91"/>
  <c r="L71" i="94"/>
  <c r="L48" i="91"/>
  <c r="L70" i="94"/>
  <c r="L46" i="91"/>
  <c r="L53" i="92"/>
  <c r="L67" i="94"/>
  <c r="L39" i="91"/>
  <c r="L72" i="94"/>
  <c r="L54" i="92"/>
  <c r="L51" i="91"/>
  <c r="L69" i="94"/>
  <c r="L43" i="91"/>
  <c r="L68" i="94"/>
  <c r="L40" i="91"/>
  <c r="L63" i="94"/>
  <c r="L21" i="92"/>
  <c r="L49" i="91"/>
  <c r="L65" i="94"/>
  <c r="L34" i="92"/>
  <c r="L67" i="91"/>
  <c r="L64" i="94"/>
  <c r="L57" i="91"/>
  <c r="L26" i="92"/>
  <c r="U28" i="82"/>
  <c r="U26" i="82"/>
  <c r="K71" i="94"/>
  <c r="K48" i="91"/>
  <c r="K70" i="94"/>
  <c r="U24" i="82"/>
  <c r="K53" i="92"/>
  <c r="K46" i="91"/>
  <c r="K67" i="94"/>
  <c r="U22" i="82"/>
  <c r="K39" i="91"/>
  <c r="K72" i="94"/>
  <c r="U20" i="82"/>
  <c r="K51" i="91"/>
  <c r="K54" i="92"/>
  <c r="K69" i="94"/>
  <c r="U18" i="82"/>
  <c r="K43" i="91"/>
  <c r="K68" i="94"/>
  <c r="U16" i="82"/>
  <c r="K40" i="91"/>
  <c r="K63" i="94"/>
  <c r="U14" i="82"/>
  <c r="K21" i="92"/>
  <c r="K49" i="91"/>
  <c r="K65" i="94"/>
  <c r="U12" i="82"/>
  <c r="K34" i="92"/>
  <c r="K67" i="91"/>
  <c r="K64" i="94"/>
  <c r="U10" i="82"/>
  <c r="K26" i="92"/>
  <c r="K57" i="91"/>
  <c r="J71" i="94"/>
  <c r="J48" i="91"/>
  <c r="J70" i="94"/>
  <c r="J53" i="92"/>
  <c r="J46" i="91"/>
  <c r="J67" i="94"/>
  <c r="J39" i="91"/>
  <c r="J72" i="94"/>
  <c r="J54" i="92"/>
  <c r="J51" i="91"/>
  <c r="J69" i="94"/>
  <c r="J43" i="91"/>
  <c r="J68" i="94"/>
  <c r="J40" i="91"/>
  <c r="J63" i="94"/>
  <c r="J21" i="92"/>
  <c r="J49" i="91"/>
  <c r="J65" i="94"/>
  <c r="J34" i="92"/>
  <c r="J67" i="91"/>
  <c r="J64" i="94"/>
  <c r="J57" i="91"/>
  <c r="J26" i="92"/>
  <c r="L26" i="94"/>
  <c r="L48" i="92"/>
  <c r="L27" i="91"/>
  <c r="L23" i="94"/>
  <c r="L10" i="91"/>
  <c r="L24" i="94"/>
  <c r="L49" i="92"/>
  <c r="L19" i="91"/>
  <c r="L25" i="94"/>
  <c r="L46" i="92"/>
  <c r="L20" i="91"/>
  <c r="L22" i="94"/>
  <c r="L45" i="92"/>
  <c r="L9" i="91"/>
  <c r="U20" i="81"/>
  <c r="K26" i="94"/>
  <c r="U18" i="81"/>
  <c r="K27" i="91"/>
  <c r="K48" i="92"/>
  <c r="K23" i="94"/>
  <c r="U16" i="81"/>
  <c r="K10" i="91"/>
  <c r="U14" i="81"/>
  <c r="K24" i="94"/>
  <c r="K49" i="92"/>
  <c r="K19" i="91"/>
  <c r="U12" i="81"/>
  <c r="X12" i="81" s="1"/>
  <c r="K25" i="94"/>
  <c r="K20" i="91"/>
  <c r="K46" i="92"/>
  <c r="K22" i="94"/>
  <c r="U10" i="81"/>
  <c r="K9" i="91"/>
  <c r="K45" i="92"/>
  <c r="J26" i="94"/>
  <c r="J48" i="92"/>
  <c r="J27" i="91"/>
  <c r="J23" i="94"/>
  <c r="J10" i="91"/>
  <c r="J24" i="94"/>
  <c r="J49" i="92"/>
  <c r="J19" i="91"/>
  <c r="J25" i="94"/>
  <c r="J46" i="92"/>
  <c r="J20" i="91"/>
  <c r="J22" i="94"/>
  <c r="J45" i="92"/>
  <c r="J9" i="91"/>
  <c r="L60" i="94"/>
  <c r="L72" i="91"/>
  <c r="L38" i="92"/>
  <c r="L59" i="94"/>
  <c r="L69" i="91"/>
  <c r="L36" i="92"/>
  <c r="L54" i="94"/>
  <c r="L62" i="91"/>
  <c r="L30" i="92"/>
  <c r="L52" i="94"/>
  <c r="L28" i="92"/>
  <c r="L59" i="91"/>
  <c r="L48" i="94"/>
  <c r="L23" i="92"/>
  <c r="L54" i="91"/>
  <c r="L58" i="94"/>
  <c r="L68" i="91"/>
  <c r="L35" i="92"/>
  <c r="L47" i="94"/>
  <c r="L53" i="91"/>
  <c r="L22" i="92"/>
  <c r="L49" i="94"/>
  <c r="L24" i="92"/>
  <c r="L55" i="91"/>
  <c r="L55" i="94"/>
  <c r="L63" i="91"/>
  <c r="L31" i="92"/>
  <c r="L56" i="94"/>
  <c r="L32" i="92"/>
  <c r="L64" i="91"/>
  <c r="K60" i="94"/>
  <c r="U28" i="80"/>
  <c r="K72" i="91"/>
  <c r="K38" i="92"/>
  <c r="U26" i="80"/>
  <c r="K59" i="94"/>
  <c r="K36" i="92"/>
  <c r="K69" i="91"/>
  <c r="K54" i="94"/>
  <c r="U24" i="80"/>
  <c r="K62" i="91"/>
  <c r="K30" i="92"/>
  <c r="K52" i="94"/>
  <c r="U22" i="80"/>
  <c r="K28" i="92"/>
  <c r="K59" i="91"/>
  <c r="K48" i="94"/>
  <c r="U20" i="80"/>
  <c r="K54" i="91"/>
  <c r="K23" i="92"/>
  <c r="K58" i="94"/>
  <c r="U18" i="80"/>
  <c r="K35" i="92"/>
  <c r="K68" i="91"/>
  <c r="K47" i="94"/>
  <c r="U16" i="80"/>
  <c r="K22" i="92"/>
  <c r="K53" i="91"/>
  <c r="K49" i="94"/>
  <c r="U14" i="80"/>
  <c r="K24" i="92"/>
  <c r="K55" i="91"/>
  <c r="K55" i="94"/>
  <c r="U12" i="80"/>
  <c r="K63" i="91"/>
  <c r="K31" i="92"/>
  <c r="K56" i="94"/>
  <c r="U10" i="80"/>
  <c r="K32" i="92"/>
  <c r="K64" i="91"/>
  <c r="J60" i="94"/>
  <c r="J38" i="92"/>
  <c r="J72" i="91"/>
  <c r="J59" i="94"/>
  <c r="J69" i="91"/>
  <c r="J36" i="92"/>
  <c r="J54" i="94"/>
  <c r="J30" i="92"/>
  <c r="J62" i="91"/>
  <c r="J52" i="94"/>
  <c r="J28" i="92"/>
  <c r="J59" i="91"/>
  <c r="J48" i="94"/>
  <c r="J54" i="91"/>
  <c r="J23" i="92"/>
  <c r="J58" i="94"/>
  <c r="J68" i="91"/>
  <c r="J35" i="92"/>
  <c r="J47" i="94"/>
  <c r="J53" i="91"/>
  <c r="J22" i="92"/>
  <c r="J49" i="94"/>
  <c r="J24" i="92"/>
  <c r="J55" i="91"/>
  <c r="J55" i="94"/>
  <c r="J63" i="91"/>
  <c r="J31" i="92"/>
  <c r="J56" i="94"/>
  <c r="J64" i="91"/>
  <c r="J32" i="92"/>
  <c r="L51" i="94"/>
  <c r="L27" i="92"/>
  <c r="L58" i="91"/>
  <c r="L53" i="94"/>
  <c r="L29" i="92"/>
  <c r="L61" i="91"/>
  <c r="L57" i="94"/>
  <c r="L33" i="92"/>
  <c r="L66" i="91"/>
  <c r="L50" i="94"/>
  <c r="L25" i="92"/>
  <c r="L56" i="91"/>
  <c r="L61" i="94"/>
  <c r="L40" i="92"/>
  <c r="L74" i="91"/>
  <c r="L43" i="94"/>
  <c r="L70" i="91"/>
  <c r="L37" i="92"/>
  <c r="L45" i="94"/>
  <c r="L41" i="92"/>
  <c r="L75" i="91"/>
  <c r="L44" i="94"/>
  <c r="L39" i="92"/>
  <c r="L73" i="91"/>
  <c r="K51" i="94"/>
  <c r="U24" i="77"/>
  <c r="K27" i="92"/>
  <c r="K58" i="91"/>
  <c r="K53" i="94"/>
  <c r="U22" i="77"/>
  <c r="K29" i="92"/>
  <c r="K61" i="91"/>
  <c r="K57" i="94"/>
  <c r="U20" i="77"/>
  <c r="K66" i="91"/>
  <c r="K33" i="92"/>
  <c r="K50" i="94"/>
  <c r="U18" i="77"/>
  <c r="K25" i="92"/>
  <c r="K56" i="91"/>
  <c r="K61" i="94"/>
  <c r="U16" i="77"/>
  <c r="K40" i="92"/>
  <c r="K74" i="91"/>
  <c r="K43" i="94"/>
  <c r="U14" i="77"/>
  <c r="K70" i="91"/>
  <c r="K37" i="92"/>
  <c r="K45" i="94"/>
  <c r="U12" i="77"/>
  <c r="K41" i="92"/>
  <c r="K75" i="91"/>
  <c r="K44" i="94"/>
  <c r="U10" i="77"/>
  <c r="K39" i="92"/>
  <c r="K73" i="91"/>
  <c r="J51" i="94"/>
  <c r="J58" i="91"/>
  <c r="J27" i="92"/>
  <c r="J53" i="94"/>
  <c r="J61" i="91"/>
  <c r="J29" i="92"/>
  <c r="J57" i="94"/>
  <c r="J33" i="92"/>
  <c r="J66" i="91"/>
  <c r="J50" i="94"/>
  <c r="J25" i="92"/>
  <c r="J56" i="91"/>
  <c r="J61" i="94"/>
  <c r="J74" i="91"/>
  <c r="J40" i="92"/>
  <c r="J43" i="94"/>
  <c r="J70" i="91"/>
  <c r="J37" i="92"/>
  <c r="J45" i="94"/>
  <c r="J41" i="92"/>
  <c r="J75" i="91"/>
  <c r="J44" i="94"/>
  <c r="J39" i="92"/>
  <c r="J73" i="91"/>
  <c r="L7" i="94"/>
  <c r="L29" i="91"/>
  <c r="L14" i="92"/>
  <c r="K12" i="94"/>
  <c r="U22" i="18"/>
  <c r="K17" i="91"/>
  <c r="K9" i="92"/>
  <c r="K7" i="94"/>
  <c r="U10" i="18"/>
  <c r="K29" i="91"/>
  <c r="K14" i="92"/>
  <c r="J7" i="94"/>
  <c r="J29" i="91"/>
  <c r="J14" i="92"/>
  <c r="J48" i="22"/>
  <c r="I39" i="22"/>
  <c r="T12" i="80"/>
  <c r="K49" i="22"/>
  <c r="V16" i="80"/>
  <c r="I43" i="22"/>
  <c r="T20" i="80"/>
  <c r="K44" i="22"/>
  <c r="V24" i="80"/>
  <c r="J50" i="22"/>
  <c r="T28" i="80"/>
  <c r="V32" i="80"/>
  <c r="I77" i="22"/>
  <c r="T12" i="77"/>
  <c r="V16" i="77"/>
  <c r="J38" i="22"/>
  <c r="T20" i="77"/>
  <c r="K69" i="22"/>
  <c r="V24" i="77"/>
  <c r="V32" i="77"/>
  <c r="J22" i="22"/>
  <c r="I23" i="22"/>
  <c r="T12" i="81"/>
  <c r="V16" i="81"/>
  <c r="J24" i="22"/>
  <c r="T20" i="81"/>
  <c r="V24" i="81"/>
  <c r="T28" i="81"/>
  <c r="V32" i="81"/>
  <c r="J45" i="22"/>
  <c r="T12" i="82"/>
  <c r="X12" i="82" s="1"/>
  <c r="I46" i="22"/>
  <c r="K70" i="22"/>
  <c r="V16" i="82"/>
  <c r="J54" i="22"/>
  <c r="I74" i="22"/>
  <c r="T20" i="82"/>
  <c r="V24" i="82"/>
  <c r="K75" i="22"/>
  <c r="J64" i="22"/>
  <c r="T28" i="82"/>
  <c r="V32" i="82"/>
  <c r="T14" i="83"/>
  <c r="K32" i="22"/>
  <c r="V18" i="83"/>
  <c r="J33" i="22"/>
  <c r="T22" i="83"/>
  <c r="I20" i="22"/>
  <c r="V26" i="83"/>
  <c r="I65" i="22"/>
  <c r="T30" i="83"/>
  <c r="T12" i="84"/>
  <c r="T14" i="84"/>
  <c r="I59" i="22"/>
  <c r="T16" i="84"/>
  <c r="I57" i="22"/>
  <c r="T18" i="84"/>
  <c r="T20" i="84"/>
  <c r="I79" i="22"/>
  <c r="I71" i="22"/>
  <c r="T22" i="84"/>
  <c r="I80" i="22"/>
  <c r="T24" i="84"/>
  <c r="T26" i="84"/>
  <c r="T28" i="84"/>
  <c r="T30" i="84"/>
  <c r="T32" i="84"/>
  <c r="V10" i="85"/>
  <c r="K60" i="22"/>
  <c r="V12" i="85"/>
  <c r="K61" i="22"/>
  <c r="K56" i="22"/>
  <c r="V14" i="85"/>
  <c r="V16" i="85"/>
  <c r="K66" i="22"/>
  <c r="V18" i="85"/>
  <c r="K62" i="22"/>
  <c r="V20" i="85"/>
  <c r="V22" i="85"/>
  <c r="V24" i="85"/>
  <c r="V26" i="85"/>
  <c r="V28" i="85"/>
  <c r="V30" i="85"/>
  <c r="V32" i="85"/>
  <c r="T10" i="80"/>
  <c r="I48" i="22"/>
  <c r="V14" i="80"/>
  <c r="K40" i="22"/>
  <c r="J49" i="22"/>
  <c r="T18" i="80"/>
  <c r="K78" i="22"/>
  <c r="V22" i="80"/>
  <c r="J44" i="22"/>
  <c r="I50" i="22"/>
  <c r="T26" i="80"/>
  <c r="V30" i="80"/>
  <c r="V14" i="77"/>
  <c r="I38" i="22"/>
  <c r="T18" i="77"/>
  <c r="K73" i="22"/>
  <c r="V22" i="77"/>
  <c r="J69" i="22"/>
  <c r="T26" i="77"/>
  <c r="V30" i="77"/>
  <c r="I22" i="22"/>
  <c r="T10" i="81"/>
  <c r="V14" i="81"/>
  <c r="I24" i="22"/>
  <c r="T18" i="81"/>
  <c r="V22" i="81"/>
  <c r="T26" i="81"/>
  <c r="V30" i="81"/>
  <c r="T10" i="82"/>
  <c r="I45" i="22"/>
  <c r="V14" i="82"/>
  <c r="K41" i="22"/>
  <c r="J70" i="22"/>
  <c r="T18" i="82"/>
  <c r="I54" i="22"/>
  <c r="K55" i="22"/>
  <c r="V22" i="82"/>
  <c r="J75" i="22"/>
  <c r="I64" i="22"/>
  <c r="T26" i="82"/>
  <c r="V30" i="82"/>
  <c r="T12" i="83"/>
  <c r="V16" i="83"/>
  <c r="K27" i="22"/>
  <c r="J32" i="22"/>
  <c r="T20" i="83"/>
  <c r="I33" i="22"/>
  <c r="V24" i="83"/>
  <c r="K28" i="22"/>
  <c r="T28" i="83"/>
  <c r="V32" i="83"/>
  <c r="T10" i="83"/>
  <c r="J59" i="22"/>
  <c r="J57" i="22"/>
  <c r="J79" i="22"/>
  <c r="J71" i="22"/>
  <c r="J80" i="22"/>
  <c r="V12" i="80"/>
  <c r="K39" i="22"/>
  <c r="J40" i="22"/>
  <c r="T16" i="80"/>
  <c r="I49" i="22"/>
  <c r="V20" i="80"/>
  <c r="K43" i="22"/>
  <c r="J78" i="22"/>
  <c r="I44" i="22"/>
  <c r="T24" i="80"/>
  <c r="V28" i="80"/>
  <c r="T32" i="80"/>
  <c r="K77" i="22"/>
  <c r="V12" i="77"/>
  <c r="T16" i="77"/>
  <c r="V20" i="77"/>
  <c r="J73" i="22"/>
  <c r="T24" i="77"/>
  <c r="I69" i="22"/>
  <c r="T32" i="77"/>
  <c r="K23" i="22"/>
  <c r="V12" i="81"/>
  <c r="T16" i="81"/>
  <c r="V20" i="81"/>
  <c r="T24" i="81"/>
  <c r="V28" i="81"/>
  <c r="T32" i="81"/>
  <c r="K46" i="22"/>
  <c r="V12" i="82"/>
  <c r="J41" i="22"/>
  <c r="I70" i="22"/>
  <c r="T16" i="82"/>
  <c r="V20" i="82"/>
  <c r="K74" i="22"/>
  <c r="J55" i="22"/>
  <c r="I75" i="22"/>
  <c r="T24" i="82"/>
  <c r="V28" i="82"/>
  <c r="T32" i="82"/>
  <c r="V14" i="83"/>
  <c r="J27" i="22"/>
  <c r="T18" i="83"/>
  <c r="I32" i="22"/>
  <c r="V22" i="83"/>
  <c r="K20" i="22"/>
  <c r="J28" i="22"/>
  <c r="T26" i="83"/>
  <c r="V30" i="83"/>
  <c r="K65" i="22"/>
  <c r="V12" i="84"/>
  <c r="V14" i="84"/>
  <c r="K59" i="22"/>
  <c r="V16" i="84"/>
  <c r="K57" i="22"/>
  <c r="V18" i="84"/>
  <c r="K79" i="22"/>
  <c r="V20" i="84"/>
  <c r="K71" i="22"/>
  <c r="V22" i="84"/>
  <c r="V24" i="84"/>
  <c r="K80" i="22"/>
  <c r="V26" i="84"/>
  <c r="V28" i="84"/>
  <c r="V30" i="84"/>
  <c r="V32" i="84"/>
  <c r="I60" i="22"/>
  <c r="T10" i="85"/>
  <c r="I61" i="22"/>
  <c r="T12" i="85"/>
  <c r="T14" i="85"/>
  <c r="I56" i="22"/>
  <c r="I66" i="22"/>
  <c r="T16" i="85"/>
  <c r="T18" i="85"/>
  <c r="T20" i="85"/>
  <c r="I62" i="22"/>
  <c r="T22" i="85"/>
  <c r="T24" i="85"/>
  <c r="T26" i="85"/>
  <c r="T28" i="85"/>
  <c r="T30" i="85"/>
  <c r="T32" i="85"/>
  <c r="K48" i="22"/>
  <c r="V10" i="80"/>
  <c r="J39" i="22"/>
  <c r="T14" i="80"/>
  <c r="I40" i="22"/>
  <c r="V18" i="80"/>
  <c r="J43" i="22"/>
  <c r="T22" i="80"/>
  <c r="I78" i="22"/>
  <c r="V26" i="80"/>
  <c r="K50" i="22"/>
  <c r="T30" i="80"/>
  <c r="J77" i="22"/>
  <c r="T14" i="77"/>
  <c r="V18" i="77"/>
  <c r="K38" i="22"/>
  <c r="T22" i="77"/>
  <c r="I73" i="22"/>
  <c r="V26" i="77"/>
  <c r="T30" i="77"/>
  <c r="K22" i="22"/>
  <c r="V10" i="81"/>
  <c r="J23" i="22"/>
  <c r="T14" i="81"/>
  <c r="V18" i="81"/>
  <c r="K24" i="22"/>
  <c r="T22" i="81"/>
  <c r="V26" i="81"/>
  <c r="T30" i="81"/>
  <c r="K45" i="22"/>
  <c r="V10" i="82"/>
  <c r="J46" i="22"/>
  <c r="I41" i="22"/>
  <c r="T14" i="82"/>
  <c r="K54" i="22"/>
  <c r="V18" i="82"/>
  <c r="J74" i="22"/>
  <c r="I55" i="22"/>
  <c r="T22" i="82"/>
  <c r="V26" i="82"/>
  <c r="K64" i="22"/>
  <c r="T30" i="82"/>
  <c r="V12" i="83"/>
  <c r="I27" i="22"/>
  <c r="T16" i="83"/>
  <c r="K33" i="22"/>
  <c r="V20" i="83"/>
  <c r="J20" i="22"/>
  <c r="I28" i="22"/>
  <c r="T24" i="83"/>
  <c r="V28" i="83"/>
  <c r="J65" i="22"/>
  <c r="T32" i="83"/>
  <c r="V10" i="83"/>
  <c r="J60" i="22"/>
  <c r="J61" i="22"/>
  <c r="J56" i="22"/>
  <c r="J66" i="22"/>
  <c r="J62" i="22"/>
  <c r="V10" i="84"/>
  <c r="T10" i="84"/>
  <c r="V28" i="77"/>
  <c r="T28" i="77"/>
  <c r="V10" i="77"/>
  <c r="K68" i="22"/>
  <c r="J68" i="22"/>
  <c r="T10" i="77"/>
  <c r="I68" i="22"/>
  <c r="T19" i="18"/>
  <c r="J8" i="22"/>
  <c r="T23" i="18"/>
  <c r="T31" i="18"/>
  <c r="U11" i="18"/>
  <c r="T13" i="18"/>
  <c r="V15" i="18"/>
  <c r="U17" i="18"/>
  <c r="T21" i="18"/>
  <c r="V25" i="18"/>
  <c r="U27" i="18"/>
  <c r="V11" i="18"/>
  <c r="V17" i="18"/>
  <c r="V27" i="18"/>
  <c r="T11" i="18"/>
  <c r="V19" i="18"/>
  <c r="U15" i="18"/>
  <c r="T17" i="18"/>
  <c r="V23" i="18"/>
  <c r="U25" i="18"/>
  <c r="T27" i="18"/>
  <c r="V31" i="18"/>
  <c r="U13" i="18"/>
  <c r="V13" i="18"/>
  <c r="U19" i="18"/>
  <c r="T15" i="18"/>
  <c r="V21" i="18"/>
  <c r="U23" i="18"/>
  <c r="T25" i="18"/>
  <c r="V30" i="18"/>
  <c r="U31" i="18"/>
  <c r="T30" i="18"/>
  <c r="X10" i="82" l="1"/>
  <c r="M64" i="94" s="1"/>
  <c r="X12" i="77"/>
  <c r="U28" i="18"/>
  <c r="U26" i="18"/>
  <c r="U32" i="18"/>
  <c r="X22" i="77"/>
  <c r="M53" i="94" s="1"/>
  <c r="L13" i="94"/>
  <c r="L25" i="91"/>
  <c r="L11" i="92"/>
  <c r="L12" i="94"/>
  <c r="L17" i="91"/>
  <c r="L9" i="92"/>
  <c r="L14" i="94"/>
  <c r="L13" i="92"/>
  <c r="L28" i="91"/>
  <c r="L11" i="94"/>
  <c r="L12" i="91"/>
  <c r="L7" i="92"/>
  <c r="L8" i="94"/>
  <c r="L31" i="91"/>
  <c r="L16" i="92"/>
  <c r="L9" i="94"/>
  <c r="L17" i="92"/>
  <c r="L32" i="91"/>
  <c r="L6" i="94"/>
  <c r="L12" i="92"/>
  <c r="L26" i="91"/>
  <c r="K13" i="94"/>
  <c r="U24" i="18"/>
  <c r="K25" i="91"/>
  <c r="K11" i="92"/>
  <c r="K14" i="94"/>
  <c r="U20" i="18"/>
  <c r="K13" i="92"/>
  <c r="K28" i="91"/>
  <c r="K11" i="94"/>
  <c r="U18" i="18"/>
  <c r="K12" i="91"/>
  <c r="K7" i="92"/>
  <c r="K8" i="94"/>
  <c r="U16" i="18"/>
  <c r="K31" i="91"/>
  <c r="K16" i="92"/>
  <c r="K9" i="94"/>
  <c r="U14" i="18"/>
  <c r="K17" i="92"/>
  <c r="K32" i="91"/>
  <c r="K6" i="94"/>
  <c r="U12" i="18"/>
  <c r="K26" i="91"/>
  <c r="K12" i="92"/>
  <c r="J13" i="94"/>
  <c r="J11" i="92"/>
  <c r="J25" i="91"/>
  <c r="J12" i="94"/>
  <c r="J17" i="91"/>
  <c r="J9" i="92"/>
  <c r="J14" i="94"/>
  <c r="J13" i="92"/>
  <c r="J28" i="91"/>
  <c r="J11" i="94"/>
  <c r="J12" i="91"/>
  <c r="J7" i="92"/>
  <c r="J8" i="94"/>
  <c r="J16" i="92"/>
  <c r="J31" i="91"/>
  <c r="J9" i="94"/>
  <c r="J32" i="91"/>
  <c r="J17" i="92"/>
  <c r="J6" i="94"/>
  <c r="J12" i="92"/>
  <c r="J26" i="91"/>
  <c r="X14" i="77"/>
  <c r="M43" i="94" s="1"/>
  <c r="W14" i="81"/>
  <c r="X14" i="81"/>
  <c r="M24" i="94" s="1"/>
  <c r="W30" i="77"/>
  <c r="X30" i="77"/>
  <c r="W32" i="85"/>
  <c r="X32" i="85"/>
  <c r="W30" i="85"/>
  <c r="X30" i="85"/>
  <c r="W28" i="85"/>
  <c r="X28" i="85"/>
  <c r="X24" i="85"/>
  <c r="W24" i="85"/>
  <c r="W16" i="85"/>
  <c r="X16" i="85"/>
  <c r="M76" i="94" s="1"/>
  <c r="W12" i="85"/>
  <c r="M77" i="94" s="1"/>
  <c r="W10" i="85"/>
  <c r="X10" i="85"/>
  <c r="M80" i="94" s="1"/>
  <c r="X26" i="82"/>
  <c r="M71" i="94" s="1"/>
  <c r="W26" i="82"/>
  <c r="W26" i="81"/>
  <c r="X26" i="81"/>
  <c r="X18" i="81"/>
  <c r="W18" i="81"/>
  <c r="X10" i="81"/>
  <c r="M22" i="94" s="1"/>
  <c r="W10" i="81"/>
  <c r="X26" i="77"/>
  <c r="W26" i="77"/>
  <c r="W18" i="77"/>
  <c r="X18" i="77"/>
  <c r="M50" i="94" s="1"/>
  <c r="W26" i="80"/>
  <c r="X26" i="80"/>
  <c r="M59" i="94" s="1"/>
  <c r="X18" i="80"/>
  <c r="M58" i="94" s="1"/>
  <c r="W18" i="80"/>
  <c r="X30" i="83"/>
  <c r="W30" i="83"/>
  <c r="W20" i="82"/>
  <c r="X20" i="82"/>
  <c r="M72" i="94" s="1"/>
  <c r="X28" i="81"/>
  <c r="W20" i="77"/>
  <c r="X20" i="77"/>
  <c r="M57" i="94" s="1"/>
  <c r="W12" i="77"/>
  <c r="M45" i="94" s="1"/>
  <c r="W28" i="80"/>
  <c r="X28" i="80"/>
  <c r="M60" i="94" s="1"/>
  <c r="W20" i="80"/>
  <c r="X20" i="80"/>
  <c r="M48" i="94" s="1"/>
  <c r="W12" i="80"/>
  <c r="X12" i="80" s="1"/>
  <c r="M55" i="94" s="1"/>
  <c r="X30" i="80"/>
  <c r="W30" i="80"/>
  <c r="X22" i="80"/>
  <c r="M52" i="94" s="1"/>
  <c r="W22" i="80"/>
  <c r="X14" i="80"/>
  <c r="M49" i="94" s="1"/>
  <c r="W14" i="80"/>
  <c r="W26" i="85"/>
  <c r="X26" i="85"/>
  <c r="W22" i="85"/>
  <c r="X22" i="85"/>
  <c r="M85" i="94" s="1"/>
  <c r="W20" i="85"/>
  <c r="X20" i="85"/>
  <c r="M81" i="94" s="1"/>
  <c r="X18" i="85"/>
  <c r="M74" i="94" s="1"/>
  <c r="W18" i="85"/>
  <c r="X14" i="85"/>
  <c r="M78" i="94" s="1"/>
  <c r="W14" i="85"/>
  <c r="X28" i="83"/>
  <c r="W28" i="83"/>
  <c r="W20" i="83"/>
  <c r="X20" i="83"/>
  <c r="M35" i="94" s="1"/>
  <c r="W12" i="83"/>
  <c r="X12" i="83" s="1"/>
  <c r="M30" i="94" s="1"/>
  <c r="W18" i="82"/>
  <c r="X18" i="82"/>
  <c r="M69" i="94" s="1"/>
  <c r="W10" i="82"/>
  <c r="X10" i="80"/>
  <c r="M56" i="94" s="1"/>
  <c r="W10" i="80"/>
  <c r="W32" i="84"/>
  <c r="X32" i="84"/>
  <c r="W28" i="84"/>
  <c r="X28" i="84"/>
  <c r="X26" i="84"/>
  <c r="W26" i="84"/>
  <c r="W24" i="84"/>
  <c r="X24" i="84"/>
  <c r="M89" i="94" s="1"/>
  <c r="W22" i="84"/>
  <c r="X22" i="84"/>
  <c r="M87" i="94" s="1"/>
  <c r="X18" i="84"/>
  <c r="M84" i="94" s="1"/>
  <c r="W18" i="84"/>
  <c r="W16" i="84"/>
  <c r="X16" i="84"/>
  <c r="M79" i="94" s="1"/>
  <c r="W22" i="83"/>
  <c r="X22" i="83"/>
  <c r="M28" i="94" s="1"/>
  <c r="X14" i="83"/>
  <c r="M33" i="94" s="1"/>
  <c r="W14" i="83"/>
  <c r="X28" i="82"/>
  <c r="W28" i="82"/>
  <c r="W12" i="82"/>
  <c r="M65" i="94" s="1"/>
  <c r="X20" i="81"/>
  <c r="X32" i="83"/>
  <c r="W32" i="83"/>
  <c r="W24" i="83"/>
  <c r="X24" i="83"/>
  <c r="M31" i="94" s="1"/>
  <c r="X16" i="83"/>
  <c r="M34" i="94" s="1"/>
  <c r="W16" i="83"/>
  <c r="W30" i="82"/>
  <c r="X30" i="82"/>
  <c r="W22" i="82"/>
  <c r="X22" i="82"/>
  <c r="M67" i="94" s="1"/>
  <c r="X14" i="82"/>
  <c r="M63" i="94" s="1"/>
  <c r="W14" i="82"/>
  <c r="W24" i="82"/>
  <c r="X24" i="82"/>
  <c r="M70" i="94" s="1"/>
  <c r="X16" i="82"/>
  <c r="M68" i="94" s="1"/>
  <c r="W16" i="82"/>
  <c r="W20" i="81"/>
  <c r="W12" i="81"/>
  <c r="M25" i="94" s="1"/>
  <c r="X32" i="77"/>
  <c r="W32" i="77"/>
  <c r="W14" i="77"/>
  <c r="W24" i="80"/>
  <c r="X24" i="80"/>
  <c r="M54" i="94" s="1"/>
  <c r="X10" i="83"/>
  <c r="M29" i="94" s="1"/>
  <c r="W10" i="83"/>
  <c r="W30" i="84"/>
  <c r="X30" i="84"/>
  <c r="W20" i="84"/>
  <c r="X20" i="84"/>
  <c r="M88" i="94" s="1"/>
  <c r="X14" i="84"/>
  <c r="M82" i="94" s="1"/>
  <c r="W14" i="84"/>
  <c r="W12" i="84"/>
  <c r="X12" i="84" s="1"/>
  <c r="M83" i="94" s="1"/>
  <c r="X30" i="81"/>
  <c r="W30" i="81"/>
  <c r="W22" i="81"/>
  <c r="X22" i="81"/>
  <c r="X26" i="83"/>
  <c r="W26" i="83"/>
  <c r="X18" i="83"/>
  <c r="M32" i="94" s="1"/>
  <c r="W18" i="83"/>
  <c r="W32" i="82"/>
  <c r="X32" i="82"/>
  <c r="W32" i="81"/>
  <c r="X32" i="81"/>
  <c r="W28" i="81"/>
  <c r="X24" i="81"/>
  <c r="W24" i="81"/>
  <c r="W16" i="81"/>
  <c r="X16" i="81"/>
  <c r="X24" i="77"/>
  <c r="M51" i="94" s="1"/>
  <c r="W24" i="77"/>
  <c r="W22" i="77"/>
  <c r="W16" i="77"/>
  <c r="X16" i="77"/>
  <c r="M61" i="94" s="1"/>
  <c r="X32" i="80"/>
  <c r="W32" i="80"/>
  <c r="W16" i="80"/>
  <c r="X16" i="80"/>
  <c r="M47" i="94" s="1"/>
  <c r="W10" i="84"/>
  <c r="X10" i="84"/>
  <c r="M75" i="94" s="1"/>
  <c r="W28" i="77"/>
  <c r="X28" i="77"/>
  <c r="W10" i="77"/>
  <c r="X10" i="77"/>
  <c r="M44" i="94" s="1"/>
  <c r="J19" i="22"/>
  <c r="T28" i="18"/>
  <c r="J11" i="22"/>
  <c r="I8" i="22"/>
  <c r="T22" i="18"/>
  <c r="K11" i="22"/>
  <c r="V16" i="18"/>
  <c r="T32" i="18"/>
  <c r="K26" i="22"/>
  <c r="V14" i="18"/>
  <c r="J26" i="22"/>
  <c r="K19" i="22"/>
  <c r="V24" i="18"/>
  <c r="T12" i="18"/>
  <c r="K7" i="22"/>
  <c r="V18" i="18"/>
  <c r="T26" i="18"/>
  <c r="J12" i="22"/>
  <c r="V32" i="18"/>
  <c r="I7" i="22"/>
  <c r="T18" i="18"/>
  <c r="K12" i="22"/>
  <c r="V20" i="18"/>
  <c r="V28" i="18"/>
  <c r="V12" i="18"/>
  <c r="V26" i="18"/>
  <c r="J7" i="22"/>
  <c r="I26" i="22"/>
  <c r="T14" i="18"/>
  <c r="I19" i="22"/>
  <c r="T24" i="18"/>
  <c r="I12" i="22"/>
  <c r="T20" i="18"/>
  <c r="I11" i="22"/>
  <c r="T16" i="18"/>
  <c r="I18" i="22"/>
  <c r="T10" i="18"/>
  <c r="J18" i="22"/>
  <c r="K8" i="22"/>
  <c r="V22" i="18"/>
  <c r="K18" i="22"/>
  <c r="V10" i="18"/>
  <c r="W30" i="18"/>
  <c r="X30" i="18"/>
  <c r="M26" i="94" l="1"/>
  <c r="L24" i="22"/>
  <c r="M23" i="94"/>
  <c r="L73" i="22"/>
  <c r="M61" i="91"/>
  <c r="M29" i="92"/>
  <c r="M38" i="92"/>
  <c r="M72" i="91"/>
  <c r="M36" i="92"/>
  <c r="M69" i="91"/>
  <c r="M48" i="91"/>
  <c r="M30" i="92"/>
  <c r="M62" i="91"/>
  <c r="M71" i="91"/>
  <c r="M53" i="92"/>
  <c r="M46" i="91"/>
  <c r="M27" i="92"/>
  <c r="M58" i="91"/>
  <c r="M13" i="91"/>
  <c r="M39" i="91"/>
  <c r="M6" i="91"/>
  <c r="M52" i="91"/>
  <c r="M79" i="91"/>
  <c r="M28" i="92"/>
  <c r="M59" i="91"/>
  <c r="M66" i="91"/>
  <c r="M33" i="92"/>
  <c r="M60" i="91"/>
  <c r="M34" i="91"/>
  <c r="M65" i="91"/>
  <c r="M23" i="92"/>
  <c r="M54" i="91"/>
  <c r="M51" i="91"/>
  <c r="M54" i="92"/>
  <c r="M14" i="91"/>
  <c r="M77" i="91"/>
  <c r="M48" i="92"/>
  <c r="M27" i="91"/>
  <c r="M43" i="91"/>
  <c r="M25" i="92"/>
  <c r="M56" i="91"/>
  <c r="M38" i="91"/>
  <c r="M35" i="92"/>
  <c r="M68" i="91"/>
  <c r="M22" i="91"/>
  <c r="M22" i="92"/>
  <c r="M53" i="91"/>
  <c r="M40" i="92"/>
  <c r="M74" i="91"/>
  <c r="M47" i="91"/>
  <c r="M10" i="91"/>
  <c r="M42" i="91"/>
  <c r="M40" i="91"/>
  <c r="M76" i="91"/>
  <c r="M45" i="91"/>
  <c r="M19" i="91"/>
  <c r="M49" i="92"/>
  <c r="M21" i="92"/>
  <c r="M49" i="91"/>
  <c r="M21" i="91"/>
  <c r="M24" i="92"/>
  <c r="M55" i="91"/>
  <c r="M37" i="92"/>
  <c r="M70" i="91"/>
  <c r="M46" i="92"/>
  <c r="M20" i="91"/>
  <c r="M78" i="91"/>
  <c r="M31" i="92"/>
  <c r="M63" i="91"/>
  <c r="M44" i="91"/>
  <c r="M67" i="91"/>
  <c r="M34" i="92"/>
  <c r="M75" i="91"/>
  <c r="M41" i="92"/>
  <c r="M8" i="91"/>
  <c r="M45" i="92"/>
  <c r="M9" i="91"/>
  <c r="M41" i="91"/>
  <c r="M32" i="92"/>
  <c r="M64" i="91"/>
  <c r="M7" i="91"/>
  <c r="M26" i="92"/>
  <c r="M57" i="91"/>
  <c r="M50" i="91"/>
  <c r="M39" i="92"/>
  <c r="M73" i="91"/>
  <c r="L32" i="22"/>
  <c r="L29" i="22" s="1"/>
  <c r="L79" i="22"/>
  <c r="L27" i="22"/>
  <c r="L57" i="22"/>
  <c r="L33" i="22"/>
  <c r="L43" i="22"/>
  <c r="L77" i="22"/>
  <c r="L74" i="22"/>
  <c r="L64" i="22"/>
  <c r="L49" i="22"/>
  <c r="L69" i="22"/>
  <c r="L44" i="22"/>
  <c r="L70" i="22"/>
  <c r="L28" i="22"/>
  <c r="L59" i="22"/>
  <c r="L71" i="22"/>
  <c r="L54" i="22"/>
  <c r="L62" i="22"/>
  <c r="L78" i="22"/>
  <c r="L38" i="22"/>
  <c r="L61" i="22"/>
  <c r="L23" i="22"/>
  <c r="L75" i="22"/>
  <c r="L41" i="22"/>
  <c r="L46" i="22"/>
  <c r="L48" i="22"/>
  <c r="L56" i="22"/>
  <c r="L22" i="22"/>
  <c r="L66" i="22"/>
  <c r="L55" i="22"/>
  <c r="L20" i="22"/>
  <c r="L80" i="22"/>
  <c r="L45" i="22"/>
  <c r="L40" i="22"/>
  <c r="L39" i="22"/>
  <c r="L65" i="22"/>
  <c r="L50" i="22"/>
  <c r="L60" i="22"/>
  <c r="L68" i="22"/>
  <c r="W12" i="18"/>
  <c r="X12" i="18" s="1"/>
  <c r="M6" i="94" s="1"/>
  <c r="W10" i="18"/>
  <c r="W14" i="18"/>
  <c r="X14" i="18"/>
  <c r="M9" i="94" s="1"/>
  <c r="X10" i="18"/>
  <c r="M7" i="94" s="1"/>
  <c r="W18" i="18"/>
  <c r="X18" i="18"/>
  <c r="M11" i="94" s="1"/>
  <c r="W16" i="18"/>
  <c r="X16" i="18"/>
  <c r="M8" i="94" s="1"/>
  <c r="W20" i="18"/>
  <c r="X20" i="18"/>
  <c r="M14" i="94" s="1"/>
  <c r="W22" i="18"/>
  <c r="X22" i="18"/>
  <c r="M12" i="94" s="1"/>
  <c r="X24" i="18"/>
  <c r="M13" i="94" s="1"/>
  <c r="W24" i="18"/>
  <c r="W28" i="18"/>
  <c r="X28" i="18"/>
  <c r="W26" i="18"/>
  <c r="X26" i="18"/>
  <c r="W32" i="18"/>
  <c r="X32" i="18"/>
  <c r="L76" i="22" l="1"/>
  <c r="L21" i="22"/>
  <c r="L53" i="22"/>
  <c r="L72" i="22"/>
  <c r="L63" i="22"/>
  <c r="L37" i="22"/>
  <c r="L58" i="22"/>
  <c r="L67" i="22"/>
  <c r="L42" i="22"/>
  <c r="L47" i="22"/>
  <c r="M11" i="92"/>
  <c r="M25" i="91"/>
  <c r="M9" i="92"/>
  <c r="M17" i="91"/>
  <c r="M13" i="92"/>
  <c r="M28" i="91"/>
  <c r="M7" i="92"/>
  <c r="M12" i="91"/>
  <c r="M16" i="92"/>
  <c r="M31" i="91"/>
  <c r="M17" i="92"/>
  <c r="M32" i="91"/>
  <c r="M12" i="92"/>
  <c r="M26" i="91"/>
  <c r="M14" i="92"/>
  <c r="M29" i="91"/>
  <c r="L19" i="22"/>
  <c r="L8" i="22"/>
  <c r="L7" i="22"/>
  <c r="L18" i="22"/>
  <c r="L17" i="22" s="1"/>
  <c r="L26" i="22"/>
  <c r="L25" i="22" s="1"/>
  <c r="L12" i="22"/>
  <c r="L11" i="22"/>
  <c r="L10" i="22" l="1"/>
  <c r="L6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tull</author>
    <author>Arne H. Pedersen</author>
    <author>Microsoft Office-bruker</author>
    <author>SLB</author>
  </authors>
  <commentList>
    <comment ref="I7" authorId="0" shapeId="0" xr:uid="{2CB990E5-7EE1-AC42-9A7E-1DFB5A732061}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 xr:uid="{4A0E010A-6D91-C546-8FB6-03F392394392}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 xr:uid="{B7FAA1C0-C946-0844-8185-BB9107E4603F}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 xr:uid="{544292B0-FFEF-DC45-BD5D-2ABF714F77EB}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 xr:uid="{8DA72F8F-4C49-6A44-B7BE-FEB6BD6F99AC}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 xr:uid="{CF849CD2-A143-FC40-8D6D-384E11BDE1FF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 xr:uid="{74064420-5433-9D42-A69B-340C9109EC5C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 xr:uid="{86CB1687-F758-294E-9525-24ED60995415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 xr:uid="{647A4938-A4BB-794F-883F-D007869E0AD7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 xr:uid="{0B96B55B-1271-DC44-9F55-1DFE7B24B25E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955C231B-D141-5B4A-82F4-6819A864F257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 xr:uid="{BEF4F04D-7BCB-764D-9C81-168EA6EEC578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 xr:uid="{F3E3B2D6-02AB-9140-BBED-14F65698E6D3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 xr:uid="{F0A84FFC-71E6-0340-8247-77EF324E287F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 xr:uid="{CFE6C1DF-8214-0E40-96F8-E5B9A32B7B6E}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 xr:uid="{E9020FB0-99CF-6449-820E-7E645236AE58}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5" authorId="2" shapeId="0" xr:uid="{843DF593-EC2A-D644-AE00-91AE08CE5FF3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 xr:uid="{572EFEA3-7380-944A-B682-1F179FBC1D57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 xr:uid="{BC6B3C95-2446-0447-AF88-266F30EFD50A}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tull</author>
    <author>Arne H. Pedersen</author>
    <author>Microsoft Office-bruker</author>
    <author>SLB</author>
  </authors>
  <commentList>
    <comment ref="I7" authorId="0" shapeId="0" xr:uid="{D7CBCE24-8221-214D-B762-7A8DEE965AC9}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 xr:uid="{368ED90F-E368-AC46-B8C6-B908925411F7}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 xr:uid="{A72305A8-A0D6-444C-84A8-AE9B891B3B5A}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 xr:uid="{A8D3AFF6-0324-784E-A1C6-156AFA5A102E}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 xr:uid="{798A214C-3A10-4947-92F8-F322132FCEF6}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 xr:uid="{66929844-55E1-1742-9A57-74AEAE11C35C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 xr:uid="{BE113826-D380-0D42-9954-69CC738AA660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 xr:uid="{62551883-34BE-4D44-897A-ACA0FD265DB1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 xr:uid="{8EEC0297-34BA-4E4F-B5F9-5194F3FFE1F5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 xr:uid="{8F41D398-9DC3-C24C-A6AC-4B60F9808412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D31E0497-C3B9-5242-B932-BF808DB96864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T8" authorId="0" shapeId="0" xr:uid="{AC42EF5A-63A3-2B46-9A62-67CE1B01E765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 xr:uid="{49369E29-1348-E547-8B51-37DFCA2D7415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 xr:uid="{BE2B57E7-B1B8-C84F-9749-BFCFB4B317C1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 xr:uid="{C782AEC3-C978-B34A-BE7F-E320EFC3E0A8}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 xr:uid="{A4AA2FC0-4AFE-D74B-A701-7033CD786139}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5" authorId="2" shapeId="0" xr:uid="{0FACE137-42A7-5049-BAC7-5389EFEF30A5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 xr:uid="{F585D413-C0AF-6845-B70E-3CDAE063D136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 xr:uid="{5C2F8CC6-F1AE-724D-B6F7-769D02FA12CF}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tull</author>
    <author>Arne H. Pedersen</author>
    <author>Microsoft Office-bruker</author>
    <author>SLB</author>
  </authors>
  <commentList>
    <comment ref="I7" authorId="0" shapeId="0" xr:uid="{1CB2547F-F211-6D42-A3E3-2AB24A5B65BD}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 xr:uid="{30C1A8C1-4ACD-CC42-AFBC-580A774ACBE1}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 xr:uid="{346DA661-138D-F045-9E90-864DE04A9A49}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 xr:uid="{87D3D3E2-4F07-944D-AC5C-C900F5EEA03E}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 xr:uid="{DB2CC3BD-134B-3E41-98D7-7B9EF2AFCC73}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 xr:uid="{BE09F52A-D9DE-1440-B9D2-518AFA2DEA37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 xr:uid="{DFA3A0B9-0DA2-7A42-AA2F-C668040A22D3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 xr:uid="{E5782B63-49AC-D541-97F9-77607EB5C89D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 xr:uid="{8A075C91-6F3C-3A4E-8E9C-B8E3158BF4FC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 xr:uid="{967BAE93-B1BD-3347-919D-49B2C4828019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1FFBD0C6-6A9A-A946-A07C-FD7B3037E0DE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 xr:uid="{C564464E-5B7B-7547-8FF6-EDFAE7E73023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 xr:uid="{09F4BD5E-E4C0-A24B-8103-9AF5918A13F4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 xr:uid="{62238E50-B8CF-F34D-A4FF-79D164FE890B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 xr:uid="{8DEFB521-C6FB-C847-87EC-C111C4B84F2E}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 xr:uid="{922AEFAB-D9AE-524E-B419-3A776273D7AC}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5" authorId="2" shapeId="0" xr:uid="{7ADC677B-81D5-4940-B75B-9109ACF5D5F6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 xr:uid="{786E6B26-B378-B64D-9A66-2DC125DC775B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 xr:uid="{252633B8-79F4-7742-8DAD-134B78FC570D}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tull</author>
    <author>Arne H. Pedersen</author>
    <author>Microsoft Office-bruker</author>
    <author>SLB</author>
  </authors>
  <commentList>
    <comment ref="I7" authorId="0" shapeId="0" xr:uid="{E1B6C626-AAC5-0F4F-86DD-C7FDF6219644}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 xr:uid="{1126560E-D28E-B543-A754-EC3DA8527019}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 xr:uid="{5785F68C-0E0E-A842-85E2-1BAFA7B3A979}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 xr:uid="{F17265C8-6D23-FD40-B83D-CF5511BC1981}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 xr:uid="{9D3AD368-AA0B-1347-9C9E-8C1D5A3F1F76}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 xr:uid="{2361A2C6-EFA8-2340-8F03-8631265ED620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 xr:uid="{EF2F7182-8F41-3A4E-A828-B24FFE7CA513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 xr:uid="{6B2BC714-33A9-0F45-84CA-A6E9C9DC3D5F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 xr:uid="{66A1682C-C7BE-7640-9F56-00DC6F61F018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 xr:uid="{F0F6811F-A55E-894F-AB9C-E2D3CC9A65A7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62A31F5C-4A56-9F49-9FC3-9B4A62EDFAAD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 xr:uid="{9E00BF8A-51D9-D647-82BE-155BED390595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 xr:uid="{4B6FA895-FE3A-674D-B08E-4C4D8272FF4C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 xr:uid="{E7F49345-13B4-B843-BB9C-2C582B2CC7C2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 xr:uid="{8F3D347F-0CD2-D04D-99F6-34DA67761A3B}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 xr:uid="{AC29BFA5-656C-DB4E-AD18-18C1147AC657}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5" authorId="2" shapeId="0" xr:uid="{F0236C3C-685E-C746-9200-84E388B969E8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 xr:uid="{23E5D445-2B25-FE4B-A668-72E481AB2BFE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 xr:uid="{72960599-AEFC-BC4C-B1AB-1A8F88E5BE31}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tull</author>
    <author>Arne H. Pedersen</author>
    <author>Microsoft Office-bruker</author>
    <author>SLB</author>
  </authors>
  <commentList>
    <comment ref="I7" authorId="0" shapeId="0" xr:uid="{64522FF4-13EB-194E-9714-B265E3378523}">
      <text>
        <r>
          <rPr>
            <b/>
            <sz val="8"/>
            <color rgb="FF000000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 xr:uid="{8D7BEBEB-1C50-0A4B-B239-BFA6F52F5E07}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 xr:uid="{A50761B6-5423-6B48-8CD4-5F25BEC6E403}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 xr:uid="{6B793726-CDF8-4F40-9A54-64371ADDDBEF}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 xr:uid="{0D0921BA-E989-7949-A4C7-AF684AE8590B}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 xr:uid="{77D646B7-9430-3540-884E-08E1401E3250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 xr:uid="{049857AC-3C3A-3044-837A-3A6B967C2BCB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 xr:uid="{DA7A6499-9A28-C644-92C2-0DF74812B83C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 xr:uid="{3F4B5877-053A-8342-87A6-CF8114EC4667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 xr:uid="{03F111BC-DD9B-A145-9FDB-607F08BDA777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856208BF-7ED1-B04C-A3C5-3885D4DD16C0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 xr:uid="{9A6ACEFD-FEA8-7041-951D-6BBE5748ECB5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 xr:uid="{12C5242C-5DAF-B546-AF3F-817C75494223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 xr:uid="{742E0CA8-E99B-FC47-8B14-B126FACFE214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 xr:uid="{B5F33D06-F002-594D-8A9E-8B7B5D213291}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 xr:uid="{27353DFF-AE05-1F45-B791-9F7D99DD771B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5" authorId="2" shapeId="0" xr:uid="{9DCE2549-27F3-1548-A8D7-C91D396469E6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 xr:uid="{EEB9BB82-E3CB-8046-94C3-67BD4238F508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 xr:uid="{54C3D751-BCA8-804E-9E50-D8267EC08290}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tull</author>
    <author>Arne H. Pedersen</author>
    <author>Microsoft Office-bruker</author>
    <author>SLB</author>
  </authors>
  <commentList>
    <comment ref="I7" authorId="0" shapeId="0" xr:uid="{1AA6492A-7A55-754A-925A-AC5377B7CE9B}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 xr:uid="{4977A0DE-4850-5D49-9825-D8430DE4BF10}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 xr:uid="{66A5B1D9-57DB-0043-AFBC-C73ADE244BE3}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 xr:uid="{08E69143-C785-244B-8794-F3D6AE9C4E5D}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 xr:uid="{C732A478-0C6D-4045-BE58-3461A0815CC0}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 xr:uid="{4AB4FFEB-F31B-D645-802D-656F1C9985B0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 xr:uid="{E5A02754-6BC2-6047-BAB1-F3366874C32A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 xr:uid="{FFDEAF15-FA5E-2A43-8851-6A17CBE077A8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 xr:uid="{0768F5FC-847A-A34E-936C-8D5F8E4DD445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 xr:uid="{2527A0D7-0F77-D744-84C3-625F5AA37B70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0B0E06A1-96DA-5743-B058-9661378D334A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 xr:uid="{8E3C6B5E-5B34-4241-B69B-965FD1377237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 xr:uid="{577576F9-87AC-FB4F-8B59-54C1BFA6E51D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 xr:uid="{E44C9626-757F-1C4C-B299-1F8F5949B50B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 xr:uid="{02516648-3F0E-CD4D-9727-F8D990702604}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 xr:uid="{3AB9E033-E900-004F-A900-173AE6745BDC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5" authorId="2" shapeId="0" xr:uid="{4B5DEF09-CE08-E247-B219-02787673C41D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 xr:uid="{1612C6D7-A4FA-6C48-8F35-34C7029A733A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 xr:uid="{0D2FE967-E29A-9646-ADFA-3D484853F7B7}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tull</author>
    <author>Arne H. Pedersen</author>
    <author>Microsoft Office-bruker</author>
    <author>SLB</author>
  </authors>
  <commentList>
    <comment ref="I7" authorId="0" shapeId="0" xr:uid="{010F5647-79FC-BF40-8BDE-98FD360C8B18}">
      <text>
        <r>
          <rPr>
            <b/>
            <sz val="8"/>
            <color rgb="FF000000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 xr:uid="{1FD789B9-C1B8-5945-82EC-23A7EFAC35BD}">
      <text>
        <r>
          <rPr>
            <b/>
            <sz val="8"/>
            <color rgb="FF000000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 xr:uid="{7D6CA0FE-ED25-1343-ABF9-9DADDD446AD1}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 xr:uid="{9A5EDF66-AD10-BC4D-8A25-9EF4A0EEA010}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 xr:uid="{F307C377-EF7C-F848-BB41-3843E045A437}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 xr:uid="{0C062262-C129-EA46-817D-C3B9E1C4F099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 xr:uid="{00A01311-3CC6-E347-BA11-45A275EB8D7D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 xr:uid="{9623D03B-DEEB-4648-B49C-C5C61636B53A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 xr:uid="{55D73D14-F4E7-3943-BBC5-E25D7498D645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 xr:uid="{A24CDD8B-6585-CD44-B100-76BF36A924CD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59391F11-256F-C441-AAA7-D96DC6211E94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 xr:uid="{D3953423-BC24-A540-ABB2-5B97D2221144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 xr:uid="{4ED9373A-9C0D-404F-AFD2-110445783372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 xr:uid="{1D9E6B0A-4BB6-2646-88B0-CAF4AB981D24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 xr:uid="{3CBD0AA1-5B96-FF41-AE84-D4DAA7972235}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 xr:uid="{7C7EB143-E874-034E-8931-2B070644C4A8}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5" authorId="2" shapeId="0" xr:uid="{45748818-39A5-C242-B39A-8BCBEB2278B7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 xr:uid="{B9FFCA7A-D0AA-064A-934D-F6C4AB85AF59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 xr:uid="{10320D95-790F-8D49-9279-57241CF9B453}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tull</author>
    <author>Arne H. Pedersen</author>
    <author>Microsoft Office-bruker</author>
    <author>SLB</author>
  </authors>
  <commentList>
    <comment ref="I7" authorId="0" shapeId="0" xr:uid="{2FCDA45C-3FCF-8B44-891C-80238A990330}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 xr:uid="{E9DE7384-45C7-084A-8B4D-3586331FB483}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 xr:uid="{DD6D21B6-AB4C-DC47-BB03-0C141CC9AE3A}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 xr:uid="{A57A57A9-9355-124C-B172-8CDF2D7766B7}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 xr:uid="{CE28A0C4-EACC-1649-94ED-5780A9DEC30C}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 xr:uid="{3EE57DDE-66DC-F643-B5EB-4C1A6A94466D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 xr:uid="{95C293DB-2D6F-864B-86E8-200D685904D8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 xr:uid="{CD2D7E3E-5E96-7F40-B717-D6E921F112E8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 xr:uid="{1AA87CD4-528C-BE4B-B6C2-14EDF9BE4837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 xr:uid="{34C6326A-774C-0D46-927C-8CB593471497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E3396870-315D-E740-B401-74B38751CC3F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 xr:uid="{9894CFC1-029C-8C48-B1CC-3ED8A8C5B061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 xr:uid="{A606D0A5-C0DC-3C40-9548-2C2D917F1175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 xr:uid="{D5DB5370-8A09-444C-984A-C73B8A4F842F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 xr:uid="{72967263-D78E-984B-90D4-8FEF07767BD8}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 xr:uid="{6A585EF9-7277-4840-98EE-CD0D153CC9CC}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5" authorId="2" shapeId="0" xr:uid="{3444A78C-5026-FA46-BBDB-48DFFB9F0FBC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 xr:uid="{4340463D-107D-D842-8165-54ED34870F7E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 xr:uid="{0C4020CF-C788-DF40-B258-BB3F13B1D097}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tull</author>
    <author>Arne H. Pedersen</author>
    <author>Microsoft Office-bruker</author>
    <author>SLB</author>
  </authors>
  <commentList>
    <comment ref="I7" authorId="0" shapeId="0" xr:uid="{F5D0E2A3-4314-C944-B0F2-3FA536B67D88}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 xr:uid="{3D76CEFA-B020-AE43-81F4-DCC3572DAA4E}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 xr:uid="{5C8BCF65-46C5-9E4D-A3ED-52AB94F6A14C}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 xr:uid="{DDBC1164-FC43-1740-BD5A-7DF1456F209A}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 xr:uid="{F97CD479-76D1-9C41-A886-05EE8BF0B759}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 xr:uid="{81E8AE19-42EB-D748-9103-4BBC0D245E7A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 xr:uid="{99FA69DE-2473-8244-8B31-12AC99A590C9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O8" authorId="0" shapeId="0" xr:uid="{4CFD18C3-AADE-CB4C-92C0-B8E6CE0DAFC6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 xr:uid="{003ED1D9-1437-144C-999A-5C1AB20B6C2D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 xr:uid="{F9F272C1-94CC-B04F-9CA4-11A4B69F10DE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9B1277EB-5009-BD41-B07C-D53BC0B730EC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 xr:uid="{B4C5907D-212A-4543-9E8F-D6B59B41CB6B}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 xr:uid="{F18A64FF-718D-BE43-AD5B-76912F8AD6A5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 xr:uid="{5AF1F4F9-E956-1B45-9AFA-54D9928E9920}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 xr:uid="{FF686474-8B53-294C-9E0D-10C6E83E0AFC}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 xr:uid="{4A56CD3A-3C78-444D-BF4B-C52DD2EE4357}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5" authorId="2" shapeId="0" xr:uid="{931D48D6-FACD-4D44-8CEE-BCAA011DB9DA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 xr:uid="{07234E74-24C9-A845-B4AB-5A8D2014757C}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 xr:uid="{037B953C-FDF9-4D4C-87E6-DDD76AAC6C05}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sharedStrings.xml><?xml version="1.0" encoding="utf-8"?>
<sst xmlns="http://schemas.openxmlformats.org/spreadsheetml/2006/main" count="1413" uniqueCount="267">
  <si>
    <t>Arrangør:</t>
  </si>
  <si>
    <t>Sted:</t>
  </si>
  <si>
    <t>Dato:</t>
  </si>
  <si>
    <t>Vekt-</t>
  </si>
  <si>
    <t>Kropps-</t>
  </si>
  <si>
    <t>Fødsels-</t>
  </si>
  <si>
    <t>Navn</t>
  </si>
  <si>
    <t>Lag</t>
  </si>
  <si>
    <t>Rykk</t>
  </si>
  <si>
    <t>Støt</t>
  </si>
  <si>
    <t>Poeng</t>
  </si>
  <si>
    <t>klasse</t>
  </si>
  <si>
    <t>vekt</t>
  </si>
  <si>
    <t>Stevnets leder:</t>
  </si>
  <si>
    <t>Dommere:</t>
  </si>
  <si>
    <t>Sekretær:</t>
  </si>
  <si>
    <t xml:space="preserve"> </t>
  </si>
  <si>
    <t>Notater:</t>
  </si>
  <si>
    <t>Beskrivelse Rekorder:</t>
  </si>
  <si>
    <t>dato</t>
  </si>
  <si>
    <t>Pulje:</t>
  </si>
  <si>
    <t>Stevnekat:</t>
  </si>
  <si>
    <t>Norges Vektløfterforbund</t>
  </si>
  <si>
    <t>Kat.</t>
  </si>
  <si>
    <t>St</t>
  </si>
  <si>
    <t>Vektløfting  total</t>
  </si>
  <si>
    <t>Trehopp</t>
  </si>
  <si>
    <t>Kulekast</t>
  </si>
  <si>
    <t>40 m sprint</t>
  </si>
  <si>
    <t>5-kamp</t>
  </si>
  <si>
    <t>PL</t>
  </si>
  <si>
    <t>Rek</t>
  </si>
  <si>
    <t>v.løft</t>
  </si>
  <si>
    <t>Klubb</t>
  </si>
  <si>
    <t>5-kamp poeng</t>
  </si>
  <si>
    <t>Sml</t>
  </si>
  <si>
    <t>total</t>
  </si>
  <si>
    <t>Kvinner</t>
  </si>
  <si>
    <t>Plass</t>
  </si>
  <si>
    <t>Kr.vekt</t>
  </si>
  <si>
    <t>Kat. vl</t>
  </si>
  <si>
    <t>Kat. 5-k</t>
  </si>
  <si>
    <t>Født</t>
  </si>
  <si>
    <t>Hopp</t>
  </si>
  <si>
    <t>Kule</t>
  </si>
  <si>
    <t>Menn</t>
  </si>
  <si>
    <t>Stevnets art:</t>
  </si>
  <si>
    <t>40m sprint</t>
  </si>
  <si>
    <t>Beste</t>
  </si>
  <si>
    <t>Jury:</t>
  </si>
  <si>
    <t>Teknisk kontrollør:</t>
  </si>
  <si>
    <t>Chief Marshall:</t>
  </si>
  <si>
    <t>Tidtaker:</t>
  </si>
  <si>
    <t>Speaker:</t>
  </si>
  <si>
    <r>
      <t xml:space="preserve">5 - k a m p    p r o t o k o l l 
</t>
    </r>
    <r>
      <rPr>
        <b/>
        <sz val="24"/>
        <rFont val="Arial Black"/>
        <family val="2"/>
      </rPr>
      <t>inkl. vektløft-protokoll</t>
    </r>
  </si>
  <si>
    <t>Veteran</t>
  </si>
  <si>
    <t>3-kamp</t>
  </si>
  <si>
    <t>sum</t>
  </si>
  <si>
    <t>Alder</t>
  </si>
  <si>
    <t xml:space="preserve"> ØVELSEN 40 M SPRINT</t>
  </si>
  <si>
    <t xml:space="preserve">    Ved manuell tidtaking skal det legges til 0,2 sek</t>
  </si>
  <si>
    <t>3-hopp</t>
  </si>
  <si>
    <t>nt</t>
  </si>
  <si>
    <t>Ny Sinclair tablell benyttes fra 1.1.2018</t>
  </si>
  <si>
    <t>Meltzer-Faber</t>
  </si>
  <si>
    <t>Poeng menn</t>
  </si>
  <si>
    <t>Poeng kvinner</t>
  </si>
  <si>
    <t>meltzer</t>
  </si>
  <si>
    <t>faber</t>
  </si>
  <si>
    <t>Kjønn</t>
  </si>
  <si>
    <t>menn</t>
  </si>
  <si>
    <t>kvinner</t>
  </si>
  <si>
    <t>gyldig</t>
  </si>
  <si>
    <r>
      <t xml:space="preserve">Kulestørrelser: Gutter: 11-12: </t>
    </r>
    <r>
      <rPr>
        <b/>
        <sz val="10"/>
        <rFont val="MS Sans Serif"/>
      </rPr>
      <t>2 kg</t>
    </r>
    <r>
      <rPr>
        <sz val="10"/>
        <rFont val="MS Sans Serif"/>
      </rPr>
      <t xml:space="preserve">, 13-14: </t>
    </r>
    <r>
      <rPr>
        <b/>
        <sz val="10"/>
        <rFont val="Arial"/>
        <family val="2"/>
      </rPr>
      <t>3 kg</t>
    </r>
    <r>
      <rPr>
        <sz val="10"/>
        <rFont val="MS Sans Serif"/>
      </rPr>
      <t xml:space="preserve">, 15-16: </t>
    </r>
    <r>
      <rPr>
        <b/>
        <sz val="10"/>
        <rFont val="Arial"/>
        <family val="2"/>
      </rPr>
      <t>4 kg</t>
    </r>
    <r>
      <rPr>
        <sz val="10"/>
        <rFont val="MS Sans Serif"/>
      </rPr>
      <t xml:space="preserve">, Alle andre: </t>
    </r>
    <r>
      <rPr>
        <b/>
        <sz val="10"/>
        <rFont val="Arial"/>
        <family val="2"/>
      </rPr>
      <t>5 kg</t>
    </r>
    <r>
      <rPr>
        <sz val="10"/>
        <rFont val="MS Sans Serif"/>
      </rPr>
      <t xml:space="preserve">.     Jenter:11-12, 13-14: </t>
    </r>
    <r>
      <rPr>
        <b/>
        <sz val="10"/>
        <rFont val="MS Sans Serif"/>
      </rPr>
      <t>2 kg,</t>
    </r>
    <r>
      <rPr>
        <sz val="10"/>
        <rFont val="MS Sans Serif"/>
      </rPr>
      <t xml:space="preserve">  Alle andre: </t>
    </r>
    <r>
      <rPr>
        <b/>
        <sz val="10"/>
        <rFont val="Arial"/>
        <family val="2"/>
      </rPr>
      <t>3 kg</t>
    </r>
    <r>
      <rPr>
        <sz val="10"/>
        <rFont val="MS Sans Serif"/>
      </rPr>
      <t>.</t>
    </r>
  </si>
  <si>
    <t>Resultat NM 5-kamp ranking</t>
  </si>
  <si>
    <t>Ungdom jenter</t>
  </si>
  <si>
    <t>Ungdom gutter</t>
  </si>
  <si>
    <t>Junior jenter</t>
  </si>
  <si>
    <t>Junior gutter</t>
  </si>
  <si>
    <t>Resultat NM 5-kamp lagfinale</t>
  </si>
  <si>
    <t>Kvinner inntil 18 år</t>
  </si>
  <si>
    <t>Kvinner  over 18 år</t>
  </si>
  <si>
    <t>Menn inntil 18 år</t>
  </si>
  <si>
    <t>Menn over 18 år</t>
  </si>
  <si>
    <t>Resultat NM 5-kamp kategori</t>
  </si>
  <si>
    <t>Tambarskjelvar IL</t>
  </si>
  <si>
    <t>Spydeberg Atletene</t>
  </si>
  <si>
    <t>Tysvær VK</t>
  </si>
  <si>
    <t>AK Bjørgvin</t>
  </si>
  <si>
    <t>73</t>
  </si>
  <si>
    <t>Tønsberg-Kam.</t>
  </si>
  <si>
    <t>Nidelv IL</t>
  </si>
  <si>
    <t>Hitra VK</t>
  </si>
  <si>
    <t>67</t>
  </si>
  <si>
    <t>Larvik AK</t>
  </si>
  <si>
    <t>81</t>
  </si>
  <si>
    <t>89</t>
  </si>
  <si>
    <t>Vigrestad IK</t>
  </si>
  <si>
    <t>Breimsbygda IL</t>
  </si>
  <si>
    <t>109</t>
  </si>
  <si>
    <t>Jarle Bjerkholt, Larvik AK, F</t>
  </si>
  <si>
    <t>Arne H. Pedersen, AK Bjørgvin</t>
  </si>
  <si>
    <t>Ingeborg Endresen, AK Bjørgvin, F</t>
  </si>
  <si>
    <t>Ken Berge, Larvik AK, F</t>
  </si>
  <si>
    <t>Gunnar Knudsen, Grenland AK, F - Hans Skjerpen,  Larvik AK</t>
  </si>
  <si>
    <t>Frode Thorsås, Larvik AK, F</t>
  </si>
  <si>
    <t>Hans Bjørnar Hagenes, Vigrestad IK, F</t>
  </si>
  <si>
    <t>Randi Schei, Hitra VK, F</t>
  </si>
  <si>
    <t>Per Marstad, Tønsber-Kam., TO I</t>
  </si>
  <si>
    <t>Ken Berge. Larvik AK, F</t>
  </si>
  <si>
    <t>Gunnar Knudsen, Grenland AK, F - Hans Skjerpen, Larvik AK</t>
  </si>
  <si>
    <t>Rebekka Tao Jacobsen, Larvik AK, F</t>
  </si>
  <si>
    <t>Johan Thonerud, Spydeberg Atletene, F</t>
  </si>
  <si>
    <t>Johnny Olsen, Grenland AK, F</t>
  </si>
  <si>
    <t>Per Marstad, Tønsberg-Kam., TO I</t>
  </si>
  <si>
    <t>Bjørnar Olsen,Grenland AK, F</t>
  </si>
  <si>
    <t>Randi Schei, Hitra VK, F - Hans Skjerpen, Larvik AK</t>
  </si>
  <si>
    <t>Stavernhallen</t>
  </si>
  <si>
    <t>Robert Andre Moldestad, Breimsbygda IL, F - Hans Skjerpen, Larvik AK</t>
  </si>
  <si>
    <t>Nora Skuggedal, Larvik AK, F</t>
  </si>
  <si>
    <t>Arne Grostad, Nidelv IL, TO II</t>
  </si>
  <si>
    <t>Julia Jordanger len, Breimsbygda IL, F</t>
  </si>
  <si>
    <t>Bjørnar Olsen, Grenland AK, F</t>
  </si>
  <si>
    <t>Robert Andre Moldestad, Breimsbygda IL, F - Julia Jorddanger Loen, Breimsbyga IL, F</t>
  </si>
  <si>
    <t>Christian Lysenstøen, Spydeberg Atletene, f</t>
  </si>
  <si>
    <t>11.-12.09.21</t>
  </si>
  <si>
    <t>Resultat Norges Cup 4. runde Ungdom og Junior</t>
  </si>
  <si>
    <t>NM 5-kamp og NC4 (U/J)</t>
  </si>
  <si>
    <t>UM</t>
  </si>
  <si>
    <t>15-16</t>
  </si>
  <si>
    <t>Sander Freyer</t>
  </si>
  <si>
    <t>Nima Berntsen Lama</t>
  </si>
  <si>
    <t>Alvolai Røyseth</t>
  </si>
  <si>
    <t>Sander Heyn Stave</t>
  </si>
  <si>
    <t>61</t>
  </si>
  <si>
    <t>Brede Tengsol Lesto</t>
  </si>
  <si>
    <t>Magnus Børøsund</t>
  </si>
  <si>
    <t>Stefan Rønnevik</t>
  </si>
  <si>
    <t>Adrian Rosmæl Skauge</t>
  </si>
  <si>
    <t>96</t>
  </si>
  <si>
    <t>William Christiansen</t>
  </si>
  <si>
    <t>Anton B. Gustavson</t>
  </si>
  <si>
    <t>17-18</t>
  </si>
  <si>
    <t>Lasse Bye</t>
  </si>
  <si>
    <t>Eivind Balstad</t>
  </si>
  <si>
    <t>Kristen Røyseth</t>
  </si>
  <si>
    <t>SM</t>
  </si>
  <si>
    <t>19-23</t>
  </si>
  <si>
    <t>19.12.00</t>
  </si>
  <si>
    <t>Marcus Bratli</t>
  </si>
  <si>
    <t>Robert Andre Moldestad</t>
  </si>
  <si>
    <t>JM</t>
  </si>
  <si>
    <t>26.09.01</t>
  </si>
  <si>
    <t>Remy Heggvik Aune</t>
  </si>
  <si>
    <t>Bent Andre Midtbø</t>
  </si>
  <si>
    <t>22.11.01</t>
  </si>
  <si>
    <t>Mikal Akseth</t>
  </si>
  <si>
    <t>Vetle Andersen</t>
  </si>
  <si>
    <t>13.09.99</t>
  </si>
  <si>
    <t>55</t>
  </si>
  <si>
    <t>UK</t>
  </si>
  <si>
    <t>Ronja Lenvik</t>
  </si>
  <si>
    <t>59</t>
  </si>
  <si>
    <t>Siv-Helene Haaland</t>
  </si>
  <si>
    <t>Åse Johanne Berge</t>
  </si>
  <si>
    <t>71</t>
  </si>
  <si>
    <t>Marte Walseth</t>
  </si>
  <si>
    <t>76</t>
  </si>
  <si>
    <t>71.11</t>
  </si>
  <si>
    <t>JK</t>
  </si>
  <si>
    <t>Tuva Loodtz</t>
  </si>
  <si>
    <t>64</t>
  </si>
  <si>
    <t>K1</t>
  </si>
  <si>
    <t>+35</t>
  </si>
  <si>
    <t>Tinna Marína Jónsdóttir⁠</t>
  </si>
  <si>
    <t>K2</t>
  </si>
  <si>
    <t>Ingeborg Endresen</t>
  </si>
  <si>
    <t>87</t>
  </si>
  <si>
    <t>K3</t>
  </si>
  <si>
    <t>Monika Zakrzewska</t>
  </si>
  <si>
    <t>13-14</t>
  </si>
  <si>
    <t>Mariell Endestad Hellevang</t>
  </si>
  <si>
    <t>Eline Høien</t>
  </si>
  <si>
    <t>Vigrstad IK</t>
  </si>
  <si>
    <t>Mille Dekke</t>
  </si>
  <si>
    <t>Eline Svendsen</t>
  </si>
  <si>
    <t>Sandra Nævdal</t>
  </si>
  <si>
    <t>Madeleine Aaslund Jenack</t>
  </si>
  <si>
    <t>Ingrid Rommetveit Knappen</t>
  </si>
  <si>
    <t>Trine Endestad Hellevang</t>
  </si>
  <si>
    <t>Nikolai K. Aadland</t>
  </si>
  <si>
    <t>Kjetil Hovda Skåren</t>
  </si>
  <si>
    <t>Oliver Haugan</t>
  </si>
  <si>
    <t>Henrik Kjelsberg</t>
  </si>
  <si>
    <t>Aksel Svorstøl</t>
  </si>
  <si>
    <t>Ruben Vikhals Bjerkan</t>
  </si>
  <si>
    <t>Rasmus Heggvik Aune</t>
  </si>
  <si>
    <t>Erik A. F. Johansson</t>
  </si>
  <si>
    <t>Julia Jordanger Loen</t>
  </si>
  <si>
    <t>Emilie Kolseth Jensen</t>
  </si>
  <si>
    <t>Mia Mundal</t>
  </si>
  <si>
    <t>SK</t>
  </si>
  <si>
    <t>Nora Skuggedal</t>
  </si>
  <si>
    <t>Anna Wiik</t>
  </si>
  <si>
    <t>Hilde Næss, Lørenskog AK, TO II</t>
  </si>
  <si>
    <t>Hilde  Næss, Lørenskog AK, TO II</t>
  </si>
  <si>
    <t>Daniel Skagen Solberg, Tønsberg-Kam., F</t>
  </si>
  <si>
    <t>-</t>
  </si>
  <si>
    <t>x</t>
  </si>
  <si>
    <t>xxx</t>
  </si>
  <si>
    <t>Ingeborg Endresen, K2, 76 kg, rykk 60 kg, 64 kg, 67 kg støt 74 kg, 78 Kkg, sml. 141 kg, 145 kg</t>
  </si>
  <si>
    <t>Torbjørn Ødegård, Vigrestad IK, F</t>
  </si>
  <si>
    <t>0,00</t>
  </si>
  <si>
    <t>Jan Robert Solli, Tønsberg-Kam., F</t>
  </si>
  <si>
    <t>Julia Jordanger Loen, JK, 64 kg: Støt 101 kg</t>
  </si>
  <si>
    <t>Monikaa Zakrzewska, K3, 87 kg, støt 59 kg</t>
  </si>
  <si>
    <t>xx</t>
  </si>
  <si>
    <t>Kristen Røyseth, UM, 81 kg, støt 130 kg, 134 kg, sml. 231 kg, 235 kg</t>
  </si>
  <si>
    <t>24-34</t>
  </si>
  <si>
    <t>Sarah Hovden Øvsthus</t>
  </si>
  <si>
    <t>12.09.96</t>
  </si>
  <si>
    <t>Rebekka Tao Jacobsen</t>
  </si>
  <si>
    <t>31.01.93</t>
  </si>
  <si>
    <t>Isabell Thorberg</t>
  </si>
  <si>
    <t>Sara Broe Østvold</t>
  </si>
  <si>
    <t>Kamilla Storstein Grønnestad</t>
  </si>
  <si>
    <t>Sol Anette Waaler</t>
  </si>
  <si>
    <t>Trondheim AK</t>
  </si>
  <si>
    <t>Ine Andersson</t>
  </si>
  <si>
    <t>Melissa Schanche</t>
  </si>
  <si>
    <t>10.10.94</t>
  </si>
  <si>
    <t>Lars Espedal</t>
  </si>
  <si>
    <t>27.12.93</t>
  </si>
  <si>
    <t>Roy Sømme Ommedal</t>
  </si>
  <si>
    <t>102</t>
  </si>
  <si>
    <t>Edvin Øygard</t>
  </si>
  <si>
    <t>Victor Boquetale Gomez</t>
  </si>
  <si>
    <t>15.10.92</t>
  </si>
  <si>
    <t>Jørgen Kjellevand</t>
  </si>
  <si>
    <t>17.11.91</t>
  </si>
  <si>
    <t>Tord Gravdal</t>
  </si>
  <si>
    <t>+109</t>
  </si>
  <si>
    <t>24.12.89</t>
  </si>
  <si>
    <t>Kim Eirik Tollefsen</t>
  </si>
  <si>
    <t>10.05.90</t>
  </si>
  <si>
    <t>Michael Rosenberg</t>
  </si>
  <si>
    <t>Elverum AK</t>
  </si>
  <si>
    <t>14.04.91</t>
  </si>
  <si>
    <t>Daniel Roness</t>
  </si>
  <si>
    <t>06.08.96</t>
  </si>
  <si>
    <t>Jonas Grønstad</t>
  </si>
  <si>
    <t>07.07.92</t>
  </si>
  <si>
    <t>Jonas Hetland Mong</t>
  </si>
  <si>
    <t>15.07.96</t>
  </si>
  <si>
    <t>Bjarne Bergheim</t>
  </si>
  <si>
    <t>M1</t>
  </si>
  <si>
    <t>19.08.86</t>
  </si>
  <si>
    <t>Aaron Gem Donerciler</t>
  </si>
  <si>
    <t>M3</t>
  </si>
  <si>
    <t>30.03.76</t>
  </si>
  <si>
    <t>Børge Aadland</t>
  </si>
  <si>
    <t>M4</t>
  </si>
  <si>
    <t>02.07.68</t>
  </si>
  <si>
    <t>Dag Rønnevik</t>
  </si>
  <si>
    <t>Ine Andersson, SK, 64 kg: støt 117 kg, sml. 207 kg</t>
  </si>
  <si>
    <t>Med herrekule og herresinclair</t>
  </si>
  <si>
    <t>Mats Olsen, Tønsberg-Kam.,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</si>
</sst>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dd/mm/yy;@"/>
    <numFmt numFmtId="167" formatCode="0.0;[Red]0.0"/>
    <numFmt numFmtId="168" formatCode="0;[Red]0"/>
  </numFmts>
  <fonts count="46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b/>
      <sz val="12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MS Sans Serif"/>
    </font>
    <font>
      <b/>
      <sz val="1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20"/>
      <name val="MS Sans Serif"/>
    </font>
    <font>
      <b/>
      <sz val="24"/>
      <color indexed="9"/>
      <name val="Arial"/>
      <family val="2"/>
    </font>
    <font>
      <b/>
      <sz val="20"/>
      <color indexed="9"/>
      <name val="Arial"/>
      <family val="2"/>
    </font>
    <font>
      <b/>
      <sz val="28"/>
      <name val="Arial Black"/>
      <family val="2"/>
    </font>
    <font>
      <b/>
      <sz val="24"/>
      <name val="Arial Black"/>
      <family val="2"/>
    </font>
    <font>
      <sz val="18"/>
      <name val="Arial Black"/>
      <family val="2"/>
    </font>
    <font>
      <b/>
      <sz val="12"/>
      <color indexed="18"/>
      <name val="Times New Roman"/>
      <family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Calibri"/>
      <family val="2"/>
    </font>
    <font>
      <b/>
      <i/>
      <sz val="10"/>
      <name val="Arial"/>
      <family val="2"/>
    </font>
    <font>
      <sz val="11"/>
      <color rgb="FF000000"/>
      <name val="Arial"/>
      <family val="2"/>
    </font>
    <font>
      <b/>
      <u/>
      <sz val="12"/>
      <color rgb="FF000080"/>
      <name val="Times New Roman"/>
      <family val="1"/>
    </font>
    <font>
      <sz val="22"/>
      <name val="Times New Roman"/>
      <family val="1"/>
    </font>
    <font>
      <b/>
      <sz val="22"/>
      <name val="Times New Roman"/>
      <family val="1"/>
    </font>
    <font>
      <b/>
      <strike/>
      <sz val="10"/>
      <name val="Arial"/>
      <family val="2"/>
    </font>
    <font>
      <b/>
      <strike/>
      <sz val="11"/>
      <name val="Arial"/>
      <family val="2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rgb="FFCC9CCC"/>
        <bgColor indexed="64"/>
      </patternFill>
    </fill>
    <fill>
      <patternFill patternType="solid">
        <fgColor rgb="FFA6CAF0"/>
        <bgColor indexed="64"/>
      </patternFill>
    </fill>
  </fills>
  <borders count="7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Dashed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Dashed">
        <color auto="1"/>
      </left>
      <right style="medium">
        <color auto="1"/>
      </right>
      <top style="dashed">
        <color auto="1"/>
      </top>
      <bottom/>
      <diagonal/>
    </border>
    <border>
      <left style="mediumDashed">
        <color auto="1"/>
      </left>
      <right style="medium">
        <color auto="1"/>
      </right>
      <top/>
      <bottom style="dashed">
        <color auto="1"/>
      </bottom>
      <diagonal/>
    </border>
    <border>
      <left style="medium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dash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4" fillId="0" borderId="0"/>
  </cellStyleXfs>
  <cellXfs count="361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8" fillId="0" borderId="9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7" fillId="0" borderId="0" xfId="0" applyFont="1"/>
    <xf numFmtId="1" fontId="14" fillId="0" borderId="0" xfId="0" applyNumberFormat="1" applyFont="1" applyBorder="1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center"/>
    </xf>
    <xf numFmtId="0" fontId="12" fillId="0" borderId="0" xfId="0" applyFont="1" applyAlignment="1" applyProtection="1">
      <alignment horizontal="right" vertical="center"/>
    </xf>
    <xf numFmtId="0" fontId="20" fillId="0" borderId="0" xfId="0" applyFont="1" applyAlignment="1" applyProtection="1">
      <alignment horizontal="center"/>
    </xf>
    <xf numFmtId="0" fontId="22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</xf>
    <xf numFmtId="0" fontId="14" fillId="0" borderId="0" xfId="0" applyFont="1" applyAlignment="1" applyProtection="1">
      <alignment horizontal="left" vertical="center"/>
      <protection locked="0"/>
    </xf>
    <xf numFmtId="0" fontId="12" fillId="0" borderId="0" xfId="0" applyFont="1"/>
    <xf numFmtId="0" fontId="12" fillId="0" borderId="19" xfId="0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20" xfId="0" applyFont="1" applyBorder="1" applyAlignment="1" applyProtection="1">
      <alignment horizontal="right" vertical="center"/>
    </xf>
    <xf numFmtId="0" fontId="22" fillId="0" borderId="0" xfId="0" applyFont="1" applyBorder="1" applyAlignment="1" applyProtection="1">
      <alignment horizontal="left" vertical="center"/>
      <protection locked="0"/>
    </xf>
    <xf numFmtId="0" fontId="0" fillId="0" borderId="17" xfId="0" applyBorder="1" applyProtection="1"/>
    <xf numFmtId="0" fontId="0" fillId="0" borderId="17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1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2" fontId="21" fillId="0" borderId="23" xfId="1" applyNumberFormat="1" applyFont="1" applyBorder="1" applyAlignment="1" applyProtection="1">
      <alignment vertical="center"/>
    </xf>
    <xf numFmtId="0" fontId="22" fillId="0" borderId="0" xfId="0" applyFont="1" applyBorder="1" applyAlignment="1" applyProtection="1">
      <alignment vertical="center"/>
    </xf>
    <xf numFmtId="0" fontId="22" fillId="0" borderId="0" xfId="0" applyFont="1" applyBorder="1" applyAlignment="1" applyProtection="1">
      <alignment horizontal="center"/>
    </xf>
    <xf numFmtId="49" fontId="14" fillId="0" borderId="24" xfId="0" applyNumberFormat="1" applyFont="1" applyBorder="1" applyAlignment="1">
      <alignment horizontal="center"/>
    </xf>
    <xf numFmtId="0" fontId="21" fillId="0" borderId="25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2" fontId="21" fillId="0" borderId="26" xfId="0" applyNumberFormat="1" applyFont="1" applyBorder="1" applyAlignment="1" applyProtection="1">
      <alignment vertical="center"/>
    </xf>
    <xf numFmtId="2" fontId="14" fillId="0" borderId="0" xfId="0" applyNumberFormat="1" applyFont="1" applyBorder="1" applyAlignment="1" applyProtection="1">
      <alignment vertical="center" wrapText="1"/>
    </xf>
    <xf numFmtId="2" fontId="21" fillId="0" borderId="27" xfId="1" applyNumberFormat="1" applyFont="1" applyBorder="1" applyAlignment="1" applyProtection="1">
      <alignment vertical="center"/>
    </xf>
    <xf numFmtId="2" fontId="21" fillId="0" borderId="28" xfId="1" applyNumberFormat="1" applyFont="1" applyBorder="1" applyAlignment="1" applyProtection="1">
      <alignment vertical="center"/>
    </xf>
    <xf numFmtId="0" fontId="22" fillId="0" borderId="29" xfId="0" applyFont="1" applyBorder="1" applyAlignment="1" applyProtection="1">
      <alignment vertical="center"/>
      <protection locked="0"/>
    </xf>
    <xf numFmtId="0" fontId="22" fillId="0" borderId="30" xfId="0" applyFont="1" applyBorder="1" applyAlignment="1" applyProtection="1">
      <alignment vertical="center"/>
      <protection locked="0"/>
    </xf>
    <xf numFmtId="0" fontId="21" fillId="0" borderId="25" xfId="0" applyFont="1" applyBorder="1" applyAlignment="1" applyProtection="1">
      <alignment vertical="center"/>
      <protection locked="0"/>
    </xf>
    <xf numFmtId="0" fontId="22" fillId="0" borderId="31" xfId="0" applyFont="1" applyBorder="1" applyAlignment="1" applyProtection="1">
      <alignment vertical="center"/>
      <protection locked="0"/>
    </xf>
    <xf numFmtId="0" fontId="21" fillId="0" borderId="26" xfId="0" applyFont="1" applyBorder="1" applyAlignment="1" applyProtection="1">
      <alignment vertical="center"/>
      <protection locked="0"/>
    </xf>
    <xf numFmtId="0" fontId="14" fillId="0" borderId="25" xfId="0" applyFont="1" applyBorder="1" applyAlignment="1" applyProtection="1">
      <alignment vertical="center"/>
      <protection locked="0"/>
    </xf>
    <xf numFmtId="2" fontId="21" fillId="0" borderId="25" xfId="0" applyNumberFormat="1" applyFont="1" applyBorder="1" applyAlignment="1" applyProtection="1">
      <alignment vertical="center"/>
    </xf>
    <xf numFmtId="2" fontId="22" fillId="0" borderId="32" xfId="1" quotePrefix="1" applyNumberFormat="1" applyFont="1" applyBorder="1" applyAlignment="1" applyProtection="1">
      <alignment vertical="center"/>
      <protection locked="0"/>
    </xf>
    <xf numFmtId="2" fontId="22" fillId="0" borderId="32" xfId="1" applyNumberFormat="1" applyFont="1" applyBorder="1" applyAlignment="1" applyProtection="1">
      <alignment vertical="center"/>
      <protection locked="0"/>
    </xf>
    <xf numFmtId="2" fontId="22" fillId="0" borderId="33" xfId="1" quotePrefix="1" applyNumberFormat="1" applyFont="1" applyBorder="1" applyAlignment="1" applyProtection="1">
      <alignment vertical="center"/>
      <protection locked="0"/>
    </xf>
    <xf numFmtId="2" fontId="22" fillId="0" borderId="33" xfId="1" applyNumberFormat="1" applyFont="1" applyBorder="1" applyAlignment="1" applyProtection="1">
      <alignment vertical="center"/>
      <protection locked="0"/>
    </xf>
    <xf numFmtId="2" fontId="22" fillId="0" borderId="34" xfId="1" quotePrefix="1" applyNumberFormat="1" applyFont="1" applyBorder="1" applyAlignment="1" applyProtection="1">
      <alignment vertical="center"/>
      <protection locked="0"/>
    </xf>
    <xf numFmtId="2" fontId="22" fillId="0" borderId="35" xfId="1" quotePrefix="1" applyNumberFormat="1" applyFont="1" applyBorder="1" applyAlignment="1" applyProtection="1">
      <alignment vertical="center"/>
      <protection locked="0"/>
    </xf>
    <xf numFmtId="2" fontId="22" fillId="0" borderId="36" xfId="1" applyNumberFormat="1" applyFont="1" applyBorder="1" applyAlignment="1" applyProtection="1">
      <alignment vertical="center"/>
      <protection locked="0"/>
    </xf>
    <xf numFmtId="2" fontId="22" fillId="0" borderId="37" xfId="1" applyNumberFormat="1" applyFont="1" applyBorder="1" applyAlignment="1" applyProtection="1">
      <alignment vertical="center"/>
      <protection locked="0"/>
    </xf>
    <xf numFmtId="0" fontId="22" fillId="0" borderId="38" xfId="0" applyFont="1" applyBorder="1" applyAlignment="1" applyProtection="1">
      <alignment vertical="center"/>
      <protection locked="0"/>
    </xf>
    <xf numFmtId="2" fontId="22" fillId="0" borderId="39" xfId="1" applyNumberFormat="1" applyFont="1" applyBorder="1" applyAlignment="1" applyProtection="1">
      <alignment vertical="center"/>
      <protection locked="0"/>
    </xf>
    <xf numFmtId="0" fontId="0" fillId="0" borderId="4" xfId="0" applyBorder="1"/>
    <xf numFmtId="49" fontId="14" fillId="0" borderId="29" xfId="0" applyNumberFormat="1" applyFont="1" applyBorder="1" applyAlignment="1">
      <alignment horizontal="center"/>
    </xf>
    <xf numFmtId="166" fontId="21" fillId="0" borderId="0" xfId="0" applyNumberFormat="1" applyFont="1" applyAlignment="1" applyProtection="1">
      <alignment vertical="center"/>
    </xf>
    <xf numFmtId="1" fontId="21" fillId="0" borderId="0" xfId="0" applyNumberFormat="1" applyFont="1" applyAlignment="1" applyProtection="1">
      <alignment horizontal="center" vertical="center"/>
    </xf>
    <xf numFmtId="166" fontId="21" fillId="0" borderId="0" xfId="0" applyNumberFormat="1" applyFont="1" applyAlignment="1" applyProtection="1">
      <protection locked="0"/>
    </xf>
    <xf numFmtId="1" fontId="21" fillId="0" borderId="0" xfId="0" applyNumberFormat="1" applyFont="1" applyAlignment="1" applyProtection="1">
      <alignment horizontal="center"/>
      <protection locked="0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49" fontId="12" fillId="0" borderId="7" xfId="0" applyNumberFormat="1" applyFont="1" applyBorder="1" applyAlignment="1">
      <alignment horizontal="center"/>
    </xf>
    <xf numFmtId="0" fontId="23" fillId="0" borderId="0" xfId="0" applyFont="1"/>
    <xf numFmtId="49" fontId="15" fillId="0" borderId="20" xfId="1" applyNumberFormat="1" applyFont="1" applyBorder="1" applyAlignment="1" applyProtection="1">
      <alignment horizontal="center" vertical="center"/>
      <protection locked="0"/>
    </xf>
    <xf numFmtId="0" fontId="15" fillId="0" borderId="20" xfId="1" applyFont="1" applyBorder="1" applyAlignment="1" applyProtection="1">
      <alignment horizontal="left" vertical="center"/>
      <protection locked="0"/>
    </xf>
    <xf numFmtId="2" fontId="29" fillId="0" borderId="41" xfId="1" applyNumberFormat="1" applyFont="1" applyBorder="1" applyAlignment="1" applyProtection="1">
      <alignment horizontal="center" vertical="center"/>
      <protection locked="0"/>
    </xf>
    <xf numFmtId="0" fontId="15" fillId="0" borderId="29" xfId="1" applyFont="1" applyBorder="1" applyAlignment="1" applyProtection="1">
      <alignment horizontal="left" vertical="center"/>
      <protection locked="0"/>
    </xf>
    <xf numFmtId="0" fontId="15" fillId="0" borderId="45" xfId="0" applyFont="1" applyBorder="1" applyAlignment="1" applyProtection="1">
      <alignment horizontal="center" vertical="center"/>
      <protection locked="0"/>
    </xf>
    <xf numFmtId="165" fontId="0" fillId="0" borderId="0" xfId="0" applyNumberFormat="1"/>
    <xf numFmtId="0" fontId="15" fillId="0" borderId="9" xfId="0" applyFont="1" applyBorder="1" applyAlignment="1" applyProtection="1">
      <alignment horizontal="center" vertical="center"/>
      <protection locked="0"/>
    </xf>
    <xf numFmtId="2" fontId="15" fillId="0" borderId="29" xfId="0" applyNumberFormat="1" applyFont="1" applyBorder="1" applyAlignment="1">
      <alignment horizontal="center" vertical="center"/>
    </xf>
    <xf numFmtId="1" fontId="15" fillId="0" borderId="30" xfId="1" applyNumberFormat="1" applyFont="1" applyBorder="1" applyAlignment="1" applyProtection="1">
      <alignment horizontal="center" vertical="center"/>
      <protection locked="0"/>
    </xf>
    <xf numFmtId="0" fontId="15" fillId="0" borderId="47" xfId="0" applyFont="1" applyBorder="1" applyAlignment="1">
      <alignment horizontal="center" vertical="center"/>
    </xf>
    <xf numFmtId="0" fontId="20" fillId="0" borderId="0" xfId="0" applyFont="1" applyBorder="1" applyAlignment="1" applyProtection="1">
      <alignment horizontal="center"/>
    </xf>
    <xf numFmtId="0" fontId="21" fillId="0" borderId="0" xfId="0" applyFont="1" applyAlignment="1" applyProtection="1">
      <protection locked="0"/>
    </xf>
    <xf numFmtId="0" fontId="20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20" fillId="0" borderId="0" xfId="0" applyFont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3" fillId="0" borderId="0" xfId="1" applyFont="1" applyAlignment="1">
      <alignment horizontal="right"/>
    </xf>
    <xf numFmtId="166" fontId="13" fillId="0" borderId="0" xfId="0" applyNumberFormat="1" applyFont="1" applyAlignment="1" applyProtection="1">
      <alignment horizontal="right"/>
      <protection locked="0"/>
    </xf>
    <xf numFmtId="0" fontId="13" fillId="0" borderId="0" xfId="1" applyFont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34" fillId="0" borderId="0" xfId="1" applyFont="1" applyAlignment="1">
      <alignment horizontal="center"/>
    </xf>
    <xf numFmtId="0" fontId="8" fillId="0" borderId="5" xfId="1" applyFont="1" applyBorder="1" applyAlignment="1">
      <alignment horizontal="center"/>
    </xf>
    <xf numFmtId="0" fontId="8" fillId="0" borderId="50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164" fontId="8" fillId="0" borderId="8" xfId="1" applyNumberFormat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2" fontId="8" fillId="0" borderId="8" xfId="1" applyNumberFormat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16" xfId="1" applyFont="1" applyBorder="1" applyAlignment="1">
      <alignment horizontal="center"/>
    </xf>
    <xf numFmtId="0" fontId="8" fillId="0" borderId="12" xfId="1" applyFont="1" applyBorder="1" applyAlignment="1">
      <alignment horizontal="center"/>
    </xf>
    <xf numFmtId="164" fontId="8" fillId="0" borderId="13" xfId="1" applyNumberFormat="1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2" fontId="8" fillId="0" borderId="13" xfId="1" applyNumberFormat="1" applyFont="1" applyBorder="1" applyAlignment="1">
      <alignment horizontal="center"/>
    </xf>
    <xf numFmtId="49" fontId="15" fillId="0" borderId="40" xfId="1" quotePrefix="1" applyNumberFormat="1" applyFont="1" applyBorder="1" applyAlignment="1" applyProtection="1">
      <alignment horizontal="right" vertical="center"/>
      <protection locked="0"/>
    </xf>
    <xf numFmtId="2" fontId="15" fillId="0" borderId="56" xfId="1" applyNumberFormat="1" applyFont="1" applyBorder="1" applyAlignment="1" applyProtection="1">
      <alignment horizontal="center" vertical="center"/>
      <protection locked="0"/>
    </xf>
    <xf numFmtId="49" fontId="15" fillId="0" borderId="20" xfId="1" quotePrefix="1" applyNumberFormat="1" applyFont="1" applyBorder="1" applyAlignment="1" applyProtection="1">
      <alignment horizontal="center" vertical="center"/>
      <protection locked="0"/>
    </xf>
    <xf numFmtId="168" fontId="15" fillId="0" borderId="42" xfId="1" applyNumberFormat="1" applyFont="1" applyBorder="1" applyAlignment="1">
      <alignment horizontal="center" vertical="center"/>
    </xf>
    <xf numFmtId="1" fontId="15" fillId="0" borderId="35" xfId="1" applyNumberFormat="1" applyFont="1" applyBorder="1" applyAlignment="1">
      <alignment horizontal="center" vertical="center"/>
    </xf>
    <xf numFmtId="1" fontId="15" fillId="0" borderId="33" xfId="0" applyNumberFormat="1" applyFont="1" applyBorder="1" applyAlignment="1">
      <alignment horizontal="center" vertical="center"/>
    </xf>
    <xf numFmtId="2" fontId="15" fillId="0" borderId="33" xfId="0" applyNumberFormat="1" applyFont="1" applyBorder="1" applyAlignment="1">
      <alignment horizontal="center" vertical="center" wrapText="1"/>
    </xf>
    <xf numFmtId="2" fontId="15" fillId="0" borderId="42" xfId="0" applyNumberFormat="1" applyFont="1" applyBorder="1" applyAlignment="1">
      <alignment horizontal="center" vertical="center" wrapText="1"/>
    </xf>
    <xf numFmtId="2" fontId="29" fillId="0" borderId="41" xfId="1" applyNumberFormat="1" applyFont="1" applyBorder="1" applyAlignment="1">
      <alignment horizontal="center" vertical="center"/>
    </xf>
    <xf numFmtId="2" fontId="15" fillId="0" borderId="41" xfId="0" applyNumberFormat="1" applyFont="1" applyBorder="1" applyAlignment="1">
      <alignment horizontal="center" vertical="center" wrapText="1"/>
    </xf>
    <xf numFmtId="1" fontId="15" fillId="0" borderId="8" xfId="1" applyNumberFormat="1" applyFont="1" applyBorder="1" applyAlignment="1">
      <alignment horizontal="center" vertical="center"/>
    </xf>
    <xf numFmtId="166" fontId="12" fillId="0" borderId="0" xfId="0" applyNumberFormat="1" applyFont="1"/>
    <xf numFmtId="2" fontId="15" fillId="0" borderId="43" xfId="1" applyNumberFormat="1" applyFont="1" applyBorder="1" applyAlignment="1">
      <alignment horizontal="center" vertical="center"/>
    </xf>
    <xf numFmtId="2" fontId="15" fillId="0" borderId="57" xfId="1" applyNumberFormat="1" applyFont="1" applyBorder="1" applyAlignment="1">
      <alignment horizontal="center" vertical="center"/>
    </xf>
    <xf numFmtId="2" fontId="15" fillId="0" borderId="2" xfId="1" applyNumberFormat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14" fontId="15" fillId="0" borderId="2" xfId="1" applyNumberFormat="1" applyFont="1" applyBorder="1" applyAlignment="1">
      <alignment horizontal="center" vertical="center"/>
    </xf>
    <xf numFmtId="0" fontId="15" fillId="0" borderId="30" xfId="1" applyFont="1" applyBorder="1" applyAlignment="1" applyProtection="1">
      <alignment horizontal="left" vertical="center"/>
      <protection locked="0"/>
    </xf>
    <xf numFmtId="2" fontId="15" fillId="0" borderId="4" xfId="1" applyNumberFormat="1" applyFont="1" applyBorder="1" applyAlignment="1">
      <alignment horizontal="center" vertical="center"/>
    </xf>
    <xf numFmtId="2" fontId="15" fillId="0" borderId="31" xfId="1" applyNumberFormat="1" applyFont="1" applyBorder="1" applyAlignment="1">
      <alignment horizontal="center" vertical="center" wrapText="1"/>
    </xf>
    <xf numFmtId="2" fontId="15" fillId="0" borderId="29" xfId="1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 wrapText="1"/>
    </xf>
    <xf numFmtId="1" fontId="15" fillId="0" borderId="20" xfId="1" applyNumberFormat="1" applyFont="1" applyBorder="1" applyAlignment="1">
      <alignment horizontal="center" vertical="center"/>
    </xf>
    <xf numFmtId="2" fontId="15" fillId="0" borderId="2" xfId="1" applyNumberFormat="1" applyFont="1" applyBorder="1" applyAlignment="1" applyProtection="1">
      <alignment horizontal="center" vertical="center"/>
      <protection locked="0"/>
    </xf>
    <xf numFmtId="2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0" borderId="0" xfId="1" applyFont="1" applyAlignment="1" applyProtection="1">
      <alignment horizontal="left" vertical="center"/>
      <protection locked="0"/>
    </xf>
    <xf numFmtId="2" fontId="6" fillId="0" borderId="0" xfId="1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top" wrapText="1"/>
    </xf>
    <xf numFmtId="1" fontId="14" fillId="0" borderId="0" xfId="1" applyNumberFormat="1" applyFont="1" applyAlignment="1" applyProtection="1">
      <alignment horizontal="center" vertical="center"/>
      <protection locked="0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3" fillId="0" borderId="0" xfId="0" applyFont="1" applyAlignment="1" applyProtection="1">
      <alignment horizontal="left"/>
      <protection locked="0"/>
    </xf>
    <xf numFmtId="2" fontId="22" fillId="0" borderId="36" xfId="1" quotePrefix="1" applyNumberFormat="1" applyFont="1" applyBorder="1" applyAlignment="1" applyProtection="1">
      <alignment vertical="center"/>
      <protection locked="0"/>
    </xf>
    <xf numFmtId="0" fontId="0" fillId="0" borderId="56" xfId="0" applyBorder="1"/>
    <xf numFmtId="168" fontId="13" fillId="0" borderId="41" xfId="1" applyNumberFormat="1" applyFont="1" applyBorder="1" applyAlignment="1" applyProtection="1">
      <alignment horizontal="center" vertical="center"/>
      <protection locked="0"/>
    </xf>
    <xf numFmtId="168" fontId="13" fillId="0" borderId="41" xfId="1" quotePrefix="1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right" vertical="center"/>
    </xf>
    <xf numFmtId="0" fontId="8" fillId="0" borderId="14" xfId="1" applyFont="1" applyBorder="1" applyAlignment="1">
      <alignment horizontal="center"/>
    </xf>
    <xf numFmtId="0" fontId="13" fillId="0" borderId="0" xfId="1" applyFont="1" applyAlignment="1">
      <alignment horizontal="right"/>
    </xf>
    <xf numFmtId="0" fontId="5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8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50" xfId="1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8" fillId="0" borderId="8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50" xfId="1" applyFont="1" applyBorder="1" applyAlignment="1">
      <alignment horizontal="center"/>
    </xf>
    <xf numFmtId="0" fontId="8" fillId="0" borderId="0" xfId="0" applyFont="1" applyAlignment="1" applyProtection="1">
      <alignment horizontal="left"/>
      <protection locked="0"/>
    </xf>
    <xf numFmtId="0" fontId="13" fillId="0" borderId="0" xfId="1" applyFont="1" applyAlignment="1">
      <alignment horizontal="right"/>
    </xf>
    <xf numFmtId="0" fontId="8" fillId="0" borderId="14" xfId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165" fontId="12" fillId="0" borderId="0" xfId="0" applyNumberFormat="1" applyFont="1"/>
    <xf numFmtId="1" fontId="12" fillId="0" borderId="0" xfId="0" applyNumberFormat="1" applyFont="1"/>
    <xf numFmtId="165" fontId="39" fillId="0" borderId="0" xfId="0" applyNumberFormat="1" applyFont="1" applyAlignment="1">
      <alignment horizontal="right" vertical="center"/>
    </xf>
    <xf numFmtId="165" fontId="39" fillId="5" borderId="0" xfId="0" applyNumberFormat="1" applyFont="1" applyFill="1" applyAlignment="1">
      <alignment horizontal="right" vertical="center"/>
    </xf>
    <xf numFmtId="0" fontId="22" fillId="0" borderId="0" xfId="0" applyFont="1" applyAlignment="1">
      <alignment horizontal="right"/>
    </xf>
    <xf numFmtId="0" fontId="0" fillId="6" borderId="0" xfId="2" applyFont="1" applyFill="1" applyProtection="1">
      <protection locked="0"/>
    </xf>
    <xf numFmtId="0" fontId="0" fillId="6" borderId="0" xfId="2" applyFont="1" applyFill="1" applyAlignment="1" applyProtection="1">
      <alignment horizontal="center"/>
      <protection locked="0"/>
    </xf>
    <xf numFmtId="0" fontId="8" fillId="0" borderId="14" xfId="1" applyFont="1" applyBorder="1" applyAlignment="1">
      <alignment horizontal="center"/>
    </xf>
    <xf numFmtId="0" fontId="13" fillId="0" borderId="0" xfId="1" applyFont="1" applyAlignment="1">
      <alignment horizontal="right"/>
    </xf>
    <xf numFmtId="0" fontId="5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8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50" xfId="1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8" fillId="0" borderId="8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50" xfId="1" applyFont="1" applyBorder="1" applyAlignment="1">
      <alignment horizontal="center"/>
    </xf>
    <xf numFmtId="0" fontId="8" fillId="0" borderId="0" xfId="0" applyFont="1" applyAlignment="1" applyProtection="1">
      <alignment horizontal="left"/>
      <protection locked="0"/>
    </xf>
    <xf numFmtId="0" fontId="13" fillId="0" borderId="0" xfId="1" applyFont="1" applyAlignment="1">
      <alignment horizontal="right"/>
    </xf>
    <xf numFmtId="0" fontId="8" fillId="0" borderId="14" xfId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2" fillId="0" borderId="1" xfId="0" applyFont="1" applyBorder="1" applyAlignment="1" applyProtection="1">
      <alignment horizontal="center"/>
    </xf>
    <xf numFmtId="0" fontId="0" fillId="0" borderId="3" xfId="0" applyBorder="1" applyProtection="1"/>
    <xf numFmtId="2" fontId="15" fillId="0" borderId="41" xfId="1" applyNumberFormat="1" applyFont="1" applyBorder="1" applyAlignment="1" applyProtection="1">
      <alignment horizontal="center" vertical="center"/>
      <protection locked="0"/>
    </xf>
    <xf numFmtId="0" fontId="11" fillId="0" borderId="6" xfId="0" applyNumberFormat="1" applyFont="1" applyBorder="1" applyAlignment="1">
      <alignment horizontal="left"/>
    </xf>
    <xf numFmtId="0" fontId="11" fillId="0" borderId="29" xfId="0" applyNumberFormat="1" applyFont="1" applyBorder="1" applyAlignment="1">
      <alignment horizontal="left"/>
    </xf>
    <xf numFmtId="0" fontId="11" fillId="0" borderId="3" xfId="0" applyNumberFormat="1" applyFont="1" applyBorder="1" applyAlignment="1">
      <alignment horizontal="left"/>
    </xf>
    <xf numFmtId="49" fontId="11" fillId="0" borderId="3" xfId="0" applyNumberFormat="1" applyFont="1" applyBorder="1" applyAlignment="1">
      <alignment horizontal="center"/>
    </xf>
    <xf numFmtId="49" fontId="11" fillId="0" borderId="44" xfId="0" applyNumberFormat="1" applyFont="1" applyBorder="1" applyAlignment="1">
      <alignment horizontal="center"/>
    </xf>
    <xf numFmtId="49" fontId="11" fillId="0" borderId="58" xfId="0" applyNumberFormat="1" applyFont="1" applyBorder="1" applyAlignment="1">
      <alignment horizontal="center"/>
    </xf>
    <xf numFmtId="2" fontId="15" fillId="0" borderId="56" xfId="0" applyNumberFormat="1" applyFont="1" applyBorder="1" applyAlignment="1" applyProtection="1">
      <alignment horizontal="center" vertical="center"/>
      <protection locked="0"/>
    </xf>
    <xf numFmtId="166" fontId="15" fillId="0" borderId="20" xfId="0" applyNumberFormat="1" applyFont="1" applyBorder="1" applyAlignment="1" applyProtection="1">
      <alignment horizontal="center" vertical="center"/>
      <protection locked="0"/>
    </xf>
    <xf numFmtId="49" fontId="15" fillId="0" borderId="20" xfId="0" applyNumberFormat="1" applyFont="1" applyBorder="1" applyAlignment="1" applyProtection="1">
      <alignment horizontal="center" vertical="center"/>
      <protection locked="0"/>
    </xf>
    <xf numFmtId="0" fontId="15" fillId="0" borderId="20" xfId="0" applyFont="1" applyBorder="1" applyAlignment="1" applyProtection="1">
      <alignment horizontal="left" vertical="center"/>
      <protection locked="0"/>
    </xf>
    <xf numFmtId="168" fontId="40" fillId="0" borderId="41" xfId="0" applyNumberFormat="1" applyFont="1" applyBorder="1" applyAlignment="1" applyProtection="1">
      <alignment horizontal="center" vertical="center"/>
      <protection locked="0"/>
    </xf>
    <xf numFmtId="0" fontId="15" fillId="0" borderId="24" xfId="1" applyFont="1" applyBorder="1" applyAlignment="1" applyProtection="1">
      <alignment horizontal="left" vertical="center"/>
      <protection locked="0"/>
    </xf>
    <xf numFmtId="2" fontId="15" fillId="0" borderId="60" xfId="1" applyNumberFormat="1" applyFont="1" applyBorder="1" applyAlignment="1" applyProtection="1">
      <alignment horizontal="center" vertical="center"/>
      <protection locked="0"/>
    </xf>
    <xf numFmtId="49" fontId="15" fillId="0" borderId="61" xfId="1" applyNumberFormat="1" applyFont="1" applyBorder="1" applyAlignment="1" applyProtection="1">
      <alignment horizontal="center" vertical="center"/>
      <protection locked="0"/>
    </xf>
    <xf numFmtId="49" fontId="15" fillId="0" borderId="61" xfId="1" quotePrefix="1" applyNumberFormat="1" applyFont="1" applyBorder="1" applyAlignment="1" applyProtection="1">
      <alignment horizontal="center" vertical="center"/>
      <protection locked="0"/>
    </xf>
    <xf numFmtId="0" fontId="15" fillId="0" borderId="61" xfId="1" applyFont="1" applyBorder="1" applyAlignment="1" applyProtection="1">
      <alignment horizontal="left" vertical="center"/>
      <protection locked="0"/>
    </xf>
    <xf numFmtId="0" fontId="12" fillId="0" borderId="62" xfId="0" applyFont="1" applyBorder="1" applyAlignment="1">
      <alignment horizontal="center"/>
    </xf>
    <xf numFmtId="49" fontId="12" fillId="0" borderId="62" xfId="0" applyNumberFormat="1" applyFont="1" applyBorder="1" applyAlignment="1">
      <alignment horizontal="center"/>
    </xf>
    <xf numFmtId="0" fontId="12" fillId="0" borderId="62" xfId="0" applyFont="1" applyBorder="1" applyAlignment="1">
      <alignment horizontal="left"/>
    </xf>
    <xf numFmtId="0" fontId="12" fillId="0" borderId="63" xfId="0" applyFont="1" applyBorder="1" applyAlignment="1">
      <alignment horizontal="center"/>
    </xf>
    <xf numFmtId="49" fontId="12" fillId="0" borderId="63" xfId="0" applyNumberFormat="1" applyFont="1" applyBorder="1" applyAlignment="1">
      <alignment horizontal="center"/>
    </xf>
    <xf numFmtId="0" fontId="12" fillId="0" borderId="63" xfId="0" applyFont="1" applyBorder="1" applyAlignment="1">
      <alignment horizontal="left"/>
    </xf>
    <xf numFmtId="0" fontId="11" fillId="0" borderId="24" xfId="0" applyNumberFormat="1" applyFont="1" applyBorder="1" applyAlignment="1">
      <alignment horizontal="left"/>
    </xf>
    <xf numFmtId="0" fontId="11" fillId="0" borderId="44" xfId="0" applyNumberFormat="1" applyFont="1" applyBorder="1" applyAlignment="1">
      <alignment horizontal="left"/>
    </xf>
    <xf numFmtId="1" fontId="15" fillId="0" borderId="0" xfId="0" applyNumberFormat="1" applyFont="1" applyBorder="1" applyAlignment="1" applyProtection="1">
      <alignment horizontal="right"/>
      <protection locked="0"/>
    </xf>
    <xf numFmtId="2" fontId="15" fillId="0" borderId="0" xfId="0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left"/>
    </xf>
    <xf numFmtId="1" fontId="15" fillId="0" borderId="0" xfId="0" applyNumberFormat="1" applyFont="1" applyBorder="1" applyAlignment="1">
      <alignment horizontal="center"/>
    </xf>
    <xf numFmtId="0" fontId="41" fillId="0" borderId="0" xfId="0" applyFont="1"/>
    <xf numFmtId="0" fontId="18" fillId="0" borderId="0" xfId="0" applyFont="1" applyFill="1" applyBorder="1" applyAlignment="1">
      <alignment horizontal="center"/>
    </xf>
    <xf numFmtId="0" fontId="42" fillId="7" borderId="0" xfId="0" applyFont="1" applyFill="1" applyBorder="1" applyAlignment="1">
      <alignment horizontal="right"/>
    </xf>
    <xf numFmtId="2" fontId="42" fillId="7" borderId="0" xfId="0" applyNumberFormat="1" applyFont="1" applyFill="1" applyBorder="1" applyAlignment="1">
      <alignment horizontal="right"/>
    </xf>
    <xf numFmtId="1" fontId="15" fillId="0" borderId="0" xfId="0" applyNumberFormat="1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0" fontId="42" fillId="8" borderId="0" xfId="0" applyFont="1" applyFill="1" applyBorder="1" applyAlignment="1">
      <alignment horizontal="right"/>
    </xf>
    <xf numFmtId="2" fontId="42" fillId="8" borderId="0" xfId="0" applyNumberFormat="1" applyFont="1" applyFill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0" fontId="42" fillId="7" borderId="0" xfId="0" applyFont="1" applyFill="1" applyBorder="1" applyAlignment="1"/>
    <xf numFmtId="0" fontId="42" fillId="8" borderId="0" xfId="0" applyFont="1" applyFill="1" applyBorder="1" applyAlignment="1"/>
    <xf numFmtId="49" fontId="15" fillId="0" borderId="59" xfId="1" applyNumberFormat="1" applyFont="1" applyBorder="1" applyAlignment="1" applyProtection="1">
      <alignment horizontal="center" vertical="center"/>
      <protection locked="0"/>
    </xf>
    <xf numFmtId="49" fontId="15" fillId="0" borderId="3" xfId="1" applyNumberFormat="1" applyFont="1" applyBorder="1" applyAlignment="1" applyProtection="1">
      <alignment horizontal="center" vertical="center"/>
      <protection locked="0"/>
    </xf>
    <xf numFmtId="166" fontId="15" fillId="0" borderId="3" xfId="0" applyNumberFormat="1" applyFont="1" applyBorder="1" applyAlignment="1" applyProtection="1">
      <alignment horizontal="center" vertical="center"/>
      <protection locked="0"/>
    </xf>
    <xf numFmtId="1" fontId="15" fillId="0" borderId="3" xfId="1" applyNumberFormat="1" applyFont="1" applyBorder="1" applyAlignment="1">
      <alignment horizontal="center" vertical="center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3" xfId="1" applyFont="1" applyBorder="1" applyAlignment="1" applyProtection="1">
      <alignment horizontal="left" vertical="center"/>
      <protection locked="0"/>
    </xf>
    <xf numFmtId="1" fontId="15" fillId="0" borderId="3" xfId="1" applyNumberFormat="1" applyFont="1" applyBorder="1" applyAlignment="1" applyProtection="1">
      <alignment horizontal="center" vertical="center"/>
      <protection locked="0"/>
    </xf>
    <xf numFmtId="1" fontId="15" fillId="0" borderId="3" xfId="1" quotePrefix="1" applyNumberFormat="1" applyFont="1" applyBorder="1" applyAlignment="1" applyProtection="1">
      <alignment horizontal="center" vertical="center"/>
      <protection locked="0"/>
    </xf>
    <xf numFmtId="1" fontId="15" fillId="0" borderId="64" xfId="1" applyNumberFormat="1" applyFont="1" applyBorder="1" applyAlignment="1" applyProtection="1">
      <alignment horizontal="center" vertical="center"/>
      <protection locked="0"/>
    </xf>
    <xf numFmtId="49" fontId="15" fillId="0" borderId="3" xfId="1" quotePrefix="1" applyNumberFormat="1" applyFont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44" xfId="1" applyFont="1" applyBorder="1" applyAlignment="1" applyProtection="1">
      <alignment horizontal="left" vertical="center"/>
      <protection locked="0"/>
    </xf>
    <xf numFmtId="14" fontId="15" fillId="0" borderId="64" xfId="1" applyNumberFormat="1" applyFont="1" applyBorder="1" applyAlignment="1">
      <alignment horizontal="center" vertical="center"/>
    </xf>
    <xf numFmtId="49" fontId="15" fillId="0" borderId="59" xfId="1" quotePrefix="1" applyNumberFormat="1" applyFont="1" applyBorder="1" applyAlignment="1" applyProtection="1">
      <alignment horizontal="center" vertical="center"/>
      <protection locked="0"/>
    </xf>
    <xf numFmtId="1" fontId="15" fillId="0" borderId="41" xfId="1" applyNumberFormat="1" applyFont="1" applyBorder="1" applyAlignment="1" applyProtection="1">
      <alignment horizontal="center" vertical="center"/>
      <protection locked="0"/>
    </xf>
    <xf numFmtId="1" fontId="15" fillId="0" borderId="41" xfId="1" quotePrefix="1" applyNumberFormat="1" applyFont="1" applyBorder="1" applyAlignment="1" applyProtection="1">
      <alignment horizontal="center" vertical="center"/>
      <protection locked="0"/>
    </xf>
    <xf numFmtId="0" fontId="15" fillId="0" borderId="65" xfId="1" applyFont="1" applyBorder="1" applyAlignment="1" applyProtection="1">
      <alignment horizontal="left" vertical="center"/>
      <protection locked="0"/>
    </xf>
    <xf numFmtId="168" fontId="15" fillId="0" borderId="41" xfId="1" applyNumberFormat="1" applyFont="1" applyBorder="1" applyAlignment="1">
      <alignment horizontal="center" vertical="center"/>
    </xf>
    <xf numFmtId="1" fontId="15" fillId="0" borderId="0" xfId="1" applyNumberFormat="1" applyFont="1" applyBorder="1" applyAlignment="1">
      <alignment horizontal="center" vertical="center"/>
    </xf>
    <xf numFmtId="1" fontId="15" fillId="0" borderId="20" xfId="0" applyNumberFormat="1" applyFont="1" applyBorder="1" applyAlignment="1">
      <alignment horizontal="center" vertical="center"/>
    </xf>
    <xf numFmtId="2" fontId="15" fillId="0" borderId="20" xfId="0" applyNumberFormat="1" applyFont="1" applyBorder="1" applyAlignment="1">
      <alignment horizontal="center" vertical="center" wrapText="1"/>
    </xf>
    <xf numFmtId="2" fontId="15" fillId="0" borderId="67" xfId="1" applyNumberFormat="1" applyFont="1" applyBorder="1" applyAlignment="1">
      <alignment horizontal="center" vertical="center"/>
    </xf>
    <xf numFmtId="0" fontId="15" fillId="0" borderId="68" xfId="1" applyFont="1" applyBorder="1" applyAlignment="1" applyProtection="1">
      <alignment horizontal="left" vertical="center"/>
      <protection locked="0"/>
    </xf>
    <xf numFmtId="0" fontId="15" fillId="0" borderId="67" xfId="1" applyFont="1" applyBorder="1" applyAlignment="1" applyProtection="1">
      <alignment horizontal="left" vertical="center"/>
      <protection locked="0"/>
    </xf>
    <xf numFmtId="2" fontId="15" fillId="0" borderId="69" xfId="1" applyNumberFormat="1" applyFont="1" applyBorder="1" applyAlignment="1">
      <alignment horizontal="center" vertical="center"/>
    </xf>
    <xf numFmtId="2" fontId="15" fillId="0" borderId="66" xfId="1" applyNumberFormat="1" applyFont="1" applyBorder="1" applyAlignment="1">
      <alignment horizontal="center" vertical="center" wrapText="1"/>
    </xf>
    <xf numFmtId="2" fontId="15" fillId="0" borderId="68" xfId="1" applyNumberFormat="1" applyFont="1" applyBorder="1" applyAlignment="1">
      <alignment horizontal="center" vertical="center"/>
    </xf>
    <xf numFmtId="2" fontId="15" fillId="0" borderId="68" xfId="0" applyNumberFormat="1" applyFont="1" applyBorder="1" applyAlignment="1">
      <alignment horizontal="center" vertical="center"/>
    </xf>
    <xf numFmtId="2" fontId="15" fillId="0" borderId="68" xfId="0" applyNumberFormat="1" applyFont="1" applyBorder="1" applyAlignment="1">
      <alignment horizontal="center" vertical="center" wrapText="1"/>
    </xf>
    <xf numFmtId="1" fontId="15" fillId="0" borderId="67" xfId="1" applyNumberFormat="1" applyFont="1" applyBorder="1" applyAlignment="1" applyProtection="1">
      <alignment horizontal="center" vertical="center"/>
      <protection locked="0"/>
    </xf>
    <xf numFmtId="0" fontId="15" fillId="0" borderId="70" xfId="0" applyFont="1" applyBorder="1" applyAlignment="1">
      <alignment horizontal="center" vertical="center"/>
    </xf>
    <xf numFmtId="2" fontId="22" fillId="0" borderId="33" xfId="1" quotePrefix="1" applyNumberFormat="1" applyFont="1" applyBorder="1" applyAlignment="1" applyProtection="1">
      <alignment horizontal="center" vertical="center"/>
      <protection locked="0"/>
    </xf>
    <xf numFmtId="2" fontId="15" fillId="0" borderId="29" xfId="0" quotePrefix="1" applyNumberFormat="1" applyFont="1" applyBorder="1" applyAlignment="1">
      <alignment horizontal="center" vertical="center"/>
    </xf>
    <xf numFmtId="2" fontId="22" fillId="0" borderId="35" xfId="1" quotePrefix="1" applyNumberFormat="1" applyFont="1" applyBorder="1" applyAlignment="1" applyProtection="1">
      <alignment horizontal="center" vertical="center"/>
      <protection locked="0"/>
    </xf>
    <xf numFmtId="2" fontId="15" fillId="0" borderId="30" xfId="1" applyNumberFormat="1" applyFont="1" applyBorder="1" applyAlignment="1">
      <alignment horizontal="center" vertical="center"/>
    </xf>
    <xf numFmtId="2" fontId="15" fillId="0" borderId="48" xfId="1" applyNumberFormat="1" applyFont="1" applyBorder="1" applyAlignment="1">
      <alignment horizontal="center" vertical="center"/>
    </xf>
    <xf numFmtId="2" fontId="15" fillId="0" borderId="31" xfId="1" applyNumberFormat="1" applyFont="1" applyBorder="1" applyAlignment="1">
      <alignment horizontal="center" vertical="center"/>
    </xf>
    <xf numFmtId="2" fontId="15" fillId="0" borderId="48" xfId="1" applyNumberFormat="1" applyFont="1" applyBorder="1" applyAlignment="1">
      <alignment horizontal="center" vertical="center" wrapText="1"/>
    </xf>
    <xf numFmtId="2" fontId="15" fillId="0" borderId="67" xfId="1" applyNumberFormat="1" applyFont="1" applyBorder="1" applyAlignment="1">
      <alignment horizontal="center" vertical="center"/>
    </xf>
    <xf numFmtId="2" fontId="15" fillId="0" borderId="69" xfId="1" applyNumberFormat="1" applyFont="1" applyBorder="1" applyAlignment="1">
      <alignment horizontal="center" vertical="center"/>
    </xf>
    <xf numFmtId="2" fontId="15" fillId="0" borderId="66" xfId="1" applyNumberFormat="1" applyFont="1" applyBorder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28" fillId="0" borderId="0" xfId="0" applyFont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49" xfId="1" applyFont="1" applyBorder="1" applyAlignment="1">
      <alignment horizontal="center"/>
    </xf>
    <xf numFmtId="0" fontId="8" fillId="0" borderId="22" xfId="1" applyFont="1" applyBorder="1" applyAlignment="1">
      <alignment horizontal="center"/>
    </xf>
    <xf numFmtId="2" fontId="15" fillId="0" borderId="30" xfId="1" applyNumberFormat="1" applyFont="1" applyBorder="1" applyAlignment="1">
      <alignment horizontal="center" vertical="center" wrapText="1"/>
    </xf>
    <xf numFmtId="2" fontId="15" fillId="0" borderId="31" xfId="1" applyNumberFormat="1" applyFont="1" applyBorder="1" applyAlignment="1">
      <alignment horizontal="center" vertical="center" wrapText="1"/>
    </xf>
    <xf numFmtId="0" fontId="13" fillId="0" borderId="0" xfId="1" applyFont="1" applyAlignment="1">
      <alignment horizontal="right"/>
    </xf>
    <xf numFmtId="0" fontId="15" fillId="0" borderId="0" xfId="1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32" fillId="0" borderId="0" xfId="0" applyFont="1" applyAlignment="1">
      <alignment horizontal="left" vertical="top"/>
    </xf>
    <xf numFmtId="0" fontId="15" fillId="0" borderId="0" xfId="1" applyFont="1" applyAlignment="1">
      <alignment horizontal="left"/>
    </xf>
    <xf numFmtId="0" fontId="15" fillId="0" borderId="0" xfId="0" applyFont="1" applyAlignment="1" applyProtection="1">
      <alignment horizontal="left"/>
      <protection locked="0"/>
    </xf>
    <xf numFmtId="166" fontId="11" fillId="0" borderId="0" xfId="0" applyNumberFormat="1" applyFont="1" applyAlignment="1" applyProtection="1">
      <alignment horizontal="left"/>
      <protection locked="0"/>
    </xf>
    <xf numFmtId="0" fontId="8" fillId="0" borderId="8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50" xfId="1" applyFont="1" applyBorder="1" applyAlignment="1">
      <alignment horizontal="center"/>
    </xf>
    <xf numFmtId="0" fontId="8" fillId="0" borderId="32" xfId="1" applyFont="1" applyBorder="1" applyAlignment="1">
      <alignment horizontal="center"/>
    </xf>
    <xf numFmtId="0" fontId="8" fillId="0" borderId="34" xfId="1" applyFont="1" applyBorder="1" applyAlignment="1">
      <alignment horizontal="center"/>
    </xf>
    <xf numFmtId="0" fontId="3" fillId="0" borderId="0" xfId="0" applyFont="1" applyAlignment="1">
      <alignment horizontal="left"/>
    </xf>
    <xf numFmtId="2" fontId="15" fillId="0" borderId="69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8" fillId="3" borderId="54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18" fillId="3" borderId="55" xfId="0" applyFont="1" applyFill="1" applyBorder="1" applyAlignment="1">
      <alignment horizontal="center"/>
    </xf>
    <xf numFmtId="0" fontId="24" fillId="4" borderId="51" xfId="0" applyFont="1" applyFill="1" applyBorder="1" applyAlignment="1">
      <alignment horizontal="center"/>
    </xf>
    <xf numFmtId="0" fontId="24" fillId="4" borderId="52" xfId="0" applyFont="1" applyFill="1" applyBorder="1" applyAlignment="1">
      <alignment horizontal="center"/>
    </xf>
    <xf numFmtId="0" fontId="24" fillId="4" borderId="53" xfId="0" applyFont="1" applyFill="1" applyBorder="1" applyAlignment="1">
      <alignment horizontal="center"/>
    </xf>
    <xf numFmtId="0" fontId="25" fillId="4" borderId="51" xfId="0" applyFont="1" applyFill="1" applyBorder="1" applyAlignment="1">
      <alignment horizontal="center"/>
    </xf>
    <xf numFmtId="0" fontId="25" fillId="4" borderId="52" xfId="0" applyFont="1" applyFill="1" applyBorder="1" applyAlignment="1">
      <alignment horizontal="center"/>
    </xf>
    <xf numFmtId="0" fontId="25" fillId="4" borderId="52" xfId="0" applyFont="1" applyFill="1" applyBorder="1" applyAlignment="1">
      <alignment horizontal="center" wrapText="1"/>
    </xf>
    <xf numFmtId="166" fontId="25" fillId="4" borderId="52" xfId="0" applyNumberFormat="1" applyFont="1" applyFill="1" applyBorder="1" applyAlignment="1">
      <alignment horizontal="center" wrapText="1"/>
    </xf>
    <xf numFmtId="166" fontId="25" fillId="4" borderId="52" xfId="0" applyNumberFormat="1" applyFont="1" applyFill="1" applyBorder="1" applyAlignment="1">
      <alignment horizontal="center"/>
    </xf>
    <xf numFmtId="0" fontId="18" fillId="2" borderId="51" xfId="0" applyFont="1" applyFill="1" applyBorder="1" applyAlignment="1">
      <alignment horizontal="center"/>
    </xf>
    <xf numFmtId="0" fontId="18" fillId="2" borderId="52" xfId="0" applyFont="1" applyFill="1" applyBorder="1" applyAlignment="1">
      <alignment horizontal="center"/>
    </xf>
    <xf numFmtId="0" fontId="18" fillId="2" borderId="53" xfId="0" applyFont="1" applyFill="1" applyBorder="1" applyAlignment="1">
      <alignment horizontal="center"/>
    </xf>
    <xf numFmtId="0" fontId="18" fillId="3" borderId="51" xfId="0" applyFont="1" applyFill="1" applyBorder="1" applyAlignment="1">
      <alignment horizontal="center"/>
    </xf>
    <xf numFmtId="0" fontId="18" fillId="3" borderId="52" xfId="0" applyFont="1" applyFill="1" applyBorder="1" applyAlignment="1">
      <alignment horizontal="center"/>
    </xf>
    <xf numFmtId="0" fontId="18" fillId="3" borderId="53" xfId="0" applyFont="1" applyFill="1" applyBorder="1" applyAlignment="1">
      <alignment horizontal="center"/>
    </xf>
    <xf numFmtId="0" fontId="42" fillId="8" borderId="0" xfId="0" applyFont="1" applyFill="1" applyBorder="1" applyAlignment="1">
      <alignment horizontal="left"/>
    </xf>
    <xf numFmtId="0" fontId="18" fillId="7" borderId="51" xfId="0" applyFont="1" applyFill="1" applyBorder="1" applyAlignment="1">
      <alignment horizontal="center"/>
    </xf>
    <xf numFmtId="0" fontId="18" fillId="7" borderId="52" xfId="0" applyFont="1" applyFill="1" applyBorder="1" applyAlignment="1">
      <alignment horizontal="center"/>
    </xf>
    <xf numFmtId="0" fontId="18" fillId="7" borderId="53" xfId="0" applyFont="1" applyFill="1" applyBorder="1" applyAlignment="1">
      <alignment horizontal="center"/>
    </xf>
    <xf numFmtId="0" fontId="18" fillId="8" borderId="54" xfId="0" applyFont="1" applyFill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0" fontId="18" fillId="8" borderId="55" xfId="0" applyFont="1" applyFill="1" applyBorder="1" applyAlignment="1">
      <alignment horizontal="center"/>
    </xf>
    <xf numFmtId="0" fontId="42" fillId="7" borderId="0" xfId="0" applyFont="1" applyFill="1" applyBorder="1" applyAlignment="1">
      <alignment horizontal="left"/>
    </xf>
    <xf numFmtId="0" fontId="0" fillId="0" borderId="12" xfId="0" applyBorder="1" applyAlignment="1" applyProtection="1">
      <alignment horizontal="left" vertical="center"/>
    </xf>
    <xf numFmtId="0" fontId="12" fillId="0" borderId="6" xfId="0" applyFont="1" applyBorder="1" applyAlignment="1" applyProtection="1">
      <alignment horizontal="center" vertical="center"/>
    </xf>
    <xf numFmtId="0" fontId="22" fillId="0" borderId="6" xfId="0" applyFont="1" applyBorder="1" applyAlignment="1" applyProtection="1">
      <alignment horizontal="center" vertical="center"/>
      <protection locked="0"/>
    </xf>
    <xf numFmtId="14" fontId="22" fillId="0" borderId="6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/>
    </xf>
    <xf numFmtId="0" fontId="12" fillId="0" borderId="0" xfId="0" applyFont="1" applyAlignment="1">
      <alignment horizontal="right"/>
    </xf>
    <xf numFmtId="0" fontId="21" fillId="0" borderId="0" xfId="0" applyFont="1" applyAlignment="1" applyProtection="1">
      <alignment horizontal="left"/>
      <protection locked="0"/>
    </xf>
    <xf numFmtId="0" fontId="21" fillId="0" borderId="0" xfId="0" applyFont="1" applyAlignment="1" applyProtection="1">
      <alignment horizontal="left" vertical="center" wrapText="1"/>
      <protection locked="0"/>
    </xf>
    <xf numFmtId="0" fontId="21" fillId="0" borderId="0" xfId="0" applyFont="1" applyAlignment="1" applyProtection="1">
      <alignment horizontal="left" vertical="center"/>
      <protection locked="0"/>
    </xf>
    <xf numFmtId="166" fontId="21" fillId="0" borderId="0" xfId="0" applyNumberFormat="1" applyFont="1" applyAlignment="1" applyProtection="1">
      <alignment horizontal="left" vertical="center"/>
    </xf>
    <xf numFmtId="0" fontId="0" fillId="0" borderId="0" xfId="0" applyFont="1" applyAlignment="1">
      <alignment horizontal="right"/>
    </xf>
    <xf numFmtId="166" fontId="21" fillId="0" borderId="0" xfId="0" applyNumberFormat="1" applyFont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49" fontId="43" fillId="0" borderId="3" xfId="0" applyNumberFormat="1" applyFont="1" applyBorder="1" applyAlignment="1">
      <alignment horizontal="center"/>
    </xf>
    <xf numFmtId="0" fontId="43" fillId="0" borderId="3" xfId="0" applyNumberFormat="1" applyFont="1" applyBorder="1" applyAlignment="1">
      <alignment horizontal="left"/>
    </xf>
    <xf numFmtId="49" fontId="44" fillId="0" borderId="24" xfId="0" applyNumberFormat="1" applyFont="1" applyBorder="1" applyAlignment="1">
      <alignment horizontal="center"/>
    </xf>
    <xf numFmtId="0" fontId="43" fillId="0" borderId="29" xfId="0" applyNumberFormat="1" applyFont="1" applyBorder="1" applyAlignment="1">
      <alignment horizontal="left"/>
    </xf>
    <xf numFmtId="2" fontId="22" fillId="0" borderId="32" xfId="1" quotePrefix="1" applyNumberFormat="1" applyFont="1" applyBorder="1" applyAlignment="1" applyProtection="1">
      <alignment horizontal="center" vertical="center"/>
      <protection locked="0"/>
    </xf>
    <xf numFmtId="0" fontId="45" fillId="0" borderId="29" xfId="1" applyFont="1" applyBorder="1" applyAlignment="1" applyProtection="1">
      <alignment horizontal="left" vertical="center"/>
      <protection locked="0"/>
    </xf>
  </cellXfs>
  <cellStyles count="3">
    <cellStyle name="Excel Built-in Normal" xfId="2" xr:uid="{DC0CCEC1-40B4-3446-A16F-4A61C416D634}"/>
    <cellStyle name="Normal" xfId="0" builtinId="0"/>
    <cellStyle name="Normal_Sheet1" xfId="1" xr:uid="{00000000-0005-0000-0000-000001000000}"/>
  </cellStyles>
  <dxfs count="220"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CAF0"/>
      <color rgb="FF94A6E7"/>
      <color rgb="FFCC9CCC"/>
      <color rgb="FFD3B2D0"/>
      <color rgb="FFCACA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12420" name="Picture 192">
          <a:extLst>
            <a:ext uri="{FF2B5EF4-FFF2-40B4-BE49-F238E27FC236}">
              <a16:creationId xmlns:a16="http://schemas.microsoft.com/office/drawing/2014/main" id="{00000000-0008-0000-0000-000084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6604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75C35179-4BB3-0F40-A219-B44EC7741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5900" y="2108200"/>
          <a:ext cx="8483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CBC24A1F-97A3-8F4D-8A1D-9C3CEBEE4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5900" y="2108200"/>
          <a:ext cx="8483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4233DA98-9207-CD42-903A-E1930D160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3520" y="2108200"/>
          <a:ext cx="9093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D69ED6CC-D713-414A-B635-21B48E3D9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82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A423D298-5104-0443-B307-5923D407C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24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6ECA532A-6A25-554C-94F0-6B5FC91D4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7CEFF0A4-791E-7248-BB9F-D363404F6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96C79115-1769-114D-8027-F517D3EA6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68393383-3DCC-A141-A01B-4B0E02407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9A6FB564-072C-CD4F-936B-C55BB8E5D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E9D21976-D08C-974B-BFF0-F7C9406B0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EDDC2B71-535D-CE40-B344-43782C60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8CC3A260-FB74-0143-AEA5-1764CCC81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A9206EFE-B7FE-734F-9610-A86944286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D40A6AC6-900C-5440-B4E6-1F36AD85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D4A634D6-96ED-A94A-BC68-4D8058BB0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01BFF0C8-BF4D-C946-9089-159CAF49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AEA126F3-5763-7D45-9A0F-E86C98250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D780DE3F-8BEF-A648-915A-4462273BE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3B2888D2-9CFA-CB44-8FFF-86A0017CA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4939C53E-4A45-D14A-8076-3AF992D97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0DD890C6-3689-3749-A817-3D5E10E38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D561E271-7A9A-CC4C-8B6B-B7934C17C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FFC4ABC6-8DCD-7C4E-AF8B-88F848AC0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DC18BCE9-8648-D341-8BBF-71AF1E469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BEFD0D78-C126-E34B-8E77-F552460BD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617DFC21-72C9-7B47-9ACB-AB8E4390D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8726A1B1-8AE1-424A-B2CE-4C81E8388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9CAEAEEC-7F77-AC40-8AF7-9A2547A22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7FC1E4DD-09FA-D242-92DC-04B2308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3A79730A-1DAA-284A-96BB-B32C8691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A8987495-7B3B-C54B-8E8C-1BB429067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08F91CF4-5D99-734B-B15B-EA6D04756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3C1ADE62-4DB7-AD4D-9B6A-083C38F08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21874474-38B3-7E46-B3DC-606E74BAC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E02B9C76-A730-434F-A4AD-ADE215820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7598F7E6-5FAC-EA49-BA14-43B3573A3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B8E34770-F69A-534C-AC6E-3E5407EAB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C220BBB3-BD97-B74F-A756-BEAA64DC7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EDA10F0B-3C11-6342-93DC-13A544A2B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470BBF9F-7AB0-5B49-9B43-81C9E586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539F9606-267B-5A40-A82D-846A98217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29E153D6-B745-F846-8F5B-63A34360A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F3A9661F-AD10-8B47-A92C-DA3A37244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9A695F34-50AB-FA40-B883-D5032F390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84188B6A-BCC7-AA45-A574-BB3B2AFCD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D5763393-2CD8-804E-BA58-7B330733B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04EBC4E7-4D17-9040-8D88-36EC101D7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424C00A8-B083-A843-9032-403772008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441999D0-6392-E14B-AB04-E4495C501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036D4625-0AEE-CF46-98A7-031656B24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F62AFE18-7BEC-8A41-8FDB-4B52906E1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B346152D-DA84-3B41-9E2C-213FFD9E3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G50"/>
  <sheetViews>
    <sheetView showGridLines="0" showRowColHeaders="0" showZeros="0" tabSelected="1" topLeftCell="A2" zoomScale="90" zoomScaleNormal="90" workbookViewId="0">
      <selection activeCell="A9" sqref="A9"/>
    </sheetView>
  </sheetViews>
  <sheetFormatPr baseColWidth="10" defaultColWidth="9.1640625" defaultRowHeight="13"/>
  <cols>
    <col min="1" max="1" width="7" style="7" customWidth="1"/>
    <col min="2" max="2" width="8" style="7" customWidth="1"/>
    <col min="3" max="3" width="5.83203125" style="7" customWidth="1"/>
    <col min="4" max="4" width="7.6640625" style="7" customWidth="1"/>
    <col min="5" max="5" width="10.6640625" style="7" customWidth="1"/>
    <col min="6" max="6" width="4.33203125" style="7" customWidth="1"/>
    <col min="7" max="7" width="27.83203125" customWidth="1"/>
    <col min="8" max="8" width="20.6640625" customWidth="1"/>
    <col min="9" max="17" width="6.83203125" style="7" customWidth="1"/>
    <col min="18" max="21" width="8" style="7" customWidth="1"/>
    <col min="22" max="22" width="9" style="7" customWidth="1"/>
    <col min="23" max="24" width="8" style="7" customWidth="1"/>
    <col min="25" max="25" width="4.6640625" style="7" customWidth="1"/>
    <col min="26" max="26" width="5" style="7" customWidth="1"/>
    <col min="27" max="27" width="9.33203125" hidden="1" customWidth="1"/>
    <col min="28" max="33" width="9.1640625" hidden="1" customWidth="1"/>
  </cols>
  <sheetData>
    <row r="1" spans="1:33" ht="13" customHeight="1">
      <c r="H1" s="7"/>
      <c r="Z1"/>
    </row>
    <row r="2" spans="1:33" ht="72.75" customHeight="1">
      <c r="G2" s="293" t="s">
        <v>54</v>
      </c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U2" s="87" t="s">
        <v>59</v>
      </c>
      <c r="Z2"/>
    </row>
    <row r="3" spans="1:33" ht="29">
      <c r="E3" s="88"/>
      <c r="G3" s="294" t="s">
        <v>22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304" t="s">
        <v>60</v>
      </c>
      <c r="T3" s="304"/>
      <c r="U3" s="304"/>
      <c r="V3" s="304"/>
      <c r="W3" s="304"/>
      <c r="X3" s="304"/>
      <c r="Y3" s="304"/>
      <c r="Z3" s="304"/>
    </row>
    <row r="4" spans="1:33">
      <c r="H4" s="7"/>
      <c r="Z4"/>
    </row>
    <row r="5" spans="1:33" ht="15" customHeight="1">
      <c r="A5" s="300" t="s">
        <v>21</v>
      </c>
      <c r="B5" s="300"/>
      <c r="C5" s="301" t="s">
        <v>127</v>
      </c>
      <c r="D5" s="301"/>
      <c r="E5" s="301"/>
      <c r="F5" s="301"/>
      <c r="G5" s="301"/>
      <c r="H5" s="89" t="s">
        <v>0</v>
      </c>
      <c r="I5" s="305" t="s">
        <v>94</v>
      </c>
      <c r="J5" s="305"/>
      <c r="K5" s="305"/>
      <c r="L5" s="305"/>
      <c r="M5" s="305"/>
      <c r="N5" s="305"/>
      <c r="O5" s="89" t="s">
        <v>1</v>
      </c>
      <c r="P5" s="306" t="s">
        <v>117</v>
      </c>
      <c r="Q5" s="306"/>
      <c r="R5" s="306"/>
      <c r="S5" s="306"/>
      <c r="T5" s="306"/>
      <c r="U5" s="90" t="s">
        <v>2</v>
      </c>
      <c r="V5" s="307">
        <v>44450</v>
      </c>
      <c r="W5" s="307"/>
      <c r="X5" s="91" t="s">
        <v>20</v>
      </c>
      <c r="Y5" s="92">
        <v>1</v>
      </c>
      <c r="Z5"/>
    </row>
    <row r="6" spans="1:33" ht="13.75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3"/>
      <c r="X6" s="9"/>
      <c r="Y6" s="9"/>
      <c r="Z6"/>
      <c r="AB6" s="4"/>
      <c r="AC6" s="4"/>
      <c r="AD6" s="4"/>
      <c r="AE6" s="187" t="s">
        <v>67</v>
      </c>
      <c r="AF6" s="187" t="s">
        <v>67</v>
      </c>
      <c r="AG6" s="187" t="s">
        <v>67</v>
      </c>
    </row>
    <row r="7" spans="1:33" s="21" customFormat="1" ht="15" customHeight="1">
      <c r="A7" s="94" t="s">
        <v>3</v>
      </c>
      <c r="B7" s="95" t="s">
        <v>4</v>
      </c>
      <c r="C7" s="96" t="s">
        <v>23</v>
      </c>
      <c r="D7" s="97" t="s">
        <v>23</v>
      </c>
      <c r="E7" s="98" t="s">
        <v>5</v>
      </c>
      <c r="F7" s="98" t="s">
        <v>24</v>
      </c>
      <c r="G7" s="98" t="s">
        <v>6</v>
      </c>
      <c r="H7" s="98" t="s">
        <v>7</v>
      </c>
      <c r="I7" s="308" t="s">
        <v>8</v>
      </c>
      <c r="J7" s="309"/>
      <c r="K7" s="310"/>
      <c r="L7" s="308" t="s">
        <v>9</v>
      </c>
      <c r="M7" s="309"/>
      <c r="N7" s="310"/>
      <c r="O7" s="311" t="s">
        <v>25</v>
      </c>
      <c r="P7" s="312"/>
      <c r="Q7" s="312"/>
      <c r="R7" s="312"/>
      <c r="S7" s="99" t="s">
        <v>10</v>
      </c>
      <c r="T7" s="100" t="s">
        <v>61</v>
      </c>
      <c r="U7" s="100" t="s">
        <v>27</v>
      </c>
      <c r="V7" s="100" t="s">
        <v>28</v>
      </c>
      <c r="W7" s="98" t="s">
        <v>56</v>
      </c>
      <c r="X7" s="101" t="s">
        <v>29</v>
      </c>
      <c r="Y7" s="101" t="s">
        <v>30</v>
      </c>
      <c r="Z7" s="11" t="s">
        <v>31</v>
      </c>
      <c r="AB7" s="1"/>
      <c r="AC7" s="1"/>
      <c r="AD7" s="1"/>
      <c r="AE7" s="188" t="s">
        <v>68</v>
      </c>
      <c r="AF7" s="188" t="s">
        <v>68</v>
      </c>
      <c r="AG7" s="188" t="s">
        <v>68</v>
      </c>
    </row>
    <row r="8" spans="1:33" s="21" customFormat="1" ht="15" customHeight="1" thickBot="1">
      <c r="A8" s="102" t="s">
        <v>11</v>
      </c>
      <c r="B8" s="103" t="s">
        <v>12</v>
      </c>
      <c r="C8" s="104" t="s">
        <v>32</v>
      </c>
      <c r="D8" s="105" t="s">
        <v>29</v>
      </c>
      <c r="E8" s="106" t="s">
        <v>19</v>
      </c>
      <c r="F8" s="106" t="s">
        <v>62</v>
      </c>
      <c r="G8" s="107"/>
      <c r="H8" s="107"/>
      <c r="I8" s="295" t="s">
        <v>34</v>
      </c>
      <c r="J8" s="296"/>
      <c r="K8" s="297"/>
      <c r="L8" s="295" t="s">
        <v>34</v>
      </c>
      <c r="M8" s="296"/>
      <c r="N8" s="297"/>
      <c r="O8" s="108" t="s">
        <v>8</v>
      </c>
      <c r="P8" s="103" t="s">
        <v>9</v>
      </c>
      <c r="Q8" s="109" t="s">
        <v>35</v>
      </c>
      <c r="R8" s="104" t="s">
        <v>10</v>
      </c>
      <c r="S8" s="108" t="s">
        <v>55</v>
      </c>
      <c r="T8" s="110" t="s">
        <v>10</v>
      </c>
      <c r="U8" s="110" t="s">
        <v>10</v>
      </c>
      <c r="V8" s="110" t="s">
        <v>10</v>
      </c>
      <c r="W8" s="106" t="s">
        <v>57</v>
      </c>
      <c r="X8" s="111" t="s">
        <v>36</v>
      </c>
      <c r="Y8" s="111"/>
      <c r="Z8" s="12"/>
      <c r="AB8" s="1" t="s">
        <v>69</v>
      </c>
      <c r="AC8" s="1" t="s">
        <v>58</v>
      </c>
      <c r="AD8" s="3" t="s">
        <v>55</v>
      </c>
      <c r="AE8" s="188" t="s">
        <v>70</v>
      </c>
      <c r="AF8" s="188" t="s">
        <v>71</v>
      </c>
      <c r="AG8" s="188" t="s">
        <v>72</v>
      </c>
    </row>
    <row r="9" spans="1:33" s="21" customFormat="1" ht="18" customHeight="1">
      <c r="A9" s="252" t="s">
        <v>162</v>
      </c>
      <c r="B9" s="224">
        <v>55.54</v>
      </c>
      <c r="C9" s="225" t="s">
        <v>160</v>
      </c>
      <c r="D9" s="253" t="s">
        <v>180</v>
      </c>
      <c r="E9" s="254">
        <v>39575</v>
      </c>
      <c r="F9" s="255"/>
      <c r="G9" s="256" t="s">
        <v>181</v>
      </c>
      <c r="H9" s="257" t="s">
        <v>85</v>
      </c>
      <c r="I9" s="258">
        <v>36</v>
      </c>
      <c r="J9" s="259">
        <v>38</v>
      </c>
      <c r="K9" s="259">
        <v>40</v>
      </c>
      <c r="L9" s="258">
        <v>49</v>
      </c>
      <c r="M9" s="259">
        <v>52</v>
      </c>
      <c r="N9" s="259">
        <v>54</v>
      </c>
      <c r="O9" s="115">
        <f>IF(MAX(I9:K9)&gt;0,IF(MAX(I9:K9)&lt;0,0,TRUNC(MAX(I9:K9)/1)*1),"")</f>
        <v>40</v>
      </c>
      <c r="P9" s="116">
        <f>IF(MAX(L9:N9)&gt;0,IF(MAX(L9:N9)&lt;0,0,TRUNC(MAX(L9:N9)/1)*1),"")</f>
        <v>54</v>
      </c>
      <c r="Q9" s="117">
        <f>IF(O9="","",IF(P9="","",IF(SUM(O9:P9)=0,"",SUM(O9:P9))))</f>
        <v>94</v>
      </c>
      <c r="R9" s="118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133.7069768935477</v>
      </c>
      <c r="S9" s="119" t="str">
        <f>IF(AD9=1,R9*AG9,"")</f>
        <v/>
      </c>
      <c r="T9" s="73">
        <f>IF('K1'!G7="","",'K1'!G7)</f>
        <v>6.34</v>
      </c>
      <c r="U9" s="73">
        <f>IF('K1'!K7="","",'K1'!K7)</f>
        <v>9.84</v>
      </c>
      <c r="V9" s="73">
        <f>IF('K1'!N7="","",'K1'!N7)</f>
        <v>7.91</v>
      </c>
      <c r="W9" s="120"/>
      <c r="X9" s="121"/>
      <c r="Y9" s="122"/>
      <c r="Z9" s="77"/>
      <c r="AA9" s="123">
        <f>V5</f>
        <v>44450</v>
      </c>
      <c r="AB9" s="177" t="str">
        <f>IF(ISNUMBER(FIND("M",C9)),"m",IF(ISNUMBER(FIND("K",C9)),"k"))</f>
        <v>k</v>
      </c>
      <c r="AC9" s="178">
        <f>IF(OR(E9="",AA9=""),0,(YEAR(AA9)-YEAR(E9)))</f>
        <v>13</v>
      </c>
      <c r="AD9" s="179" t="str">
        <f>IF(AC9&gt;34,1,"")</f>
        <v/>
      </c>
      <c r="AE9" s="180" t="b">
        <f>IF(AD9=1,LOOKUP(AC9,'Meltzer-Faber'!A3:A63,'Meltzer-Faber'!B3:B63))</f>
        <v>0</v>
      </c>
      <c r="AF9" s="180" t="b">
        <f>IF(AD9=1,LOOKUP(AC9,'Meltzer-Faber'!A3:A63,'Meltzer-Faber'!C3:C63))</f>
        <v>0</v>
      </c>
      <c r="AG9" s="180" t="b">
        <f>IF(AB9="m",AE9,IF(AB9="k",AF9,""))</f>
        <v>0</v>
      </c>
    </row>
    <row r="10" spans="1:33" s="21" customFormat="1" ht="18" customHeight="1">
      <c r="A10" s="124"/>
      <c r="B10" s="125"/>
      <c r="C10" s="126"/>
      <c r="D10" s="127"/>
      <c r="E10" s="128"/>
      <c r="F10" s="260"/>
      <c r="G10" s="74"/>
      <c r="H10" s="74"/>
      <c r="I10" s="298"/>
      <c r="J10" s="289"/>
      <c r="K10" s="299"/>
      <c r="L10" s="286"/>
      <c r="M10" s="287"/>
      <c r="N10" s="288"/>
      <c r="O10" s="126"/>
      <c r="P10" s="130"/>
      <c r="Q10" s="289">
        <f>IF(R9="","",R9*1.2)</f>
        <v>160.44837227225725</v>
      </c>
      <c r="R10" s="289"/>
      <c r="S10" s="131"/>
      <c r="T10" s="132">
        <f>IF(T9="","",T9*20)</f>
        <v>126.8</v>
      </c>
      <c r="U10" s="132">
        <f>IF(U9="","",U9*13)</f>
        <v>127.92</v>
      </c>
      <c r="V10" s="78">
        <f>IF(V9="","",IF((80+(8-ROUNDUP(V9,1))*40)&lt;0,0,80+(8-ROUNDUP(V9,1))*40))</f>
        <v>80</v>
      </c>
      <c r="W10" s="78">
        <f>IF(SUM(T10,U10,V10)&gt;0,SUM(T10,U10,V10),"")</f>
        <v>334.72</v>
      </c>
      <c r="X10" s="133">
        <f>IF(OR(Q10="",T10="",U10="",V10=""),"",SUM(Q10,T10,U10,V10))</f>
        <v>495.16837227225727</v>
      </c>
      <c r="Y10" s="79">
        <v>2</v>
      </c>
      <c r="Z10" s="80"/>
      <c r="AA10" s="123"/>
      <c r="AB10" s="177"/>
      <c r="AC10" s="178"/>
      <c r="AD10" s="179"/>
      <c r="AE10" s="180"/>
      <c r="AF10" s="180"/>
      <c r="AG10" s="180"/>
    </row>
    <row r="11" spans="1:33" s="21" customFormat="1" ht="18" customHeight="1">
      <c r="A11" s="252" t="s">
        <v>162</v>
      </c>
      <c r="B11" s="224">
        <v>55.8</v>
      </c>
      <c r="C11" s="225" t="s">
        <v>160</v>
      </c>
      <c r="D11" s="253" t="s">
        <v>180</v>
      </c>
      <c r="E11" s="254">
        <v>39505</v>
      </c>
      <c r="F11" s="255"/>
      <c r="G11" s="256" t="s">
        <v>182</v>
      </c>
      <c r="H11" s="257" t="s">
        <v>183</v>
      </c>
      <c r="I11" s="258">
        <v>35</v>
      </c>
      <c r="J11" s="259">
        <v>37</v>
      </c>
      <c r="K11" s="259">
        <v>40</v>
      </c>
      <c r="L11" s="258">
        <v>44</v>
      </c>
      <c r="M11" s="259">
        <v>48</v>
      </c>
      <c r="N11" s="259">
        <v>51</v>
      </c>
      <c r="O11" s="115">
        <f>IF(MAX(I11:K11)&gt;0,IF(MAX(I11:K11)&lt;0,0,TRUNC(MAX(I11:K11)/1)*1),"")</f>
        <v>40</v>
      </c>
      <c r="P11" s="116">
        <f>IF(MAX(L11:N11)&gt;0,IF(MAX(L11:N11)&lt;0,0,TRUNC(MAX(L11:N11)/1)*1),"")</f>
        <v>51</v>
      </c>
      <c r="Q11" s="117">
        <f>IF(O11="","",IF(P11="","",IF(SUM(O11:P11)=0,"",SUM(O11:P11))))</f>
        <v>91</v>
      </c>
      <c r="R11" s="118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129.02271576357731</v>
      </c>
      <c r="S11" s="119" t="str">
        <f>IF(AD11=1,R11*AG11,"")</f>
        <v/>
      </c>
      <c r="T11" s="73">
        <f>IF('K1'!G9="","",'K1'!G9)</f>
        <v>6.2</v>
      </c>
      <c r="U11" s="73">
        <f>IF('K1'!K9="","",'K1'!K9)</f>
        <v>9.65</v>
      </c>
      <c r="V11" s="73">
        <f>IF('K1'!N9="","",'K1'!N9)</f>
        <v>7.3</v>
      </c>
      <c r="W11" s="120"/>
      <c r="X11" s="121"/>
      <c r="Y11" s="134"/>
      <c r="Z11" s="75"/>
      <c r="AA11" s="123">
        <f>V5</f>
        <v>44450</v>
      </c>
      <c r="AB11" s="177" t="str">
        <f t="shared" ref="AB11" si="0">IF(ISNUMBER(FIND("M",C11)),"m",IF(ISNUMBER(FIND("K",C11)),"k"))</f>
        <v>k</v>
      </c>
      <c r="AC11" s="178">
        <f t="shared" ref="AC11" si="1">IF(OR(E11="",AA11=""),0,(YEAR(AA11)-YEAR(E11)))</f>
        <v>13</v>
      </c>
      <c r="AD11" s="179" t="str">
        <f t="shared" ref="AD11:AD31" si="2">IF(AC11&gt;34,1,"")</f>
        <v/>
      </c>
      <c r="AE11" s="180" t="b">
        <f>IF(AD11=1,LOOKUP(AC11,'Meltzer-Faber'!A3:A63,'Meltzer-Faber'!B3:B63))</f>
        <v>0</v>
      </c>
      <c r="AF11" s="180" t="b">
        <f>IF(AD11=1,LOOKUP(AC11,'Meltzer-Faber'!A3:A63,'Meltzer-Faber'!C3:C63))</f>
        <v>0</v>
      </c>
      <c r="AG11" s="180" t="b">
        <f t="shared" ref="AG11" si="3">IF(AB11="m",AE11,IF(AB11="k",AF11,""))</f>
        <v>0</v>
      </c>
    </row>
    <row r="12" spans="1:33" s="21" customFormat="1" ht="18" customHeight="1">
      <c r="A12" s="124"/>
      <c r="B12" s="125"/>
      <c r="C12" s="126"/>
      <c r="D12" s="127"/>
      <c r="E12" s="128"/>
      <c r="F12" s="260"/>
      <c r="G12" s="74"/>
      <c r="H12" s="74"/>
      <c r="I12" s="298"/>
      <c r="J12" s="289"/>
      <c r="K12" s="299"/>
      <c r="L12" s="286"/>
      <c r="M12" s="287"/>
      <c r="N12" s="288"/>
      <c r="O12" s="126"/>
      <c r="P12" s="130"/>
      <c r="Q12" s="289">
        <f>IF(R11="","",R11*1.2)</f>
        <v>154.82725891629278</v>
      </c>
      <c r="R12" s="289"/>
      <c r="S12" s="131"/>
      <c r="T12" s="132">
        <f>IF(T11="","",T11*20)</f>
        <v>124</v>
      </c>
      <c r="U12" s="132">
        <f>IF(U11="","",U11*13)</f>
        <v>125.45</v>
      </c>
      <c r="V12" s="78">
        <f>IF(V11="","",IF((80+(8-ROUNDUP(V11,1))*40)&lt;0,0,80+(8-ROUNDUP(V11,1))*40))</f>
        <v>108</v>
      </c>
      <c r="W12" s="78">
        <f>IF(SUM(T12,U12,V12)&gt;0,SUM(T12,U12,V12),"")</f>
        <v>357.45</v>
      </c>
      <c r="X12" s="133">
        <f>IF(OR(Q12="",W12=""),"",Q12+W12)</f>
        <v>512.27725891629279</v>
      </c>
      <c r="Y12" s="79">
        <v>1</v>
      </c>
      <c r="Z12" s="80"/>
      <c r="AA12" s="123"/>
    </row>
    <row r="13" spans="1:33" s="21" customFormat="1" ht="18" customHeight="1">
      <c r="A13" s="252" t="s">
        <v>165</v>
      </c>
      <c r="B13" s="224">
        <v>67.75</v>
      </c>
      <c r="C13" s="225" t="s">
        <v>160</v>
      </c>
      <c r="D13" s="253" t="s">
        <v>180</v>
      </c>
      <c r="E13" s="254">
        <v>39742</v>
      </c>
      <c r="F13" s="255"/>
      <c r="G13" s="256" t="s">
        <v>184</v>
      </c>
      <c r="H13" s="257" t="s">
        <v>86</v>
      </c>
      <c r="I13" s="258">
        <v>33</v>
      </c>
      <c r="J13" s="259">
        <v>35</v>
      </c>
      <c r="K13" s="259">
        <v>37</v>
      </c>
      <c r="L13" s="258">
        <v>43</v>
      </c>
      <c r="M13" s="259">
        <v>45</v>
      </c>
      <c r="N13" s="259">
        <v>47</v>
      </c>
      <c r="O13" s="115">
        <f>IF(MAX(I13:K13)&gt;0,IF(MAX(I13:K13)&lt;0,0,TRUNC(MAX(I13:K13)/1)*1),"")</f>
        <v>37</v>
      </c>
      <c r="P13" s="116">
        <f>IF(MAX(L13:N13)&gt;0,IF(MAX(L13:N13)&lt;0,0,TRUNC(MAX(L13:N13)/1)*1),"")</f>
        <v>47</v>
      </c>
      <c r="Q13" s="117">
        <f>IF(O13="","",IF(P13="","",IF(SUM(O13:P13)=0,"",SUM(O13:P13))))</f>
        <v>84</v>
      </c>
      <c r="R13" s="118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105.5296377301207</v>
      </c>
      <c r="S13" s="119" t="str">
        <f>IF(AD13=1,R13*AG13,"")</f>
        <v/>
      </c>
      <c r="T13" s="73">
        <f>IF('K1'!G11="","",'K1'!G11)</f>
        <v>5.33</v>
      </c>
      <c r="U13" s="73">
        <f>IF('K1'!K11="","",'K1'!K11)</f>
        <v>9.2200000000000006</v>
      </c>
      <c r="V13" s="73">
        <f>IF('K1'!N11="","",'K1'!N11)</f>
        <v>8.77</v>
      </c>
      <c r="W13" s="120"/>
      <c r="X13" s="121"/>
      <c r="Y13" s="134"/>
      <c r="Z13" s="75"/>
      <c r="AA13" s="123">
        <f>V5</f>
        <v>44450</v>
      </c>
      <c r="AB13" s="177" t="str">
        <f t="shared" ref="AB13" si="4">IF(ISNUMBER(FIND("M",C13)),"m",IF(ISNUMBER(FIND("K",C13)),"k"))</f>
        <v>k</v>
      </c>
      <c r="AC13" s="178">
        <f t="shared" ref="AC13" si="5">IF(OR(E13="",AA13=""),0,(YEAR(AA13)-YEAR(E13)))</f>
        <v>13</v>
      </c>
      <c r="AD13" s="179" t="str">
        <f t="shared" si="2"/>
        <v/>
      </c>
      <c r="AE13" s="180" t="b">
        <f>IF(AD13=1,LOOKUP(AC13,'Meltzer-Faber'!A3:A63,'Meltzer-Faber'!B3:B63))</f>
        <v>0</v>
      </c>
      <c r="AF13" s="180" t="b">
        <f>IF(AD13=1,LOOKUP(AC13,'Meltzer-Faber'!A3:A63,'Meltzer-Faber'!C3:C63))</f>
        <v>0</v>
      </c>
      <c r="AG13" s="180" t="b">
        <f t="shared" ref="AG13" si="6">IF(AB13="m",AE13,IF(AB13="k",AF13,""))</f>
        <v>0</v>
      </c>
    </row>
    <row r="14" spans="1:33" s="21" customFormat="1" ht="18" customHeight="1">
      <c r="A14" s="124"/>
      <c r="B14" s="125"/>
      <c r="C14" s="126"/>
      <c r="D14" s="127"/>
      <c r="E14" s="128"/>
      <c r="F14" s="260"/>
      <c r="G14" s="74"/>
      <c r="H14" s="74"/>
      <c r="I14" s="298"/>
      <c r="J14" s="289"/>
      <c r="K14" s="299"/>
      <c r="L14" s="286"/>
      <c r="M14" s="287"/>
      <c r="N14" s="288"/>
      <c r="O14" s="126"/>
      <c r="P14" s="130"/>
      <c r="Q14" s="289">
        <f>IF(R13="","",R13*1.2)</f>
        <v>126.63556527614483</v>
      </c>
      <c r="R14" s="289"/>
      <c r="S14" s="131"/>
      <c r="T14" s="132">
        <f>IF(T13="","",T13*20)</f>
        <v>106.6</v>
      </c>
      <c r="U14" s="132">
        <f>IF(U13="","",U13*13)</f>
        <v>119.86000000000001</v>
      </c>
      <c r="V14" s="78">
        <f>IF(V13="","",IF((80+(8-ROUNDUP(V13,1))*40)&lt;0,0,80+(8-ROUNDUP(V13,1))*40))</f>
        <v>48.000000000000043</v>
      </c>
      <c r="W14" s="78">
        <f>IF(SUM(T14,U14,V14)&gt;0,SUM(T14,U14,V14),"")</f>
        <v>274.46000000000004</v>
      </c>
      <c r="X14" s="133">
        <f>IF(OR(Q14="",T14="",U14="",V14=""),"",SUM(Q14,T14,U14,V14))</f>
        <v>401.0955652761449</v>
      </c>
      <c r="Y14" s="79">
        <v>4</v>
      </c>
      <c r="Z14" s="80"/>
      <c r="AA14" s="123"/>
    </row>
    <row r="15" spans="1:33" s="21" customFormat="1" ht="18" customHeight="1">
      <c r="A15" s="252" t="s">
        <v>165</v>
      </c>
      <c r="B15" s="224">
        <v>69.38</v>
      </c>
      <c r="C15" s="225" t="s">
        <v>160</v>
      </c>
      <c r="D15" s="253" t="s">
        <v>180</v>
      </c>
      <c r="E15" s="254">
        <v>39099</v>
      </c>
      <c r="F15" s="255"/>
      <c r="G15" s="256" t="s">
        <v>185</v>
      </c>
      <c r="H15" s="257" t="s">
        <v>87</v>
      </c>
      <c r="I15" s="258">
        <v>28</v>
      </c>
      <c r="J15" s="259">
        <v>-35</v>
      </c>
      <c r="K15" s="259">
        <v>-37</v>
      </c>
      <c r="L15" s="258">
        <v>40</v>
      </c>
      <c r="M15" s="259">
        <v>45</v>
      </c>
      <c r="N15" s="259">
        <v>47</v>
      </c>
      <c r="O15" s="115">
        <f>IF(MAX(I15:K15)&gt;0,IF(MAX(I15:K15)&lt;0,0,TRUNC(MAX(I15:K15)/1)*1),"")</f>
        <v>28</v>
      </c>
      <c r="P15" s="116">
        <f>IF(MAX(L15:N15)&gt;0,IF(MAX(L15:N15)&lt;0,0,TRUNC(MAX(L15:N15)/1)*1),"")</f>
        <v>47</v>
      </c>
      <c r="Q15" s="117">
        <f>IF(O15="","",IF(P15="","",IF(SUM(O15:P15)=0,"",SUM(O15:P15))))</f>
        <v>75</v>
      </c>
      <c r="R15" s="118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93.000656716911777</v>
      </c>
      <c r="S15" s="119" t="str">
        <f>IF(AD15=1,R15*AG15,"")</f>
        <v/>
      </c>
      <c r="T15" s="73">
        <f>IF('K1'!G13="","",'K1'!G13)</f>
        <v>5.92</v>
      </c>
      <c r="U15" s="73">
        <f>IF('K1'!K13="","",'K1'!K13)</f>
        <v>7.31</v>
      </c>
      <c r="V15" s="73">
        <f>IF('K1'!N13="","",'K1'!N13)</f>
        <v>7.82</v>
      </c>
      <c r="W15" s="120"/>
      <c r="X15" s="121"/>
      <c r="Y15" s="134"/>
      <c r="Z15" s="75"/>
      <c r="AA15" s="123">
        <f>V5</f>
        <v>44450</v>
      </c>
      <c r="AB15" s="177" t="str">
        <f t="shared" ref="AB15" si="7">IF(ISNUMBER(FIND("M",C15)),"m",IF(ISNUMBER(FIND("K",C15)),"k"))</f>
        <v>k</v>
      </c>
      <c r="AC15" s="178">
        <f t="shared" ref="AC15" si="8">IF(OR(E15="",AA15=""),0,(YEAR(AA15)-YEAR(E15)))</f>
        <v>14</v>
      </c>
      <c r="AD15" s="179" t="str">
        <f t="shared" si="2"/>
        <v/>
      </c>
      <c r="AE15" s="180" t="b">
        <f>IF(AD15=1,LOOKUP(AC15,'Meltzer-Faber'!A3:A63,'Meltzer-Faber'!B3:B63))</f>
        <v>0</v>
      </c>
      <c r="AF15" s="180" t="b">
        <f>IF(AD15=1,LOOKUP(AC15,'Meltzer-Faber'!A3:A63,'Meltzer-Faber'!C3:C63))</f>
        <v>0</v>
      </c>
      <c r="AG15" s="180" t="b">
        <f t="shared" ref="AG15" si="9">IF(AB15="m",AE15,IF(AB15="k",AF15,""))</f>
        <v>0</v>
      </c>
    </row>
    <row r="16" spans="1:33" s="21" customFormat="1" ht="18" customHeight="1">
      <c r="A16" s="124"/>
      <c r="B16" s="125"/>
      <c r="C16" s="126"/>
      <c r="D16" s="127"/>
      <c r="E16" s="128"/>
      <c r="F16" s="260"/>
      <c r="G16" s="74"/>
      <c r="H16" s="74"/>
      <c r="I16" s="298"/>
      <c r="J16" s="289"/>
      <c r="K16" s="299"/>
      <c r="L16" s="286"/>
      <c r="M16" s="287"/>
      <c r="N16" s="288"/>
      <c r="O16" s="126"/>
      <c r="P16" s="130"/>
      <c r="Q16" s="289">
        <f>IF(R15="","",R15*1.2)</f>
        <v>111.60078806029414</v>
      </c>
      <c r="R16" s="289"/>
      <c r="S16" s="131"/>
      <c r="T16" s="132">
        <f>IF(T15="","",T15*20)</f>
        <v>118.4</v>
      </c>
      <c r="U16" s="132">
        <f>IF(U15="","",U15*13)</f>
        <v>95.03</v>
      </c>
      <c r="V16" s="78">
        <f>IF(V15="","",IF((80+(8-ROUNDUP(V15,1))*40)&lt;0,0,80+(8-ROUNDUP(V15,1))*40))</f>
        <v>84.000000000000028</v>
      </c>
      <c r="W16" s="78">
        <f>IF(SUM(T16,U16,V16)&gt;0,SUM(T16,U16,V16),"")</f>
        <v>297.43000000000006</v>
      </c>
      <c r="X16" s="133">
        <f>IF(OR(Q16="",T16="",U16="",V16=""),"",SUM(Q16,T16,U16,V16))</f>
        <v>409.03078806029419</v>
      </c>
      <c r="Y16" s="79">
        <v>3</v>
      </c>
      <c r="Z16" s="80"/>
      <c r="AA16" s="123"/>
    </row>
    <row r="17" spans="1:33" s="21" customFormat="1" ht="18" customHeight="1">
      <c r="A17" s="252" t="s">
        <v>159</v>
      </c>
      <c r="B17" s="224">
        <v>54.95</v>
      </c>
      <c r="C17" s="225" t="s">
        <v>160</v>
      </c>
      <c r="D17" s="253" t="s">
        <v>129</v>
      </c>
      <c r="E17" s="254">
        <v>38424</v>
      </c>
      <c r="F17" s="255"/>
      <c r="G17" s="256" t="s">
        <v>186</v>
      </c>
      <c r="H17" s="223" t="s">
        <v>88</v>
      </c>
      <c r="I17" s="258">
        <v>65</v>
      </c>
      <c r="J17" s="259">
        <v>68</v>
      </c>
      <c r="K17" s="259">
        <v>-71</v>
      </c>
      <c r="L17" s="258">
        <v>78</v>
      </c>
      <c r="M17" s="259">
        <v>82</v>
      </c>
      <c r="N17" s="259">
        <v>85</v>
      </c>
      <c r="O17" s="115">
        <f>IF(MAX(I17:K17)&gt;0,IF(MAX(I17:K17)&lt;0,0,TRUNC(MAX(I17:K17)/1)*1),"")</f>
        <v>68</v>
      </c>
      <c r="P17" s="116">
        <f>IF(MAX(L17:N17)&gt;0,IF(MAX(L17:N17)&lt;0,0,TRUNC(MAX(L17:N17)/1)*1),"")</f>
        <v>85</v>
      </c>
      <c r="Q17" s="117">
        <f>IF(O17="","",IF(P17="","",IF(SUM(O17:P17)=0,"",SUM(O17:P17))))</f>
        <v>153</v>
      </c>
      <c r="R17" s="118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>219.2534970089884</v>
      </c>
      <c r="S17" s="119" t="str">
        <f>IF(AD17=1,R17*AG17,"")</f>
        <v/>
      </c>
      <c r="T17" s="73">
        <f>IF('K1'!G15="","",'K1'!G15)</f>
        <v>7.12</v>
      </c>
      <c r="U17" s="73">
        <f>IF('K1'!K15="","",'K1'!K15)</f>
        <v>10.31</v>
      </c>
      <c r="V17" s="73">
        <f>IF('K1'!N15="","",'K1'!N15)</f>
        <v>6.61</v>
      </c>
      <c r="W17" s="120"/>
      <c r="X17" s="121"/>
      <c r="Y17" s="134"/>
      <c r="Z17" s="75"/>
      <c r="AA17" s="123">
        <f>V5</f>
        <v>44450</v>
      </c>
      <c r="AB17" s="177" t="str">
        <f t="shared" ref="AB17" si="10">IF(ISNUMBER(FIND("M",C17)),"m",IF(ISNUMBER(FIND("K",C17)),"k"))</f>
        <v>k</v>
      </c>
      <c r="AC17" s="178">
        <f t="shared" ref="AC17" si="11">IF(OR(E17="",AA17=""),0,(YEAR(AA17)-YEAR(E17)))</f>
        <v>16</v>
      </c>
      <c r="AD17" s="179" t="str">
        <f t="shared" si="2"/>
        <v/>
      </c>
      <c r="AE17" s="180" t="b">
        <f>IF(AD17=1,LOOKUP(AC17,'Meltzer-Faber'!A3:A63,'Meltzer-Faber'!B3:B63))</f>
        <v>0</v>
      </c>
      <c r="AF17" s="180" t="b">
        <f>IF(AD17=1,LOOKUP(AC17,'Meltzer-Faber'!A3:A63,'Meltzer-Faber'!C3:C63))</f>
        <v>0</v>
      </c>
      <c r="AG17" s="180" t="b">
        <f t="shared" ref="AG17" si="12">IF(AB17="m",AE17,IF(AB17="k",AF17,""))</f>
        <v>0</v>
      </c>
    </row>
    <row r="18" spans="1:33" s="21" customFormat="1" ht="18" customHeight="1">
      <c r="A18" s="124"/>
      <c r="B18" s="125"/>
      <c r="C18" s="126"/>
      <c r="D18" s="127"/>
      <c r="E18" s="128"/>
      <c r="F18" s="260"/>
      <c r="G18" s="74"/>
      <c r="H18" s="74"/>
      <c r="I18" s="298"/>
      <c r="J18" s="289"/>
      <c r="K18" s="299"/>
      <c r="L18" s="286"/>
      <c r="M18" s="287"/>
      <c r="N18" s="288"/>
      <c r="O18" s="126"/>
      <c r="P18" s="130"/>
      <c r="Q18" s="289">
        <f>IF(R17="","",R17*1.2)</f>
        <v>263.10419641078607</v>
      </c>
      <c r="R18" s="289"/>
      <c r="S18" s="131"/>
      <c r="T18" s="132">
        <f>IF(T17="","",T17*20)</f>
        <v>142.4</v>
      </c>
      <c r="U18" s="132">
        <f>IF(U17="","",U17*13)</f>
        <v>134.03</v>
      </c>
      <c r="V18" s="78">
        <f>IF(V17="","",IF((80+(8-ROUNDUP(V17,1))*40)&lt;0,0,80+(8-ROUNDUP(V17,1))*40))</f>
        <v>132.00000000000003</v>
      </c>
      <c r="W18" s="78">
        <f>IF(SUM(T18,U18,V18)&gt;0,SUM(T18,U18,V18),"")</f>
        <v>408.43000000000006</v>
      </c>
      <c r="X18" s="133">
        <f>IF(OR(Q18="",T18="",U18="",V18=""),"",SUM(Q18,T18,U18,V18))</f>
        <v>671.53419641078608</v>
      </c>
      <c r="Y18" s="79">
        <v>1</v>
      </c>
      <c r="Z18" s="80"/>
      <c r="AA18" s="123"/>
    </row>
    <row r="19" spans="1:33" s="21" customFormat="1" ht="18" customHeight="1">
      <c r="A19" s="252" t="s">
        <v>162</v>
      </c>
      <c r="B19" s="224">
        <v>58.66</v>
      </c>
      <c r="C19" s="225" t="s">
        <v>160</v>
      </c>
      <c r="D19" s="253" t="s">
        <v>129</v>
      </c>
      <c r="E19" s="254">
        <v>38628</v>
      </c>
      <c r="F19" s="255"/>
      <c r="G19" s="256" t="s">
        <v>187</v>
      </c>
      <c r="H19" s="223" t="s">
        <v>87</v>
      </c>
      <c r="I19" s="258">
        <v>43</v>
      </c>
      <c r="J19" s="259">
        <v>46</v>
      </c>
      <c r="K19" s="259">
        <v>-48</v>
      </c>
      <c r="L19" s="258">
        <v>51</v>
      </c>
      <c r="M19" s="259">
        <v>53</v>
      </c>
      <c r="N19" s="259">
        <v>55</v>
      </c>
      <c r="O19" s="115">
        <f>IF(MAX(I19:K19)&gt;0,IF(MAX(I19:K19)&lt;0,0,TRUNC(MAX(I19:K19)/1)*1),"")</f>
        <v>46</v>
      </c>
      <c r="P19" s="116">
        <f>IF(MAX(L19:N19)&gt;0,IF(MAX(L19:N19)&lt;0,0,TRUNC(MAX(L19:N19)/1)*1),"")</f>
        <v>55</v>
      </c>
      <c r="Q19" s="117">
        <f>IF(O19="","",IF(P19="","",IF(SUM(O19:P19)=0,"",SUM(O19:P19))))</f>
        <v>101</v>
      </c>
      <c r="R19" s="118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>138.46858636241674</v>
      </c>
      <c r="S19" s="119" t="str">
        <f>IF(AD19=1,R19*AG19,"")</f>
        <v/>
      </c>
      <c r="T19" s="73">
        <f>IF('K1'!G17="","",'K1'!G17)</f>
        <v>6.08</v>
      </c>
      <c r="U19" s="73">
        <f>IF('K1'!K17="","",'K1'!K17)</f>
        <v>8.86</v>
      </c>
      <c r="V19" s="73">
        <f>IF('K1'!N17="","",'K1'!N17)</f>
        <v>7.45</v>
      </c>
      <c r="W19" s="120"/>
      <c r="X19" s="121"/>
      <c r="Y19" s="134"/>
      <c r="Z19" s="75"/>
      <c r="AA19" s="123">
        <f>V5</f>
        <v>44450</v>
      </c>
      <c r="AB19" s="177" t="str">
        <f t="shared" ref="AB19" si="13">IF(ISNUMBER(FIND("M",C19)),"m",IF(ISNUMBER(FIND("K",C19)),"k"))</f>
        <v>k</v>
      </c>
      <c r="AC19" s="178">
        <f t="shared" ref="AC19" si="14">IF(OR(E19="",AA19=""),0,(YEAR(AA19)-YEAR(E19)))</f>
        <v>16</v>
      </c>
      <c r="AD19" s="179" t="str">
        <f t="shared" si="2"/>
        <v/>
      </c>
      <c r="AE19" s="180" t="b">
        <f>IF(AD19=1,LOOKUP(AC19,'Meltzer-Faber'!A3:A63,'Meltzer-Faber'!B3:B63))</f>
        <v>0</v>
      </c>
      <c r="AF19" s="180" t="b">
        <f>IF(AD19=1,LOOKUP(AC19,'Meltzer-Faber'!A3:A63,'Meltzer-Faber'!C3:C63))</f>
        <v>0</v>
      </c>
      <c r="AG19" s="180" t="b">
        <f t="shared" ref="AG19" si="15">IF(AB19="m",AE19,IF(AB19="k",AF19,""))</f>
        <v>0</v>
      </c>
    </row>
    <row r="20" spans="1:33" s="21" customFormat="1" ht="18" customHeight="1">
      <c r="A20" s="124"/>
      <c r="B20" s="125"/>
      <c r="C20" s="126"/>
      <c r="D20" s="127"/>
      <c r="E20" s="128"/>
      <c r="F20" s="260"/>
      <c r="G20" s="74"/>
      <c r="H20" s="74"/>
      <c r="I20" s="298"/>
      <c r="J20" s="289"/>
      <c r="K20" s="299"/>
      <c r="L20" s="286"/>
      <c r="M20" s="287"/>
      <c r="N20" s="288"/>
      <c r="O20" s="126"/>
      <c r="P20" s="130"/>
      <c r="Q20" s="289">
        <f>IF(R19="","",R19*1.2)</f>
        <v>166.1623036349001</v>
      </c>
      <c r="R20" s="289"/>
      <c r="S20" s="131"/>
      <c r="T20" s="132">
        <f>IF(T19="","",T19*20)</f>
        <v>121.6</v>
      </c>
      <c r="U20" s="132">
        <f>IF(U19="","",U19*13)</f>
        <v>115.17999999999999</v>
      </c>
      <c r="V20" s="78">
        <f>IF(V19="","",IF((80+(8-ROUNDUP(V19,1))*40)&lt;0,0,80+(8-ROUNDUP(V19,1))*40))</f>
        <v>100</v>
      </c>
      <c r="W20" s="78">
        <f>IF(SUM(T20,U20,V20)&gt;0,SUM(T20,U20,V20),"")</f>
        <v>336.78</v>
      </c>
      <c r="X20" s="133">
        <f>IF(OR(Q20="",T20="",U20="",V20=""),"",SUM(Q20,T20,U20,V20))</f>
        <v>502.9423036349001</v>
      </c>
      <c r="Y20" s="79">
        <v>4</v>
      </c>
      <c r="Z20" s="80"/>
      <c r="AA20" s="123"/>
    </row>
    <row r="21" spans="1:33" s="21" customFormat="1" ht="18" customHeight="1">
      <c r="A21" s="252" t="s">
        <v>171</v>
      </c>
      <c r="B21" s="224">
        <v>63.26</v>
      </c>
      <c r="C21" s="225" t="s">
        <v>160</v>
      </c>
      <c r="D21" s="253" t="s">
        <v>129</v>
      </c>
      <c r="E21" s="254">
        <v>38911</v>
      </c>
      <c r="F21" s="255"/>
      <c r="G21" s="256" t="s">
        <v>188</v>
      </c>
      <c r="H21" s="223" t="s">
        <v>88</v>
      </c>
      <c r="I21" s="258">
        <v>-55</v>
      </c>
      <c r="J21" s="259">
        <v>55</v>
      </c>
      <c r="K21" s="259">
        <v>-60</v>
      </c>
      <c r="L21" s="258">
        <v>68</v>
      </c>
      <c r="M21" s="259">
        <v>73</v>
      </c>
      <c r="N21" s="259">
        <v>-76</v>
      </c>
      <c r="O21" s="115">
        <f>IF(MAX(I21:K21)&gt;0,IF(MAX(I21:K21)&lt;0,0,TRUNC(MAX(I21:K21)/1)*1),"")</f>
        <v>55</v>
      </c>
      <c r="P21" s="116">
        <f>IF(MAX(L21:N21)&gt;0,IF(MAX(L21:N21)&lt;0,0,TRUNC(MAX(L21:N21)/1)*1),"")</f>
        <v>73</v>
      </c>
      <c r="Q21" s="117">
        <f>IF(O21="","",IF(P21="","",IF(SUM(O21:P21)=0,"",SUM(O21:P21))))</f>
        <v>128</v>
      </c>
      <c r="R21" s="118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>167.338510942347</v>
      </c>
      <c r="S21" s="119" t="str">
        <f>IF(AD21=1,R21*AG21,"")</f>
        <v/>
      </c>
      <c r="T21" s="73">
        <f>IF('K1'!G19="","",'K1'!G19)</f>
        <v>6.48</v>
      </c>
      <c r="U21" s="73">
        <f>IF('K1'!K19="","",'K1'!K19)</f>
        <v>10.220000000000001</v>
      </c>
      <c r="V21" s="73">
        <f>IF('K1'!N19="","",'K1'!N19)</f>
        <v>7.28</v>
      </c>
      <c r="W21" s="120"/>
      <c r="X21" s="121"/>
      <c r="Y21" s="134"/>
      <c r="Z21" s="75"/>
      <c r="AA21" s="123">
        <f>V5</f>
        <v>44450</v>
      </c>
      <c r="AB21" s="177" t="str">
        <f t="shared" ref="AB21" si="16">IF(ISNUMBER(FIND("M",C21)),"m",IF(ISNUMBER(FIND("K",C21)),"k"))</f>
        <v>k</v>
      </c>
      <c r="AC21" s="178">
        <f t="shared" ref="AC21" si="17">IF(OR(E21="",AA21=""),0,(YEAR(AA21)-YEAR(E21)))</f>
        <v>15</v>
      </c>
      <c r="AD21" s="179" t="str">
        <f t="shared" si="2"/>
        <v/>
      </c>
      <c r="AE21" s="180" t="b">
        <f>IF(AD21=1,LOOKUP(AC21,'Meltzer-Faber'!A3:A63,'Meltzer-Faber'!B3:B63))</f>
        <v>0</v>
      </c>
      <c r="AF21" s="180" t="b">
        <f>IF(AD21=1,LOOKUP(AC21,'Meltzer-Faber'!A3:A63,'Meltzer-Faber'!C3:C63))</f>
        <v>0</v>
      </c>
      <c r="AG21" s="180" t="b">
        <f t="shared" ref="AG21" si="18">IF(AB21="m",AE21,IF(AB21="k",AF21,""))</f>
        <v>0</v>
      </c>
    </row>
    <row r="22" spans="1:33" s="21" customFormat="1" ht="18" customHeight="1">
      <c r="A22" s="124"/>
      <c r="B22" s="125"/>
      <c r="C22" s="126"/>
      <c r="D22" s="127"/>
      <c r="E22" s="128"/>
      <c r="F22" s="260"/>
      <c r="G22" s="74"/>
      <c r="H22" s="74"/>
      <c r="I22" s="298"/>
      <c r="J22" s="289"/>
      <c r="K22" s="299"/>
      <c r="L22" s="286"/>
      <c r="M22" s="287"/>
      <c r="N22" s="288"/>
      <c r="O22" s="126"/>
      <c r="P22" s="130"/>
      <c r="Q22" s="289">
        <f>IF(R21="","",R21*1.2)</f>
        <v>200.80621313081639</v>
      </c>
      <c r="R22" s="289"/>
      <c r="S22" s="131"/>
      <c r="T22" s="132">
        <f>IF(T21="","",T21*20)</f>
        <v>129.60000000000002</v>
      </c>
      <c r="U22" s="132">
        <f>IF(U21="","",U21*13)</f>
        <v>132.86000000000001</v>
      </c>
      <c r="V22" s="78">
        <f>IF(V21="","",IF((80+(8-ROUNDUP(V21,1))*40)&lt;0,0,80+(8-ROUNDUP(V21,1))*40))</f>
        <v>108</v>
      </c>
      <c r="W22" s="78">
        <f>IF(SUM(T22,U22,V22)&gt;0,SUM(T22,U22,V22),"")</f>
        <v>370.46000000000004</v>
      </c>
      <c r="X22" s="133">
        <f>IF(OR(Q22="",T22="",U22="",V22=""),"",SUM(Q22,T22,U22,V22))</f>
        <v>571.26621313081637</v>
      </c>
      <c r="Y22" s="79">
        <v>2</v>
      </c>
      <c r="Z22" s="80"/>
      <c r="AA22" s="123"/>
    </row>
    <row r="23" spans="1:33" s="21" customFormat="1" ht="18" customHeight="1">
      <c r="A23" s="252" t="s">
        <v>165</v>
      </c>
      <c r="B23" s="224">
        <v>70.59</v>
      </c>
      <c r="C23" s="225" t="s">
        <v>160</v>
      </c>
      <c r="D23" s="253" t="s">
        <v>129</v>
      </c>
      <c r="E23" s="254">
        <v>38610</v>
      </c>
      <c r="F23" s="255"/>
      <c r="G23" s="256" t="s">
        <v>189</v>
      </c>
      <c r="H23" s="257" t="s">
        <v>85</v>
      </c>
      <c r="I23" s="258">
        <v>56</v>
      </c>
      <c r="J23" s="259">
        <v>-58</v>
      </c>
      <c r="K23" s="259">
        <v>-58</v>
      </c>
      <c r="L23" s="258">
        <v>65</v>
      </c>
      <c r="M23" s="259">
        <v>68</v>
      </c>
      <c r="N23" s="259">
        <v>-70</v>
      </c>
      <c r="O23" s="115">
        <f>IF(MAX(I23:K23)&gt;0,IF(MAX(I23:K23)&lt;0,0,TRUNC(MAX(I23:K23)/1)*1),"")</f>
        <v>56</v>
      </c>
      <c r="P23" s="116">
        <f>IF(MAX(L23:N23)&gt;0,IF(MAX(L23:N23)&lt;0,0,TRUNC(MAX(L23:N23)/1)*1),"")</f>
        <v>68</v>
      </c>
      <c r="Q23" s="117">
        <f>IF(O23="","",IF(P23="","",IF(SUM(O23:P23)=0,"",SUM(O23:P23))))</f>
        <v>124</v>
      </c>
      <c r="R23" s="118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>152.34476454726121</v>
      </c>
      <c r="S23" s="119" t="str">
        <f>IF(AD23=1,R23*AG23,"")</f>
        <v/>
      </c>
      <c r="T23" s="73">
        <f>IF('K1'!G21="","",'K1'!G21)</f>
        <v>6.52</v>
      </c>
      <c r="U23" s="73">
        <f>IF('K1'!K21="","",'K1'!K21)</f>
        <v>9.08</v>
      </c>
      <c r="V23" s="73">
        <f>IF('K1'!N21="","",'K1'!N21)</f>
        <v>7.79</v>
      </c>
      <c r="W23" s="120"/>
      <c r="X23" s="121"/>
      <c r="Y23" s="134"/>
      <c r="Z23" s="75"/>
      <c r="AA23" s="123">
        <f>V5</f>
        <v>44450</v>
      </c>
      <c r="AB23" s="177" t="str">
        <f t="shared" ref="AB23" si="19">IF(ISNUMBER(FIND("M",C23)),"m",IF(ISNUMBER(FIND("K",C23)),"k"))</f>
        <v>k</v>
      </c>
      <c r="AC23" s="178">
        <f t="shared" ref="AC23" si="20">IF(OR(E23="",AA23=""),0,(YEAR(AA23)-YEAR(E23)))</f>
        <v>16</v>
      </c>
      <c r="AD23" s="179" t="str">
        <f t="shared" si="2"/>
        <v/>
      </c>
      <c r="AE23" s="180" t="b">
        <f>IF(AD23=1,LOOKUP(AC23,'Meltzer-Faber'!A3:A63,'Meltzer-Faber'!B3:B63))</f>
        <v>0</v>
      </c>
      <c r="AF23" s="180" t="b">
        <f>IF(AD23=1,LOOKUP(AC23,'Meltzer-Faber'!A3:A63,'Meltzer-Faber'!C3:C63))</f>
        <v>0</v>
      </c>
      <c r="AG23" s="180" t="b">
        <f t="shared" ref="AG23" si="21">IF(AB23="m",AE23,IF(AB23="k",AF23,""))</f>
        <v>0</v>
      </c>
    </row>
    <row r="24" spans="1:33" s="21" customFormat="1" ht="18" customHeight="1">
      <c r="A24" s="124"/>
      <c r="B24" s="125"/>
      <c r="C24" s="126"/>
      <c r="D24" s="127"/>
      <c r="E24" s="128"/>
      <c r="F24" s="260"/>
      <c r="G24" s="74"/>
      <c r="H24" s="74"/>
      <c r="I24" s="298"/>
      <c r="J24" s="289"/>
      <c r="K24" s="299"/>
      <c r="L24" s="286"/>
      <c r="M24" s="287"/>
      <c r="N24" s="288"/>
      <c r="O24" s="126"/>
      <c r="P24" s="130"/>
      <c r="Q24" s="289">
        <f>IF(R23="","",R23*1.2)</f>
        <v>182.81371745671345</v>
      </c>
      <c r="R24" s="289"/>
      <c r="S24" s="131"/>
      <c r="T24" s="132">
        <f>IF(T23="","",T23*20)</f>
        <v>130.39999999999998</v>
      </c>
      <c r="U24" s="132">
        <f>IF(U23="","",U23*13)</f>
        <v>118.04</v>
      </c>
      <c r="V24" s="78">
        <f>IF(V23="","",IF((80+(8-ROUNDUP(V23,1))*40)&lt;0,0,80+(8-ROUNDUP(V23,1))*40))</f>
        <v>88</v>
      </c>
      <c r="W24" s="78">
        <f>IF(SUM(T24,U24,V24)&gt;0,SUM(T24,U24,V24),"")</f>
        <v>336.44</v>
      </c>
      <c r="X24" s="133">
        <f>IF(OR(Q24="",T24="",U24="",V24=""),"",SUM(Q24,T24,U24,V24))</f>
        <v>519.2537174567135</v>
      </c>
      <c r="Y24" s="79">
        <v>3</v>
      </c>
      <c r="Z24" s="80"/>
      <c r="AA24" s="123"/>
    </row>
    <row r="25" spans="1:33" s="21" customFormat="1" ht="18" customHeight="1">
      <c r="A25" s="112"/>
      <c r="B25" s="113"/>
      <c r="C25" s="71"/>
      <c r="D25" s="114"/>
      <c r="E25" s="71"/>
      <c r="F25" s="71"/>
      <c r="G25" s="72"/>
      <c r="H25" s="72"/>
      <c r="I25" s="156"/>
      <c r="J25" s="157"/>
      <c r="K25" s="157"/>
      <c r="L25" s="157"/>
      <c r="M25" s="157"/>
      <c r="N25" s="157"/>
      <c r="O25" s="115" t="str">
        <f>IF(MAX(I25:K25)&gt;0,IF(MAX(I25:K25)&lt;0,0,TRUNC(MAX(I25:K25)/1)*1),"")</f>
        <v/>
      </c>
      <c r="P25" s="116" t="str">
        <f>IF(MAX(L25:N25)&gt;0,IF(MAX(L25:N25)&lt;0,0,TRUNC(MAX(L25:N25)/1)*1),"")</f>
        <v/>
      </c>
      <c r="Q25" s="117" t="str">
        <f>IF(O25="","",IF(P25="","",IF(SUM(O25:P25)=0,"",SUM(O25:P25))))</f>
        <v/>
      </c>
      <c r="R25" s="118" t="str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119" t="str">
        <f>IF(AD25=1,R25*AG25,"")</f>
        <v/>
      </c>
      <c r="T25" s="73" t="str">
        <f>IF('K1'!G23="","",'K1'!G23)</f>
        <v/>
      </c>
      <c r="U25" s="73" t="str">
        <f>IF('K1'!K23="","",'K1'!K23)</f>
        <v/>
      </c>
      <c r="V25" s="73" t="str">
        <f>IF('K1'!N23="","",'K1'!N23)</f>
        <v/>
      </c>
      <c r="W25" s="120"/>
      <c r="X25" s="121"/>
      <c r="Y25" s="134"/>
      <c r="Z25" s="75"/>
      <c r="AA25" s="123">
        <f>V5</f>
        <v>44450</v>
      </c>
      <c r="AB25" s="177" t="b">
        <f t="shared" ref="AB25" si="22">IF(ISNUMBER(FIND("M",C25)),"m",IF(ISNUMBER(FIND("K",C25)),"k"))</f>
        <v>0</v>
      </c>
      <c r="AC25" s="178">
        <f t="shared" ref="AC25" si="23">IF(OR(E25="",AA25=""),0,(YEAR(AA25)-YEAR(E25)))</f>
        <v>0</v>
      </c>
      <c r="AD25" s="179" t="str">
        <f t="shared" si="2"/>
        <v/>
      </c>
      <c r="AE25" s="180" t="b">
        <f>IF(AD25=1,LOOKUP(AC25,'Meltzer-Faber'!A3:A63,'Meltzer-Faber'!B3:B63))</f>
        <v>0</v>
      </c>
      <c r="AF25" s="180" t="b">
        <f>IF(AD25=1,LOOKUP(AC25,'Meltzer-Faber'!A3:A63,'Meltzer-Faber'!C3:C63))</f>
        <v>0</v>
      </c>
      <c r="AG25" s="180" t="str">
        <f t="shared" ref="AG25" si="24">IF(AB25="m",AE25,IF(AB25="k",AF25,""))</f>
        <v/>
      </c>
    </row>
    <row r="26" spans="1:33" s="21" customFormat="1" ht="18" customHeight="1">
      <c r="A26" s="124"/>
      <c r="B26" s="125"/>
      <c r="C26" s="135"/>
      <c r="D26" s="127"/>
      <c r="E26" s="128"/>
      <c r="F26" s="128"/>
      <c r="G26" s="74"/>
      <c r="H26" s="129"/>
      <c r="I26" s="286"/>
      <c r="J26" s="287"/>
      <c r="K26" s="288"/>
      <c r="L26" s="286"/>
      <c r="M26" s="287"/>
      <c r="N26" s="288"/>
      <c r="O26" s="126"/>
      <c r="P26" s="130"/>
      <c r="Q26" s="289" t="str">
        <f>IF(R25="","",R25*1.2)</f>
        <v/>
      </c>
      <c r="R26" s="289"/>
      <c r="S26" s="131"/>
      <c r="T26" s="132" t="str">
        <f>IF(T25="","",T25*20)</f>
        <v/>
      </c>
      <c r="U26" s="132" t="str">
        <f>IF(U25="","",U25*13)</f>
        <v/>
      </c>
      <c r="V26" s="78" t="str">
        <f>IF(V25="","",IF((80+(8-ROUNDUP(V25,1))*40)&lt;0,0,80+(8-ROUNDUP(V25,1))*40))</f>
        <v/>
      </c>
      <c r="W26" s="78" t="str">
        <f>IF(SUM(T26,U26,V26)&gt;0,SUM(T26,U26,V26),"")</f>
        <v/>
      </c>
      <c r="X26" s="133" t="str">
        <f>IF(OR(Q26="",T26="",U26="",V26=""),"",SUM(Q26,T26,U26,V26))</f>
        <v/>
      </c>
      <c r="Y26" s="79"/>
      <c r="Z26" s="80"/>
      <c r="AA26" s="123"/>
    </row>
    <row r="27" spans="1:33" s="21" customFormat="1" ht="18" customHeight="1">
      <c r="A27" s="112"/>
      <c r="B27" s="113"/>
      <c r="C27" s="71"/>
      <c r="D27" s="114"/>
      <c r="E27" s="71"/>
      <c r="F27" s="71"/>
      <c r="G27" s="72"/>
      <c r="H27" s="72"/>
      <c r="I27" s="156"/>
      <c r="J27" s="157"/>
      <c r="K27" s="157"/>
      <c r="L27" s="157"/>
      <c r="M27" s="157"/>
      <c r="N27" s="157"/>
      <c r="O27" s="115" t="str">
        <f>IF(MAX(I27:K27)&gt;0,IF(MAX(I27:K27)&lt;0,0,TRUNC(MAX(I27:K27)/1)*1),"")</f>
        <v/>
      </c>
      <c r="P27" s="116" t="str">
        <f>IF(MAX(L27:N27)&gt;0,IF(MAX(L27:N27)&lt;0,0,TRUNC(MAX(L27:N27)/1)*1),"")</f>
        <v/>
      </c>
      <c r="Q27" s="117" t="str">
        <f>IF(O27="","",IF(P27="","",IF(SUM(O27:P27)=0,"",SUM(O27:P27))))</f>
        <v/>
      </c>
      <c r="R27" s="118" t="str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119" t="str">
        <f>IF(AD27=1,R27*AG27,"")</f>
        <v/>
      </c>
      <c r="T27" s="73" t="str">
        <f>IF('K1'!G25="","",'K1'!G25)</f>
        <v/>
      </c>
      <c r="U27" s="73" t="str">
        <f>IF('K1'!K25="","",'K1'!K25)</f>
        <v/>
      </c>
      <c r="V27" s="73" t="str">
        <f>IF('K1'!N25="","",'K1'!N25)</f>
        <v/>
      </c>
      <c r="W27" s="120"/>
      <c r="X27" s="121"/>
      <c r="Y27" s="134"/>
      <c r="Z27" s="75"/>
      <c r="AA27" s="123">
        <f>V5</f>
        <v>44450</v>
      </c>
      <c r="AB27" s="177" t="b">
        <f t="shared" ref="AB27" si="25">IF(ISNUMBER(FIND("M",C27)),"m",IF(ISNUMBER(FIND("K",C27)),"k"))</f>
        <v>0</v>
      </c>
      <c r="AC27" s="178">
        <f t="shared" ref="AC27" si="26">IF(OR(E27="",AA27=""),0,(YEAR(AA27)-YEAR(E27)))</f>
        <v>0</v>
      </c>
      <c r="AD27" s="179" t="str">
        <f t="shared" si="2"/>
        <v/>
      </c>
      <c r="AE27" s="180" t="b">
        <f>IF(AD27=1,LOOKUP(AC27,'Meltzer-Faber'!A3:A63,'Meltzer-Faber'!B3:B63))</f>
        <v>0</v>
      </c>
      <c r="AF27" s="180" t="b">
        <f>IF(AD27=1,LOOKUP(AC27,'Meltzer-Faber'!A3:A63,'Meltzer-Faber'!C3:C63))</f>
        <v>0</v>
      </c>
      <c r="AG27" s="180" t="str">
        <f t="shared" ref="AG27" si="27">IF(AB27="m",AE27,IF(AB27="k",AF27,""))</f>
        <v/>
      </c>
    </row>
    <row r="28" spans="1:33" s="21" customFormat="1" ht="18" customHeight="1">
      <c r="A28" s="124"/>
      <c r="B28" s="125"/>
      <c r="C28" s="126"/>
      <c r="D28" s="127"/>
      <c r="E28" s="128"/>
      <c r="F28" s="128"/>
      <c r="G28" s="74"/>
      <c r="H28" s="129"/>
      <c r="I28" s="286"/>
      <c r="J28" s="287"/>
      <c r="K28" s="288"/>
      <c r="L28" s="286"/>
      <c r="M28" s="287"/>
      <c r="N28" s="288"/>
      <c r="O28" s="126"/>
      <c r="P28" s="130"/>
      <c r="Q28" s="289" t="str">
        <f>IF(R27="","",R27*1.2)</f>
        <v/>
      </c>
      <c r="R28" s="289"/>
      <c r="S28" s="131"/>
      <c r="T28" s="132" t="str">
        <f>IF(T27="","",T27*20)</f>
        <v/>
      </c>
      <c r="U28" s="132" t="str">
        <f>IF(U27="","",U27*13)</f>
        <v/>
      </c>
      <c r="V28" s="78" t="str">
        <f>IF(V27="","",IF((80+(8-ROUNDUP(V27,1))*40)&lt;0,0,80+(8-ROUNDUP(V27,1))*40))</f>
        <v/>
      </c>
      <c r="W28" s="78" t="str">
        <f>IF(SUM(T28,U28,V28)&gt;0,SUM(T28,U28,V28),"")</f>
        <v/>
      </c>
      <c r="X28" s="133" t="str">
        <f>IF(OR(Q28="",T28="",U28="",V28=""),"",SUM(Q28,T28,U28,V28))</f>
        <v/>
      </c>
      <c r="Y28" s="79"/>
      <c r="Z28" s="80"/>
      <c r="AA28" s="123"/>
    </row>
    <row r="29" spans="1:33" s="21" customFormat="1" ht="18" customHeight="1">
      <c r="A29" s="112"/>
      <c r="B29" s="113"/>
      <c r="C29" s="71"/>
      <c r="D29" s="114"/>
      <c r="E29" s="71"/>
      <c r="F29" s="71"/>
      <c r="G29" s="72"/>
      <c r="H29" s="72"/>
      <c r="I29" s="156"/>
      <c r="J29" s="157"/>
      <c r="K29" s="157"/>
      <c r="L29" s="157"/>
      <c r="M29" s="157"/>
      <c r="N29" s="157"/>
      <c r="O29" s="115" t="str">
        <f>IF(MAX(I29:K29)&gt;0,IF(MAX(I29:K29)&lt;0,0,TRUNC(MAX(I29:K29)/1)*1),"")</f>
        <v/>
      </c>
      <c r="P29" s="116" t="str">
        <f>IF(MAX(L29:N29)&gt;0,IF(MAX(L29:N29)&lt;0,0,TRUNC(MAX(L29:N29)/1)*1),"")</f>
        <v/>
      </c>
      <c r="Q29" s="117" t="str">
        <f>IF(O29="","",IF(P29="","",IF(SUM(O29:P29)=0,"",SUM(O29:P29))))</f>
        <v/>
      </c>
      <c r="R29" s="118" t="str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119" t="str">
        <f>IF(AD29=1,R29*AG29,"")</f>
        <v/>
      </c>
      <c r="T29" s="73" t="str">
        <f>IF('K1'!G27="","",'K1'!G27)</f>
        <v/>
      </c>
      <c r="U29" s="73" t="str">
        <f>IF('K1'!K27="","",'K1'!K27)</f>
        <v/>
      </c>
      <c r="V29" s="73" t="str">
        <f>IF('K1'!N27="","",'K1'!N27)</f>
        <v/>
      </c>
      <c r="W29" s="120"/>
      <c r="X29" s="121"/>
      <c r="Y29" s="134"/>
      <c r="Z29" s="75"/>
      <c r="AA29" s="123">
        <f>V5</f>
        <v>44450</v>
      </c>
      <c r="AB29" s="177" t="b">
        <f t="shared" ref="AB29" si="28">IF(ISNUMBER(FIND("M",C29)),"m",IF(ISNUMBER(FIND("K",C29)),"k"))</f>
        <v>0</v>
      </c>
      <c r="AC29" s="178">
        <f t="shared" ref="AC29" si="29">IF(OR(E29="",AA29=""),0,(YEAR(AA29)-YEAR(E29)))</f>
        <v>0</v>
      </c>
      <c r="AD29" s="179" t="str">
        <f t="shared" si="2"/>
        <v/>
      </c>
      <c r="AE29" s="180" t="b">
        <f>IF(AD29=1,LOOKUP(AC29,'Meltzer-Faber'!A3:A63,'Meltzer-Faber'!B3:B63))</f>
        <v>0</v>
      </c>
      <c r="AF29" s="180" t="b">
        <f>IF(AD29=1,LOOKUP(AC29,'Meltzer-Faber'!A3:A63,'Meltzer-Faber'!C3:C63))</f>
        <v>0</v>
      </c>
      <c r="AG29" s="180" t="str">
        <f t="shared" ref="AG29" si="30">IF(AB29="m",AE29,IF(AB29="k",AF29,""))</f>
        <v/>
      </c>
    </row>
    <row r="30" spans="1:33" s="21" customFormat="1" ht="18" customHeight="1">
      <c r="A30" s="124"/>
      <c r="B30" s="125"/>
      <c r="C30" s="126"/>
      <c r="D30" s="127"/>
      <c r="E30" s="128"/>
      <c r="F30" s="264"/>
      <c r="G30" s="74"/>
      <c r="H30" s="129"/>
      <c r="I30" s="286"/>
      <c r="J30" s="287"/>
      <c r="K30" s="288"/>
      <c r="L30" s="286"/>
      <c r="M30" s="287"/>
      <c r="N30" s="288"/>
      <c r="O30" s="126"/>
      <c r="P30" s="130"/>
      <c r="Q30" s="289" t="str">
        <f>IF(R29="","",R29*1.2)</f>
        <v/>
      </c>
      <c r="R30" s="289"/>
      <c r="S30" s="131"/>
      <c r="T30" s="132" t="str">
        <f>IF(T29="","",T29*20)</f>
        <v/>
      </c>
      <c r="U30" s="132" t="str">
        <f>IF(U29="","",U29*13)</f>
        <v/>
      </c>
      <c r="V30" s="78" t="str">
        <f>IF(V29="","",IF((80+(8-ROUNDUP(V29,1))*40)&lt;0,0,80+(8-ROUNDUP(V29,1))*40))</f>
        <v/>
      </c>
      <c r="W30" s="78" t="str">
        <f>IF(SUM(T30,U30,V30)&gt;0,SUM(T30,U30,V30),"")</f>
        <v/>
      </c>
      <c r="X30" s="133" t="str">
        <f>IF(OR(Q30="",T30="",U30="",V30=""),"",SUM(Q30,T30,U30,V30))</f>
        <v/>
      </c>
      <c r="Y30" s="79"/>
      <c r="Z30" s="80"/>
      <c r="AA30" s="123"/>
    </row>
    <row r="31" spans="1:33" s="21" customFormat="1" ht="18" customHeight="1">
      <c r="A31" s="112"/>
      <c r="B31" s="113"/>
      <c r="C31" s="71"/>
      <c r="D31" s="114"/>
      <c r="E31" s="71"/>
      <c r="F31" s="71"/>
      <c r="G31" s="72"/>
      <c r="H31" s="72"/>
      <c r="I31" s="156"/>
      <c r="J31" s="157"/>
      <c r="K31" s="157"/>
      <c r="L31" s="157"/>
      <c r="M31" s="157"/>
      <c r="N31" s="157"/>
      <c r="O31" s="269" t="str">
        <f>IF(MAX(I31:K31)&gt;0,IF(MAX(I31:K31)&lt;0,0,TRUNC(MAX(I31:K31)/1)*1),"")</f>
        <v/>
      </c>
      <c r="P31" s="270" t="str">
        <f>IF(MAX(L31:N31)&gt;0,IF(MAX(L31:N31)&lt;0,0,TRUNC(MAX(L31:N31)/1)*1),"")</f>
        <v/>
      </c>
      <c r="Q31" s="271" t="str">
        <f>IF(O31="","",IF(P31="","",IF(SUM(O31:P31)=0,"",SUM(O31:P31))))</f>
        <v/>
      </c>
      <c r="R31" s="27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21" t="str">
        <f>IF(AD31=1,R31*AG31,"")</f>
        <v/>
      </c>
      <c r="T31" s="73" t="str">
        <f>IF('K1'!G29="","",'K1'!G29)</f>
        <v/>
      </c>
      <c r="U31" s="73" t="str">
        <f>IF('K1'!K29="","",'K1'!K29)</f>
        <v/>
      </c>
      <c r="V31" s="73" t="str">
        <f>IF('K1'!N29="","",'K1'!N29)</f>
        <v/>
      </c>
      <c r="W31" s="120" t="s">
        <v>16</v>
      </c>
      <c r="X31" s="121"/>
      <c r="Y31" s="134"/>
      <c r="Z31" s="75"/>
      <c r="AA31" s="123">
        <f>V5</f>
        <v>44450</v>
      </c>
      <c r="AB31" s="177" t="b">
        <f t="shared" ref="AB31" si="31">IF(ISNUMBER(FIND("M",C31)),"m",IF(ISNUMBER(FIND("K",C31)),"k"))</f>
        <v>0</v>
      </c>
      <c r="AC31" s="178">
        <f t="shared" ref="AC31" si="32">IF(OR(E31="",AA31=""),0,(YEAR(AA31)-YEAR(E31)))</f>
        <v>0</v>
      </c>
      <c r="AD31" s="179" t="str">
        <f t="shared" si="2"/>
        <v/>
      </c>
      <c r="AE31" s="180" t="b">
        <f>IF(AD31=1,LOOKUP(AC31,'Meltzer-Faber'!A3:A63,'Meltzer-Faber'!B3:B63))</f>
        <v>0</v>
      </c>
      <c r="AF31" s="180" t="b">
        <f>IF(AD31=1,LOOKUP(AC31,'Meltzer-Faber'!A3:A63,'Meltzer-Faber'!C3:C63))</f>
        <v>0</v>
      </c>
      <c r="AG31" s="180" t="str">
        <f t="shared" ref="AG31" si="33">IF(AB31="m",AE31,IF(AB31="k",AF31,""))</f>
        <v/>
      </c>
    </row>
    <row r="32" spans="1:33" s="21" customFormat="1" ht="18" customHeight="1">
      <c r="A32" s="124"/>
      <c r="B32" s="125"/>
      <c r="C32" s="126"/>
      <c r="D32" s="127"/>
      <c r="E32" s="128"/>
      <c r="F32" s="264"/>
      <c r="G32" s="274"/>
      <c r="H32" s="275"/>
      <c r="I32" s="290"/>
      <c r="J32" s="291"/>
      <c r="K32" s="292"/>
      <c r="L32" s="290"/>
      <c r="M32" s="291"/>
      <c r="N32" s="292"/>
      <c r="O32" s="273"/>
      <c r="P32" s="276"/>
      <c r="Q32" s="314" t="str">
        <f>IF(R31="","",R31*1.2)</f>
        <v/>
      </c>
      <c r="R32" s="314"/>
      <c r="S32" s="277"/>
      <c r="T32" s="278" t="str">
        <f>IF(T31="","",T31*20)</f>
        <v/>
      </c>
      <c r="U32" s="278" t="str">
        <f>IF(U31="","",U31*13)</f>
        <v/>
      </c>
      <c r="V32" s="279" t="str">
        <f>IF(V31="","",IF((80+(8-ROUNDUP(V31,1))*40)&lt;0,0,80+(8-ROUNDUP(V31,1))*40))</f>
        <v/>
      </c>
      <c r="W32" s="279" t="str">
        <f>IF(SUM(T32,U32,V32)&gt;0,SUM(T32,U32,V32),"")</f>
        <v/>
      </c>
      <c r="X32" s="280" t="str">
        <f>IF(OR(Q32="",T32="",U32="",V32=""),"",SUM(Q32,T32,U32,V32))</f>
        <v/>
      </c>
      <c r="Y32" s="281"/>
      <c r="Z32" s="282"/>
      <c r="AA32" s="123"/>
    </row>
    <row r="33" spans="1:26" s="21" customFormat="1" ht="14">
      <c r="A33" s="136"/>
      <c r="B33" s="136"/>
      <c r="C33" s="136"/>
      <c r="D33" s="137"/>
      <c r="E33" s="138"/>
      <c r="F33" s="138"/>
      <c r="G33" s="139"/>
      <c r="H33" s="139"/>
      <c r="I33" s="140"/>
      <c r="J33" s="140"/>
      <c r="K33" s="140"/>
      <c r="L33" s="140"/>
      <c r="M33" s="140"/>
      <c r="N33" s="140"/>
      <c r="O33" s="136"/>
      <c r="P33" s="136"/>
      <c r="Q33" s="136"/>
      <c r="R33" s="136"/>
      <c r="S33" s="136"/>
      <c r="T33" s="140"/>
      <c r="U33" s="140"/>
      <c r="V33" s="141"/>
      <c r="W33" s="141"/>
      <c r="X33" s="142"/>
      <c r="Y33" s="143"/>
      <c r="Z33" s="144"/>
    </row>
    <row r="34" spans="1:26" s="6" customFormat="1" ht="14">
      <c r="A34" s="6" t="s">
        <v>13</v>
      </c>
      <c r="C34" s="302" t="s">
        <v>204</v>
      </c>
      <c r="D34" s="302"/>
      <c r="E34" s="302"/>
      <c r="F34" s="302"/>
      <c r="G34" s="302"/>
      <c r="H34" s="84" t="s">
        <v>14</v>
      </c>
      <c r="I34" s="145">
        <v>1</v>
      </c>
      <c r="J34" s="302" t="s">
        <v>102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s="6" customFormat="1" ht="14">
      <c r="A35"/>
      <c r="C35" s="303"/>
      <c r="D35" s="303"/>
      <c r="E35" s="303"/>
      <c r="F35" s="303"/>
      <c r="G35" s="303"/>
      <c r="H35" s="85"/>
      <c r="I35" s="145">
        <v>2</v>
      </c>
      <c r="J35" s="302" t="s">
        <v>103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s="6" customFormat="1" ht="14">
      <c r="A36" s="6" t="s">
        <v>49</v>
      </c>
      <c r="C36" s="302"/>
      <c r="D36" s="302"/>
      <c r="E36" s="302"/>
      <c r="F36" s="302"/>
      <c r="G36" s="302"/>
      <c r="H36" s="84"/>
      <c r="I36" s="6">
        <v>3</v>
      </c>
      <c r="J36" s="302" t="s">
        <v>111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s="4" customFormat="1" ht="14">
      <c r="A37"/>
      <c r="B37" s="5"/>
      <c r="C37" s="302"/>
      <c r="D37" s="302"/>
      <c r="E37" s="302"/>
      <c r="F37" s="302"/>
      <c r="G37" s="302"/>
      <c r="H37" s="84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</row>
    <row r="38" spans="1:26" s="4" customFormat="1" ht="14">
      <c r="A38"/>
      <c r="B38" s="6"/>
      <c r="C38" s="302"/>
      <c r="D38" s="302"/>
      <c r="E38" s="302"/>
      <c r="F38" s="302"/>
      <c r="G38" s="302"/>
      <c r="H38" s="147" t="s">
        <v>50</v>
      </c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spans="1:26" s="4" customFormat="1" ht="14">
      <c r="A39" s="1"/>
      <c r="B39" s="1"/>
      <c r="C39" s="146"/>
      <c r="D39" s="3"/>
      <c r="E39" s="3"/>
      <c r="F39" s="3"/>
      <c r="H39" s="147" t="s">
        <v>51</v>
      </c>
      <c r="I39" s="315" t="s">
        <v>104</v>
      </c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 spans="1:26" s="4" customFormat="1" ht="14">
      <c r="A40" s="6" t="s">
        <v>15</v>
      </c>
      <c r="B40" s="6"/>
      <c r="C40" s="302" t="s">
        <v>101</v>
      </c>
      <c r="D40" s="302"/>
      <c r="E40" s="302"/>
      <c r="F40" s="302"/>
      <c r="G40" s="302"/>
      <c r="H40" s="147" t="s">
        <v>52</v>
      </c>
      <c r="I40" s="315" t="s">
        <v>105</v>
      </c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spans="1:26" s="4" customFormat="1" ht="14">
      <c r="A41" s="1"/>
      <c r="B41" s="1"/>
      <c r="C41" s="302" t="s">
        <v>106</v>
      </c>
      <c r="D41" s="302"/>
      <c r="E41" s="302"/>
      <c r="F41" s="302"/>
      <c r="G41" s="302"/>
      <c r="H41" s="84"/>
      <c r="I41" s="147"/>
      <c r="J41" s="6"/>
      <c r="K41" s="148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4">
      <c r="A42" s="6" t="s">
        <v>53</v>
      </c>
      <c r="B42" s="6"/>
      <c r="C42" s="302" t="s">
        <v>100</v>
      </c>
      <c r="D42" s="302"/>
      <c r="E42" s="302"/>
      <c r="F42" s="302"/>
      <c r="G42" s="302"/>
      <c r="H42" s="147" t="s">
        <v>18</v>
      </c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spans="1:26" s="4" customFormat="1" ht="14">
      <c r="A43" s="1"/>
      <c r="B43" s="1"/>
      <c r="C43" s="302"/>
      <c r="D43" s="302"/>
      <c r="E43" s="302"/>
      <c r="F43" s="302"/>
      <c r="G43" s="302"/>
      <c r="H43" s="84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spans="1:26" s="4" customFormat="1">
      <c r="A44" s="149" t="s">
        <v>17</v>
      </c>
      <c r="B44" s="150" t="s">
        <v>63</v>
      </c>
      <c r="C44" s="150"/>
      <c r="D44" s="151"/>
      <c r="E44" s="151"/>
      <c r="F44" s="151"/>
      <c r="G44" s="152"/>
      <c r="H44" s="152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</row>
    <row r="45" spans="1:26" s="4" customFormat="1">
      <c r="A45" s="1"/>
      <c r="B45" s="1"/>
      <c r="C45" s="150"/>
      <c r="D45" s="3"/>
      <c r="E45" s="3"/>
      <c r="F45" s="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</row>
    <row r="46" spans="1:26" s="4" customFormat="1">
      <c r="A46" s="1"/>
      <c r="B46" s="1"/>
      <c r="C46" s="2"/>
      <c r="D46" s="3"/>
      <c r="E46" s="3"/>
      <c r="F46" s="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</row>
    <row r="47" spans="1:26">
      <c r="K47" s="153"/>
    </row>
    <row r="48" spans="1:26">
      <c r="K48" s="1"/>
    </row>
    <row r="49" spans="11:11">
      <c r="K49" s="1"/>
    </row>
    <row r="50" spans="11:11">
      <c r="K50" s="1"/>
    </row>
  </sheetData>
  <mergeCells count="70">
    <mergeCell ref="I44:Z44"/>
    <mergeCell ref="I45:Z45"/>
    <mergeCell ref="I46:Z46"/>
    <mergeCell ref="Q32:R32"/>
    <mergeCell ref="J34:Z34"/>
    <mergeCell ref="J35:Z35"/>
    <mergeCell ref="J36:Z36"/>
    <mergeCell ref="I38:Z38"/>
    <mergeCell ref="I39:Z39"/>
    <mergeCell ref="I40:Z40"/>
    <mergeCell ref="I42:Z42"/>
    <mergeCell ref="I43:Z43"/>
    <mergeCell ref="J37:Z37"/>
    <mergeCell ref="L20:N20"/>
    <mergeCell ref="I26:K26"/>
    <mergeCell ref="L26:N26"/>
    <mergeCell ref="Q26:R26"/>
    <mergeCell ref="I28:K28"/>
    <mergeCell ref="L28:N28"/>
    <mergeCell ref="Q28:R28"/>
    <mergeCell ref="Q20:R20"/>
    <mergeCell ref="I22:K22"/>
    <mergeCell ref="L22:N22"/>
    <mergeCell ref="Q22:R22"/>
    <mergeCell ref="I24:K24"/>
    <mergeCell ref="L24:N24"/>
    <mergeCell ref="Q24:R24"/>
    <mergeCell ref="I20:K20"/>
    <mergeCell ref="S3:Z3"/>
    <mergeCell ref="I5:N5"/>
    <mergeCell ref="P5:T5"/>
    <mergeCell ref="V5:W5"/>
    <mergeCell ref="I7:K7"/>
    <mergeCell ref="L7:N7"/>
    <mergeCell ref="O7:R7"/>
    <mergeCell ref="C42:G42"/>
    <mergeCell ref="C43:G43"/>
    <mergeCell ref="C34:G34"/>
    <mergeCell ref="C36:G36"/>
    <mergeCell ref="C37:G37"/>
    <mergeCell ref="C38:G38"/>
    <mergeCell ref="C40:G40"/>
    <mergeCell ref="C41:G41"/>
    <mergeCell ref="C35:G35"/>
    <mergeCell ref="A5:B5"/>
    <mergeCell ref="C5:G5"/>
    <mergeCell ref="I14:K14"/>
    <mergeCell ref="L14:N14"/>
    <mergeCell ref="Q14:R14"/>
    <mergeCell ref="L8:N8"/>
    <mergeCell ref="I10:K10"/>
    <mergeCell ref="L10:N10"/>
    <mergeCell ref="Q10:R10"/>
    <mergeCell ref="I12:K12"/>
    <mergeCell ref="L12:N12"/>
    <mergeCell ref="Q12:R12"/>
    <mergeCell ref="G2:R2"/>
    <mergeCell ref="G3:R3"/>
    <mergeCell ref="I8:K8"/>
    <mergeCell ref="I18:K18"/>
    <mergeCell ref="L18:N18"/>
    <mergeCell ref="Q18:R18"/>
    <mergeCell ref="I16:K16"/>
    <mergeCell ref="L16:N16"/>
    <mergeCell ref="Q16:R16"/>
    <mergeCell ref="I30:K30"/>
    <mergeCell ref="L30:N30"/>
    <mergeCell ref="Q30:R30"/>
    <mergeCell ref="I32:K32"/>
    <mergeCell ref="L32:N32"/>
  </mergeCells>
  <phoneticPr fontId="0" type="noConversion"/>
  <conditionalFormatting sqref="I27:N27">
    <cfRule type="cellIs" dxfId="219" priority="43" stopIfTrue="1" operator="between">
      <formula>1</formula>
      <formula>300</formula>
    </cfRule>
    <cfRule type="cellIs" dxfId="218" priority="44" stopIfTrue="1" operator="lessThanOrEqual">
      <formula>0</formula>
    </cfRule>
  </conditionalFormatting>
  <conditionalFormatting sqref="I29:N29">
    <cfRule type="cellIs" dxfId="217" priority="41" stopIfTrue="1" operator="between">
      <formula>1</formula>
      <formula>300</formula>
    </cfRule>
    <cfRule type="cellIs" dxfId="216" priority="42" stopIfTrue="1" operator="lessThanOrEqual">
      <formula>0</formula>
    </cfRule>
  </conditionalFormatting>
  <conditionalFormatting sqref="I31:N31">
    <cfRule type="cellIs" dxfId="215" priority="39" stopIfTrue="1" operator="between">
      <formula>1</formula>
      <formula>300</formula>
    </cfRule>
    <cfRule type="cellIs" dxfId="214" priority="40" stopIfTrue="1" operator="lessThanOrEqual">
      <formula>0</formula>
    </cfRule>
  </conditionalFormatting>
  <conditionalFormatting sqref="I17:N17">
    <cfRule type="cellIs" dxfId="213" priority="15" stopIfTrue="1" operator="between">
      <formula>1</formula>
      <formula>300</formula>
    </cfRule>
    <cfRule type="cellIs" dxfId="212" priority="16" stopIfTrue="1" operator="lessThanOrEqual">
      <formula>0</formula>
    </cfRule>
  </conditionalFormatting>
  <conditionalFormatting sqref="I25:N25">
    <cfRule type="cellIs" dxfId="211" priority="45" stopIfTrue="1" operator="between">
      <formula>1</formula>
      <formula>300</formula>
    </cfRule>
    <cfRule type="cellIs" dxfId="210" priority="46" stopIfTrue="1" operator="lessThanOrEqual">
      <formula>0</formula>
    </cfRule>
  </conditionalFormatting>
  <conditionalFormatting sqref="I19:N19">
    <cfRule type="cellIs" dxfId="209" priority="5" stopIfTrue="1" operator="between">
      <formula>1</formula>
      <formula>300</formula>
    </cfRule>
    <cfRule type="cellIs" dxfId="208" priority="6" stopIfTrue="1" operator="lessThanOrEqual">
      <formula>0</formula>
    </cfRule>
  </conditionalFormatting>
  <conditionalFormatting sqref="I23:N23">
    <cfRule type="cellIs" dxfId="207" priority="13" stopIfTrue="1" operator="between">
      <formula>1</formula>
      <formula>300</formula>
    </cfRule>
    <cfRule type="cellIs" dxfId="206" priority="14" stopIfTrue="1" operator="lessThanOrEqual">
      <formula>0</formula>
    </cfRule>
  </conditionalFormatting>
  <conditionalFormatting sqref="I15:N15">
    <cfRule type="cellIs" dxfId="205" priority="11" stopIfTrue="1" operator="between">
      <formula>1</formula>
      <formula>300</formula>
    </cfRule>
    <cfRule type="cellIs" dxfId="204" priority="12" stopIfTrue="1" operator="lessThanOrEqual">
      <formula>0</formula>
    </cfRule>
  </conditionalFormatting>
  <conditionalFormatting sqref="I9:N9">
    <cfRule type="cellIs" dxfId="203" priority="9" stopIfTrue="1" operator="between">
      <formula>1</formula>
      <formula>300</formula>
    </cfRule>
    <cfRule type="cellIs" dxfId="202" priority="10" stopIfTrue="1" operator="lessThanOrEqual">
      <formula>0</formula>
    </cfRule>
  </conditionalFormatting>
  <conditionalFormatting sqref="I21:N21">
    <cfRule type="cellIs" dxfId="201" priority="7" stopIfTrue="1" operator="between">
      <formula>1</formula>
      <formula>300</formula>
    </cfRule>
    <cfRule type="cellIs" dxfId="200" priority="8" stopIfTrue="1" operator="lessThanOrEqual">
      <formula>0</formula>
    </cfRule>
  </conditionalFormatting>
  <conditionalFormatting sqref="I13:N13">
    <cfRule type="cellIs" dxfId="199" priority="3" stopIfTrue="1" operator="between">
      <formula>1</formula>
      <formula>300</formula>
    </cfRule>
    <cfRule type="cellIs" dxfId="198" priority="4" stopIfTrue="1" operator="lessThanOrEqual">
      <formula>0</formula>
    </cfRule>
  </conditionalFormatting>
  <conditionalFormatting sqref="I11:N11">
    <cfRule type="cellIs" dxfId="197" priority="1" stopIfTrue="1" operator="between">
      <formula>1</formula>
      <formula>300</formula>
    </cfRule>
    <cfRule type="cellIs" dxfId="196" priority="2" stopIfTrue="1" operator="lessThanOrEqual">
      <formula>0</formula>
    </cfRule>
  </conditionalFormatting>
  <dataValidations count="3">
    <dataValidation type="list" allowBlank="1" showInputMessage="1" showErrorMessage="1" errorTitle="Feil_i_vektklasse" error="Feil verddi i vektklasse" sqref="A13 A11 A25 A15 A17 A19 A29 A23 A21 A27 A31 A9" xr:uid="{43608DB3-09EF-9047-969F-B082CFA5AC5E}">
      <formula1>"40,45,49,55,59,64,71,76,81,+81,81+,87,+87,87+,49,55,61,67,73,81,89,96,102,+102,102+,109,+109,109+"</formula1>
    </dataValidation>
    <dataValidation type="list" allowBlank="1" showInputMessage="1" showErrorMessage="1" errorTitle="Feil_i_kat.v.løft" error="Feil verdi i kategori vektløfting" sqref="C31 C29 C27 C19 C13 C17 C25 C21 C23 C11 C15 C9" xr:uid="{9BC2FD00-439D-034D-A4A5-F35B0EE29CBA}">
      <formula1>"UM,JM,SM,UK,JK,SK,M1,M2,M3,M4,M5,M6,M7,M8,M9,M10,K1,K2,K3,K4,K5,K6,K7,K8,K9,K10"</formula1>
    </dataValidation>
    <dataValidation type="list" allowBlank="1" showInputMessage="1" showErrorMessage="1" errorTitle="Feil_i_kat. 5-kamp" error="Feil verdi i kategori 5-kamp" sqref="D9 D11 D13 D15 D17 D19 D21 D23 D25 D27 D29 D31" xr:uid="{404003CB-9CDB-F349-AEF8-DA4B23B92360}">
      <formula1>"13-14,15-16,17-18,19-23,24-34,+35,35+"</formula1>
    </dataValidation>
  </dataValidations>
  <pageMargins left="0.27559055118110198" right="0.27559055118110198" top="0.27559055118110198" bottom="0.27559055118110198" header="0.511811023622047" footer="0.511811023622047"/>
  <pageSetup paperSize="9" scale="60" orientation="landscape" horizontalDpi="3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5A06-53BA-7D47-BBAF-E1E0379EA258}">
  <sheetPr>
    <pageSetUpPr fitToPage="1"/>
  </sheetPr>
  <dimension ref="A1:M89"/>
  <sheetViews>
    <sheetView topLeftCell="A72" zoomScale="120" zoomScaleNormal="120" zoomScalePageLayoutView="120" workbookViewId="0">
      <selection activeCell="N84" sqref="N84"/>
    </sheetView>
  </sheetViews>
  <sheetFormatPr baseColWidth="10" defaultColWidth="8.83203125" defaultRowHeight="13"/>
  <cols>
    <col min="1" max="1" width="5.33203125" customWidth="1"/>
    <col min="2" max="3" width="7.6640625" customWidth="1"/>
    <col min="4" max="4" width="7.1640625" customWidth="1"/>
    <col min="5" max="5" width="10.33203125" customWidth="1"/>
    <col min="6" max="6" width="27.6640625" customWidth="1"/>
    <col min="7" max="7" width="20.6640625" customWidth="1"/>
    <col min="8" max="9" width="6.83203125" customWidth="1"/>
    <col min="10" max="11" width="8.6640625" customWidth="1"/>
    <col min="12" max="12" width="9.6640625" customWidth="1"/>
    <col min="13" max="13" width="9.33203125" bestFit="1" customWidth="1"/>
  </cols>
  <sheetData>
    <row r="1" spans="1:13" ht="31" thickBot="1">
      <c r="A1" s="320" t="s">
        <v>84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2"/>
    </row>
    <row r="2" spans="1:13" s="70" customFormat="1" ht="24" customHeight="1" thickBot="1">
      <c r="A2" s="323" t="str">
        <f>IF('P1'!I5&gt;0,'P1'!I5,"")</f>
        <v>Larvik AK</v>
      </c>
      <c r="B2" s="324"/>
      <c r="C2" s="324"/>
      <c r="D2" s="324"/>
      <c r="E2" s="324"/>
      <c r="F2" s="325" t="str">
        <f>IF('P1'!P5&gt;0,'P1'!P5,"")</f>
        <v>Stavernhallen</v>
      </c>
      <c r="G2" s="324"/>
      <c r="H2" s="324"/>
      <c r="I2" s="324"/>
      <c r="J2" s="326" t="s">
        <v>125</v>
      </c>
      <c r="K2" s="327"/>
      <c r="L2" s="327"/>
      <c r="M2" s="327"/>
    </row>
    <row r="3" spans="1:13" s="13" customFormat="1" ht="14" thickBot="1">
      <c r="A3" s="67" t="s">
        <v>38</v>
      </c>
      <c r="B3" s="69" t="s">
        <v>39</v>
      </c>
      <c r="C3" s="69" t="s">
        <v>40</v>
      </c>
      <c r="D3" s="67" t="s">
        <v>41</v>
      </c>
      <c r="E3" s="67" t="s">
        <v>42</v>
      </c>
      <c r="F3" s="68" t="s">
        <v>6</v>
      </c>
      <c r="G3" s="68" t="s">
        <v>33</v>
      </c>
      <c r="H3" s="67" t="s">
        <v>8</v>
      </c>
      <c r="I3" s="67" t="s">
        <v>9</v>
      </c>
      <c r="J3" s="67" t="s">
        <v>43</v>
      </c>
      <c r="K3" s="67" t="s">
        <v>44</v>
      </c>
      <c r="L3" s="67" t="s">
        <v>28</v>
      </c>
      <c r="M3" s="67" t="s">
        <v>10</v>
      </c>
    </row>
    <row r="4" spans="1:13" ht="21" thickBot="1">
      <c r="A4" s="328" t="s">
        <v>37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30"/>
    </row>
    <row r="5" spans="1:13" ht="8" customHeight="1"/>
    <row r="6" spans="1:13" s="13" customFormat="1" ht="16">
      <c r="A6" s="236">
        <v>1</v>
      </c>
      <c r="B6" s="246">
        <f>IF('P1'!B11="","",'P1'!B11)</f>
        <v>55.8</v>
      </c>
      <c r="C6" s="237" t="str">
        <f>IF('P1'!C11="","",'P1'!C11)</f>
        <v>UK</v>
      </c>
      <c r="D6" s="237" t="str">
        <f>IF('P1'!D11="","",'P1'!D11)</f>
        <v>13-14</v>
      </c>
      <c r="E6" s="238">
        <f>IF('P1'!E11="","",'P1'!E11)</f>
        <v>39505</v>
      </c>
      <c r="F6" s="239" t="str">
        <f>IF('P1'!G11="","",'P1'!G11)</f>
        <v>Eline Høien</v>
      </c>
      <c r="G6" s="239" t="str">
        <f>IF('P1'!H11="","",'P1'!H11)</f>
        <v>Vigrstad IK</v>
      </c>
      <c r="H6" s="245">
        <f>IF('P1'!O11="","",'P1'!O11)</f>
        <v>40</v>
      </c>
      <c r="I6" s="245">
        <f>IF('P1'!P11="","",'P1'!P11)</f>
        <v>51</v>
      </c>
      <c r="J6" s="246">
        <f>IF('P1'!T11="","",'P1'!T11)</f>
        <v>6.2</v>
      </c>
      <c r="K6" s="246">
        <f>IF('P1'!U11="","",'P1'!U11)</f>
        <v>9.65</v>
      </c>
      <c r="L6" s="246">
        <f>IF('P1'!V11="","",'P1'!V11)</f>
        <v>7.3</v>
      </c>
      <c r="M6" s="246">
        <f>IF('P1'!X12="","",'P1'!X12)</f>
        <v>512.27725891629279</v>
      </c>
    </row>
    <row r="7" spans="1:13" s="13" customFormat="1" ht="16">
      <c r="A7" s="236">
        <v>2</v>
      </c>
      <c r="B7" s="246">
        <f>IF('P1'!B9="","",'P1'!B9)</f>
        <v>55.54</v>
      </c>
      <c r="C7" s="237" t="str">
        <f>IF('P1'!C9="","",'P1'!C9)</f>
        <v>UK</v>
      </c>
      <c r="D7" s="237" t="str">
        <f>IF('P1'!D9="","",'P1'!D9)</f>
        <v>13-14</v>
      </c>
      <c r="E7" s="238">
        <f>IF('P1'!E9="","",'P1'!E9)</f>
        <v>39575</v>
      </c>
      <c r="F7" s="239" t="str">
        <f>IF('P1'!G9="","",'P1'!G9)</f>
        <v>Mariell Endestad Hellevang</v>
      </c>
      <c r="G7" s="239" t="str">
        <f>IF('P1'!H9="","",'P1'!H9)</f>
        <v>Tambarskjelvar IL</v>
      </c>
      <c r="H7" s="245">
        <f>IF('P1'!O9="","",'P1'!O9)</f>
        <v>40</v>
      </c>
      <c r="I7" s="245">
        <f>IF('P1'!P9="","",'P1'!P9)</f>
        <v>54</v>
      </c>
      <c r="J7" s="246">
        <f>IF('P1'!T9="","",'P1'!T9)</f>
        <v>6.34</v>
      </c>
      <c r="K7" s="246">
        <f>IF('P1'!U9="","",'P1'!U9)</f>
        <v>9.84</v>
      </c>
      <c r="L7" s="246">
        <f>IF('P1'!V9="","",'P1'!V9)</f>
        <v>7.91</v>
      </c>
      <c r="M7" s="246">
        <f>IF('P1'!X10="","",'P1'!X10)</f>
        <v>495.16837227225727</v>
      </c>
    </row>
    <row r="8" spans="1:13" s="13" customFormat="1" ht="16">
      <c r="A8" s="236">
        <v>3</v>
      </c>
      <c r="B8" s="246">
        <f>IF('P1'!B15="","",'P1'!B15)</f>
        <v>69.38</v>
      </c>
      <c r="C8" s="237" t="str">
        <f>IF('P1'!C15="","",'P1'!C15)</f>
        <v>UK</v>
      </c>
      <c r="D8" s="237" t="str">
        <f>IF('P1'!D15="","",'P1'!D15)</f>
        <v>13-14</v>
      </c>
      <c r="E8" s="238">
        <f>IF('P1'!E15="","",'P1'!E15)</f>
        <v>39099</v>
      </c>
      <c r="F8" s="239" t="str">
        <f>IF('P1'!G15="","",'P1'!G15)</f>
        <v>Eline Svendsen</v>
      </c>
      <c r="G8" s="239" t="str">
        <f>IF('P1'!H15="","",'P1'!H15)</f>
        <v>Tysvær VK</v>
      </c>
      <c r="H8" s="245">
        <f>IF('P1'!O15="","",'P1'!O15)</f>
        <v>28</v>
      </c>
      <c r="I8" s="245">
        <f>IF('P1'!P15="","",'P1'!P15)</f>
        <v>47</v>
      </c>
      <c r="J8" s="246">
        <f>IF('P1'!T15="","",'P1'!T15)</f>
        <v>5.92</v>
      </c>
      <c r="K8" s="246">
        <f>IF('P1'!U15="","",'P1'!U15)</f>
        <v>7.31</v>
      </c>
      <c r="L8" s="246">
        <f>IF('P1'!V15="","",'P1'!V15)</f>
        <v>7.82</v>
      </c>
      <c r="M8" s="246">
        <f>IF('P1'!X16="","",'P1'!X16)</f>
        <v>409.03078806029419</v>
      </c>
    </row>
    <row r="9" spans="1:13" s="13" customFormat="1" ht="16">
      <c r="A9" s="236">
        <v>4</v>
      </c>
      <c r="B9" s="246">
        <f>IF('P1'!B13="","",'P1'!B13)</f>
        <v>67.75</v>
      </c>
      <c r="C9" s="237" t="str">
        <f>IF('P1'!C13="","",'P1'!C13)</f>
        <v>UK</v>
      </c>
      <c r="D9" s="237" t="str">
        <f>IF('P1'!D13="","",'P1'!D13)</f>
        <v>13-14</v>
      </c>
      <c r="E9" s="238">
        <f>IF('P1'!E13="","",'P1'!E13)</f>
        <v>39742</v>
      </c>
      <c r="F9" s="239" t="str">
        <f>IF('P1'!G13="","",'P1'!G13)</f>
        <v>Mille Dekke</v>
      </c>
      <c r="G9" s="239" t="str">
        <f>IF('P1'!H13="","",'P1'!H13)</f>
        <v>Spydeberg Atletene</v>
      </c>
      <c r="H9" s="245">
        <f>IF('P1'!O13="","",'P1'!O13)</f>
        <v>37</v>
      </c>
      <c r="I9" s="245">
        <f>IF('P1'!P13="","",'P1'!P13)</f>
        <v>47</v>
      </c>
      <c r="J9" s="246">
        <f>IF('P1'!T13="","",'P1'!T13)</f>
        <v>5.33</v>
      </c>
      <c r="K9" s="246">
        <f>IF('P1'!U13="","",'P1'!U13)</f>
        <v>9.2200000000000006</v>
      </c>
      <c r="L9" s="246">
        <f>IF('P1'!V13="","",'P1'!V13)</f>
        <v>8.77</v>
      </c>
      <c r="M9" s="246">
        <f>IF('P1'!X14="","",'P1'!X14)</f>
        <v>401.0955652761449</v>
      </c>
    </row>
    <row r="10" spans="1:13" s="13" customFormat="1" ht="16">
      <c r="A10" s="236"/>
      <c r="B10" s="246"/>
      <c r="C10" s="237"/>
      <c r="D10" s="237"/>
      <c r="E10" s="238"/>
      <c r="F10" s="239"/>
      <c r="G10" s="239"/>
      <c r="H10" s="245"/>
      <c r="I10" s="245"/>
      <c r="J10" s="246"/>
      <c r="K10" s="246"/>
      <c r="L10" s="246"/>
      <c r="M10" s="246"/>
    </row>
    <row r="11" spans="1:13" s="13" customFormat="1" ht="16">
      <c r="A11" s="236">
        <v>1</v>
      </c>
      <c r="B11" s="246">
        <f>IF('P1'!B17="","",'P1'!B17)</f>
        <v>54.95</v>
      </c>
      <c r="C11" s="237" t="str">
        <f>IF('P1'!C17="","",'P1'!C17)</f>
        <v>UK</v>
      </c>
      <c r="D11" s="237" t="str">
        <f>IF('P1'!D17="","",'P1'!D17)</f>
        <v>15-16</v>
      </c>
      <c r="E11" s="238">
        <f>IF('P1'!E17="","",'P1'!E17)</f>
        <v>38424</v>
      </c>
      <c r="F11" s="239" t="str">
        <f>IF('P1'!G17="","",'P1'!G17)</f>
        <v>Sandra Nævdal</v>
      </c>
      <c r="G11" s="239" t="str">
        <f>IF('P1'!H17="","",'P1'!H17)</f>
        <v>AK Bjørgvin</v>
      </c>
      <c r="H11" s="245">
        <f>IF('P1'!O17="","",'P1'!O17)</f>
        <v>68</v>
      </c>
      <c r="I11" s="245">
        <f>IF('P1'!P17="","",'P1'!P17)</f>
        <v>85</v>
      </c>
      <c r="J11" s="246">
        <f>IF('P1'!T17="","",'P1'!T17)</f>
        <v>7.12</v>
      </c>
      <c r="K11" s="246">
        <f>IF('P1'!U17="","",'P1'!U17)</f>
        <v>10.31</v>
      </c>
      <c r="L11" s="246">
        <f>IF('P1'!V17="","",'P1'!V17)</f>
        <v>6.61</v>
      </c>
      <c r="M11" s="246">
        <f>IF('P1'!X18="","",'P1'!X18)</f>
        <v>671.53419641078608</v>
      </c>
    </row>
    <row r="12" spans="1:13" s="13" customFormat="1" ht="16">
      <c r="A12" s="236">
        <v>2</v>
      </c>
      <c r="B12" s="246">
        <f>IF('P1'!B21="","",'P1'!B21)</f>
        <v>63.26</v>
      </c>
      <c r="C12" s="237" t="str">
        <f>IF('P1'!C21="","",'P1'!C21)</f>
        <v>UK</v>
      </c>
      <c r="D12" s="237" t="str">
        <f>IF('P1'!D21="","",'P1'!D21)</f>
        <v>15-16</v>
      </c>
      <c r="E12" s="238">
        <f>IF('P1'!E21="","",'P1'!E21)</f>
        <v>38911</v>
      </c>
      <c r="F12" s="239" t="str">
        <f>IF('P1'!G21="","",'P1'!G21)</f>
        <v>Ingrid Rommetveit Knappen</v>
      </c>
      <c r="G12" s="239" t="str">
        <f>IF('P1'!H21="","",'P1'!H21)</f>
        <v>AK Bjørgvin</v>
      </c>
      <c r="H12" s="245">
        <f>IF('P1'!O21="","",'P1'!O21)</f>
        <v>55</v>
      </c>
      <c r="I12" s="245">
        <f>IF('P1'!P21="","",'P1'!P21)</f>
        <v>73</v>
      </c>
      <c r="J12" s="246">
        <f>IF('P1'!T21="","",'P1'!T21)</f>
        <v>6.48</v>
      </c>
      <c r="K12" s="246">
        <f>IF('P1'!U21="","",'P1'!U21)</f>
        <v>10.220000000000001</v>
      </c>
      <c r="L12" s="246">
        <f>IF('P1'!V21="","",'P1'!V21)</f>
        <v>7.28</v>
      </c>
      <c r="M12" s="246">
        <f>IF('P1'!X22="","",'P1'!X22)</f>
        <v>571.26621313081637</v>
      </c>
    </row>
    <row r="13" spans="1:13" s="13" customFormat="1" ht="16">
      <c r="A13" s="236">
        <v>3</v>
      </c>
      <c r="B13" s="246">
        <f>IF('P1'!B23="","",'P1'!B23)</f>
        <v>70.59</v>
      </c>
      <c r="C13" s="237" t="str">
        <f>IF('P1'!C23="","",'P1'!C23)</f>
        <v>UK</v>
      </c>
      <c r="D13" s="237" t="str">
        <f>IF('P1'!D23="","",'P1'!D23)</f>
        <v>15-16</v>
      </c>
      <c r="E13" s="238">
        <f>IF('P1'!E23="","",'P1'!E23)</f>
        <v>38610</v>
      </c>
      <c r="F13" s="239" t="str">
        <f>IF('P1'!G23="","",'P1'!G23)</f>
        <v>Trine Endestad Hellevang</v>
      </c>
      <c r="G13" s="239" t="str">
        <f>IF('P1'!H23="","",'P1'!H23)</f>
        <v>Tambarskjelvar IL</v>
      </c>
      <c r="H13" s="245">
        <f>IF('P1'!O23="","",'P1'!O23)</f>
        <v>56</v>
      </c>
      <c r="I13" s="245">
        <f>IF('P1'!P23="","",'P1'!P23)</f>
        <v>68</v>
      </c>
      <c r="J13" s="246">
        <f>IF('P1'!T23="","",'P1'!T23)</f>
        <v>6.52</v>
      </c>
      <c r="K13" s="246">
        <f>IF('P1'!U23="","",'P1'!U23)</f>
        <v>9.08</v>
      </c>
      <c r="L13" s="246">
        <f>IF('P1'!V23="","",'P1'!V23)</f>
        <v>7.79</v>
      </c>
      <c r="M13" s="246">
        <f>IF('P1'!X24="","",'P1'!X24)</f>
        <v>519.2537174567135</v>
      </c>
    </row>
    <row r="14" spans="1:13" s="13" customFormat="1" ht="16">
      <c r="A14" s="236">
        <v>4</v>
      </c>
      <c r="B14" s="246">
        <f>IF('P1'!B19="","",'P1'!B19)</f>
        <v>58.66</v>
      </c>
      <c r="C14" s="237" t="str">
        <f>IF('P1'!C19="","",'P1'!C19)</f>
        <v>UK</v>
      </c>
      <c r="D14" s="237" t="str">
        <f>IF('P1'!D19="","",'P1'!D19)</f>
        <v>15-16</v>
      </c>
      <c r="E14" s="238">
        <f>IF('P1'!E19="","",'P1'!E19)</f>
        <v>38628</v>
      </c>
      <c r="F14" s="239" t="str">
        <f>IF('P1'!G19="","",'P1'!G19)</f>
        <v>Madeleine Aaslund Jenack</v>
      </c>
      <c r="G14" s="239" t="str">
        <f>IF('P1'!H19="","",'P1'!H19)</f>
        <v>Tysvær VK</v>
      </c>
      <c r="H14" s="245">
        <f>IF('P1'!O19="","",'P1'!O19)</f>
        <v>46</v>
      </c>
      <c r="I14" s="245">
        <f>IF('P1'!P19="","",'P1'!P19)</f>
        <v>55</v>
      </c>
      <c r="J14" s="246">
        <f>IF('P1'!T19="","",'P1'!T19)</f>
        <v>6.08</v>
      </c>
      <c r="K14" s="246">
        <f>IF('P1'!U19="","",'P1'!U19)</f>
        <v>8.86</v>
      </c>
      <c r="L14" s="246">
        <f>IF('P1'!V19="","",'P1'!V19)</f>
        <v>7.45</v>
      </c>
      <c r="M14" s="246">
        <f>IF('P1'!X20="","",'P1'!X20)</f>
        <v>502.9423036349001</v>
      </c>
    </row>
    <row r="15" spans="1:13" s="13" customFormat="1" ht="16">
      <c r="A15" s="236"/>
      <c r="B15" s="246"/>
      <c r="C15" s="237"/>
      <c r="D15" s="237"/>
      <c r="E15" s="238"/>
      <c r="F15" s="239"/>
      <c r="G15" s="239"/>
      <c r="H15" s="245"/>
      <c r="I15" s="245"/>
      <c r="J15" s="246"/>
      <c r="K15" s="246"/>
      <c r="L15" s="246"/>
      <c r="M15" s="246"/>
    </row>
    <row r="16" spans="1:13" ht="16">
      <c r="A16" s="236">
        <v>1</v>
      </c>
      <c r="B16" s="246">
        <f>IF('P3'!B9="","",'P3'!B9)</f>
        <v>55</v>
      </c>
      <c r="C16" s="237" t="str">
        <f>IF('P3'!C9="","",'P3'!C9)</f>
        <v>UK</v>
      </c>
      <c r="D16" s="237" t="str">
        <f>IF('P3'!D9="","",'P3'!D9)</f>
        <v>17-18</v>
      </c>
      <c r="E16" s="238">
        <f>IF('P3'!E9="","",'P3'!E9)</f>
        <v>38084</v>
      </c>
      <c r="F16" s="239" t="str">
        <f>IF('P3'!G9="","",'P3'!G9)</f>
        <v>Ronja Lenvik</v>
      </c>
      <c r="G16" s="239" t="str">
        <f>IF('P3'!H9="","",'P3'!H9)</f>
        <v>Hitra VK</v>
      </c>
      <c r="H16" s="245">
        <f>IF('P3'!O9="","",'P3'!O9)</f>
        <v>73</v>
      </c>
      <c r="I16" s="245">
        <f>IF('P3'!P9="","",'P3'!P9)</f>
        <v>85</v>
      </c>
      <c r="J16" s="246">
        <f>IF('P3'!T9="","",'P3'!T9)</f>
        <v>7.23</v>
      </c>
      <c r="K16" s="246">
        <f>IF('P3'!U9="","",'P3'!U9)</f>
        <v>10.35</v>
      </c>
      <c r="L16" s="246">
        <f>IF('P3'!V9="","",'P3'!V9)</f>
        <v>6.89</v>
      </c>
      <c r="M16" s="246">
        <f>IF('P3'!X10="","",'P3'!X10)</f>
        <v>674.67957668694908</v>
      </c>
    </row>
    <row r="17" spans="1:13" ht="16">
      <c r="A17" s="236">
        <v>2</v>
      </c>
      <c r="B17" s="246">
        <f>IF('P3'!B13="","",'P3'!B13)</f>
        <v>57.32</v>
      </c>
      <c r="C17" s="237" t="str">
        <f>IF('P3'!C13="","",'P3'!C13)</f>
        <v>UK</v>
      </c>
      <c r="D17" s="237" t="str">
        <f>IF('P3'!D13="","",'P3'!D13)</f>
        <v>17-18</v>
      </c>
      <c r="E17" s="238">
        <f>IF('P3'!E13="","",'P3'!E13)</f>
        <v>38256</v>
      </c>
      <c r="F17" s="239" t="str">
        <f>IF('P3'!G13="","",'P3'!G13)</f>
        <v>Åse Johanne Berge</v>
      </c>
      <c r="G17" s="239" t="str">
        <f>IF('P3'!H13="","",'P3'!H13)</f>
        <v>Hitra VK</v>
      </c>
      <c r="H17" s="245">
        <f>IF('P3'!O13="","",'P3'!O13)</f>
        <v>64</v>
      </c>
      <c r="I17" s="245">
        <f>IF('P3'!P13="","",'P3'!P13)</f>
        <v>83</v>
      </c>
      <c r="J17" s="246">
        <f>IF('P3'!T13="","",'P3'!T13)</f>
        <v>6.91</v>
      </c>
      <c r="K17" s="246">
        <f>IF('P3'!U13="","",'P3'!U13)</f>
        <v>10.26</v>
      </c>
      <c r="L17" s="246">
        <f>IF('P3'!V13="","",'P3'!V13)</f>
        <v>6.92</v>
      </c>
      <c r="M17" s="246">
        <f>IF('P3'!X14="","",'P3'!X14)</f>
        <v>637.15498999968986</v>
      </c>
    </row>
    <row r="18" spans="1:13" ht="16">
      <c r="A18" s="236">
        <v>3</v>
      </c>
      <c r="B18" s="246" t="str">
        <f>IF('P3'!B17="","",'P3'!B17)</f>
        <v>71.11</v>
      </c>
      <c r="C18" s="237" t="str">
        <f>IF('P3'!C17="","",'P3'!C17)</f>
        <v>JK</v>
      </c>
      <c r="D18" s="237" t="str">
        <f>IF('P3'!D17="","",'P3'!D17)</f>
        <v>17-18</v>
      </c>
      <c r="E18" s="238">
        <f>IF('P3'!E17="","",'P3'!E17)</f>
        <v>37721</v>
      </c>
      <c r="F18" s="239" t="str">
        <f>IF('P3'!G17="","",'P3'!G17)</f>
        <v>Tuva Loodtz</v>
      </c>
      <c r="G18" s="239" t="str">
        <f>IF('P3'!H17="","",'P3'!H17)</f>
        <v>AK Bjørgvin</v>
      </c>
      <c r="H18" s="245">
        <f>IF('P3'!O17="","",'P3'!O17)</f>
        <v>67</v>
      </c>
      <c r="I18" s="245">
        <f>IF('P3'!P17="","",'P3'!P17)</f>
        <v>83</v>
      </c>
      <c r="J18" s="246">
        <f>IF('P3'!T17="","",'P3'!T17)</f>
        <v>7.14</v>
      </c>
      <c r="K18" s="246">
        <f>IF('P3'!U17="","",'P3'!U17)</f>
        <v>11.23</v>
      </c>
      <c r="L18" s="246">
        <f>IF('P3'!V17="","",'P3'!V17)</f>
        <v>7.01</v>
      </c>
      <c r="M18" s="246">
        <f>IF('P3'!X18="","",'P3'!X18)</f>
        <v>584.79</v>
      </c>
    </row>
    <row r="19" spans="1:13" ht="16">
      <c r="A19" s="236">
        <v>4</v>
      </c>
      <c r="B19" s="246">
        <f>IF('P3'!B15="","",'P3'!B15)</f>
        <v>69.94</v>
      </c>
      <c r="C19" s="237" t="str">
        <f>IF('P3'!C15="","",'P3'!C15)</f>
        <v>UK</v>
      </c>
      <c r="D19" s="237" t="str">
        <f>IF('P3'!D15="","",'P3'!D15)</f>
        <v>17-18</v>
      </c>
      <c r="E19" s="238">
        <f>IF('P3'!E15="","",'P3'!E15)</f>
        <v>38072</v>
      </c>
      <c r="F19" s="239" t="str">
        <f>IF('P3'!G15="","",'P3'!G15)</f>
        <v>Marte Walseth</v>
      </c>
      <c r="G19" s="239" t="str">
        <f>IF('P3'!H15="","",'P3'!H15)</f>
        <v>Nidelv IL</v>
      </c>
      <c r="H19" s="245">
        <f>IF('P3'!O15="","",'P3'!O15)</f>
        <v>55</v>
      </c>
      <c r="I19" s="245">
        <f>IF('P3'!P15="","",'P3'!P15)</f>
        <v>70</v>
      </c>
      <c r="J19" s="246">
        <f>IF('P3'!T15="","",'P3'!T15)</f>
        <v>6.53</v>
      </c>
      <c r="K19" s="246">
        <f>IF('P3'!U15="","",'P3'!U15)</f>
        <v>8.2799999999999994</v>
      </c>
      <c r="L19" s="246">
        <f>IF('P3'!V15="","",'P3'!V15)</f>
        <v>7.59</v>
      </c>
      <c r="M19" s="246">
        <f>IF('P3'!X16="","",'P3'!X16)</f>
        <v>519.43804233534138</v>
      </c>
    </row>
    <row r="20" spans="1:13" ht="16">
      <c r="A20" s="236">
        <v>5</v>
      </c>
      <c r="B20" s="246">
        <f>IF('P3'!B11="","",'P3'!B11)</f>
        <v>56.64</v>
      </c>
      <c r="C20" s="237" t="str">
        <f>IF('P3'!C11="","",'P3'!C11)</f>
        <v>UK</v>
      </c>
      <c r="D20" s="237" t="str">
        <f>IF('P3'!D11="","",'P3'!D11)</f>
        <v>17-18</v>
      </c>
      <c r="E20" s="238">
        <f>IF('P3'!E11="","",'P3'!E11)</f>
        <v>38030</v>
      </c>
      <c r="F20" s="239" t="str">
        <f>IF('P3'!G11="","",'P3'!G11)</f>
        <v>Siv-Helene Haaland</v>
      </c>
      <c r="G20" s="239" t="str">
        <f>IF('P3'!H11="","",'P3'!H11)</f>
        <v>Tysvær VK</v>
      </c>
      <c r="H20" s="245">
        <f>IF('P3'!O11="","",'P3'!O11)</f>
        <v>40</v>
      </c>
      <c r="I20" s="245">
        <f>IF('P3'!P11="","",'P3'!P11)</f>
        <v>42</v>
      </c>
      <c r="J20" s="246">
        <f>IF('P3'!T11="","",'P3'!T11)</f>
        <v>6.09</v>
      </c>
      <c r="K20" s="246">
        <f>IF('P3'!U11="","",'P3'!U11)</f>
        <v>6.57</v>
      </c>
      <c r="L20" s="246">
        <f>IF('P3'!V11="","",'P3'!V11)</f>
        <v>7.89</v>
      </c>
      <c r="M20" s="246">
        <f>IF('P3'!X12="","",'P3'!X12)</f>
        <v>429.30555929348805</v>
      </c>
    </row>
    <row r="21" spans="1:13" ht="16">
      <c r="A21" s="236"/>
      <c r="B21" s="246"/>
      <c r="C21" s="237"/>
      <c r="D21" s="237"/>
      <c r="E21" s="238"/>
      <c r="F21" s="239"/>
      <c r="G21" s="239"/>
      <c r="H21" s="245"/>
      <c r="I21" s="245"/>
      <c r="J21" s="246"/>
      <c r="K21" s="246"/>
      <c r="L21" s="246"/>
      <c r="M21" s="246"/>
    </row>
    <row r="22" spans="1:13" ht="16">
      <c r="A22" s="236">
        <v>1</v>
      </c>
      <c r="B22" s="246">
        <f>IF('P5'!B9="","",'P5'!B9)</f>
        <v>63.81</v>
      </c>
      <c r="C22" s="237" t="str">
        <f>IF('P5'!C9="","",'P5'!C9)</f>
        <v>JK</v>
      </c>
      <c r="D22" s="237" t="str">
        <f>IF('P5'!D9="","",'P5'!D9)</f>
        <v>19-23</v>
      </c>
      <c r="E22" s="238">
        <f>IF('P5'!E9="","",'P5'!E9)</f>
        <v>37315</v>
      </c>
      <c r="F22" s="239" t="str">
        <f>IF('P5'!G9="","",'P5'!G9)</f>
        <v>Julia Jordanger Loen</v>
      </c>
      <c r="G22" s="239" t="str">
        <f>IF('P5'!H9="","",'P5'!H9)</f>
        <v>Breimsbygda IL</v>
      </c>
      <c r="H22" s="245">
        <f>IF('P5'!O9="","",'P5'!O9)</f>
        <v>75</v>
      </c>
      <c r="I22" s="245">
        <f>IF('P5'!P9="","",'P5'!P9)</f>
        <v>101</v>
      </c>
      <c r="J22" s="246">
        <f>IF('P5'!T9="","",'P5'!T9)</f>
        <v>8.02</v>
      </c>
      <c r="K22" s="246">
        <f>IF('P5'!U9="","",'P5'!U9)</f>
        <v>11.93</v>
      </c>
      <c r="L22" s="246">
        <f>IF('P5'!V9="","",'P5'!V9)</f>
        <v>6.61</v>
      </c>
      <c r="M22" s="246">
        <f>IF('P5'!X10="","",'P5'!X10)</f>
        <v>722.16576591626108</v>
      </c>
    </row>
    <row r="23" spans="1:13" ht="16">
      <c r="A23" s="236">
        <v>2</v>
      </c>
      <c r="B23" s="246">
        <f>IF('P5'!B15="","",'P5'!B15)</f>
        <v>69.72</v>
      </c>
      <c r="C23" s="237" t="str">
        <f>IF('P5'!C15="","",'P5'!C15)</f>
        <v>SK</v>
      </c>
      <c r="D23" s="237" t="str">
        <f>IF('P5'!D15="","",'P5'!D15)</f>
        <v>19-23</v>
      </c>
      <c r="E23" s="238">
        <f>IF('P5'!E15="","",'P5'!E15)</f>
        <v>35975</v>
      </c>
      <c r="F23" s="239" t="str">
        <f>IF('P5'!G15="","",'P5'!G15)</f>
        <v>Nora Skuggedal</v>
      </c>
      <c r="G23" s="239" t="str">
        <f>IF('P5'!H15="","",'P5'!H15)</f>
        <v>Larvik AK</v>
      </c>
      <c r="H23" s="245">
        <f>IF('P5'!O15="","",'P5'!O15)</f>
        <v>91</v>
      </c>
      <c r="I23" s="245">
        <f>IF('P5'!P15="","",'P5'!P15)</f>
        <v>112</v>
      </c>
      <c r="J23" s="246">
        <f>IF('P5'!T15="","",'P5'!T15)</f>
        <v>7.09</v>
      </c>
      <c r="K23" s="246">
        <f>IF('P5'!U15="","",'P5'!U15)</f>
        <v>10.68</v>
      </c>
      <c r="L23" s="246">
        <f>IF('P5'!V15="","",'P5'!V15)</f>
        <v>7.24</v>
      </c>
      <c r="M23" s="246">
        <f>IF('P5'!X16="","",'P5'!X16)</f>
        <v>689.91060623770181</v>
      </c>
    </row>
    <row r="24" spans="1:13" ht="16">
      <c r="A24" s="236">
        <v>3</v>
      </c>
      <c r="B24" s="246">
        <f>IF('P5'!B13="","",'P5'!B13)</f>
        <v>72.11</v>
      </c>
      <c r="C24" s="237" t="str">
        <f>IF('P5'!C13="","",'P5'!C13)</f>
        <v>JK</v>
      </c>
      <c r="D24" s="237" t="str">
        <f>IF('P5'!D13="","",'P5'!D13)</f>
        <v>19-23</v>
      </c>
      <c r="E24" s="238">
        <f>IF('P5'!E13="","",'P5'!E13)</f>
        <v>37485</v>
      </c>
      <c r="F24" s="239" t="str">
        <f>IF('P5'!G13="","",'P5'!G13)</f>
        <v>Mia Mundal</v>
      </c>
      <c r="G24" s="239" t="str">
        <f>IF('P5'!H13="","",'P5'!H13)</f>
        <v>Tønsberg-Kam.</v>
      </c>
      <c r="H24" s="245">
        <f>IF('P5'!O13="","",'P5'!O13)</f>
        <v>64</v>
      </c>
      <c r="I24" s="245">
        <f>IF('P5'!P13="","",'P5'!P13)</f>
        <v>95</v>
      </c>
      <c r="J24" s="246">
        <f>IF('P5'!T13="","",'P5'!T13)</f>
        <v>5.98</v>
      </c>
      <c r="K24" s="246">
        <f>IF('P5'!U13="","",'P5'!U13)</f>
        <v>8.27</v>
      </c>
      <c r="L24" s="246">
        <f>IF('P5'!V13="","",'P5'!V13)</f>
        <v>7.32</v>
      </c>
      <c r="M24" s="246">
        <f>IF('P5'!X14="","",'P5'!X14)</f>
        <v>562.931496071835</v>
      </c>
    </row>
    <row r="25" spans="1:13" ht="16">
      <c r="A25" s="236">
        <v>4</v>
      </c>
      <c r="B25" s="246">
        <f>IF('P5'!B11="","",'P5'!B11)</f>
        <v>64.739999999999995</v>
      </c>
      <c r="C25" s="237" t="str">
        <f>IF('P5'!C11="","",'P5'!C11)</f>
        <v>JK</v>
      </c>
      <c r="D25" s="237" t="str">
        <f>IF('P5'!D11="","",'P5'!D11)</f>
        <v>19-23</v>
      </c>
      <c r="E25" s="238">
        <f>IF('P5'!E11="","",'P5'!E11)</f>
        <v>37362</v>
      </c>
      <c r="F25" s="239" t="str">
        <f>IF('P5'!G11="","",'P5'!G11)</f>
        <v>Emilie Kolseth Jensen</v>
      </c>
      <c r="G25" s="239" t="str">
        <f>IF('P5'!H11="","",'P5'!H11)</f>
        <v>Breimsbygda IL</v>
      </c>
      <c r="H25" s="245">
        <f>IF('P5'!O11="","",'P5'!O11)</f>
        <v>40</v>
      </c>
      <c r="I25" s="245">
        <f>IF('P5'!P11="","",'P5'!P11)</f>
        <v>54</v>
      </c>
      <c r="J25" s="246">
        <f>IF('P5'!T11="","",'P5'!T11)</f>
        <v>6.95</v>
      </c>
      <c r="K25" s="246">
        <f>IF('P5'!U11="","",'P5'!U11)</f>
        <v>12.84</v>
      </c>
      <c r="L25" s="246">
        <f>IF('P5'!V11="","",'P5'!V11)</f>
        <v>7.32</v>
      </c>
      <c r="M25" s="246">
        <f>IF('P5'!X12="","",'P5'!X12)</f>
        <v>555.36818759699861</v>
      </c>
    </row>
    <row r="26" spans="1:13" ht="16">
      <c r="A26" s="236">
        <v>5</v>
      </c>
      <c r="B26" s="246">
        <f>IF('P5'!B17="","",'P5'!B17)</f>
        <v>76.099999999999994</v>
      </c>
      <c r="C26" s="237" t="str">
        <f>IF('P5'!C17="","",'P5'!C17)</f>
        <v>JK</v>
      </c>
      <c r="D26" s="237" t="str">
        <f>IF('P5'!D17="","",'P5'!D17)</f>
        <v>19-23</v>
      </c>
      <c r="E26" s="238">
        <f>IF('P5'!E17="","",'P5'!E17)</f>
        <v>37069</v>
      </c>
      <c r="F26" s="239" t="str">
        <f>IF('P5'!G17="","",'P5'!G17)</f>
        <v>Anna Wiik</v>
      </c>
      <c r="G26" s="239" t="str">
        <f>IF('P5'!H17="","",'P5'!H17)</f>
        <v>Breimsbygda IL</v>
      </c>
      <c r="H26" s="245">
        <f>IF('P5'!O17="","",'P5'!O17)</f>
        <v>46</v>
      </c>
      <c r="I26" s="245">
        <f>IF('P5'!P17="","",'P5'!P17)</f>
        <v>65</v>
      </c>
      <c r="J26" s="246">
        <f>IF('P5'!T17="","",'P5'!T17)</f>
        <v>6.67</v>
      </c>
      <c r="K26" s="246">
        <f>IF('P5'!U17="","",'P5'!U17)</f>
        <v>10.47</v>
      </c>
      <c r="L26" s="246">
        <f>IF('P5'!V17="","",'P5'!V17)</f>
        <v>7.86</v>
      </c>
      <c r="M26" s="246">
        <f>IF('P5'!X18="","",'P5'!X18)</f>
        <v>511.07746302100179</v>
      </c>
    </row>
    <row r="27" spans="1:13" ht="16">
      <c r="A27" s="236"/>
      <c r="B27" s="246"/>
      <c r="C27" s="237"/>
      <c r="D27" s="237"/>
      <c r="E27" s="238"/>
      <c r="F27" s="239"/>
      <c r="G27" s="239"/>
      <c r="H27" s="245"/>
      <c r="I27" s="245"/>
      <c r="J27" s="246"/>
      <c r="K27" s="246"/>
      <c r="L27" s="246"/>
      <c r="M27" s="246"/>
    </row>
    <row r="28" spans="1:13" ht="16">
      <c r="A28" s="236">
        <v>1</v>
      </c>
      <c r="B28" s="246">
        <f>IF('P7'!B21="","",'P7'!B21)</f>
        <v>60.27</v>
      </c>
      <c r="C28" s="237" t="str">
        <f>IF('P7'!C21="","",'P7'!C21)</f>
        <v>SK</v>
      </c>
      <c r="D28" s="237" t="str">
        <f>IF('P7'!D21="","",'P7'!D21)</f>
        <v>24-34</v>
      </c>
      <c r="E28" s="238">
        <f>IF('P7'!E21="","",'P7'!E21)</f>
        <v>32737</v>
      </c>
      <c r="F28" s="239" t="str">
        <f>IF('P7'!G21="","",'P7'!G21)</f>
        <v>Ine Andersson</v>
      </c>
      <c r="G28" s="239" t="str">
        <f>IF('P7'!H21="","",'P7'!H21)</f>
        <v>Tambarskjelvar IL</v>
      </c>
      <c r="H28" s="245">
        <f>IF('P7'!O21="","",'P7'!O21)</f>
        <v>90</v>
      </c>
      <c r="I28" s="245">
        <f>IF('P7'!P21="","",'P7'!P21)</f>
        <v>117</v>
      </c>
      <c r="J28" s="246">
        <f>IF('P7'!T21="","",'P7'!T21)</f>
        <v>8.0500000000000007</v>
      </c>
      <c r="K28" s="246">
        <f>IF('P7'!U21="","",'P7'!U21)</f>
        <v>14.11</v>
      </c>
      <c r="L28" s="246">
        <f>IF('P7'!V21="","",'P7'!V21)</f>
        <v>6.66</v>
      </c>
      <c r="M28" s="246">
        <f>IF('P7'!X22="","",'P7'!X22)</f>
        <v>811.07455849580049</v>
      </c>
    </row>
    <row r="29" spans="1:13" ht="16">
      <c r="A29" s="236">
        <v>2</v>
      </c>
      <c r="B29" s="246">
        <f>IF('P7'!B9="","",'P7'!B9)</f>
        <v>54.75</v>
      </c>
      <c r="C29" s="237" t="str">
        <f>IF('P7'!C9="","",'P7'!C9)</f>
        <v>SK</v>
      </c>
      <c r="D29" s="237" t="str">
        <f>IF('P7'!D9="","",'P7'!D9)</f>
        <v>24-34</v>
      </c>
      <c r="E29" s="238">
        <f>IF('P7'!E9="","",'P7'!E9)</f>
        <v>34413</v>
      </c>
      <c r="F29" s="239" t="str">
        <f>IF('P7'!G9="","",'P7'!G9)</f>
        <v>Sarah Hovden Øvsthus</v>
      </c>
      <c r="G29" s="239" t="str">
        <f>IF('P7'!H9="","",'P7'!H9)</f>
        <v>AK Bjørgvin</v>
      </c>
      <c r="H29" s="245">
        <f>IF('P7'!O9="","",'P7'!O9)</f>
        <v>79</v>
      </c>
      <c r="I29" s="245">
        <f>IF('P7'!P9="","",'P7'!P9)</f>
        <v>103</v>
      </c>
      <c r="J29" s="246">
        <f>IF('P7'!T9="","",'P7'!T9)</f>
        <v>8.1999999999999993</v>
      </c>
      <c r="K29" s="246">
        <f>IF('P7'!U9="","",'P7'!U9)</f>
        <v>13.3</v>
      </c>
      <c r="L29" s="246">
        <f>IF('P7'!V9="","",'P7'!V9)</f>
        <v>6.44</v>
      </c>
      <c r="M29" s="246">
        <f>IF('P7'!X10="","",'P7'!X10)</f>
        <v>790.67465515662377</v>
      </c>
    </row>
    <row r="30" spans="1:13" ht="16">
      <c r="A30" s="236">
        <v>3</v>
      </c>
      <c r="B30" s="246">
        <f>IF('P7'!B11="","",'P7'!B11)</f>
        <v>56.47</v>
      </c>
      <c r="C30" s="237" t="str">
        <f>IF('P7'!C11="","",'P7'!C11)</f>
        <v>SK</v>
      </c>
      <c r="D30" s="237" t="str">
        <f>IF('P7'!D11="","",'P7'!D11)</f>
        <v>24-34</v>
      </c>
      <c r="E30" s="238" t="str">
        <f>IF('P7'!E11="","",'P7'!E11)</f>
        <v>12.09.96</v>
      </c>
      <c r="F30" s="239" t="str">
        <f>IF('P7'!G11="","",'P7'!G11)</f>
        <v>Rebekka Tao Jacobsen</v>
      </c>
      <c r="G30" s="239" t="str">
        <f>IF('P7'!H11="","",'P7'!H11)</f>
        <v>Larvik AK</v>
      </c>
      <c r="H30" s="245">
        <f>IF('P7'!O11="","",'P7'!O11)</f>
        <v>77</v>
      </c>
      <c r="I30" s="245">
        <f>IF('P7'!P11="","",'P7'!P11)</f>
        <v>100</v>
      </c>
      <c r="J30" s="246">
        <f>IF('P7'!T11="","",'P7'!T11)</f>
        <v>7.37</v>
      </c>
      <c r="K30" s="246">
        <f>IF('P7'!U11="","",'P7'!U11)</f>
        <v>11.42</v>
      </c>
      <c r="L30" s="246">
        <f>IF('P7'!V11="","",'P7'!V11)</f>
        <v>6.72</v>
      </c>
      <c r="M30" s="246">
        <f>IF('P7'!X12="","",'P7'!X12)</f>
        <v>722.55440851959133</v>
      </c>
    </row>
    <row r="31" spans="1:13" ht="16">
      <c r="A31" s="236">
        <v>4</v>
      </c>
      <c r="B31" s="246">
        <f>IF('P7'!B23="","",'P7'!B23)</f>
        <v>74.33</v>
      </c>
      <c r="C31" s="237" t="str">
        <f>IF('P7'!C23="","",'P7'!C23)</f>
        <v>SK</v>
      </c>
      <c r="D31" s="237" t="str">
        <f>IF('P7'!D23="","",'P7'!D23)</f>
        <v>24-34</v>
      </c>
      <c r="E31" s="238">
        <f>IF('P7'!E23="","",'P7'!E23)</f>
        <v>32509</v>
      </c>
      <c r="F31" s="239" t="str">
        <f>IF('P7'!G23="","",'P7'!G23)</f>
        <v>Melissa Schanche</v>
      </c>
      <c r="G31" s="239" t="str">
        <f>IF('P7'!H23="","",'P7'!H23)</f>
        <v>Spydeberg Atletene</v>
      </c>
      <c r="H31" s="245">
        <f>IF('P7'!O23="","",'P7'!O23)</f>
        <v>87</v>
      </c>
      <c r="I31" s="245">
        <f>IF('P7'!P23="","",'P7'!P23)</f>
        <v>108</v>
      </c>
      <c r="J31" s="246">
        <f>IF('P7'!T23="","",'P7'!T23)</f>
        <v>7.32</v>
      </c>
      <c r="K31" s="246">
        <f>IF('P7'!U23="","",'P7'!U23)</f>
        <v>9.8800000000000008</v>
      </c>
      <c r="L31" s="246">
        <f>IF('P7'!V23="","",'P7'!V23)</f>
        <v>7.52</v>
      </c>
      <c r="M31" s="246">
        <f>IF('P7'!X24="","",'P7'!X24)</f>
        <v>650.8331097675516</v>
      </c>
    </row>
    <row r="32" spans="1:13" ht="16">
      <c r="A32" s="236">
        <v>5</v>
      </c>
      <c r="B32" s="246">
        <f>IF('P7'!B17="","",'P7'!B17)</f>
        <v>58.25</v>
      </c>
      <c r="C32" s="237" t="str">
        <f>IF('P7'!C17="","",'P7'!C17)</f>
        <v>SK</v>
      </c>
      <c r="D32" s="237" t="str">
        <f>IF('P7'!D17="","",'P7'!D17)</f>
        <v>24-34</v>
      </c>
      <c r="E32" s="238">
        <f>IF('P7'!E17="","",'P7'!E17)</f>
        <v>35232</v>
      </c>
      <c r="F32" s="239" t="str">
        <f>IF('P7'!G17="","",'P7'!G17)</f>
        <v>Kamilla Storstein Grønnestad</v>
      </c>
      <c r="G32" s="239" t="str">
        <f>IF('P7'!H17="","",'P7'!H17)</f>
        <v>Tysvær VK</v>
      </c>
      <c r="H32" s="245">
        <f>IF('P7'!O17="","",'P7'!O17)</f>
        <v>63</v>
      </c>
      <c r="I32" s="245">
        <f>IF('P7'!P17="","",'P7'!P17)</f>
        <v>80</v>
      </c>
      <c r="J32" s="246">
        <f>IF('P7'!T17="","",'P7'!T17)</f>
        <v>7.25</v>
      </c>
      <c r="K32" s="246">
        <f>IF('P7'!U17="","",'P7'!U17)</f>
        <v>10.71</v>
      </c>
      <c r="L32" s="246">
        <f>IF('P7'!V17="","",'P7'!V17)</f>
        <v>6.89</v>
      </c>
      <c r="M32" s="246">
        <f>IF('P7'!X18="","",'P7'!X18)</f>
        <v>644.5772978018872</v>
      </c>
    </row>
    <row r="33" spans="1:13" ht="16">
      <c r="A33" s="236">
        <v>6</v>
      </c>
      <c r="B33" s="246">
        <f>IF('P7'!B13="","",'P7'!B13)</f>
        <v>55.63</v>
      </c>
      <c r="C33" s="237" t="str">
        <f>IF('P7'!C13="","",'P7'!C13)</f>
        <v>SK</v>
      </c>
      <c r="D33" s="237" t="str">
        <f>IF('P7'!D13="","",'P7'!D13)</f>
        <v>24-34</v>
      </c>
      <c r="E33" s="238" t="str">
        <f>IF('P7'!E13="","",'P7'!E13)</f>
        <v>31.01.93</v>
      </c>
      <c r="F33" s="239" t="str">
        <f>IF('P7'!G13="","",'P7'!G13)</f>
        <v>Isabell Thorberg</v>
      </c>
      <c r="G33" s="239" t="str">
        <f>IF('P7'!H13="","",'P7'!H13)</f>
        <v>Tønsberg-Kam.</v>
      </c>
      <c r="H33" s="245">
        <f>IF('P7'!O13="","",'P7'!O13)</f>
        <v>52</v>
      </c>
      <c r="I33" s="245">
        <f>IF('P7'!P13="","",'P7'!P13)</f>
        <v>65</v>
      </c>
      <c r="J33" s="246">
        <f>IF('P7'!T13="","",'P7'!T13)</f>
        <v>6.63</v>
      </c>
      <c r="K33" s="246">
        <f>IF('P7'!U13="","",'P7'!U13)</f>
        <v>9.32</v>
      </c>
      <c r="L33" s="246">
        <f>IF('P7'!V13="","",'P7'!V13)</f>
        <v>7.64</v>
      </c>
      <c r="M33" s="246">
        <f>IF('P7'!X14="","",'P7'!X14)</f>
        <v>545.24339115719567</v>
      </c>
    </row>
    <row r="34" spans="1:13" ht="16">
      <c r="A34" s="236">
        <v>7</v>
      </c>
      <c r="B34" s="246">
        <f>IF('P7'!B15="","",'P7'!B15)</f>
        <v>61.65</v>
      </c>
      <c r="C34" s="237" t="str">
        <f>IF('P7'!C15="","",'P7'!C15)</f>
        <v>SK</v>
      </c>
      <c r="D34" s="237" t="str">
        <f>IF('P7'!D15="","",'P7'!D15)</f>
        <v>24-34</v>
      </c>
      <c r="E34" s="238">
        <f>IF('P7'!E15="","",'P7'!E15)</f>
        <v>33443</v>
      </c>
      <c r="F34" s="239" t="str">
        <f>IF('P7'!G15="","",'P7'!G15)</f>
        <v>Sara Broe Østvold</v>
      </c>
      <c r="G34" s="239" t="str">
        <f>IF('P7'!H15="","",'P7'!H15)</f>
        <v>Spydeberg Atletene</v>
      </c>
      <c r="H34" s="245">
        <f>IF('P7'!O15="","",'P7'!O15)</f>
        <v>56</v>
      </c>
      <c r="I34" s="245">
        <f>IF('P7'!P15="","",'P7'!P15)</f>
        <v>70</v>
      </c>
      <c r="J34" s="246">
        <f>IF('P7'!T15="","",'P7'!T15)</f>
        <v>6.86</v>
      </c>
      <c r="K34" s="246">
        <f>IF('P7'!U15="","",'P7'!U15)</f>
        <v>7.68</v>
      </c>
      <c r="L34" s="246">
        <f>IF('P7'!V15="","",'P7'!V15)</f>
        <v>7.41</v>
      </c>
      <c r="M34" s="246">
        <f>IF('P7'!X16="","",'P7'!X16)</f>
        <v>537.85576014847993</v>
      </c>
    </row>
    <row r="35" spans="1:13" ht="16">
      <c r="A35" s="236"/>
      <c r="B35" s="246">
        <f>IF('P7'!B19="","",'P7'!B19)</f>
        <v>59.45</v>
      </c>
      <c r="C35" s="237" t="str">
        <f>IF('P7'!C19="","",'P7'!C19)</f>
        <v>SK</v>
      </c>
      <c r="D35" s="237" t="str">
        <f>IF('P7'!D19="","",'P7'!D19)</f>
        <v>24-34</v>
      </c>
      <c r="E35" s="238">
        <f>IF('P7'!E19="","",'P7'!E19)</f>
        <v>33830</v>
      </c>
      <c r="F35" s="239" t="str">
        <f>IF('P7'!G19="","",'P7'!G19)</f>
        <v>Sol Anette Waaler</v>
      </c>
      <c r="G35" s="239" t="str">
        <f>IF('P7'!H19="","",'P7'!H19)</f>
        <v>Trondheim AK</v>
      </c>
      <c r="H35" s="245" t="str">
        <f>IF('P7'!O19="","",'P7'!O19)</f>
        <v/>
      </c>
      <c r="I35" s="245">
        <f>IF('P7'!P19="","",'P7'!P19)</f>
        <v>105</v>
      </c>
      <c r="J35" s="246" t="str">
        <f>IF('P7'!T19="","",'P7'!T19)</f>
        <v/>
      </c>
      <c r="K35" s="246" t="str">
        <f>IF('P7'!U19="","",'P7'!U19)</f>
        <v/>
      </c>
      <c r="L35" s="246" t="str">
        <f>IF('P7'!V19="","",'P7'!V19)</f>
        <v/>
      </c>
      <c r="M35" s="246" t="str">
        <f>IF('P7'!X20="","",'P7'!X20)</f>
        <v/>
      </c>
    </row>
    <row r="36" spans="1:13" ht="16">
      <c r="A36" s="236"/>
      <c r="B36" s="246"/>
      <c r="C36" s="237"/>
      <c r="D36" s="237"/>
      <c r="E36" s="238"/>
      <c r="F36" s="239"/>
      <c r="G36" s="239"/>
      <c r="H36" s="245"/>
      <c r="I36" s="245"/>
      <c r="J36" s="246"/>
      <c r="K36" s="246"/>
      <c r="L36" s="246"/>
      <c r="M36" s="246"/>
    </row>
    <row r="37" spans="1:13" ht="16">
      <c r="A37" s="236">
        <v>1</v>
      </c>
      <c r="B37" s="246">
        <f>IF('P3'!B19="","",'P3'!B19)</f>
        <v>59.04</v>
      </c>
      <c r="C37" s="237" t="str">
        <f>IF('P3'!C19="","",'P3'!C19)</f>
        <v>K1</v>
      </c>
      <c r="D37" s="237" t="str">
        <f>IF('P3'!D19="","",'P3'!D19)</f>
        <v>+35</v>
      </c>
      <c r="E37" s="238">
        <f>IF('P3'!E19="","",'P3'!E19)</f>
        <v>31091</v>
      </c>
      <c r="F37" s="239" t="str">
        <f>IF('P3'!G19="","",'P3'!G19)</f>
        <v>Tinna Marína Jónsdóttir⁠</v>
      </c>
      <c r="G37" s="239" t="str">
        <f>IF('P3'!H19="","",'P3'!H19)</f>
        <v>Tysvær VK</v>
      </c>
      <c r="H37" s="245">
        <f>IF('P3'!O19="","",'P3'!O19)</f>
        <v>53</v>
      </c>
      <c r="I37" s="245">
        <f>IF('P3'!P19="","",'P3'!P19)</f>
        <v>68</v>
      </c>
      <c r="J37" s="246">
        <f>IF('P3'!T19="","",'P3'!T19)</f>
        <v>6.98</v>
      </c>
      <c r="K37" s="246">
        <f>IF('P3'!U19="","",'P3'!U19)</f>
        <v>9.6300000000000008</v>
      </c>
      <c r="L37" s="246">
        <f>IF('P3'!V19="","",'P3'!V19)</f>
        <v>7.22</v>
      </c>
      <c r="M37" s="246">
        <f>IF('P3'!X20="","",'P3'!X20)</f>
        <v>571.01797401900944</v>
      </c>
    </row>
    <row r="38" spans="1:13" ht="16">
      <c r="A38" s="236">
        <v>2</v>
      </c>
      <c r="B38" s="246">
        <f>IF('P3'!B21="","",'P3'!B21)</f>
        <v>75.61</v>
      </c>
      <c r="C38" s="237" t="str">
        <f>IF('P3'!C21="","",'P3'!C21)</f>
        <v>K2</v>
      </c>
      <c r="D38" s="237" t="str">
        <f>IF('P3'!D21="","",'P3'!D21)</f>
        <v>+35</v>
      </c>
      <c r="E38" s="238">
        <f>IF('P3'!E21="","",'P3'!E21)</f>
        <v>29367</v>
      </c>
      <c r="F38" s="239" t="str">
        <f>IF('P3'!G21="","",'P3'!G21)</f>
        <v>Ingeborg Endresen</v>
      </c>
      <c r="G38" s="239" t="str">
        <f>IF('P3'!H21="","",'P3'!H21)</f>
        <v>AK Bjørgvin</v>
      </c>
      <c r="H38" s="245">
        <f>IF('P3'!O21="","",'P3'!O21)</f>
        <v>67</v>
      </c>
      <c r="I38" s="245">
        <f>IF('P3'!P21="","",'P3'!P21)</f>
        <v>78</v>
      </c>
      <c r="J38" s="246">
        <f>IF('P3'!T21="","",'P3'!T21)</f>
        <v>6.3</v>
      </c>
      <c r="K38" s="246">
        <f>IF('P3'!U21="","",'P3'!U21)</f>
        <v>8.4499999999999993</v>
      </c>
      <c r="L38" s="246">
        <f>IF('P3'!V21="","",'P3'!V21)</f>
        <v>7.71</v>
      </c>
      <c r="M38" s="246">
        <f>IF('P3'!X22="","",'P3'!X22)</f>
        <v>530.32108890961217</v>
      </c>
    </row>
    <row r="39" spans="1:13" ht="16">
      <c r="A39" s="236">
        <v>3</v>
      </c>
      <c r="B39" s="246">
        <f>IF('P3'!B23="","",'P3'!B23)</f>
        <v>83.61</v>
      </c>
      <c r="C39" s="237" t="str">
        <f>IF('P3'!C23="","",'P3'!C23)</f>
        <v>K3</v>
      </c>
      <c r="D39" s="237" t="str">
        <f>IF('P3'!D23="","",'P3'!D23)</f>
        <v>+35</v>
      </c>
      <c r="E39" s="238">
        <f>IF('P3'!E23="","",'P3'!E23)</f>
        <v>27503</v>
      </c>
      <c r="F39" s="239" t="str">
        <f>IF('P3'!G23="","",'P3'!G23)</f>
        <v>Monika Zakrzewska</v>
      </c>
      <c r="G39" s="239" t="str">
        <f>IF('P3'!H23="","",'P3'!H23)</f>
        <v>Tysvær VK</v>
      </c>
      <c r="H39" s="245">
        <f>IF('P3'!O23="","",'P3'!O23)</f>
        <v>42</v>
      </c>
      <c r="I39" s="245">
        <f>IF('P3'!P23="","",'P3'!P23)</f>
        <v>59</v>
      </c>
      <c r="J39" s="246">
        <f>IF('P3'!T23="","",'P3'!T23)</f>
        <v>5.36</v>
      </c>
      <c r="K39" s="246">
        <f>IF('P3'!U23="","",'P3'!U23)</f>
        <v>8.81</v>
      </c>
      <c r="L39" s="246">
        <f>IF('P3'!V23="","",'P3'!V23)</f>
        <v>10.220000000000001</v>
      </c>
      <c r="M39" s="246">
        <f>IF('P3'!X24="","",'P3'!X24)</f>
        <v>359.20656198678216</v>
      </c>
    </row>
    <row r="40" spans="1:13" ht="8" customHeight="1"/>
    <row r="41" spans="1:13" ht="21" thickBot="1">
      <c r="A41" s="317" t="s">
        <v>45</v>
      </c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9"/>
    </row>
    <row r="42" spans="1:13" ht="8" customHeight="1"/>
    <row r="43" spans="1:13" ht="16">
      <c r="A43" s="236">
        <v>1</v>
      </c>
      <c r="B43" s="246">
        <f>IF('P2'!B13="","",'P2'!B13)</f>
        <v>73.150000000000006</v>
      </c>
      <c r="C43" s="237" t="str">
        <f>IF('P2'!C13="","",'P2'!C13)</f>
        <v>UM</v>
      </c>
      <c r="D43" s="237" t="str">
        <f>IF('P2'!D13="","",'P2'!D13)</f>
        <v>13-14</v>
      </c>
      <c r="E43" s="238">
        <f>IF('P2'!E13="","",'P2'!E13)</f>
        <v>39328</v>
      </c>
      <c r="F43" s="239" t="str">
        <f>IF('P2'!G13="","",'P2'!G13)</f>
        <v>Oliver Haugan</v>
      </c>
      <c r="G43" s="239" t="str">
        <f>IF('P2'!H13="","",'P2'!H13)</f>
        <v>Tønsberg-Kam.</v>
      </c>
      <c r="H43" s="245">
        <f>IF('P2'!O13="","",'P2'!O13)</f>
        <v>61</v>
      </c>
      <c r="I43" s="245">
        <f>IF('P2'!P13="","",'P2'!P13)</f>
        <v>73</v>
      </c>
      <c r="J43" s="246">
        <f>IF('P2'!T13="","",'P2'!T13)</f>
        <v>6.13</v>
      </c>
      <c r="K43" s="246">
        <f>IF('P2'!U13="","",'P2'!U13)</f>
        <v>9.4</v>
      </c>
      <c r="L43" s="246">
        <f>IF('P2'!V13="","",'P2'!V13)</f>
        <v>7.16</v>
      </c>
      <c r="M43" s="246">
        <f>IF('P2'!X14="","",'P2'!X14)</f>
        <v>563.29717204699614</v>
      </c>
    </row>
    <row r="44" spans="1:13" s="13" customFormat="1" ht="16">
      <c r="A44" s="236">
        <v>2</v>
      </c>
      <c r="B44" s="246">
        <f>IF('P2'!B9="","",'P2'!B9)</f>
        <v>63.47</v>
      </c>
      <c r="C44" s="237" t="str">
        <f>IF('P2'!C9="","",'P2'!C9)</f>
        <v>UM</v>
      </c>
      <c r="D44" s="237" t="str">
        <f>IF('P2'!D9="","",'P2'!D9)</f>
        <v>13-14</v>
      </c>
      <c r="E44" s="238">
        <f>IF('P2'!E9="","",'P2'!E9)</f>
        <v>39760</v>
      </c>
      <c r="F44" s="239" t="str">
        <f>IF('P2'!G9="","",'P2'!G9)</f>
        <v>Nikolai K. Aadland</v>
      </c>
      <c r="G44" s="239" t="str">
        <f>IF('P2'!H9="","",'P2'!H9)</f>
        <v>AK Bjørgvin</v>
      </c>
      <c r="H44" s="245">
        <f>IF('P2'!O9="","",'P2'!O9)</f>
        <v>52</v>
      </c>
      <c r="I44" s="245">
        <f>IF('P2'!P9="","",'P2'!P9)</f>
        <v>63</v>
      </c>
      <c r="J44" s="246">
        <f>IF('P2'!T9="","",'P2'!T9)</f>
        <v>6.67</v>
      </c>
      <c r="K44" s="246">
        <f>IF('P2'!U9="","",'P2'!U9)</f>
        <v>8.8000000000000007</v>
      </c>
      <c r="L44" s="246">
        <f>IF('P2'!V9="","",'P2'!V9)</f>
        <v>7.71</v>
      </c>
      <c r="M44" s="246">
        <f>IF('P2'!X10="","",'P2'!X10)</f>
        <v>529.26464264772812</v>
      </c>
    </row>
    <row r="45" spans="1:13" s="13" customFormat="1" ht="16">
      <c r="A45" s="236">
        <v>3</v>
      </c>
      <c r="B45" s="246">
        <f>IF('P2'!B11="","",'P2'!B11)</f>
        <v>78.819999999999993</v>
      </c>
      <c r="C45" s="237" t="str">
        <f>IF('P2'!C11="","",'P2'!C11)</f>
        <v>UM</v>
      </c>
      <c r="D45" s="237" t="str">
        <f>IF('P2'!D11="","",'P2'!D11)</f>
        <v>13-14</v>
      </c>
      <c r="E45" s="238">
        <f>IF('P2'!E11="","",'P2'!E11)</f>
        <v>39126</v>
      </c>
      <c r="F45" s="239" t="str">
        <f>IF('P2'!G11="","",'P2'!G11)</f>
        <v>Kjetil Hovda Skåren</v>
      </c>
      <c r="G45" s="239" t="str">
        <f>IF('P2'!H11="","",'P2'!H11)</f>
        <v>Tysvær VK</v>
      </c>
      <c r="H45" s="245">
        <f>IF('P2'!O11="","",'P2'!O11)</f>
        <v>35</v>
      </c>
      <c r="I45" s="245">
        <f>IF('P2'!P11="","",'P2'!P11)</f>
        <v>42</v>
      </c>
      <c r="J45" s="246">
        <f>IF('P2'!T11="","",'P2'!T11)</f>
        <v>5.0599999999999996</v>
      </c>
      <c r="K45" s="246">
        <f>IF('P2'!U11="","",'P2'!U11)</f>
        <v>5.07</v>
      </c>
      <c r="L45" s="246">
        <f>IF('P2'!V11="","",'P2'!V11)</f>
        <v>8.84</v>
      </c>
      <c r="M45" s="246">
        <f>IF('P2'!X12="","",'P2'!X12)</f>
        <v>325.01896958343218</v>
      </c>
    </row>
    <row r="46" spans="1:13" s="13" customFormat="1" ht="16">
      <c r="A46" s="236"/>
      <c r="B46" s="246"/>
      <c r="C46" s="237"/>
      <c r="D46" s="237"/>
      <c r="E46" s="238"/>
      <c r="F46" s="239"/>
      <c r="G46" s="239"/>
      <c r="H46" s="245"/>
      <c r="I46" s="245"/>
      <c r="J46" s="246"/>
      <c r="K46" s="246"/>
      <c r="L46" s="246"/>
      <c r="M46" s="246"/>
    </row>
    <row r="47" spans="1:13" s="13" customFormat="1" ht="16">
      <c r="A47" s="236">
        <v>1</v>
      </c>
      <c r="B47" s="246">
        <f>IF('P4'!B15="","",'P4'!B15)</f>
        <v>65.23</v>
      </c>
      <c r="C47" s="237" t="str">
        <f>IF('P4'!C15="","",'P4'!C15)</f>
        <v>UM</v>
      </c>
      <c r="D47" s="237" t="str">
        <f>IF('P4'!D15="","",'P4'!D15)</f>
        <v>15-16</v>
      </c>
      <c r="E47" s="238">
        <f>IF('P4'!E15="","",'P4'!E15)</f>
        <v>38400</v>
      </c>
      <c r="F47" s="239" t="str">
        <f>IF('P4'!G15="","",'P4'!G15)</f>
        <v>Sander Heyn Stave</v>
      </c>
      <c r="G47" s="239" t="str">
        <f>IF('P4'!H15="","",'P4'!H15)</f>
        <v>Larvik AK</v>
      </c>
      <c r="H47" s="245">
        <f>IF('P4'!O15="","",'P4'!O15)</f>
        <v>78</v>
      </c>
      <c r="I47" s="245">
        <f>IF('P4'!P15="","",'P4'!P15)</f>
        <v>100</v>
      </c>
      <c r="J47" s="246">
        <f>IF('P4'!T15="","",'P4'!T15)</f>
        <v>8.2200000000000006</v>
      </c>
      <c r="K47" s="246">
        <f>IF('P4'!U15="","",'P4'!U15)</f>
        <v>12.6</v>
      </c>
      <c r="L47" s="246">
        <f>IF('P4'!V15="","",'P4'!V15)</f>
        <v>6.32</v>
      </c>
      <c r="M47" s="246">
        <f>IF('P4'!X16="","",'P4'!X16)</f>
        <v>766.32951188767652</v>
      </c>
    </row>
    <row r="48" spans="1:13" s="13" customFormat="1" ht="16">
      <c r="A48" s="236">
        <v>2</v>
      </c>
      <c r="B48" s="246">
        <f>IF('P4'!B19="","",'P4'!B19)</f>
        <v>65.48</v>
      </c>
      <c r="C48" s="237" t="str">
        <f>IF('P4'!C19="","",'P4'!C19)</f>
        <v>UM</v>
      </c>
      <c r="D48" s="237" t="str">
        <f>IF('P4'!D19="","",'P4'!D19)</f>
        <v>15-16</v>
      </c>
      <c r="E48" s="238">
        <f>IF('P4'!E19="","",'P4'!E19)</f>
        <v>38405</v>
      </c>
      <c r="F48" s="239" t="str">
        <f>IF('P4'!G19="","",'P4'!G19)</f>
        <v>Magnus Børøsund</v>
      </c>
      <c r="G48" s="239" t="str">
        <f>IF('P4'!H19="","",'P4'!H19)</f>
        <v>Nidelv IL</v>
      </c>
      <c r="H48" s="245">
        <f>IF('P4'!O19="","",'P4'!O19)</f>
        <v>77</v>
      </c>
      <c r="I48" s="245">
        <f>IF('P4'!P19="","",'P4'!P19)</f>
        <v>96</v>
      </c>
      <c r="J48" s="246">
        <f>IF('P4'!T19="","",'P4'!T19)</f>
        <v>8.18</v>
      </c>
      <c r="K48" s="246">
        <f>IF('P4'!U19="","",'P4'!U19)</f>
        <v>13.13</v>
      </c>
      <c r="L48" s="246">
        <f>IF('P4'!V19="","",'P4'!V19)</f>
        <v>6.75</v>
      </c>
      <c r="M48" s="246">
        <f>IF('P4'!X20="","",'P4'!X20)</f>
        <v>747.45278128617269</v>
      </c>
    </row>
    <row r="49" spans="1:13" s="13" customFormat="1" ht="16">
      <c r="A49" s="236">
        <v>3</v>
      </c>
      <c r="B49" s="246">
        <f>IF('P4'!B13="","",'P4'!B13)</f>
        <v>65.83</v>
      </c>
      <c r="C49" s="237" t="str">
        <f>IF('P4'!C13="","",'P4'!C13)</f>
        <v>UM</v>
      </c>
      <c r="D49" s="237" t="str">
        <f>IF('P4'!D13="","",'P4'!D13)</f>
        <v>15-16</v>
      </c>
      <c r="E49" s="238">
        <f>IF('P4'!E13="","",'P4'!E13)</f>
        <v>38896</v>
      </c>
      <c r="F49" s="239" t="str">
        <f>IF('P4'!G13="","",'P4'!G13)</f>
        <v>Alvolai Røyseth</v>
      </c>
      <c r="G49" s="239" t="str">
        <f>IF('P4'!H13="","",'P4'!H13)</f>
        <v>Tambarskjelvar IL</v>
      </c>
      <c r="H49" s="245">
        <f>IF('P4'!O13="","",'P4'!O13)</f>
        <v>78</v>
      </c>
      <c r="I49" s="245">
        <f>IF('P4'!P13="","",'P4'!P13)</f>
        <v>97</v>
      </c>
      <c r="J49" s="246">
        <f>IF('P4'!T13="","",'P4'!T13)</f>
        <v>8.36</v>
      </c>
      <c r="K49" s="246">
        <f>IF('P4'!U13="","",'P4'!U13)</f>
        <v>11.18</v>
      </c>
      <c r="L49" s="246">
        <f>IF('P4'!V13="","",'P4'!V13)</f>
        <v>6.51</v>
      </c>
      <c r="M49" s="246">
        <f>IF('P4'!X14="","",'P4'!X14)</f>
        <v>736.01359460175945</v>
      </c>
    </row>
    <row r="50" spans="1:13" s="13" customFormat="1" ht="16">
      <c r="A50" s="236">
        <v>4</v>
      </c>
      <c r="B50" s="246">
        <f>IF('P2'!B17="","",'P2'!B17)</f>
        <v>60.99</v>
      </c>
      <c r="C50" s="237" t="str">
        <f>IF('P2'!C17="","",'P2'!C17)</f>
        <v>UM</v>
      </c>
      <c r="D50" s="237" t="str">
        <f>IF('P2'!D17="","",'P2'!D17)</f>
        <v>15-16</v>
      </c>
      <c r="E50" s="238">
        <f>IF('P2'!E17="","",'P2'!E17)</f>
        <v>38922</v>
      </c>
      <c r="F50" s="239" t="str">
        <f>IF('P2'!G17="","",'P2'!G17)</f>
        <v>Aksel Svorstøl</v>
      </c>
      <c r="G50" s="239" t="str">
        <f>IF('P2'!H17="","",'P2'!H17)</f>
        <v>Tambarskjelvar IL</v>
      </c>
      <c r="H50" s="245">
        <f>IF('P2'!O17="","",'P2'!O17)</f>
        <v>68</v>
      </c>
      <c r="I50" s="245">
        <f>IF('P2'!P17="","",'P2'!P17)</f>
        <v>85</v>
      </c>
      <c r="J50" s="246">
        <f>IF('P2'!T17="","",'P2'!T17)</f>
        <v>8.01</v>
      </c>
      <c r="K50" s="246">
        <f>IF('P2'!U17="","",'P2'!U17)</f>
        <v>12.04</v>
      </c>
      <c r="L50" s="246">
        <f>IF('P2'!V17="","",'P2'!V17)</f>
        <v>6.28</v>
      </c>
      <c r="M50" s="246">
        <f>IF('P2'!X18="","",'P2'!X18)</f>
        <v>729.1554255049823</v>
      </c>
    </row>
    <row r="51" spans="1:13" s="13" customFormat="1" ht="16">
      <c r="A51" s="236">
        <v>5</v>
      </c>
      <c r="B51" s="246">
        <f>IF('P2'!B23="","",'P2'!B23)</f>
        <v>60.19</v>
      </c>
      <c r="C51" s="237" t="str">
        <f>IF('P2'!C23="","",'P2'!C23)</f>
        <v>UM</v>
      </c>
      <c r="D51" s="237" t="str">
        <f>IF('P2'!D23="","",'P2'!D23)</f>
        <v>15-16</v>
      </c>
      <c r="E51" s="238">
        <f>IF('P2'!E23="","",'P2'!E23)</f>
        <v>38893</v>
      </c>
      <c r="F51" s="239" t="str">
        <f>IF('P2'!G23="","",'P2'!G23)</f>
        <v>Erik A. F. Johansson</v>
      </c>
      <c r="G51" s="239" t="str">
        <f>IF('P2'!H23="","",'P2'!H23)</f>
        <v>AK Bjørgvin</v>
      </c>
      <c r="H51" s="245">
        <f>IF('P2'!O23="","",'P2'!O23)</f>
        <v>67</v>
      </c>
      <c r="I51" s="245">
        <f>IF('P2'!P23="","",'P2'!P23)</f>
        <v>85</v>
      </c>
      <c r="J51" s="246">
        <f>IF('P2'!T23="","",'P2'!T23)</f>
        <v>8.1</v>
      </c>
      <c r="K51" s="246">
        <f>IF('P2'!U23="","",'P2'!U23)</f>
        <v>11.89</v>
      </c>
      <c r="L51" s="246">
        <f>IF('P2'!V23="","",'P2'!V23)</f>
        <v>6.56</v>
      </c>
      <c r="M51" s="246">
        <f>IF('P2'!X24="","",'P2'!X24)</f>
        <v>717.6977254084926</v>
      </c>
    </row>
    <row r="52" spans="1:13" ht="16">
      <c r="A52" s="236">
        <v>6</v>
      </c>
      <c r="B52" s="246">
        <f>IF('P4'!B21="","",'P4'!B21)</f>
        <v>67.209999999999994</v>
      </c>
      <c r="C52" s="237" t="str">
        <f>IF('P4'!C21="","",'P4'!C21)</f>
        <v>UM</v>
      </c>
      <c r="D52" s="237" t="str">
        <f>IF('P4'!D21="","",'P4'!D21)</f>
        <v>15-16</v>
      </c>
      <c r="E52" s="238">
        <f>IF('P4'!E21="","",'P4'!E21)</f>
        <v>38415</v>
      </c>
      <c r="F52" s="239" t="str">
        <f>IF('P4'!G21="","",'P4'!G21)</f>
        <v>Stefan Rønnevik</v>
      </c>
      <c r="G52" s="239" t="str">
        <f>IF('P4'!H21="","",'P4'!H21)</f>
        <v>Tysvær VK</v>
      </c>
      <c r="H52" s="245">
        <f>IF('P4'!O21="","",'P4'!O21)</f>
        <v>70</v>
      </c>
      <c r="I52" s="245">
        <f>IF('P4'!P21="","",'P4'!P21)</f>
        <v>95</v>
      </c>
      <c r="J52" s="246">
        <f>IF('P4'!T21="","",'P4'!T21)</f>
        <v>8.48</v>
      </c>
      <c r="K52" s="246">
        <f>IF('P4'!U21="","",'P4'!U21)</f>
        <v>9.39</v>
      </c>
      <c r="L52" s="246">
        <f>IF('P4'!V21="","",'P4'!V21)</f>
        <v>6.21</v>
      </c>
      <c r="M52" s="246">
        <f>IF('P4'!X22="","",'P4'!X22)</f>
        <v>707.17645841053024</v>
      </c>
    </row>
    <row r="53" spans="1:13" ht="16">
      <c r="A53" s="236">
        <v>7</v>
      </c>
      <c r="B53" s="246">
        <f>IF('P2'!B21="","",'P2'!B21)</f>
        <v>66.28</v>
      </c>
      <c r="C53" s="237" t="str">
        <f>IF('P2'!C21="","",'P2'!C21)</f>
        <v>UM</v>
      </c>
      <c r="D53" s="237" t="str">
        <f>IF('P2'!D21="","",'P2'!D21)</f>
        <v>15-16</v>
      </c>
      <c r="E53" s="238">
        <f>IF('P2'!E21="","",'P2'!E21)</f>
        <v>38365</v>
      </c>
      <c r="F53" s="239" t="str">
        <f>IF('P2'!G21="","",'P2'!G21)</f>
        <v>Rasmus Heggvik Aune</v>
      </c>
      <c r="G53" s="239" t="str">
        <f>IF('P2'!H21="","",'P2'!H21)</f>
        <v>Hitra VK</v>
      </c>
      <c r="H53" s="245">
        <f>IF('P2'!O21="","",'P2'!O21)</f>
        <v>76</v>
      </c>
      <c r="I53" s="245">
        <f>IF('P2'!P21="","",'P2'!P21)</f>
        <v>102</v>
      </c>
      <c r="J53" s="246">
        <f>IF('P2'!T21="","",'P2'!T21)</f>
        <v>6.92</v>
      </c>
      <c r="K53" s="246">
        <f>IF('P2'!U21="","",'P2'!U21)</f>
        <v>9.5299999999999994</v>
      </c>
      <c r="L53" s="246">
        <f>IF('P2'!V21="","",'P2'!V21)</f>
        <v>6.86</v>
      </c>
      <c r="M53" s="246">
        <f>IF('P2'!X22="","",'P2'!X22)</f>
        <v>677.42309894309585</v>
      </c>
    </row>
    <row r="54" spans="1:13" ht="16">
      <c r="A54" s="236">
        <v>8</v>
      </c>
      <c r="B54" s="246">
        <f>IF('P4'!B23="","",'P4'!B23)</f>
        <v>78.989999999999995</v>
      </c>
      <c r="C54" s="237" t="str">
        <f>IF('P4'!C23="","",'P4'!C23)</f>
        <v>UM</v>
      </c>
      <c r="D54" s="237" t="str">
        <f>IF('P4'!D23="","",'P4'!D23)</f>
        <v>15-16</v>
      </c>
      <c r="E54" s="238">
        <f>IF('P4'!E23="","",'P4'!E23)</f>
        <v>38870</v>
      </c>
      <c r="F54" s="239" t="str">
        <f>IF('P4'!G23="","",'P4'!G23)</f>
        <v>Adrian Rosmæl Skauge</v>
      </c>
      <c r="G54" s="239" t="str">
        <f>IF('P4'!H23="","",'P4'!H23)</f>
        <v>Nidelv IL</v>
      </c>
      <c r="H54" s="245">
        <f>IF('P4'!O23="","",'P4'!O23)</f>
        <v>74</v>
      </c>
      <c r="I54" s="245">
        <f>IF('P4'!P23="","",'P4'!P23)</f>
        <v>86</v>
      </c>
      <c r="J54" s="246">
        <f>IF('P4'!T23="","",'P4'!T23)</f>
        <v>7.98</v>
      </c>
      <c r="K54" s="246">
        <f>IF('P4'!U23="","",'P4'!U23)</f>
        <v>12.28</v>
      </c>
      <c r="L54" s="246">
        <f>IF('P4'!V23="","",'P4'!V23)</f>
        <v>7.05</v>
      </c>
      <c r="M54" s="246">
        <f>IF('P4'!X24="","",'P4'!X24)</f>
        <v>671.66784486591439</v>
      </c>
    </row>
    <row r="55" spans="1:13" ht="16">
      <c r="A55" s="236">
        <v>9</v>
      </c>
      <c r="B55" s="246">
        <f>IF('P4'!B11="","",'P4'!B11)</f>
        <v>65.92</v>
      </c>
      <c r="C55" s="237" t="str">
        <f>IF('P4'!C11="","",'P4'!C11)</f>
        <v>UM</v>
      </c>
      <c r="D55" s="237" t="str">
        <f>IF('P4'!D11="","",'P4'!D11)</f>
        <v>15-16</v>
      </c>
      <c r="E55" s="238">
        <f>IF('P4'!E11="","",'P4'!E11)</f>
        <v>38859</v>
      </c>
      <c r="F55" s="239" t="str">
        <f>IF('P4'!G11="","",'P4'!G11)</f>
        <v>Nima Berntsen Lama</v>
      </c>
      <c r="G55" s="239" t="str">
        <f>IF('P4'!H11="","",'P4'!H11)</f>
        <v>Tambarskjelvar IL</v>
      </c>
      <c r="H55" s="245">
        <f>IF('P4'!O11="","",'P4'!O11)</f>
        <v>69</v>
      </c>
      <c r="I55" s="245">
        <f>IF('P4'!P11="","",'P4'!P11)</f>
        <v>83</v>
      </c>
      <c r="J55" s="246">
        <f>IF('P4'!T11="","",'P4'!T11)</f>
        <v>8.11</v>
      </c>
      <c r="K55" s="246">
        <f>IF('P4'!U11="","",'P4'!U11)</f>
        <v>9.52</v>
      </c>
      <c r="L55" s="246">
        <f>IF('P4'!V11="","",'P4'!V11)</f>
        <v>6.56</v>
      </c>
      <c r="M55" s="246">
        <f>IF('P4'!X12="","",'P4'!X12)</f>
        <v>671.4331133287742</v>
      </c>
    </row>
    <row r="56" spans="1:13" ht="16">
      <c r="A56" s="236">
        <v>10</v>
      </c>
      <c r="B56" s="246">
        <f>IF('P4'!B9="","",'P4'!B9)</f>
        <v>61.24</v>
      </c>
      <c r="C56" s="237" t="str">
        <f>IF('P4'!C9="","",'P4'!C9)</f>
        <v>UM</v>
      </c>
      <c r="D56" s="237" t="str">
        <f>IF('P4'!D9="","",'P4'!D9)</f>
        <v>15-16</v>
      </c>
      <c r="E56" s="238">
        <f>IF('P4'!E9="","",'P4'!E9)</f>
        <v>38776</v>
      </c>
      <c r="F56" s="239" t="str">
        <f>IF('P4'!G9="","",'P4'!G9)</f>
        <v>Sander Freyer</v>
      </c>
      <c r="G56" s="239" t="str">
        <f>IF('P4'!H9="","",'P4'!H9)</f>
        <v>Larvik AK</v>
      </c>
      <c r="H56" s="245">
        <f>IF('P4'!O9="","",'P4'!O9)</f>
        <v>53</v>
      </c>
      <c r="I56" s="245">
        <f>IF('P4'!P9="","",'P4'!P9)</f>
        <v>71</v>
      </c>
      <c r="J56" s="246">
        <f>IF('P4'!T9="","",'P4'!T9)</f>
        <v>8.31</v>
      </c>
      <c r="K56" s="246">
        <f>IF('P4'!U9="","",'P4'!U9)</f>
        <v>10.11</v>
      </c>
      <c r="L56" s="246">
        <f>IF('P4'!V9="","",'P4'!V9)</f>
        <v>6.26</v>
      </c>
      <c r="M56" s="246">
        <f>IF('P4'!X10="","",'P4'!X10)</f>
        <v>659.34048754768878</v>
      </c>
    </row>
    <row r="57" spans="1:13" ht="16">
      <c r="A57" s="236">
        <v>11</v>
      </c>
      <c r="B57" s="246">
        <f>IF('P2'!B19="","",'P2'!B19)</f>
        <v>65.319999999999993</v>
      </c>
      <c r="C57" s="237" t="str">
        <f>IF('P2'!C19="","",'P2'!C19)</f>
        <v>UM</v>
      </c>
      <c r="D57" s="237" t="str">
        <f>IF('P2'!D19="","",'P2'!D19)</f>
        <v>15-16</v>
      </c>
      <c r="E57" s="238">
        <f>IF('P2'!E19="","",'P2'!E19)</f>
        <v>39013</v>
      </c>
      <c r="F57" s="239" t="str">
        <f>IF('P2'!G19="","",'P2'!G19)</f>
        <v>Ruben Vikhals Bjerkan</v>
      </c>
      <c r="G57" s="239" t="str">
        <f>IF('P2'!H19="","",'P2'!H19)</f>
        <v>Nidelv IL</v>
      </c>
      <c r="H57" s="245">
        <f>IF('P2'!O19="","",'P2'!O19)</f>
        <v>63</v>
      </c>
      <c r="I57" s="245">
        <f>IF('P2'!P19="","",'P2'!P19)</f>
        <v>77</v>
      </c>
      <c r="J57" s="246">
        <f>IF('P2'!T19="","",'P2'!T19)</f>
        <v>7.62</v>
      </c>
      <c r="K57" s="246">
        <f>IF('P2'!U19="","",'P2'!U19)</f>
        <v>10.39</v>
      </c>
      <c r="L57" s="246">
        <f>IF('P2'!V19="","",'P2'!V19)</f>
        <v>6.83</v>
      </c>
      <c r="M57" s="246">
        <f>IF('P2'!X20="","",'P2'!X20)</f>
        <v>642.60186023187021</v>
      </c>
    </row>
    <row r="58" spans="1:13" ht="16">
      <c r="A58" s="236">
        <v>12</v>
      </c>
      <c r="B58" s="246">
        <f>IF('P4'!B17="","",'P4'!B17)</f>
        <v>60.6</v>
      </c>
      <c r="C58" s="237" t="str">
        <f>IF('P4'!C17="","",'P4'!C17)</f>
        <v>UM</v>
      </c>
      <c r="D58" s="237" t="str">
        <f>IF('P4'!D17="","",'P4'!D17)</f>
        <v>15-16</v>
      </c>
      <c r="E58" s="238">
        <f>IF('P4'!E17="","",'P4'!E17)</f>
        <v>39076</v>
      </c>
      <c r="F58" s="239" t="str">
        <f>IF('P4'!G17="","",'P4'!G17)</f>
        <v>Brede Tengsol Lesto</v>
      </c>
      <c r="G58" s="239" t="str">
        <f>IF('P4'!H17="","",'P4'!H17)</f>
        <v>Tambarskjelvar IL</v>
      </c>
      <c r="H58" s="245">
        <f>IF('P4'!O17="","",'P4'!O17)</f>
        <v>53</v>
      </c>
      <c r="I58" s="245">
        <f>IF('P4'!P17="","",'P4'!P17)</f>
        <v>68</v>
      </c>
      <c r="J58" s="246">
        <f>IF('P4'!T17="","",'P4'!T17)</f>
        <v>7.41</v>
      </c>
      <c r="K58" s="246">
        <f>IF('P4'!U17="","",'P4'!U17)</f>
        <v>9.32</v>
      </c>
      <c r="L58" s="246">
        <f>IF('P4'!V17="","",'P4'!V17)</f>
        <v>7.03</v>
      </c>
      <c r="M58" s="246">
        <f>IF('P4'!X18="","",'P4'!X18)</f>
        <v>595.41968693223316</v>
      </c>
    </row>
    <row r="59" spans="1:13" ht="16">
      <c r="A59" s="236">
        <v>13</v>
      </c>
      <c r="B59" s="246">
        <f>IF('P4'!B25="","",'P4'!B25)</f>
        <v>89.16</v>
      </c>
      <c r="C59" s="237" t="str">
        <f>IF('P4'!C25="","",'P4'!C25)</f>
        <v>UM</v>
      </c>
      <c r="D59" s="237" t="str">
        <f>IF('P4'!D25="","",'P4'!D25)</f>
        <v>15-16</v>
      </c>
      <c r="E59" s="238">
        <f>IF('P4'!E25="","",'P4'!E25)</f>
        <v>38980</v>
      </c>
      <c r="F59" s="239" t="str">
        <f>IF('P4'!G25="","",'P4'!G25)</f>
        <v>William Christiansen</v>
      </c>
      <c r="G59" s="239" t="str">
        <f>IF('P4'!H25="","",'P4'!H25)</f>
        <v>Larvik AK</v>
      </c>
      <c r="H59" s="245">
        <f>IF('P4'!O25="","",'P4'!O25)</f>
        <v>64</v>
      </c>
      <c r="I59" s="245">
        <f>IF('P4'!P25="","",'P4'!P25)</f>
        <v>85</v>
      </c>
      <c r="J59" s="246">
        <f>IF('P4'!T25="","",'P4'!T25)</f>
        <v>6.18</v>
      </c>
      <c r="K59" s="246">
        <f>IF('P4'!U25="","",'P4'!U25)</f>
        <v>10.84</v>
      </c>
      <c r="L59" s="246">
        <f>IF('P4'!V25="","",'P4'!V25)</f>
        <v>7.67</v>
      </c>
      <c r="M59" s="246">
        <f>IF('P4'!X26="","",'P4'!X26)</f>
        <v>564.21150643880833</v>
      </c>
    </row>
    <row r="60" spans="1:13" ht="16">
      <c r="A60" s="236">
        <v>14</v>
      </c>
      <c r="B60" s="246">
        <f>IF('P4'!B27="","",'P4'!B27)</f>
        <v>84.45</v>
      </c>
      <c r="C60" s="237" t="str">
        <f>IF('P4'!C27="","",'P4'!C27)</f>
        <v>UM</v>
      </c>
      <c r="D60" s="237" t="str">
        <f>IF('P4'!D27="","",'P4'!D27)</f>
        <v>15-16</v>
      </c>
      <c r="E60" s="238">
        <f>IF('P4'!E27="","",'P4'!E27)</f>
        <v>38800</v>
      </c>
      <c r="F60" s="239" t="str">
        <f>IF('P4'!G27="","",'P4'!G27)</f>
        <v>Anton B. Gustavson</v>
      </c>
      <c r="G60" s="239" t="str">
        <f>IF('P4'!H27="","",'P4'!H27)</f>
        <v>Vigrestad IK</v>
      </c>
      <c r="H60" s="245">
        <f>IF('P4'!O27="","",'P4'!O27)</f>
        <v>60</v>
      </c>
      <c r="I60" s="245">
        <f>IF('P4'!P27="","",'P4'!P27)</f>
        <v>71</v>
      </c>
      <c r="J60" s="246">
        <f>IF('P4'!T27="","",'P4'!T27)</f>
        <v>7.01</v>
      </c>
      <c r="K60" s="246">
        <f>IF('P4'!U27="","",'P4'!U27)</f>
        <v>7.45</v>
      </c>
      <c r="L60" s="246">
        <f>IF('P4'!V27="","",'P4'!V27)</f>
        <v>7.22</v>
      </c>
      <c r="M60" s="246">
        <f>IF('P4'!X28="","",'P4'!X28)</f>
        <v>532.26796485391003</v>
      </c>
    </row>
    <row r="61" spans="1:13" ht="16">
      <c r="A61" s="236">
        <v>15</v>
      </c>
      <c r="B61" s="246">
        <f>IF('P2'!B15="","",'P2'!B15)</f>
        <v>57.23</v>
      </c>
      <c r="C61" s="237" t="str">
        <f>IF('P2'!C15="","",'P2'!C15)</f>
        <v>UM</v>
      </c>
      <c r="D61" s="237" t="str">
        <f>IF('P2'!D15="","",'P2'!D15)</f>
        <v>15-16</v>
      </c>
      <c r="E61" s="238">
        <f>IF('P2'!E15="","",'P2'!E15)</f>
        <v>38727</v>
      </c>
      <c r="F61" s="239" t="str">
        <f>IF('P2'!G15="","",'P2'!G15)</f>
        <v>Henrik Kjelsberg</v>
      </c>
      <c r="G61" s="239" t="str">
        <f>IF('P2'!H15="","",'P2'!H15)</f>
        <v>Nidelv IL</v>
      </c>
      <c r="H61" s="245">
        <f>IF('P2'!O15="","",'P2'!O15)</f>
        <v>45</v>
      </c>
      <c r="I61" s="245">
        <f>IF('P2'!P15="","",'P2'!P15)</f>
        <v>58</v>
      </c>
      <c r="J61" s="246">
        <f>IF('P2'!T15="","",'P2'!T15)</f>
        <v>6.3</v>
      </c>
      <c r="K61" s="246">
        <f>IF('P2'!U15="","",'P2'!U15)</f>
        <v>6.95</v>
      </c>
      <c r="L61" s="246">
        <f>IF('P2'!V15="","",'P2'!V15)</f>
        <v>7.59</v>
      </c>
      <c r="M61" s="246">
        <f>IF('P2'!X16="","",'P2'!X16)</f>
        <v>498.60898603556035</v>
      </c>
    </row>
    <row r="62" spans="1:13" ht="16">
      <c r="A62" s="236"/>
      <c r="B62" s="246"/>
      <c r="C62" s="237"/>
      <c r="D62" s="237"/>
      <c r="E62" s="238"/>
      <c r="F62" s="239"/>
      <c r="G62" s="239"/>
      <c r="H62" s="245"/>
      <c r="I62" s="245"/>
      <c r="J62" s="246"/>
      <c r="K62" s="246"/>
      <c r="L62" s="246"/>
      <c r="M62" s="246"/>
    </row>
    <row r="63" spans="1:13" ht="16">
      <c r="A63" s="236">
        <v>1</v>
      </c>
      <c r="B63" s="246">
        <f>IF('P6'!B13="","",'P6'!B13)</f>
        <v>80.77</v>
      </c>
      <c r="C63" s="237" t="str">
        <f>IF('P6'!C13="","",'P6'!C13)</f>
        <v>UM</v>
      </c>
      <c r="D63" s="237" t="str">
        <f>IF('P6'!D13="","",'P6'!D13)</f>
        <v>17-18</v>
      </c>
      <c r="E63" s="238">
        <f>IF('P6'!E13="","",'P6'!E13)</f>
        <v>38067</v>
      </c>
      <c r="F63" s="239" t="str">
        <f>IF('P6'!G13="","",'P6'!G13)</f>
        <v>Kristen Røyseth</v>
      </c>
      <c r="G63" s="239" t="str">
        <f>IF('P6'!H13="","",'P6'!H13)</f>
        <v>Tambarskjelvar IL</v>
      </c>
      <c r="H63" s="245">
        <f>IF('P6'!O13="","",'P6'!O13)</f>
        <v>101</v>
      </c>
      <c r="I63" s="245">
        <f>IF('P6'!P13="","",'P6'!P13)</f>
        <v>134</v>
      </c>
      <c r="J63" s="246">
        <f>IF('P6'!T13="","",'P6'!T13)</f>
        <v>8.76</v>
      </c>
      <c r="K63" s="246">
        <f>IF('P6'!U13="","",'P6'!U13)</f>
        <v>11.44</v>
      </c>
      <c r="L63" s="246">
        <f>IF('P6'!V13="","",'P6'!V13)</f>
        <v>6.31</v>
      </c>
      <c r="M63" s="246">
        <f>IF('P6'!X14="","",'P6'!X14)</f>
        <v>811.2173818110723</v>
      </c>
    </row>
    <row r="64" spans="1:13" ht="16">
      <c r="A64" s="236">
        <v>2</v>
      </c>
      <c r="B64" s="246">
        <f>IF('P6'!B9="","",'P6'!B9)</f>
        <v>66.84</v>
      </c>
      <c r="C64" s="237" t="str">
        <f>IF('P6'!C9="","",'P6'!C9)</f>
        <v>UM</v>
      </c>
      <c r="D64" s="237" t="str">
        <f>IF('P6'!D9="","",'P6'!D9)</f>
        <v>17-18</v>
      </c>
      <c r="E64" s="238">
        <f>IF('P6'!E9="","",'P6'!E9)</f>
        <v>37999</v>
      </c>
      <c r="F64" s="239" t="str">
        <f>IF('P6'!G9="","",'P6'!G9)</f>
        <v>Lasse Bye</v>
      </c>
      <c r="G64" s="239" t="str">
        <f>IF('P6'!H9="","",'P6'!H9)</f>
        <v>Nidelv IL</v>
      </c>
      <c r="H64" s="245">
        <f>IF('P6'!O9="","",'P6'!O9)</f>
        <v>78</v>
      </c>
      <c r="I64" s="245">
        <f>IF('P6'!P9="","",'P6'!P9)</f>
        <v>97</v>
      </c>
      <c r="J64" s="246">
        <f>IF('P6'!T9="","",'P6'!T9)</f>
        <v>8.02</v>
      </c>
      <c r="K64" s="246">
        <f>IF('P6'!U9="","",'P6'!U9)</f>
        <v>10.6</v>
      </c>
      <c r="L64" s="246">
        <f>IF('P6'!V9="","",'P6'!V9)</f>
        <v>6.41</v>
      </c>
      <c r="M64" s="246">
        <f>IF('P6'!X10="","",'P6'!X10)</f>
        <v>722.9053976591947</v>
      </c>
    </row>
    <row r="65" spans="1:13" ht="16">
      <c r="A65" s="236">
        <v>3</v>
      </c>
      <c r="B65" s="246">
        <f>IF('P6'!B11="","",'P6'!B11)</f>
        <v>70.52</v>
      </c>
      <c r="C65" s="237" t="str">
        <f>IF('P6'!C11="","",'P6'!C11)</f>
        <v>UM</v>
      </c>
      <c r="D65" s="237" t="str">
        <f>IF('P6'!D11="","",'P6'!D11)</f>
        <v>17-18</v>
      </c>
      <c r="E65" s="238">
        <f>IF('P6'!E11="","",'P6'!E11)</f>
        <v>38219</v>
      </c>
      <c r="F65" s="239" t="str">
        <f>IF('P6'!G11="","",'P6'!G11)</f>
        <v>Eivind Balstad</v>
      </c>
      <c r="G65" s="239" t="str">
        <f>IF('P6'!H11="","",'P6'!H11)</f>
        <v>Nidelv IL</v>
      </c>
      <c r="H65" s="245">
        <f>IF('P6'!O11="","",'P6'!O11)</f>
        <v>40</v>
      </c>
      <c r="I65" s="245">
        <f>IF('P6'!P11="","",'P6'!P11)</f>
        <v>90</v>
      </c>
      <c r="J65" s="246">
        <f>IF('P6'!T11="","",'P6'!T11)</f>
        <v>8.86</v>
      </c>
      <c r="K65" s="246">
        <f>IF('P6'!U11="","",'P6'!U11)</f>
        <v>10.15</v>
      </c>
      <c r="L65" s="246">
        <f>IF('P6'!V11="","",'P6'!V11)</f>
        <v>6.78</v>
      </c>
      <c r="M65" s="246">
        <f>IF('P6'!X12="","",'P6'!X12)</f>
        <v>641.80975370556314</v>
      </c>
    </row>
    <row r="66" spans="1:13" ht="16">
      <c r="A66" s="236"/>
      <c r="B66" s="246"/>
      <c r="C66" s="237"/>
      <c r="D66" s="237"/>
      <c r="E66" s="238"/>
      <c r="F66" s="239"/>
      <c r="G66" s="239"/>
      <c r="H66" s="245"/>
      <c r="I66" s="245"/>
      <c r="J66" s="246"/>
      <c r="K66" s="246"/>
      <c r="L66" s="246"/>
      <c r="M66" s="246"/>
    </row>
    <row r="67" spans="1:13" ht="16">
      <c r="A67" s="236">
        <v>1</v>
      </c>
      <c r="B67" s="246">
        <f>IF('P6'!B21="","",'P6'!B21)</f>
        <v>85.82</v>
      </c>
      <c r="C67" s="237" t="str">
        <f>IF('P6'!C21="","",'P6'!C21)</f>
        <v>SM</v>
      </c>
      <c r="D67" s="237" t="str">
        <f>IF('P6'!D21="","",'P6'!D21)</f>
        <v>19-23</v>
      </c>
      <c r="E67" s="238">
        <f>IF('P6'!E21="","",'P6'!E21)</f>
        <v>36748</v>
      </c>
      <c r="F67" s="239" t="str">
        <f>IF('P6'!G21="","",'P6'!G21)</f>
        <v>Bent Andre Midtbø</v>
      </c>
      <c r="G67" s="239" t="str">
        <f>IF('P6'!H21="","",'P6'!H21)</f>
        <v>Breimsbygda IL</v>
      </c>
      <c r="H67" s="245">
        <f>IF('P6'!O21="","",'P6'!O21)</f>
        <v>105</v>
      </c>
      <c r="I67" s="245">
        <f>IF('P6'!P21="","",'P6'!P21)</f>
        <v>145</v>
      </c>
      <c r="J67" s="246">
        <f>IF('P6'!T21="","",'P6'!T21)</f>
        <v>9.43</v>
      </c>
      <c r="K67" s="246">
        <f>IF('P6'!U21="","",'P6'!U21)</f>
        <v>14.58</v>
      </c>
      <c r="L67" s="246">
        <f>IF('P6'!V21="","",'P6'!V21)</f>
        <v>6.21</v>
      </c>
      <c r="M67" s="246">
        <f>IF('P6'!X22="","",'P6'!X22)</f>
        <v>880.71965491980791</v>
      </c>
    </row>
    <row r="68" spans="1:13" ht="16">
      <c r="A68" s="236">
        <v>2</v>
      </c>
      <c r="B68" s="246">
        <f>IF('P6'!B15="","",'P6'!B15)</f>
        <v>63.61</v>
      </c>
      <c r="C68" s="237" t="str">
        <f>IF('P6'!C15="","",'P6'!C15)</f>
        <v>SM</v>
      </c>
      <c r="D68" s="237" t="str">
        <f>IF('P6'!D15="","",'P6'!D15)</f>
        <v>19-23</v>
      </c>
      <c r="E68" s="238" t="str">
        <f>IF('P6'!E15="","",'P6'!E15)</f>
        <v>19.12.00</v>
      </c>
      <c r="F68" s="239" t="str">
        <f>IF('P6'!G15="","",'P6'!G15)</f>
        <v>Marcus Bratli</v>
      </c>
      <c r="G68" s="239" t="str">
        <f>IF('P6'!H15="","",'P6'!H15)</f>
        <v>AK Bjørgvin</v>
      </c>
      <c r="H68" s="245">
        <f>IF('P6'!O15="","",'P6'!O15)</f>
        <v>100</v>
      </c>
      <c r="I68" s="245">
        <f>IF('P6'!P15="","",'P6'!P15)</f>
        <v>120</v>
      </c>
      <c r="J68" s="246">
        <f>IF('P6'!T15="","",'P6'!T15)</f>
        <v>8.8699999999999992</v>
      </c>
      <c r="K68" s="246">
        <f>IF('P6'!U15="","",'P6'!U15)</f>
        <v>12.93</v>
      </c>
      <c r="L68" s="246">
        <f>IF('P6'!V15="","",'P6'!V15)</f>
        <v>6.07</v>
      </c>
      <c r="M68" s="246">
        <f>IF('P6'!X16="","",'P6'!X16)</f>
        <v>871.05553006187426</v>
      </c>
    </row>
    <row r="69" spans="1:13" ht="16">
      <c r="A69" s="236">
        <v>3</v>
      </c>
      <c r="B69" s="246">
        <f>IF('P6'!B17="","",'P6'!B17)</f>
        <v>71.150000000000006</v>
      </c>
      <c r="C69" s="237" t="str">
        <f>IF('P6'!C17="","",'P6'!C17)</f>
        <v>SM</v>
      </c>
      <c r="D69" s="237" t="str">
        <f>IF('P6'!D17="","",'P6'!D17)</f>
        <v>19-23</v>
      </c>
      <c r="E69" s="238">
        <f>IF('P6'!E17="","",'P6'!E17)</f>
        <v>36529</v>
      </c>
      <c r="F69" s="239" t="str">
        <f>IF('P6'!G17="","",'P6'!G17)</f>
        <v>Robert Andre Moldestad</v>
      </c>
      <c r="G69" s="239" t="str">
        <f>IF('P6'!H17="","",'P6'!H17)</f>
        <v>Breimsbygda IL</v>
      </c>
      <c r="H69" s="245">
        <f>IF('P6'!O17="","",'P6'!O17)</f>
        <v>101</v>
      </c>
      <c r="I69" s="245">
        <f>IF('P6'!P17="","",'P6'!P17)</f>
        <v>125</v>
      </c>
      <c r="J69" s="246">
        <f>IF('P6'!T17="","",'P6'!T17)</f>
        <v>8.64</v>
      </c>
      <c r="K69" s="246">
        <f>IF('P6'!U17="","",'P6'!U17)</f>
        <v>13.33</v>
      </c>
      <c r="L69" s="246">
        <f>IF('P6'!V17="","",'P6'!V17)</f>
        <v>5.98</v>
      </c>
      <c r="M69" s="246">
        <f>IF('P6'!X18="","",'P6'!X18)</f>
        <v>860.01277223663919</v>
      </c>
    </row>
    <row r="70" spans="1:13" ht="16">
      <c r="A70" s="236">
        <v>4</v>
      </c>
      <c r="B70" s="246">
        <f>IF('P6'!B23="","",'P6'!B23)</f>
        <v>87.15</v>
      </c>
      <c r="C70" s="237" t="str">
        <f>IF('P6'!C23="","",'P6'!C23)</f>
        <v>JM</v>
      </c>
      <c r="D70" s="237" t="str">
        <f>IF('P6'!D23="","",'P6'!D23)</f>
        <v>19-23</v>
      </c>
      <c r="E70" s="238" t="str">
        <f>IF('P6'!E23="","",'P6'!E23)</f>
        <v>22.11.01</v>
      </c>
      <c r="F70" s="239" t="str">
        <f>IF('P6'!G23="","",'P6'!G23)</f>
        <v>Mikal Akseth</v>
      </c>
      <c r="G70" s="239" t="str">
        <f>IF('P6'!H23="","",'P6'!H23)</f>
        <v>Hitra VK</v>
      </c>
      <c r="H70" s="245">
        <f>IF('P6'!O23="","",'P6'!O23)</f>
        <v>106</v>
      </c>
      <c r="I70" s="245">
        <f>IF('P6'!P23="","",'P6'!P23)</f>
        <v>129</v>
      </c>
      <c r="J70" s="246">
        <f>IF('P6'!T23="","",'P6'!T23)</f>
        <v>8.99</v>
      </c>
      <c r="K70" s="246">
        <f>IF('P6'!U23="","",'P6'!U23)</f>
        <v>13.44</v>
      </c>
      <c r="L70" s="246">
        <f>IF('P6'!V23="","",'P6'!V23)</f>
        <v>6.17</v>
      </c>
      <c r="M70" s="246">
        <f>IF('P6'!X24="","",'P6'!X24)</f>
        <v>837.4638840154762</v>
      </c>
    </row>
    <row r="71" spans="1:13" ht="16">
      <c r="A71" s="236">
        <v>5</v>
      </c>
      <c r="B71" s="246">
        <f>IF('P6'!B25="","",'P6'!B25)</f>
        <v>105.61</v>
      </c>
      <c r="C71" s="237" t="str">
        <f>IF('P6'!C25="","",'P6'!C25)</f>
        <v>SM</v>
      </c>
      <c r="D71" s="237" t="str">
        <f>IF('P6'!D25="","",'P6'!D25)</f>
        <v>19-23</v>
      </c>
      <c r="E71" s="238" t="str">
        <f>IF('P6'!E25="","",'P6'!E25)</f>
        <v>13.09.99</v>
      </c>
      <c r="F71" s="239" t="str">
        <f>IF('P6'!G25="","",'P6'!G25)</f>
        <v>Vetle Andersen</v>
      </c>
      <c r="G71" s="239" t="str">
        <f>IF('P6'!H25="","",'P6'!H25)</f>
        <v>Larvik AK</v>
      </c>
      <c r="H71" s="245">
        <f>IF('P6'!O25="","",'P6'!O25)</f>
        <v>110</v>
      </c>
      <c r="I71" s="245">
        <f>IF('P6'!P25="","",'P6'!P25)</f>
        <v>130</v>
      </c>
      <c r="J71" s="246">
        <f>IF('P6'!T25="","",'P6'!T25)</f>
        <v>9.19</v>
      </c>
      <c r="K71" s="246">
        <f>IF('P6'!U25="","",'P6'!U25)</f>
        <v>14.17</v>
      </c>
      <c r="L71" s="246">
        <f>IF('P6'!V25="","",'P6'!V25)</f>
        <v>6.24</v>
      </c>
      <c r="M71" s="246">
        <f>IF('P6'!X26="","",'P6'!X26)</f>
        <v>829.32610271551152</v>
      </c>
    </row>
    <row r="72" spans="1:13" ht="16">
      <c r="A72" s="236">
        <v>6</v>
      </c>
      <c r="B72" s="246">
        <f>IF('P6'!B19="","",'P6'!B19)</f>
        <v>75.150000000000006</v>
      </c>
      <c r="C72" s="237" t="str">
        <f>IF('P6'!C19="","",'P6'!C19)</f>
        <v>JM</v>
      </c>
      <c r="D72" s="237" t="str">
        <f>IF('P6'!D19="","",'P6'!D19)</f>
        <v>19-23</v>
      </c>
      <c r="E72" s="238" t="str">
        <f>IF('P6'!E19="","",'P6'!E19)</f>
        <v>26.09.01</v>
      </c>
      <c r="F72" s="239" t="str">
        <f>IF('P6'!G19="","",'P6'!G19)</f>
        <v>Remy Heggvik Aune</v>
      </c>
      <c r="G72" s="239" t="str">
        <f>IF('P6'!H19="","",'P6'!H19)</f>
        <v>Hitra VK</v>
      </c>
      <c r="H72" s="245">
        <f>IF('P6'!O19="","",'P6'!O19)</f>
        <v>100</v>
      </c>
      <c r="I72" s="245">
        <f>IF('P6'!P19="","",'P6'!P19)</f>
        <v>135</v>
      </c>
      <c r="J72" s="246">
        <f>IF('P6'!T19="","",'P6'!T19)</f>
        <v>8.06</v>
      </c>
      <c r="K72" s="246">
        <f>IF('P6'!U19="","",'P6'!U19)</f>
        <v>10.93</v>
      </c>
      <c r="L72" s="246">
        <f>IF('P6'!V19="","",'P6'!V19)</f>
        <v>6.42</v>
      </c>
      <c r="M72" s="246">
        <f>IF('P6'!X20="","",'P6'!X20)</f>
        <v>799.97450169552951</v>
      </c>
    </row>
    <row r="73" spans="1:13" ht="16">
      <c r="A73" s="236"/>
      <c r="B73" s="246"/>
      <c r="C73" s="237"/>
      <c r="D73" s="237"/>
      <c r="E73" s="238"/>
      <c r="F73" s="239"/>
      <c r="G73" s="239"/>
      <c r="H73" s="245"/>
      <c r="I73" s="245"/>
      <c r="J73" s="246"/>
      <c r="K73" s="246"/>
      <c r="L73" s="246"/>
      <c r="M73" s="246"/>
    </row>
    <row r="74" spans="1:13" ht="16">
      <c r="A74" s="236">
        <v>1</v>
      </c>
      <c r="B74" s="246">
        <f>IF('P9'!B17="","",'P9'!B17)</f>
        <v>107.08</v>
      </c>
      <c r="C74" s="237" t="str">
        <f>IF('P9'!C17="","",'P9'!C17)</f>
        <v>SM</v>
      </c>
      <c r="D74" s="237" t="str">
        <f>IF('P9'!D17="","",'P9'!D17)</f>
        <v>24-34</v>
      </c>
      <c r="E74" s="238" t="str">
        <f>IF('P9'!E17="","",'P9'!E17)</f>
        <v>15.10.92</v>
      </c>
      <c r="F74" s="239" t="str">
        <f>IF('P9'!G17="","",'P9'!G17)</f>
        <v>Jørgen Kjellevand</v>
      </c>
      <c r="G74" s="239" t="str">
        <f>IF('P9'!H17="","",'P9'!H17)</f>
        <v>Spydeberg Atletene</v>
      </c>
      <c r="H74" s="245">
        <f>IF('P9'!O17="","",'P9'!O17)</f>
        <v>130</v>
      </c>
      <c r="I74" s="245">
        <f>IF('P9'!P17="","",'P9'!P17)</f>
        <v>166</v>
      </c>
      <c r="J74" s="246">
        <f>IF('P9'!T17="","",'P9'!T17)</f>
        <v>9.2899999999999991</v>
      </c>
      <c r="K74" s="246">
        <f>IF('P9'!U17="","",'P9'!U17)</f>
        <v>15.99</v>
      </c>
      <c r="L74" s="246">
        <f>IF('P9'!V17="","",'P9'!V17)</f>
        <v>6.37</v>
      </c>
      <c r="M74" s="246">
        <f>IF('P9'!X18="","",'P9'!X18)</f>
        <v>922.34920354763199</v>
      </c>
    </row>
    <row r="75" spans="1:13" ht="16">
      <c r="A75" s="236">
        <v>2</v>
      </c>
      <c r="B75" s="246">
        <f>IF('P8'!B9="","",'P8'!B9)</f>
        <v>70.239999999999995</v>
      </c>
      <c r="C75" s="237" t="str">
        <f>IF('P8'!C9="","",'P8'!C9)</f>
        <v>SM</v>
      </c>
      <c r="D75" s="237" t="str">
        <f>IF('P8'!D9="","",'P8'!D9)</f>
        <v>24-34</v>
      </c>
      <c r="E75" s="238" t="str">
        <f>IF('P8'!E9="","",'P8'!E9)</f>
        <v>10.05.90</v>
      </c>
      <c r="F75" s="239" t="str">
        <f>IF('P8'!G9="","",'P8'!G9)</f>
        <v>Michael Rosenberg</v>
      </c>
      <c r="G75" s="239" t="str">
        <f>IF('P8'!H9="","",'P8'!H9)</f>
        <v>Elverum AK</v>
      </c>
      <c r="H75" s="245">
        <f>IF('P8'!O9="","",'P8'!O9)</f>
        <v>100</v>
      </c>
      <c r="I75" s="245">
        <f>IF('P8'!P9="","",'P8'!P9)</f>
        <v>115</v>
      </c>
      <c r="J75" s="246">
        <f>IF('P8'!T9="","",'P8'!T9)</f>
        <v>9.5299999999999994</v>
      </c>
      <c r="K75" s="246">
        <f>IF('P8'!U9="","",'P8'!U9)</f>
        <v>12.98</v>
      </c>
      <c r="L75" s="246">
        <f>IF('P8'!V9="","",'P8'!V9)</f>
        <v>5.71</v>
      </c>
      <c r="M75" s="246">
        <f>IF('P8'!X10="","",'P8'!X10)</f>
        <v>866.6203713529751</v>
      </c>
    </row>
    <row r="76" spans="1:13" ht="16">
      <c r="A76" s="236">
        <v>3</v>
      </c>
      <c r="B76" s="246">
        <f>IF('P9'!B15="","",'P9'!B15)</f>
        <v>97.8</v>
      </c>
      <c r="C76" s="237" t="str">
        <f>IF('P9'!C15="","",'P9'!C15)</f>
        <v>SM</v>
      </c>
      <c r="D76" s="237" t="str">
        <f>IF('P9'!D15="","",'P9'!D15)</f>
        <v>24-34</v>
      </c>
      <c r="E76" s="238">
        <f>IF('P9'!E15="","",'P9'!E15)</f>
        <v>34599</v>
      </c>
      <c r="F76" s="239" t="str">
        <f>IF('P9'!G15="","",'P9'!G15)</f>
        <v>Victor Boquetale Gomez</v>
      </c>
      <c r="G76" s="239" t="str">
        <f>IF('P9'!H15="","",'P9'!H15)</f>
        <v>Larvik AK</v>
      </c>
      <c r="H76" s="245">
        <f>IF('P9'!O15="","",'P9'!O15)</f>
        <v>120</v>
      </c>
      <c r="I76" s="245">
        <f>IF('P9'!P15="","",'P9'!P15)</f>
        <v>150</v>
      </c>
      <c r="J76" s="246">
        <f>IF('P9'!T15="","",'P9'!T15)</f>
        <v>9.27</v>
      </c>
      <c r="K76" s="246">
        <f>IF('P9'!U15="","",'P9'!U15)</f>
        <v>12.51</v>
      </c>
      <c r="L76" s="246">
        <f>IF('P9'!V15="","",'P9'!V15)</f>
        <v>6.16</v>
      </c>
      <c r="M76" s="246">
        <f>IF('P9'!X16="","",'P9'!X16)</f>
        <v>862.30759621220329</v>
      </c>
    </row>
    <row r="77" spans="1:13" ht="16">
      <c r="A77" s="236">
        <v>4</v>
      </c>
      <c r="B77" s="246">
        <f>IF('P9'!B11="","",'P9'!B11)</f>
        <v>90.03</v>
      </c>
      <c r="C77" s="237" t="str">
        <f>IF('P9'!C11="","",'P9'!C11)</f>
        <v>SM</v>
      </c>
      <c r="D77" s="237" t="str">
        <f>IF('P9'!D11="","",'P9'!D11)</f>
        <v>24-34</v>
      </c>
      <c r="E77" s="238" t="str">
        <f>IF('P9'!E11="","",'P9'!E11)</f>
        <v>27.12.93</v>
      </c>
      <c r="F77" s="239" t="str">
        <f>IF('P9'!G11="","",'P9'!G11)</f>
        <v>Roy Sømme Ommedal</v>
      </c>
      <c r="G77" s="239" t="str">
        <f>IF('P9'!H11="","",'P9'!H11)</f>
        <v>Vigrestad IK</v>
      </c>
      <c r="H77" s="245">
        <f>IF('P9'!O11="","",'P9'!O11)</f>
        <v>105</v>
      </c>
      <c r="I77" s="245">
        <f>IF('P9'!P11="","",'P9'!P11)</f>
        <v>145</v>
      </c>
      <c r="J77" s="246">
        <f>IF('P9'!T11="","",'P9'!T11)</f>
        <v>8.76</v>
      </c>
      <c r="K77" s="246">
        <f>IF('P9'!U11="","",'P9'!U11)</f>
        <v>15.04</v>
      </c>
      <c r="L77" s="246">
        <f>IF('P9'!V11="","",'P9'!V11)</f>
        <v>6.42</v>
      </c>
      <c r="M77" s="246">
        <f>IF('P9'!X12="","",'P9'!X12)</f>
        <v>857.71278223355421</v>
      </c>
    </row>
    <row r="78" spans="1:13" ht="16">
      <c r="A78" s="236">
        <v>5</v>
      </c>
      <c r="B78" s="246">
        <f>IF('P9'!B13="","",'P9'!B13)</f>
        <v>97.23</v>
      </c>
      <c r="C78" s="237" t="str">
        <f>IF('P9'!C13="","",'P9'!C13)</f>
        <v>SM</v>
      </c>
      <c r="D78" s="237" t="str">
        <f>IF('P9'!D13="","",'P9'!D13)</f>
        <v>24-34</v>
      </c>
      <c r="E78" s="238">
        <f>IF('P9'!E13="","",'P9'!E13)</f>
        <v>32698</v>
      </c>
      <c r="F78" s="239" t="str">
        <f>IF('P9'!G13="","",'P9'!G13)</f>
        <v>Edvin Øygard</v>
      </c>
      <c r="G78" s="239" t="str">
        <f>IF('P9'!H13="","",'P9'!H13)</f>
        <v>Breimsbygda IL</v>
      </c>
      <c r="H78" s="245">
        <f>IF('P9'!O13="","",'P9'!O13)</f>
        <v>111</v>
      </c>
      <c r="I78" s="245">
        <f>IF('P9'!P13="","",'P9'!P13)</f>
        <v>126</v>
      </c>
      <c r="J78" s="246">
        <f>IF('P9'!T13="","",'P9'!T13)</f>
        <v>8.7899999999999991</v>
      </c>
      <c r="K78" s="246">
        <f>IF('P9'!U13="","",'P9'!U13)</f>
        <v>16.2</v>
      </c>
      <c r="L78" s="246">
        <f>IF('P9'!V13="","",'P9'!V13)</f>
        <v>6.22</v>
      </c>
      <c r="M78" s="246">
        <f>IF('P9'!X14="","",'P9'!X14)</f>
        <v>853.11349152800335</v>
      </c>
    </row>
    <row r="79" spans="1:13" ht="16">
      <c r="A79" s="236">
        <v>6</v>
      </c>
      <c r="B79" s="246">
        <f>IF('P8'!B15="","",'P8'!B15)</f>
        <v>88.63</v>
      </c>
      <c r="C79" s="237" t="str">
        <f>IF('P8'!C15="","",'P8'!C15)</f>
        <v>SM</v>
      </c>
      <c r="D79" s="237" t="str">
        <f>IF('P8'!D15="","",'P8'!D15)</f>
        <v>24-34</v>
      </c>
      <c r="E79" s="238" t="str">
        <f>IF('P8'!E15="","",'P8'!E15)</f>
        <v>07.07.92</v>
      </c>
      <c r="F79" s="239" t="str">
        <f>IF('P8'!G15="","",'P8'!G15)</f>
        <v>Jonas Hetland Mong</v>
      </c>
      <c r="G79" s="239" t="str">
        <f>IF('P8'!H15="","",'P8'!H15)</f>
        <v>Vigrestad IK</v>
      </c>
      <c r="H79" s="245">
        <f>IF('P8'!O15="","",'P8'!O15)</f>
        <v>105</v>
      </c>
      <c r="I79" s="245">
        <f>IF('P8'!P15="","",'P8'!P15)</f>
        <v>135</v>
      </c>
      <c r="J79" s="246">
        <f>IF('P8'!T15="","",'P8'!T15)</f>
        <v>8.8000000000000007</v>
      </c>
      <c r="K79" s="246">
        <f>IF('P8'!U15="","",'P8'!U15)</f>
        <v>13.9</v>
      </c>
      <c r="L79" s="246">
        <f>IF('P8'!V15="","",'P8'!V15)</f>
        <v>6.47</v>
      </c>
      <c r="M79" s="246">
        <f>IF('P8'!X16="","",'P8'!X16)</f>
        <v>832.12396809939946</v>
      </c>
    </row>
    <row r="80" spans="1:13" ht="16">
      <c r="A80" s="236">
        <v>7</v>
      </c>
      <c r="B80" s="246">
        <f>IF('P9'!B9="","",'P9'!B9)</f>
        <v>94.3</v>
      </c>
      <c r="C80" s="237" t="str">
        <f>IF('P9'!C9="","",'P9'!C9)</f>
        <v>SM</v>
      </c>
      <c r="D80" s="237" t="str">
        <f>IF('P9'!D9="","",'P9'!D9)</f>
        <v>24-34</v>
      </c>
      <c r="E80" s="238" t="str">
        <f>IF('P9'!E9="","",'P9'!E9)</f>
        <v>10.10.94</v>
      </c>
      <c r="F80" s="239" t="str">
        <f>IF('P9'!G9="","",'P9'!G9)</f>
        <v>Lars Espedal</v>
      </c>
      <c r="G80" s="239" t="str">
        <f>IF('P9'!H9="","",'P9'!H9)</f>
        <v>Vigrestad IK</v>
      </c>
      <c r="H80" s="245">
        <f>IF('P9'!O9="","",'P9'!O9)</f>
        <v>107</v>
      </c>
      <c r="I80" s="245">
        <f>IF('P9'!P9="","",'P9'!P9)</f>
        <v>125</v>
      </c>
      <c r="J80" s="246">
        <f>IF('P9'!T9="","",'P9'!T9)</f>
        <v>8.1199999999999992</v>
      </c>
      <c r="K80" s="246">
        <f>IF('P9'!U9="","",'P9'!U9)</f>
        <v>14.1</v>
      </c>
      <c r="L80" s="246">
        <f>IF('P9'!V9="","",'P9'!V9)</f>
        <v>6.5</v>
      </c>
      <c r="M80" s="246">
        <f>IF('P9'!X10="","",'P9'!X10)</f>
        <v>801.49034568140451</v>
      </c>
    </row>
    <row r="81" spans="1:13" ht="16">
      <c r="A81" s="236">
        <v>8</v>
      </c>
      <c r="B81" s="246">
        <f>IF('P9'!B19="","",'P9'!B19)</f>
        <v>109</v>
      </c>
      <c r="C81" s="237" t="str">
        <f>IF('P9'!C19="","",'P9'!C19)</f>
        <v>SM</v>
      </c>
      <c r="D81" s="237" t="str">
        <f>IF('P9'!D19="","",'P9'!D19)</f>
        <v>24-34</v>
      </c>
      <c r="E81" s="238" t="str">
        <f>IF('P9'!E19="","",'P9'!E19)</f>
        <v>17.11.91</v>
      </c>
      <c r="F81" s="239" t="str">
        <f>IF('P9'!G19="","",'P9'!G19)</f>
        <v>Tord Gravdal</v>
      </c>
      <c r="G81" s="239" t="str">
        <f>IF('P9'!H19="","",'P9'!H19)</f>
        <v>Vigrestad IK</v>
      </c>
      <c r="H81" s="245">
        <f>IF('P9'!O19="","",'P9'!O19)</f>
        <v>110</v>
      </c>
      <c r="I81" s="245">
        <f>IF('P9'!P19="","",'P9'!P19)</f>
        <v>125</v>
      </c>
      <c r="J81" s="246">
        <f>IF('P9'!T19="","",'P9'!T19)</f>
        <v>7.52</v>
      </c>
      <c r="K81" s="246">
        <f>IF('P9'!U19="","",'P9'!U19)</f>
        <v>11.89</v>
      </c>
      <c r="L81" s="246">
        <f>IF('P9'!V19="","",'P9'!V19)</f>
        <v>8.9700000000000006</v>
      </c>
      <c r="M81" s="246">
        <f>IF('P9'!X20="","",'P9'!X20)</f>
        <v>648.65886915288684</v>
      </c>
    </row>
    <row r="82" spans="1:13" ht="16">
      <c r="A82" s="236" t="s">
        <v>16</v>
      </c>
      <c r="B82" s="246">
        <f>IF('P8'!B13="","",'P8'!B13)</f>
        <v>78.569999999999993</v>
      </c>
      <c r="C82" s="237" t="str">
        <f>IF('P8'!C13="","",'P8'!C13)</f>
        <v>SM</v>
      </c>
      <c r="D82" s="237" t="str">
        <f>IF('P8'!D13="","",'P8'!D13)</f>
        <v>24-34</v>
      </c>
      <c r="E82" s="238" t="str">
        <f>IF('P8'!E13="","",'P8'!E13)</f>
        <v>06.08.96</v>
      </c>
      <c r="F82" s="239" t="str">
        <f>IF('P8'!G13="","",'P8'!G13)</f>
        <v>Jonas Grønstad</v>
      </c>
      <c r="G82" s="239" t="str">
        <f>IF('P8'!H13="","",'P8'!H13)</f>
        <v>Spydeberg Atletene</v>
      </c>
      <c r="H82" s="245">
        <f>IF('P8'!O13="","",'P8'!O13)</f>
        <v>108</v>
      </c>
      <c r="I82" s="245">
        <f>IF('P8'!P13="","",'P8'!P13)</f>
        <v>125</v>
      </c>
      <c r="J82" s="246" t="str">
        <f>IF('P8'!T13="","",'P8'!T13)</f>
        <v/>
      </c>
      <c r="K82" s="246" t="str">
        <f>IF('P8'!U13="","",'P8'!U13)</f>
        <v/>
      </c>
      <c r="L82" s="246" t="str">
        <f>IF('P8'!V13="","",'P8'!V13)</f>
        <v/>
      </c>
      <c r="M82" s="246" t="str">
        <f>IF('P8'!X14="","",'P8'!X14)</f>
        <v/>
      </c>
    </row>
    <row r="83" spans="1:13" ht="16">
      <c r="A83" s="236"/>
      <c r="B83" s="246">
        <f>IF('P8'!B11="","",'P8'!B11)</f>
        <v>74.09</v>
      </c>
      <c r="C83" s="237" t="str">
        <f>IF('P8'!C11="","",'P8'!C11)</f>
        <v>SM</v>
      </c>
      <c r="D83" s="237" t="str">
        <f>IF('P8'!D11="","",'P8'!D11)</f>
        <v>24-34</v>
      </c>
      <c r="E83" s="238" t="str">
        <f>IF('P8'!E11="","",'P8'!E11)</f>
        <v>14.04.91</v>
      </c>
      <c r="F83" s="239" t="str">
        <f>IF('P8'!G11="","",'P8'!G11)</f>
        <v>Daniel Roness</v>
      </c>
      <c r="G83" s="239" t="str">
        <f>IF('P8'!H11="","",'P8'!H11)</f>
        <v>Spydeberg Atletene</v>
      </c>
      <c r="H83" s="245" t="str">
        <f>IF('P8'!O11="","",'P8'!O11)</f>
        <v/>
      </c>
      <c r="I83" s="245">
        <f>IF('P8'!P11="","",'P8'!P11)</f>
        <v>155</v>
      </c>
      <c r="J83" s="246" t="str">
        <f>IF('P8'!T11="","",'P8'!T11)</f>
        <v/>
      </c>
      <c r="K83" s="246" t="str">
        <f>IF('P8'!U11="","",'P8'!U11)</f>
        <v/>
      </c>
      <c r="L83" s="246" t="str">
        <f>IF('P8'!V11="","",'P8'!V11)</f>
        <v/>
      </c>
      <c r="M83" s="246" t="str">
        <f>IF('P8'!X12="","",'P8'!X12)</f>
        <v/>
      </c>
    </row>
    <row r="84" spans="1:13" ht="16">
      <c r="A84" s="236"/>
      <c r="B84" s="246">
        <f>IF('P8'!B17="","",'P8'!B17)</f>
        <v>84.86</v>
      </c>
      <c r="C84" s="237" t="str">
        <f>IF('P8'!C17="","",'P8'!C17)</f>
        <v>SM</v>
      </c>
      <c r="D84" s="237" t="str">
        <f>IF('P8'!D17="","",'P8'!D17)</f>
        <v>24-34</v>
      </c>
      <c r="E84" s="238" t="str">
        <f>IF('P8'!E17="","",'P8'!E17)</f>
        <v>15.07.96</v>
      </c>
      <c r="F84" s="239" t="str">
        <f>IF('P8'!G17="","",'P8'!G17)</f>
        <v>Bjarne Bergheim</v>
      </c>
      <c r="G84" s="239" t="str">
        <f>IF('P8'!H17="","",'P8'!H17)</f>
        <v>Breimsbygda IL</v>
      </c>
      <c r="H84" s="245">
        <f>IF('P8'!O17="","",'P8'!O17)</f>
        <v>75</v>
      </c>
      <c r="I84" s="245" t="str">
        <f>IF('P8'!P17="","",'P8'!P17)</f>
        <v/>
      </c>
      <c r="J84" s="246">
        <f>IF('P8'!T17="","",'P8'!T17)</f>
        <v>8.31</v>
      </c>
      <c r="K84" s="246">
        <f>IF('P8'!U17="","",'P8'!U17)</f>
        <v>13.16</v>
      </c>
      <c r="L84" s="246">
        <f>IF('P8'!V17="","",'P8'!V17)</f>
        <v>6.67</v>
      </c>
      <c r="M84" s="246" t="str">
        <f>IF('P8'!X18="","",'P8'!X18)</f>
        <v/>
      </c>
    </row>
    <row r="85" spans="1:13" ht="16">
      <c r="A85" s="236"/>
      <c r="B85" s="246">
        <f>IF('P9'!B21="","",'P9'!B21)</f>
        <v>121.9</v>
      </c>
      <c r="C85" s="237" t="str">
        <f>IF('P9'!C21="","",'P9'!C21)</f>
        <v>SM</v>
      </c>
      <c r="D85" s="237" t="str">
        <f>IF('P9'!D21="","",'P9'!D21)</f>
        <v>24-34</v>
      </c>
      <c r="E85" s="238" t="str">
        <f>IF('P9'!E21="","",'P9'!E21)</f>
        <v>24.12.89</v>
      </c>
      <c r="F85" s="239" t="str">
        <f>IF('P9'!G21="","",'P9'!G21)</f>
        <v>Kim Eirik Tollefsen</v>
      </c>
      <c r="G85" s="239" t="str">
        <f>IF('P9'!H21="","",'P9'!H21)</f>
        <v>Tønsberg-Kam.</v>
      </c>
      <c r="H85" s="245">
        <f>IF('P9'!O21="","",'P9'!O21)</f>
        <v>155</v>
      </c>
      <c r="I85" s="245" t="str">
        <f>IF('P9'!P21="","",'P9'!P21)</f>
        <v/>
      </c>
      <c r="J85" s="246" t="str">
        <f>IF('P9'!T21="","",'P9'!T21)</f>
        <v/>
      </c>
      <c r="K85" s="246" t="str">
        <f>IF('P9'!U21="","",'P9'!U21)</f>
        <v/>
      </c>
      <c r="L85" s="246" t="str">
        <f>IF('P9'!V21="","",'P9'!V21)</f>
        <v/>
      </c>
      <c r="M85" s="246" t="str">
        <f>IF('P9'!X22="","",'P9'!X22)</f>
        <v/>
      </c>
    </row>
    <row r="86" spans="1:13" ht="16">
      <c r="A86" s="236"/>
      <c r="B86" s="246"/>
      <c r="C86" s="237"/>
      <c r="D86" s="237"/>
      <c r="E86" s="238"/>
      <c r="F86" s="239"/>
      <c r="G86" s="239"/>
      <c r="H86" s="245"/>
      <c r="I86" s="245"/>
      <c r="J86" s="246"/>
      <c r="K86" s="246"/>
      <c r="L86" s="246"/>
      <c r="M86" s="246"/>
    </row>
    <row r="87" spans="1:13" ht="16">
      <c r="A87" s="236">
        <v>1</v>
      </c>
      <c r="B87" s="246">
        <f>IF('P8'!B21="","",'P8'!B21)</f>
        <v>105.9</v>
      </c>
      <c r="C87" s="237" t="str">
        <f>IF('P8'!C21="","",'P8'!C21)</f>
        <v>M3</v>
      </c>
      <c r="D87" s="237" t="str">
        <f>IF('P8'!D21="","",'P8'!D21)</f>
        <v>+35</v>
      </c>
      <c r="E87" s="238" t="str">
        <f>IF('P8'!E21="","",'P8'!E21)</f>
        <v>30.03.76</v>
      </c>
      <c r="F87" s="239" t="str">
        <f>IF('P8'!G21="","",'P8'!G21)</f>
        <v>Børge Aadland</v>
      </c>
      <c r="G87" s="239" t="str">
        <f>IF('P8'!H21="","",'P8'!H21)</f>
        <v>AK Bjørgvin</v>
      </c>
      <c r="H87" s="245">
        <f>IF('P8'!O21="","",'P8'!O21)</f>
        <v>110</v>
      </c>
      <c r="I87" s="245">
        <f>IF('P8'!P21="","",'P8'!P21)</f>
        <v>149</v>
      </c>
      <c r="J87" s="246">
        <f>IF('P8'!T21="","",'P8'!T21)</f>
        <v>7.78</v>
      </c>
      <c r="K87" s="246">
        <f>IF('P8'!U21="","",'P8'!U21)</f>
        <v>12.18</v>
      </c>
      <c r="L87" s="246">
        <f>IF('P8'!V21="","",'P8'!V21)</f>
        <v>7.05</v>
      </c>
      <c r="M87" s="246">
        <f>IF('P8'!X22="","",'P8'!X22)</f>
        <v>767.75367218895815</v>
      </c>
    </row>
    <row r="88" spans="1:13" ht="16">
      <c r="A88" s="236">
        <v>2</v>
      </c>
      <c r="B88" s="246">
        <f>IF('P8'!B19="","",'P8'!B19)</f>
        <v>76.37</v>
      </c>
      <c r="C88" s="237" t="str">
        <f>IF('P8'!C19="","",'P8'!C19)</f>
        <v>M1</v>
      </c>
      <c r="D88" s="237" t="str">
        <f>IF('P8'!D19="","",'P8'!D19)</f>
        <v>+35</v>
      </c>
      <c r="E88" s="238" t="str">
        <f>IF('P8'!E19="","",'P8'!E19)</f>
        <v>19.08.86</v>
      </c>
      <c r="F88" s="239" t="str">
        <f>IF('P8'!G19="","",'P8'!G19)</f>
        <v>Aaron Gem Donerciler</v>
      </c>
      <c r="G88" s="239" t="str">
        <f>IF('P8'!H19="","",'P8'!H19)</f>
        <v>Tysvær VK</v>
      </c>
      <c r="H88" s="245">
        <f>IF('P8'!O19="","",'P8'!O19)</f>
        <v>80</v>
      </c>
      <c r="I88" s="245">
        <f>IF('P8'!P19="","",'P8'!P19)</f>
        <v>92</v>
      </c>
      <c r="J88" s="246">
        <f>IF('P8'!T19="","",'P8'!T19)</f>
        <v>8.17</v>
      </c>
      <c r="K88" s="246">
        <f>IF('P8'!U19="","",'P8'!U19)</f>
        <v>11</v>
      </c>
      <c r="L88" s="246">
        <f>IF('P8'!V19="","",'P8'!V19)</f>
        <v>7</v>
      </c>
      <c r="M88" s="246">
        <f>IF('P8'!X20="","",'P8'!X20)</f>
        <v>685.16595761913197</v>
      </c>
    </row>
    <row r="89" spans="1:13" ht="16">
      <c r="A89" s="236">
        <v>3</v>
      </c>
      <c r="B89" s="246">
        <f>IF('P8'!B23="","",'P8'!B23)</f>
        <v>107.3</v>
      </c>
      <c r="C89" s="237" t="str">
        <f>IF('P8'!C23="","",'P8'!C23)</f>
        <v>M4</v>
      </c>
      <c r="D89" s="237" t="str">
        <f>IF('P8'!D23="","",'P8'!D23)</f>
        <v>+35</v>
      </c>
      <c r="E89" s="238" t="str">
        <f>IF('P8'!E23="","",'P8'!E23)</f>
        <v>02.07.68</v>
      </c>
      <c r="F89" s="239" t="str">
        <f>IF('P8'!G23="","",'P8'!G23)</f>
        <v>Dag Rønnevik</v>
      </c>
      <c r="G89" s="239" t="str">
        <f>IF('P8'!H23="","",'P8'!H23)</f>
        <v>Tysvær VK</v>
      </c>
      <c r="H89" s="245">
        <f>IF('P8'!O23="","",'P8'!O23)</f>
        <v>80</v>
      </c>
      <c r="I89" s="245">
        <f>IF('P8'!P23="","",'P8'!P23)</f>
        <v>102</v>
      </c>
      <c r="J89" s="246">
        <f>IF('P8'!T23="","",'P8'!T23)</f>
        <v>6.26</v>
      </c>
      <c r="K89" s="246">
        <f>IF('P8'!U23="","",'P8'!U23)</f>
        <v>11.91</v>
      </c>
      <c r="L89" s="246">
        <f>IF('P8'!V23="","",'P8'!V23)</f>
        <v>9.17</v>
      </c>
      <c r="M89" s="246">
        <f>IF('P8'!X24="","",'P8'!X24)</f>
        <v>548.39943940179285</v>
      </c>
    </row>
  </sheetData>
  <sortState xmlns:xlrd2="http://schemas.microsoft.com/office/spreadsheetml/2017/richdata2" ref="A74:M81">
    <sortCondition descending="1" ref="M74:M81"/>
  </sortState>
  <mergeCells count="6">
    <mergeCell ref="A41:M41"/>
    <mergeCell ref="A1:M1"/>
    <mergeCell ref="A2:E2"/>
    <mergeCell ref="F2:I2"/>
    <mergeCell ref="J2:M2"/>
    <mergeCell ref="A4:M4"/>
  </mergeCells>
  <pageMargins left="0.74803149606299213" right="0.74803149606299213" top="0.98425196850393704" bottom="0.98425196850393704" header="0.51181102362204722" footer="0.51181102362204722"/>
  <pageSetup paperSize="9" scale="64" fitToHeight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67BF-9325-3342-ACBE-7A32D0096C67}">
  <sheetPr>
    <pageSetUpPr fitToPage="1"/>
  </sheetPr>
  <dimension ref="A1:M79"/>
  <sheetViews>
    <sheetView topLeftCell="A68" zoomScale="120" zoomScaleNormal="120" zoomScalePageLayoutView="120" workbookViewId="0">
      <selection activeCell="D80" sqref="D80"/>
    </sheetView>
  </sheetViews>
  <sheetFormatPr baseColWidth="10" defaultColWidth="8.83203125" defaultRowHeight="13"/>
  <cols>
    <col min="1" max="1" width="5.33203125" customWidth="1"/>
    <col min="2" max="3" width="7.6640625" customWidth="1"/>
    <col min="4" max="4" width="7.1640625" customWidth="1"/>
    <col min="5" max="5" width="10.33203125" customWidth="1"/>
    <col min="6" max="6" width="27.6640625" customWidth="1"/>
    <col min="7" max="7" width="20.6640625" customWidth="1"/>
    <col min="8" max="9" width="6.83203125" customWidth="1"/>
    <col min="10" max="11" width="8.6640625" customWidth="1"/>
    <col min="12" max="12" width="9.6640625" customWidth="1"/>
    <col min="13" max="13" width="9.33203125" bestFit="1" customWidth="1"/>
  </cols>
  <sheetData>
    <row r="1" spans="1:13" ht="31" thickBot="1">
      <c r="A1" s="320" t="s">
        <v>74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2"/>
    </row>
    <row r="2" spans="1:13" s="70" customFormat="1" ht="24" customHeight="1" thickBot="1">
      <c r="A2" s="323" t="str">
        <f>IF('P1'!I5&gt;0,'P1'!I5,"")</f>
        <v>Larvik AK</v>
      </c>
      <c r="B2" s="324"/>
      <c r="C2" s="324"/>
      <c r="D2" s="324"/>
      <c r="E2" s="324"/>
      <c r="F2" s="325" t="str">
        <f>IF('P1'!P5&gt;0,'P1'!P5,"")</f>
        <v>Stavernhallen</v>
      </c>
      <c r="G2" s="324"/>
      <c r="H2" s="324"/>
      <c r="I2" s="324"/>
      <c r="J2" s="326" t="s">
        <v>125</v>
      </c>
      <c r="K2" s="327"/>
      <c r="L2" s="327"/>
      <c r="M2" s="327"/>
    </row>
    <row r="3" spans="1:13" s="13" customFormat="1" ht="14" thickBot="1">
      <c r="A3" s="67" t="s">
        <v>38</v>
      </c>
      <c r="B3" s="69" t="s">
        <v>39</v>
      </c>
      <c r="C3" s="69" t="s">
        <v>40</v>
      </c>
      <c r="D3" s="67" t="s">
        <v>41</v>
      </c>
      <c r="E3" s="67" t="s">
        <v>42</v>
      </c>
      <c r="F3" s="68" t="s">
        <v>6</v>
      </c>
      <c r="G3" s="68" t="s">
        <v>33</v>
      </c>
      <c r="H3" s="67" t="s">
        <v>8</v>
      </c>
      <c r="I3" s="67" t="s">
        <v>9</v>
      </c>
      <c r="J3" s="67" t="s">
        <v>43</v>
      </c>
      <c r="K3" s="67" t="s">
        <v>44</v>
      </c>
      <c r="L3" s="67" t="s">
        <v>28</v>
      </c>
      <c r="M3" s="67" t="s">
        <v>10</v>
      </c>
    </row>
    <row r="4" spans="1:13" ht="21" thickBot="1">
      <c r="A4" s="328" t="s">
        <v>37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30"/>
    </row>
    <row r="5" spans="1:13" ht="8" customHeight="1"/>
    <row r="6" spans="1:13" s="13" customFormat="1" ht="16">
      <c r="A6" s="236">
        <v>1</v>
      </c>
      <c r="B6" s="246">
        <f>IF('P7'!B21="","",'P7'!B21)</f>
        <v>60.27</v>
      </c>
      <c r="C6" s="237" t="str">
        <f>IF('P7'!C21="","",'P7'!C21)</f>
        <v>SK</v>
      </c>
      <c r="D6" s="237" t="str">
        <f>IF('P7'!D21="","",'P7'!D21)</f>
        <v>24-34</v>
      </c>
      <c r="E6" s="238">
        <f>IF('P7'!E21="","",'P7'!E21)</f>
        <v>32737</v>
      </c>
      <c r="F6" s="239" t="str">
        <f>IF('P7'!G21="","",'P7'!G21)</f>
        <v>Ine Andersson</v>
      </c>
      <c r="G6" s="239" t="str">
        <f>IF('P7'!H21="","",'P7'!H21)</f>
        <v>Tambarskjelvar IL</v>
      </c>
      <c r="H6" s="245">
        <f>IF('P7'!O21="","",'P7'!O21)</f>
        <v>90</v>
      </c>
      <c r="I6" s="245">
        <f>IF('P7'!P21="","",'P7'!P21)</f>
        <v>117</v>
      </c>
      <c r="J6" s="246">
        <f>IF('P7'!T21="","",'P7'!T21)</f>
        <v>8.0500000000000007</v>
      </c>
      <c r="K6" s="246">
        <f>IF('P7'!U21="","",'P7'!U21)</f>
        <v>14.11</v>
      </c>
      <c r="L6" s="246">
        <f>IF('P7'!V21="","",'P7'!V21)</f>
        <v>6.66</v>
      </c>
      <c r="M6" s="246">
        <f>IF('P7'!X22="","",'P7'!X22)</f>
        <v>811.07455849580049</v>
      </c>
    </row>
    <row r="7" spans="1:13" s="13" customFormat="1" ht="16">
      <c r="A7" s="236">
        <v>2</v>
      </c>
      <c r="B7" s="246">
        <f>IF('P7'!B9="","",'P7'!B9)</f>
        <v>54.75</v>
      </c>
      <c r="C7" s="237" t="str">
        <f>IF('P7'!C9="","",'P7'!C9)</f>
        <v>SK</v>
      </c>
      <c r="D7" s="237" t="str">
        <f>IF('P7'!D9="","",'P7'!D9)</f>
        <v>24-34</v>
      </c>
      <c r="E7" s="238">
        <f>IF('P7'!E9="","",'P7'!E9)</f>
        <v>34413</v>
      </c>
      <c r="F7" s="239" t="str">
        <f>IF('P7'!G9="","",'P7'!G9)</f>
        <v>Sarah Hovden Øvsthus</v>
      </c>
      <c r="G7" s="239" t="str">
        <f>IF('P7'!H9="","",'P7'!H9)</f>
        <v>AK Bjørgvin</v>
      </c>
      <c r="H7" s="245">
        <f>IF('P7'!O9="","",'P7'!O9)</f>
        <v>79</v>
      </c>
      <c r="I7" s="245">
        <f>IF('P7'!P9="","",'P7'!P9)</f>
        <v>103</v>
      </c>
      <c r="J7" s="246">
        <f>IF('P7'!T9="","",'P7'!T9)</f>
        <v>8.1999999999999993</v>
      </c>
      <c r="K7" s="246">
        <f>IF('P7'!U9="","",'P7'!U9)</f>
        <v>13.3</v>
      </c>
      <c r="L7" s="246">
        <f>IF('P7'!V9="","",'P7'!V9)</f>
        <v>6.44</v>
      </c>
      <c r="M7" s="246">
        <f>IF('P7'!X10="","",'P7'!X10)</f>
        <v>790.67465515662377</v>
      </c>
    </row>
    <row r="8" spans="1:13" s="13" customFormat="1" ht="16">
      <c r="A8" s="236">
        <v>3</v>
      </c>
      <c r="B8" s="246">
        <f>IF('P7'!B11="","",'P7'!B11)</f>
        <v>56.47</v>
      </c>
      <c r="C8" s="237" t="str">
        <f>IF('P7'!C11="","",'P7'!C11)</f>
        <v>SK</v>
      </c>
      <c r="D8" s="237" t="str">
        <f>IF('P7'!D11="","",'P7'!D11)</f>
        <v>24-34</v>
      </c>
      <c r="E8" s="238" t="str">
        <f>IF('P7'!E11="","",'P7'!E11)</f>
        <v>12.09.96</v>
      </c>
      <c r="F8" s="239" t="str">
        <f>IF('P7'!G11="","",'P7'!G11)</f>
        <v>Rebekka Tao Jacobsen</v>
      </c>
      <c r="G8" s="239" t="str">
        <f>IF('P7'!H11="","",'P7'!H11)</f>
        <v>Larvik AK</v>
      </c>
      <c r="H8" s="245">
        <f>IF('P7'!O11="","",'P7'!O11)</f>
        <v>77</v>
      </c>
      <c r="I8" s="245">
        <f>IF('P7'!P11="","",'P7'!P11)</f>
        <v>100</v>
      </c>
      <c r="J8" s="246">
        <f>IF('P7'!T11="","",'P7'!T11)</f>
        <v>7.37</v>
      </c>
      <c r="K8" s="246">
        <f>IF('P7'!U11="","",'P7'!U11)</f>
        <v>11.42</v>
      </c>
      <c r="L8" s="246">
        <f>IF('P7'!V11="","",'P7'!V11)</f>
        <v>6.72</v>
      </c>
      <c r="M8" s="246">
        <f>IF('P7'!X12="","",'P7'!X12)</f>
        <v>722.55440851959133</v>
      </c>
    </row>
    <row r="9" spans="1:13" s="13" customFormat="1" ht="16">
      <c r="A9" s="236">
        <v>4</v>
      </c>
      <c r="B9" s="246">
        <f>IF('P5'!B9="","",'P5'!B9)</f>
        <v>63.81</v>
      </c>
      <c r="C9" s="237" t="str">
        <f>IF('P5'!C9="","",'P5'!C9)</f>
        <v>JK</v>
      </c>
      <c r="D9" s="237" t="str">
        <f>IF('P5'!D9="","",'P5'!D9)</f>
        <v>19-23</v>
      </c>
      <c r="E9" s="238">
        <f>IF('P5'!E9="","",'P5'!E9)</f>
        <v>37315</v>
      </c>
      <c r="F9" s="239" t="str">
        <f>IF('P5'!G9="","",'P5'!G9)</f>
        <v>Julia Jordanger Loen</v>
      </c>
      <c r="G9" s="239" t="str">
        <f>IF('P5'!H9="","",'P5'!H9)</f>
        <v>Breimsbygda IL</v>
      </c>
      <c r="H9" s="245">
        <f>IF('P5'!O9="","",'P5'!O9)</f>
        <v>75</v>
      </c>
      <c r="I9" s="245">
        <f>IF('P5'!P9="","",'P5'!P9)</f>
        <v>101</v>
      </c>
      <c r="J9" s="246">
        <f>IF('P5'!T9="","",'P5'!T9)</f>
        <v>8.02</v>
      </c>
      <c r="K9" s="246">
        <f>IF('P5'!U9="","",'P5'!U9)</f>
        <v>11.93</v>
      </c>
      <c r="L9" s="246">
        <f>IF('P5'!V9="","",'P5'!V9)</f>
        <v>6.61</v>
      </c>
      <c r="M9" s="246">
        <f>IF('P5'!X10="","",'P5'!X10)</f>
        <v>722.16576591626108</v>
      </c>
    </row>
    <row r="10" spans="1:13" s="13" customFormat="1" ht="16">
      <c r="A10" s="236">
        <v>5</v>
      </c>
      <c r="B10" s="246">
        <f>IF('P5'!B15="","",'P5'!B15)</f>
        <v>69.72</v>
      </c>
      <c r="C10" s="237" t="str">
        <f>IF('P5'!C15="","",'P5'!C15)</f>
        <v>SK</v>
      </c>
      <c r="D10" s="237" t="str">
        <f>IF('P5'!D15="","",'P5'!D15)</f>
        <v>19-23</v>
      </c>
      <c r="E10" s="238">
        <f>IF('P5'!E15="","",'P5'!E15)</f>
        <v>35975</v>
      </c>
      <c r="F10" s="239" t="str">
        <f>IF('P5'!G15="","",'P5'!G15)</f>
        <v>Nora Skuggedal</v>
      </c>
      <c r="G10" s="239" t="str">
        <f>IF('P5'!H15="","",'P5'!H15)</f>
        <v>Larvik AK</v>
      </c>
      <c r="H10" s="245">
        <f>IF('P5'!O15="","",'P5'!O15)</f>
        <v>91</v>
      </c>
      <c r="I10" s="245">
        <f>IF('P5'!P15="","",'P5'!P15)</f>
        <v>112</v>
      </c>
      <c r="J10" s="246">
        <f>IF('P5'!T15="","",'P5'!T15)</f>
        <v>7.09</v>
      </c>
      <c r="K10" s="246">
        <f>IF('P5'!U15="","",'P5'!U15)</f>
        <v>10.68</v>
      </c>
      <c r="L10" s="246">
        <f>IF('P5'!V15="","",'P5'!V15)</f>
        <v>7.24</v>
      </c>
      <c r="M10" s="246">
        <f>IF('P5'!X16="","",'P5'!X16)</f>
        <v>689.91060623770181</v>
      </c>
    </row>
    <row r="11" spans="1:13" s="13" customFormat="1" ht="16">
      <c r="A11" s="236">
        <v>6</v>
      </c>
      <c r="B11" s="246">
        <f>IF('P3'!B9="","",'P3'!B9)</f>
        <v>55</v>
      </c>
      <c r="C11" s="237" t="str">
        <f>IF('P3'!C9="","",'P3'!C9)</f>
        <v>UK</v>
      </c>
      <c r="D11" s="237" t="str">
        <f>IF('P3'!D9="","",'P3'!D9)</f>
        <v>17-18</v>
      </c>
      <c r="E11" s="238">
        <f>IF('P3'!E9="","",'P3'!E9)</f>
        <v>38084</v>
      </c>
      <c r="F11" s="239" t="str">
        <f>IF('P3'!G9="","",'P3'!G9)</f>
        <v>Ronja Lenvik</v>
      </c>
      <c r="G11" s="239" t="str">
        <f>IF('P3'!H9="","",'P3'!H9)</f>
        <v>Hitra VK</v>
      </c>
      <c r="H11" s="245">
        <f>IF('P3'!O9="","",'P3'!O9)</f>
        <v>73</v>
      </c>
      <c r="I11" s="245">
        <f>IF('P3'!P9="","",'P3'!P9)</f>
        <v>85</v>
      </c>
      <c r="J11" s="246">
        <f>IF('P3'!T9="","",'P3'!T9)</f>
        <v>7.23</v>
      </c>
      <c r="K11" s="246">
        <f>IF('P3'!U9="","",'P3'!U9)</f>
        <v>10.35</v>
      </c>
      <c r="L11" s="246">
        <f>IF('P3'!V9="","",'P3'!V9)</f>
        <v>6.89</v>
      </c>
      <c r="M11" s="246">
        <f>IF('P3'!X10="","",'P3'!X10)</f>
        <v>674.67957668694908</v>
      </c>
    </row>
    <row r="12" spans="1:13" s="13" customFormat="1" ht="16">
      <c r="A12" s="236">
        <v>7</v>
      </c>
      <c r="B12" s="246">
        <f>IF('P1'!B17="","",'P1'!B17)</f>
        <v>54.95</v>
      </c>
      <c r="C12" s="237" t="str">
        <f>IF('P1'!C17="","",'P1'!C17)</f>
        <v>UK</v>
      </c>
      <c r="D12" s="237" t="str">
        <f>IF('P1'!D17="","",'P1'!D17)</f>
        <v>15-16</v>
      </c>
      <c r="E12" s="238">
        <f>IF('P1'!E17="","",'P1'!E17)</f>
        <v>38424</v>
      </c>
      <c r="F12" s="239" t="str">
        <f>IF('P1'!G17="","",'P1'!G17)</f>
        <v>Sandra Nævdal</v>
      </c>
      <c r="G12" s="239" t="str">
        <f>IF('P1'!H17="","",'P1'!H17)</f>
        <v>AK Bjørgvin</v>
      </c>
      <c r="H12" s="245">
        <f>IF('P1'!O17="","",'P1'!O17)</f>
        <v>68</v>
      </c>
      <c r="I12" s="245">
        <f>IF('P1'!P17="","",'P1'!P17)</f>
        <v>85</v>
      </c>
      <c r="J12" s="246">
        <f>IF('P1'!T17="","",'P1'!T17)</f>
        <v>7.12</v>
      </c>
      <c r="K12" s="246">
        <f>IF('P1'!U17="","",'P1'!U17)</f>
        <v>10.31</v>
      </c>
      <c r="L12" s="246">
        <f>IF('P1'!V17="","",'P1'!V17)</f>
        <v>6.61</v>
      </c>
      <c r="M12" s="246">
        <f>IF('P1'!X18="","",'P1'!X18)</f>
        <v>671.53419641078608</v>
      </c>
    </row>
    <row r="13" spans="1:13" ht="16">
      <c r="A13" s="236">
        <v>8</v>
      </c>
      <c r="B13" s="246">
        <f>IF('P7'!B23="","",'P7'!B23)</f>
        <v>74.33</v>
      </c>
      <c r="C13" s="237" t="str">
        <f>IF('P7'!C23="","",'P7'!C23)</f>
        <v>SK</v>
      </c>
      <c r="D13" s="237" t="str">
        <f>IF('P7'!D23="","",'P7'!D23)</f>
        <v>24-34</v>
      </c>
      <c r="E13" s="238">
        <f>IF('P7'!E23="","",'P7'!E23)</f>
        <v>32509</v>
      </c>
      <c r="F13" s="239" t="str">
        <f>IF('P7'!G23="","",'P7'!G23)</f>
        <v>Melissa Schanche</v>
      </c>
      <c r="G13" s="239" t="str">
        <f>IF('P7'!H23="","",'P7'!H23)</f>
        <v>Spydeberg Atletene</v>
      </c>
      <c r="H13" s="245">
        <f>IF('P7'!O23="","",'P7'!O23)</f>
        <v>87</v>
      </c>
      <c r="I13" s="245">
        <f>IF('P7'!P23="","",'P7'!P23)</f>
        <v>108</v>
      </c>
      <c r="J13" s="246">
        <f>IF('P7'!T23="","",'P7'!T23)</f>
        <v>7.32</v>
      </c>
      <c r="K13" s="246">
        <f>IF('P7'!U23="","",'P7'!U23)</f>
        <v>9.8800000000000008</v>
      </c>
      <c r="L13" s="246">
        <f>IF('P7'!V23="","",'P7'!V23)</f>
        <v>7.52</v>
      </c>
      <c r="M13" s="246">
        <f>IF('P7'!X24="","",'P7'!X24)</f>
        <v>650.8331097675516</v>
      </c>
    </row>
    <row r="14" spans="1:13" ht="16">
      <c r="A14" s="236">
        <v>9</v>
      </c>
      <c r="B14" s="246">
        <f>IF('P7'!B17="","",'P7'!B17)</f>
        <v>58.25</v>
      </c>
      <c r="C14" s="237" t="str">
        <f>IF('P7'!C17="","",'P7'!C17)</f>
        <v>SK</v>
      </c>
      <c r="D14" s="237" t="str">
        <f>IF('P7'!D17="","",'P7'!D17)</f>
        <v>24-34</v>
      </c>
      <c r="E14" s="238">
        <f>IF('P7'!E17="","",'P7'!E17)</f>
        <v>35232</v>
      </c>
      <c r="F14" s="239" t="str">
        <f>IF('P7'!G17="","",'P7'!G17)</f>
        <v>Kamilla Storstein Grønnestad</v>
      </c>
      <c r="G14" s="239" t="str">
        <f>IF('P7'!H17="","",'P7'!H17)</f>
        <v>Tysvær VK</v>
      </c>
      <c r="H14" s="245">
        <f>IF('P7'!O17="","",'P7'!O17)</f>
        <v>63</v>
      </c>
      <c r="I14" s="245">
        <f>IF('P7'!P17="","",'P7'!P17)</f>
        <v>80</v>
      </c>
      <c r="J14" s="246">
        <f>IF('P7'!T17="","",'P7'!T17)</f>
        <v>7.25</v>
      </c>
      <c r="K14" s="246">
        <f>IF('P7'!U17="","",'P7'!U17)</f>
        <v>10.71</v>
      </c>
      <c r="L14" s="246">
        <f>IF('P7'!V17="","",'P7'!V17)</f>
        <v>6.89</v>
      </c>
      <c r="M14" s="246">
        <f>IF('P7'!X18="","",'P7'!X18)</f>
        <v>644.5772978018872</v>
      </c>
    </row>
    <row r="15" spans="1:13" ht="16">
      <c r="A15" s="236">
        <v>10</v>
      </c>
      <c r="B15" s="246">
        <f>IF('P3'!B13="","",'P3'!B13)</f>
        <v>57.32</v>
      </c>
      <c r="C15" s="237" t="str">
        <f>IF('P3'!C13="","",'P3'!C13)</f>
        <v>UK</v>
      </c>
      <c r="D15" s="237" t="str">
        <f>IF('P3'!D13="","",'P3'!D13)</f>
        <v>17-18</v>
      </c>
      <c r="E15" s="238">
        <f>IF('P3'!E13="","",'P3'!E13)</f>
        <v>38256</v>
      </c>
      <c r="F15" s="239" t="str">
        <f>IF('P3'!G13="","",'P3'!G13)</f>
        <v>Åse Johanne Berge</v>
      </c>
      <c r="G15" s="239" t="str">
        <f>IF('P3'!H13="","",'P3'!H13)</f>
        <v>Hitra VK</v>
      </c>
      <c r="H15" s="245">
        <f>IF('P3'!O13="","",'P3'!O13)</f>
        <v>64</v>
      </c>
      <c r="I15" s="245">
        <f>IF('P3'!P13="","",'P3'!P13)</f>
        <v>83</v>
      </c>
      <c r="J15" s="246">
        <f>IF('P3'!T13="","",'P3'!T13)</f>
        <v>6.91</v>
      </c>
      <c r="K15" s="246">
        <f>IF('P3'!U13="","",'P3'!U13)</f>
        <v>10.26</v>
      </c>
      <c r="L15" s="246">
        <f>IF('P3'!V13="","",'P3'!V13)</f>
        <v>6.92</v>
      </c>
      <c r="M15" s="246">
        <f>IF('P3'!X14="","",'P3'!X14)</f>
        <v>637.15498999968986</v>
      </c>
    </row>
    <row r="16" spans="1:13" ht="16">
      <c r="A16" s="236">
        <v>11</v>
      </c>
      <c r="B16" s="246" t="str">
        <f>IF('P3'!B17="","",'P3'!B17)</f>
        <v>71.11</v>
      </c>
      <c r="C16" s="237" t="str">
        <f>IF('P3'!C17="","",'P3'!C17)</f>
        <v>JK</v>
      </c>
      <c r="D16" s="237" t="str">
        <f>IF('P3'!D17="","",'P3'!D17)</f>
        <v>17-18</v>
      </c>
      <c r="E16" s="238">
        <f>IF('P3'!E17="","",'P3'!E17)</f>
        <v>37721</v>
      </c>
      <c r="F16" s="239" t="str">
        <f>IF('P3'!G17="","",'P3'!G17)</f>
        <v>Tuva Loodtz</v>
      </c>
      <c r="G16" s="239" t="str">
        <f>IF('P3'!H17="","",'P3'!H17)</f>
        <v>AK Bjørgvin</v>
      </c>
      <c r="H16" s="245">
        <f>IF('P3'!O17="","",'P3'!O17)</f>
        <v>67</v>
      </c>
      <c r="I16" s="245">
        <f>IF('P3'!P17="","",'P3'!P17)</f>
        <v>83</v>
      </c>
      <c r="J16" s="246">
        <f>IF('P3'!T17="","",'P3'!T17)</f>
        <v>7.14</v>
      </c>
      <c r="K16" s="246">
        <f>IF('P3'!U17="","",'P3'!U17)</f>
        <v>11.23</v>
      </c>
      <c r="L16" s="246">
        <f>IF('P3'!V17="","",'P3'!V17)</f>
        <v>7.01</v>
      </c>
      <c r="M16" s="246">
        <f>IF('P3'!X18="","",'P3'!X18)</f>
        <v>584.79</v>
      </c>
    </row>
    <row r="17" spans="1:13" ht="16">
      <c r="A17" s="236">
        <v>12</v>
      </c>
      <c r="B17" s="246">
        <f>IF('P1'!B21="","",'P1'!B21)</f>
        <v>63.26</v>
      </c>
      <c r="C17" s="237" t="str">
        <f>IF('P1'!C21="","",'P1'!C21)</f>
        <v>UK</v>
      </c>
      <c r="D17" s="237" t="str">
        <f>IF('P1'!D21="","",'P1'!D21)</f>
        <v>15-16</v>
      </c>
      <c r="E17" s="238">
        <f>IF('P1'!E21="","",'P1'!E21)</f>
        <v>38911</v>
      </c>
      <c r="F17" s="239" t="str">
        <f>IF('P1'!G21="","",'P1'!G21)</f>
        <v>Ingrid Rommetveit Knappen</v>
      </c>
      <c r="G17" s="239" t="str">
        <f>IF('P1'!H21="","",'P1'!H21)</f>
        <v>AK Bjørgvin</v>
      </c>
      <c r="H17" s="245">
        <f>IF('P1'!O21="","",'P1'!O21)</f>
        <v>55</v>
      </c>
      <c r="I17" s="245">
        <f>IF('P1'!P21="","",'P1'!P21)</f>
        <v>73</v>
      </c>
      <c r="J17" s="246">
        <f>IF('P1'!T21="","",'P1'!T21)</f>
        <v>6.48</v>
      </c>
      <c r="K17" s="246">
        <f>IF('P1'!U21="","",'P1'!U21)</f>
        <v>10.220000000000001</v>
      </c>
      <c r="L17" s="246">
        <f>IF('P1'!V21="","",'P1'!V21)</f>
        <v>7.28</v>
      </c>
      <c r="M17" s="246">
        <f>IF('P1'!X22="","",'P1'!X22)</f>
        <v>571.26621313081637</v>
      </c>
    </row>
    <row r="18" spans="1:13" ht="16">
      <c r="A18" s="236">
        <v>13</v>
      </c>
      <c r="B18" s="246">
        <f>IF('P3'!B19="","",'P3'!B19)</f>
        <v>59.04</v>
      </c>
      <c r="C18" s="237" t="str">
        <f>IF('P3'!C19="","",'P3'!C19)</f>
        <v>K1</v>
      </c>
      <c r="D18" s="237" t="str">
        <f>IF('P3'!D19="","",'P3'!D19)</f>
        <v>+35</v>
      </c>
      <c r="E18" s="238">
        <f>IF('P3'!E19="","",'P3'!E19)</f>
        <v>31091</v>
      </c>
      <c r="F18" s="239" t="str">
        <f>IF('P3'!G19="","",'P3'!G19)</f>
        <v>Tinna Marína Jónsdóttir⁠</v>
      </c>
      <c r="G18" s="239" t="str">
        <f>IF('P3'!H19="","",'P3'!H19)</f>
        <v>Tysvær VK</v>
      </c>
      <c r="H18" s="245">
        <f>IF('P3'!O19="","",'P3'!O19)</f>
        <v>53</v>
      </c>
      <c r="I18" s="245">
        <f>IF('P3'!P19="","",'P3'!P19)</f>
        <v>68</v>
      </c>
      <c r="J18" s="246">
        <f>IF('P3'!T19="","",'P3'!T19)</f>
        <v>6.98</v>
      </c>
      <c r="K18" s="246">
        <f>IF('P3'!U19="","",'P3'!U19)</f>
        <v>9.6300000000000008</v>
      </c>
      <c r="L18" s="246">
        <f>IF('P3'!V19="","",'P3'!V19)</f>
        <v>7.22</v>
      </c>
      <c r="M18" s="246">
        <f>IF('P3'!X20="","",'P3'!X20)</f>
        <v>571.01797401900944</v>
      </c>
    </row>
    <row r="19" spans="1:13" ht="16">
      <c r="A19" s="236">
        <v>14</v>
      </c>
      <c r="B19" s="246">
        <f>IF('P5'!B13="","",'P5'!B13)</f>
        <v>72.11</v>
      </c>
      <c r="C19" s="237" t="str">
        <f>IF('P5'!C13="","",'P5'!C13)</f>
        <v>JK</v>
      </c>
      <c r="D19" s="237" t="str">
        <f>IF('P5'!D13="","",'P5'!D13)</f>
        <v>19-23</v>
      </c>
      <c r="E19" s="238">
        <f>IF('P5'!E13="","",'P5'!E13)</f>
        <v>37485</v>
      </c>
      <c r="F19" s="239" t="str">
        <f>IF('P5'!G13="","",'P5'!G13)</f>
        <v>Mia Mundal</v>
      </c>
      <c r="G19" s="239" t="str">
        <f>IF('P5'!H13="","",'P5'!H13)</f>
        <v>Tønsberg-Kam.</v>
      </c>
      <c r="H19" s="245">
        <f>IF('P5'!O13="","",'P5'!O13)</f>
        <v>64</v>
      </c>
      <c r="I19" s="245">
        <f>IF('P5'!P13="","",'P5'!P13)</f>
        <v>95</v>
      </c>
      <c r="J19" s="246">
        <f>IF('P5'!T13="","",'P5'!T13)</f>
        <v>5.98</v>
      </c>
      <c r="K19" s="246">
        <f>IF('P5'!U13="","",'P5'!U13)</f>
        <v>8.27</v>
      </c>
      <c r="L19" s="246">
        <f>IF('P5'!V13="","",'P5'!V13)</f>
        <v>7.32</v>
      </c>
      <c r="M19" s="246">
        <f>IF('P5'!X14="","",'P5'!X14)</f>
        <v>562.931496071835</v>
      </c>
    </row>
    <row r="20" spans="1:13" ht="16">
      <c r="A20" s="236">
        <v>15</v>
      </c>
      <c r="B20" s="246">
        <f>IF('P5'!B11="","",'P5'!B11)</f>
        <v>64.739999999999995</v>
      </c>
      <c r="C20" s="237" t="str">
        <f>IF('P5'!C11="","",'P5'!C11)</f>
        <v>JK</v>
      </c>
      <c r="D20" s="237" t="str">
        <f>IF('P5'!D11="","",'P5'!D11)</f>
        <v>19-23</v>
      </c>
      <c r="E20" s="238">
        <f>IF('P5'!E11="","",'P5'!E11)</f>
        <v>37362</v>
      </c>
      <c r="F20" s="239" t="str">
        <f>IF('P5'!G11="","",'P5'!G11)</f>
        <v>Emilie Kolseth Jensen</v>
      </c>
      <c r="G20" s="239" t="str">
        <f>IF('P5'!H11="","",'P5'!H11)</f>
        <v>Breimsbygda IL</v>
      </c>
      <c r="H20" s="245">
        <f>IF('P5'!O11="","",'P5'!O11)</f>
        <v>40</v>
      </c>
      <c r="I20" s="245">
        <f>IF('P5'!P11="","",'P5'!P11)</f>
        <v>54</v>
      </c>
      <c r="J20" s="246">
        <f>IF('P5'!T11="","",'P5'!T11)</f>
        <v>6.95</v>
      </c>
      <c r="K20" s="246">
        <f>IF('P5'!U11="","",'P5'!U11)</f>
        <v>12.84</v>
      </c>
      <c r="L20" s="246">
        <f>IF('P5'!V11="","",'P5'!V11)</f>
        <v>7.32</v>
      </c>
      <c r="M20" s="246">
        <f>IF('P5'!X12="","",'P5'!X12)</f>
        <v>555.36818759699861</v>
      </c>
    </row>
    <row r="21" spans="1:13" ht="16">
      <c r="A21" s="236">
        <v>16</v>
      </c>
      <c r="B21" s="246">
        <f>IF('P7'!B13="","",'P7'!B13)</f>
        <v>55.63</v>
      </c>
      <c r="C21" s="237" t="str">
        <f>IF('P7'!C13="","",'P7'!C13)</f>
        <v>SK</v>
      </c>
      <c r="D21" s="237" t="str">
        <f>IF('P7'!D13="","",'P7'!D13)</f>
        <v>24-34</v>
      </c>
      <c r="E21" s="238" t="str">
        <f>IF('P7'!E13="","",'P7'!E13)</f>
        <v>31.01.93</v>
      </c>
      <c r="F21" s="239" t="str">
        <f>IF('P7'!G13="","",'P7'!G13)</f>
        <v>Isabell Thorberg</v>
      </c>
      <c r="G21" s="239" t="str">
        <f>IF('P7'!H13="","",'P7'!H13)</f>
        <v>Tønsberg-Kam.</v>
      </c>
      <c r="H21" s="245">
        <f>IF('P7'!O13="","",'P7'!O13)</f>
        <v>52</v>
      </c>
      <c r="I21" s="245">
        <f>IF('P7'!P13="","",'P7'!P13)</f>
        <v>65</v>
      </c>
      <c r="J21" s="246">
        <f>IF('P7'!T13="","",'P7'!T13)</f>
        <v>6.63</v>
      </c>
      <c r="K21" s="246">
        <f>IF('P7'!U13="","",'P7'!U13)</f>
        <v>9.32</v>
      </c>
      <c r="L21" s="246">
        <f>IF('P7'!V13="","",'P7'!V13)</f>
        <v>7.64</v>
      </c>
      <c r="M21" s="246">
        <f>IF('P7'!X14="","",'P7'!X14)</f>
        <v>545.24339115719567</v>
      </c>
    </row>
    <row r="22" spans="1:13" ht="16">
      <c r="A22" s="236">
        <v>17</v>
      </c>
      <c r="B22" s="246">
        <f>IF('P7'!B15="","",'P7'!B15)</f>
        <v>61.65</v>
      </c>
      <c r="C22" s="237" t="str">
        <f>IF('P7'!C15="","",'P7'!C15)</f>
        <v>SK</v>
      </c>
      <c r="D22" s="237" t="str">
        <f>IF('P7'!D15="","",'P7'!D15)</f>
        <v>24-34</v>
      </c>
      <c r="E22" s="238">
        <f>IF('P7'!E15="","",'P7'!E15)</f>
        <v>33443</v>
      </c>
      <c r="F22" s="239" t="str">
        <f>IF('P7'!G15="","",'P7'!G15)</f>
        <v>Sara Broe Østvold</v>
      </c>
      <c r="G22" s="239" t="str">
        <f>IF('P7'!H15="","",'P7'!H15)</f>
        <v>Spydeberg Atletene</v>
      </c>
      <c r="H22" s="245">
        <f>IF('P7'!O15="","",'P7'!O15)</f>
        <v>56</v>
      </c>
      <c r="I22" s="245">
        <f>IF('P7'!P15="","",'P7'!P15)</f>
        <v>70</v>
      </c>
      <c r="J22" s="246">
        <f>IF('P7'!T15="","",'P7'!T15)</f>
        <v>6.86</v>
      </c>
      <c r="K22" s="246">
        <f>IF('P7'!U15="","",'P7'!U15)</f>
        <v>7.68</v>
      </c>
      <c r="L22" s="246">
        <f>IF('P7'!V15="","",'P7'!V15)</f>
        <v>7.41</v>
      </c>
      <c r="M22" s="246">
        <f>IF('P7'!X16="","",'P7'!X16)</f>
        <v>537.85576014847993</v>
      </c>
    </row>
    <row r="23" spans="1:13" ht="16">
      <c r="A23" s="236">
        <v>18</v>
      </c>
      <c r="B23" s="246">
        <f>IF('P3'!B21="","",'P3'!B21)</f>
        <v>75.61</v>
      </c>
      <c r="C23" s="237" t="str">
        <f>IF('P3'!C21="","",'P3'!C21)</f>
        <v>K2</v>
      </c>
      <c r="D23" s="237" t="str">
        <f>IF('P3'!D21="","",'P3'!D21)</f>
        <v>+35</v>
      </c>
      <c r="E23" s="238">
        <f>IF('P3'!E21="","",'P3'!E21)</f>
        <v>29367</v>
      </c>
      <c r="F23" s="239" t="str">
        <f>IF('P3'!G21="","",'P3'!G21)</f>
        <v>Ingeborg Endresen</v>
      </c>
      <c r="G23" s="239" t="str">
        <f>IF('P3'!H21="","",'P3'!H21)</f>
        <v>AK Bjørgvin</v>
      </c>
      <c r="H23" s="245">
        <f>IF('P3'!O21="","",'P3'!O21)</f>
        <v>67</v>
      </c>
      <c r="I23" s="245">
        <f>IF('P3'!P21="","",'P3'!P21)</f>
        <v>78</v>
      </c>
      <c r="J23" s="246">
        <f>IF('P3'!T21="","",'P3'!T21)</f>
        <v>6.3</v>
      </c>
      <c r="K23" s="246">
        <f>IF('P3'!U21="","",'P3'!U21)</f>
        <v>8.4499999999999993</v>
      </c>
      <c r="L23" s="246">
        <f>IF('P3'!V21="","",'P3'!V21)</f>
        <v>7.71</v>
      </c>
      <c r="M23" s="246">
        <f>IF('P3'!X22="","",'P3'!X22)</f>
        <v>530.32108890961217</v>
      </c>
    </row>
    <row r="24" spans="1:13" ht="16">
      <c r="A24" s="236">
        <v>19</v>
      </c>
      <c r="B24" s="246">
        <f>IF('P3'!B15="","",'P3'!B15)</f>
        <v>69.94</v>
      </c>
      <c r="C24" s="237" t="str">
        <f>IF('P3'!C15="","",'P3'!C15)</f>
        <v>UK</v>
      </c>
      <c r="D24" s="237" t="str">
        <f>IF('P3'!D15="","",'P3'!D15)</f>
        <v>17-18</v>
      </c>
      <c r="E24" s="238">
        <f>IF('P3'!E15="","",'P3'!E15)</f>
        <v>38072</v>
      </c>
      <c r="F24" s="239" t="str">
        <f>IF('P3'!G15="","",'P3'!G15)</f>
        <v>Marte Walseth</v>
      </c>
      <c r="G24" s="239" t="str">
        <f>IF('P3'!H15="","",'P3'!H15)</f>
        <v>Nidelv IL</v>
      </c>
      <c r="H24" s="245">
        <f>IF('P3'!O15="","",'P3'!O15)</f>
        <v>55</v>
      </c>
      <c r="I24" s="245">
        <f>IF('P3'!P15="","",'P3'!P15)</f>
        <v>70</v>
      </c>
      <c r="J24" s="246">
        <f>IF('P3'!T15="","",'P3'!T15)</f>
        <v>6.53</v>
      </c>
      <c r="K24" s="246">
        <f>IF('P3'!U15="","",'P3'!U15)</f>
        <v>8.2799999999999994</v>
      </c>
      <c r="L24" s="246">
        <f>IF('P3'!V15="","",'P3'!V15)</f>
        <v>7.59</v>
      </c>
      <c r="M24" s="246">
        <f>IF('P3'!X16="","",'P3'!X16)</f>
        <v>519.43804233534138</v>
      </c>
    </row>
    <row r="25" spans="1:13" ht="16">
      <c r="A25" s="236">
        <v>20</v>
      </c>
      <c r="B25" s="246">
        <f>IF('P1'!B23="","",'P1'!B23)</f>
        <v>70.59</v>
      </c>
      <c r="C25" s="237" t="str">
        <f>IF('P1'!C23="","",'P1'!C23)</f>
        <v>UK</v>
      </c>
      <c r="D25" s="237" t="str">
        <f>IF('P1'!D23="","",'P1'!D23)</f>
        <v>15-16</v>
      </c>
      <c r="E25" s="238">
        <f>IF('P1'!E23="","",'P1'!E23)</f>
        <v>38610</v>
      </c>
      <c r="F25" s="239" t="str">
        <f>IF('P1'!G23="","",'P1'!G23)</f>
        <v>Trine Endestad Hellevang</v>
      </c>
      <c r="G25" s="239" t="str">
        <f>IF('P1'!H23="","",'P1'!H23)</f>
        <v>Tambarskjelvar IL</v>
      </c>
      <c r="H25" s="245">
        <f>IF('P1'!O23="","",'P1'!O23)</f>
        <v>56</v>
      </c>
      <c r="I25" s="245">
        <f>IF('P1'!P23="","",'P1'!P23)</f>
        <v>68</v>
      </c>
      <c r="J25" s="246">
        <f>IF('P1'!T23="","",'P1'!T23)</f>
        <v>6.52</v>
      </c>
      <c r="K25" s="246">
        <f>IF('P1'!U23="","",'P1'!U23)</f>
        <v>9.08</v>
      </c>
      <c r="L25" s="246">
        <f>IF('P1'!V23="","",'P1'!V23)</f>
        <v>7.79</v>
      </c>
      <c r="M25" s="246">
        <f>IF('P1'!X24="","",'P1'!X24)</f>
        <v>519.2537174567135</v>
      </c>
    </row>
    <row r="26" spans="1:13" ht="16">
      <c r="A26" s="236">
        <v>21</v>
      </c>
      <c r="B26" s="246">
        <f>IF('P1'!B11="","",'P1'!B11)</f>
        <v>55.8</v>
      </c>
      <c r="C26" s="237" t="str">
        <f>IF('P1'!C11="","",'P1'!C11)</f>
        <v>UK</v>
      </c>
      <c r="D26" s="237" t="str">
        <f>IF('P1'!D11="","",'P1'!D11)</f>
        <v>13-14</v>
      </c>
      <c r="E26" s="238">
        <f>IF('P1'!E11="","",'P1'!E11)</f>
        <v>39505</v>
      </c>
      <c r="F26" s="239" t="str">
        <f>IF('P1'!G11="","",'P1'!G11)</f>
        <v>Eline Høien</v>
      </c>
      <c r="G26" s="239" t="str">
        <f>IF('P1'!H11="","",'P1'!H11)</f>
        <v>Vigrstad IK</v>
      </c>
      <c r="H26" s="245">
        <f>IF('P1'!O11="","",'P1'!O11)</f>
        <v>40</v>
      </c>
      <c r="I26" s="245">
        <f>IF('P1'!P11="","",'P1'!P11)</f>
        <v>51</v>
      </c>
      <c r="J26" s="246">
        <f>IF('P1'!T11="","",'P1'!T11)</f>
        <v>6.2</v>
      </c>
      <c r="K26" s="246">
        <f>IF('P1'!U11="","",'P1'!U11)</f>
        <v>9.65</v>
      </c>
      <c r="L26" s="246">
        <f>IF('P1'!V11="","",'P1'!V11)</f>
        <v>7.3</v>
      </c>
      <c r="M26" s="246">
        <f>IF('P1'!X12="","",'P1'!X12)</f>
        <v>512.27725891629279</v>
      </c>
    </row>
    <row r="27" spans="1:13" ht="16">
      <c r="A27" s="236">
        <v>22</v>
      </c>
      <c r="B27" s="246">
        <f>IF('P5'!B17="","",'P5'!B17)</f>
        <v>76.099999999999994</v>
      </c>
      <c r="C27" s="237" t="str">
        <f>IF('P5'!C17="","",'P5'!C17)</f>
        <v>JK</v>
      </c>
      <c r="D27" s="237" t="str">
        <f>IF('P5'!D17="","",'P5'!D17)</f>
        <v>19-23</v>
      </c>
      <c r="E27" s="238">
        <f>IF('P5'!E17="","",'P5'!E17)</f>
        <v>37069</v>
      </c>
      <c r="F27" s="239" t="str">
        <f>IF('P5'!G17="","",'P5'!G17)</f>
        <v>Anna Wiik</v>
      </c>
      <c r="G27" s="239" t="str">
        <f>IF('P5'!H17="","",'P5'!H17)</f>
        <v>Breimsbygda IL</v>
      </c>
      <c r="H27" s="245">
        <f>IF('P5'!O17="","",'P5'!O17)</f>
        <v>46</v>
      </c>
      <c r="I27" s="245">
        <f>IF('P5'!P17="","",'P5'!P17)</f>
        <v>65</v>
      </c>
      <c r="J27" s="246">
        <f>IF('P5'!T17="","",'P5'!T17)</f>
        <v>6.67</v>
      </c>
      <c r="K27" s="246">
        <f>IF('P5'!U17="","",'P5'!U17)</f>
        <v>10.47</v>
      </c>
      <c r="L27" s="246">
        <f>IF('P5'!V17="","",'P5'!V17)</f>
        <v>7.86</v>
      </c>
      <c r="M27" s="246">
        <f>IF('P5'!X18="","",'P5'!X18)</f>
        <v>511.07746302100179</v>
      </c>
    </row>
    <row r="28" spans="1:13" ht="16">
      <c r="A28" s="236">
        <v>23</v>
      </c>
      <c r="B28" s="246">
        <f>IF('P1'!B19="","",'P1'!B19)</f>
        <v>58.66</v>
      </c>
      <c r="C28" s="237" t="str">
        <f>IF('P1'!C19="","",'P1'!C19)</f>
        <v>UK</v>
      </c>
      <c r="D28" s="237" t="str">
        <f>IF('P1'!D19="","",'P1'!D19)</f>
        <v>15-16</v>
      </c>
      <c r="E28" s="238">
        <f>IF('P1'!E19="","",'P1'!E19)</f>
        <v>38628</v>
      </c>
      <c r="F28" s="239" t="str">
        <f>IF('P1'!G19="","",'P1'!G19)</f>
        <v>Madeleine Aaslund Jenack</v>
      </c>
      <c r="G28" s="239" t="str">
        <f>IF('P1'!H19="","",'P1'!H19)</f>
        <v>Tysvær VK</v>
      </c>
      <c r="H28" s="245">
        <f>IF('P1'!O19="","",'P1'!O19)</f>
        <v>46</v>
      </c>
      <c r="I28" s="245">
        <f>IF('P1'!P19="","",'P1'!P19)</f>
        <v>55</v>
      </c>
      <c r="J28" s="246">
        <f>IF('P1'!T19="","",'P1'!T19)</f>
        <v>6.08</v>
      </c>
      <c r="K28" s="246">
        <f>IF('P1'!U19="","",'P1'!U19)</f>
        <v>8.86</v>
      </c>
      <c r="L28" s="246">
        <f>IF('P1'!V19="","",'P1'!V19)</f>
        <v>7.45</v>
      </c>
      <c r="M28" s="246">
        <f>IF('P1'!X20="","",'P1'!X20)</f>
        <v>502.9423036349001</v>
      </c>
    </row>
    <row r="29" spans="1:13" ht="16">
      <c r="A29" s="236">
        <v>24</v>
      </c>
      <c r="B29" s="246">
        <f>IF('P1'!B9="","",'P1'!B9)</f>
        <v>55.54</v>
      </c>
      <c r="C29" s="237" t="str">
        <f>IF('P1'!C9="","",'P1'!C9)</f>
        <v>UK</v>
      </c>
      <c r="D29" s="237" t="str">
        <f>IF('P1'!D9="","",'P1'!D9)</f>
        <v>13-14</v>
      </c>
      <c r="E29" s="238">
        <f>IF('P1'!E9="","",'P1'!E9)</f>
        <v>39575</v>
      </c>
      <c r="F29" s="239" t="str">
        <f>IF('P1'!G9="","",'P1'!G9)</f>
        <v>Mariell Endestad Hellevang</v>
      </c>
      <c r="G29" s="239" t="str">
        <f>IF('P1'!H9="","",'P1'!H9)</f>
        <v>Tambarskjelvar IL</v>
      </c>
      <c r="H29" s="245">
        <f>IF('P1'!O9="","",'P1'!O9)</f>
        <v>40</v>
      </c>
      <c r="I29" s="245">
        <f>IF('P1'!P9="","",'P1'!P9)</f>
        <v>54</v>
      </c>
      <c r="J29" s="246">
        <f>IF('P1'!T9="","",'P1'!T9)</f>
        <v>6.34</v>
      </c>
      <c r="K29" s="246">
        <f>IF('P1'!U9="","",'P1'!U9)</f>
        <v>9.84</v>
      </c>
      <c r="L29" s="246">
        <f>IF('P1'!V9="","",'P1'!V9)</f>
        <v>7.91</v>
      </c>
      <c r="M29" s="246">
        <f>IF('P1'!X10="","",'P1'!X10)</f>
        <v>495.16837227225727</v>
      </c>
    </row>
    <row r="30" spans="1:13" ht="16">
      <c r="A30" s="236">
        <v>25</v>
      </c>
      <c r="B30" s="246">
        <f>IF('P3'!B11="","",'P3'!B11)</f>
        <v>56.64</v>
      </c>
      <c r="C30" s="237" t="str">
        <f>IF('P3'!C11="","",'P3'!C11)</f>
        <v>UK</v>
      </c>
      <c r="D30" s="237" t="str">
        <f>IF('P3'!D11="","",'P3'!D11)</f>
        <v>17-18</v>
      </c>
      <c r="E30" s="238">
        <f>IF('P3'!E11="","",'P3'!E11)</f>
        <v>38030</v>
      </c>
      <c r="F30" s="239" t="str">
        <f>IF('P3'!G11="","",'P3'!G11)</f>
        <v>Siv-Helene Haaland</v>
      </c>
      <c r="G30" s="239" t="str">
        <f>IF('P3'!H11="","",'P3'!H11)</f>
        <v>Tysvær VK</v>
      </c>
      <c r="H30" s="245">
        <f>IF('P3'!O11="","",'P3'!O11)</f>
        <v>40</v>
      </c>
      <c r="I30" s="245">
        <f>IF('P3'!P11="","",'P3'!P11)</f>
        <v>42</v>
      </c>
      <c r="J30" s="246">
        <f>IF('P3'!T11="","",'P3'!T11)</f>
        <v>6.09</v>
      </c>
      <c r="K30" s="246">
        <f>IF('P3'!U11="","",'P3'!U11)</f>
        <v>6.57</v>
      </c>
      <c r="L30" s="246">
        <f>IF('P3'!V11="","",'P3'!V11)</f>
        <v>7.89</v>
      </c>
      <c r="M30" s="246">
        <f>IF('P3'!X12="","",'P3'!X12)</f>
        <v>429.30555929348805</v>
      </c>
    </row>
    <row r="31" spans="1:13" ht="16">
      <c r="A31" s="236">
        <v>26</v>
      </c>
      <c r="B31" s="246">
        <f>IF('P1'!B15="","",'P1'!B15)</f>
        <v>69.38</v>
      </c>
      <c r="C31" s="237" t="str">
        <f>IF('P1'!C15="","",'P1'!C15)</f>
        <v>UK</v>
      </c>
      <c r="D31" s="237" t="str">
        <f>IF('P1'!D15="","",'P1'!D15)</f>
        <v>13-14</v>
      </c>
      <c r="E31" s="238">
        <f>IF('P1'!E15="","",'P1'!E15)</f>
        <v>39099</v>
      </c>
      <c r="F31" s="239" t="str">
        <f>IF('P1'!G15="","",'P1'!G15)</f>
        <v>Eline Svendsen</v>
      </c>
      <c r="G31" s="239" t="str">
        <f>IF('P1'!H15="","",'P1'!H15)</f>
        <v>Tysvær VK</v>
      </c>
      <c r="H31" s="245">
        <f>IF('P1'!O15="","",'P1'!O15)</f>
        <v>28</v>
      </c>
      <c r="I31" s="245">
        <f>IF('P1'!P15="","",'P1'!P15)</f>
        <v>47</v>
      </c>
      <c r="J31" s="246">
        <f>IF('P1'!T15="","",'P1'!T15)</f>
        <v>5.92</v>
      </c>
      <c r="K31" s="246">
        <f>IF('P1'!U15="","",'P1'!U15)</f>
        <v>7.31</v>
      </c>
      <c r="L31" s="246">
        <f>IF('P1'!V15="","",'P1'!V15)</f>
        <v>7.82</v>
      </c>
      <c r="M31" s="246">
        <f>IF('P1'!X16="","",'P1'!X16)</f>
        <v>409.03078806029419</v>
      </c>
    </row>
    <row r="32" spans="1:13" ht="16">
      <c r="A32" s="236">
        <v>27</v>
      </c>
      <c r="B32" s="246">
        <f>IF('P1'!B13="","",'P1'!B13)</f>
        <v>67.75</v>
      </c>
      <c r="C32" s="237" t="str">
        <f>IF('P1'!C13="","",'P1'!C13)</f>
        <v>UK</v>
      </c>
      <c r="D32" s="237" t="str">
        <f>IF('P1'!D13="","",'P1'!D13)</f>
        <v>13-14</v>
      </c>
      <c r="E32" s="238">
        <f>IF('P1'!E13="","",'P1'!E13)</f>
        <v>39742</v>
      </c>
      <c r="F32" s="239" t="str">
        <f>IF('P1'!G13="","",'P1'!G13)</f>
        <v>Mille Dekke</v>
      </c>
      <c r="G32" s="239" t="str">
        <f>IF('P1'!H13="","",'P1'!H13)</f>
        <v>Spydeberg Atletene</v>
      </c>
      <c r="H32" s="245">
        <f>IF('P1'!O13="","",'P1'!O13)</f>
        <v>37</v>
      </c>
      <c r="I32" s="245">
        <f>IF('P1'!P13="","",'P1'!P13)</f>
        <v>47</v>
      </c>
      <c r="J32" s="246">
        <f>IF('P1'!T13="","",'P1'!T13)</f>
        <v>5.33</v>
      </c>
      <c r="K32" s="246">
        <f>IF('P1'!U13="","",'P1'!U13)</f>
        <v>9.2200000000000006</v>
      </c>
      <c r="L32" s="246">
        <f>IF('P1'!V13="","",'P1'!V13)</f>
        <v>8.77</v>
      </c>
      <c r="M32" s="246">
        <f>IF('P1'!X14="","",'P1'!X14)</f>
        <v>401.0955652761449</v>
      </c>
    </row>
    <row r="33" spans="1:13" ht="16">
      <c r="A33" s="236">
        <v>28</v>
      </c>
      <c r="B33" s="246">
        <f>IF('P3'!B23="","",'P3'!B23)</f>
        <v>83.61</v>
      </c>
      <c r="C33" s="237" t="str">
        <f>IF('P3'!C23="","",'P3'!C23)</f>
        <v>K3</v>
      </c>
      <c r="D33" s="237" t="str">
        <f>IF('P3'!D23="","",'P3'!D23)</f>
        <v>+35</v>
      </c>
      <c r="E33" s="238">
        <f>IF('P3'!E23="","",'P3'!E23)</f>
        <v>27503</v>
      </c>
      <c r="F33" s="239" t="str">
        <f>IF('P3'!G23="","",'P3'!G23)</f>
        <v>Monika Zakrzewska</v>
      </c>
      <c r="G33" s="239" t="str">
        <f>IF('P3'!H23="","",'P3'!H23)</f>
        <v>Tysvær VK</v>
      </c>
      <c r="H33" s="245">
        <f>IF('P3'!O23="","",'P3'!O23)</f>
        <v>42</v>
      </c>
      <c r="I33" s="245">
        <f>IF('P3'!P23="","",'P3'!P23)</f>
        <v>59</v>
      </c>
      <c r="J33" s="246">
        <f>IF('P3'!T23="","",'P3'!T23)</f>
        <v>5.36</v>
      </c>
      <c r="K33" s="246">
        <f>IF('P3'!U23="","",'P3'!U23)</f>
        <v>8.81</v>
      </c>
      <c r="L33" s="246">
        <f>IF('P3'!V23="","",'P3'!V23)</f>
        <v>10.220000000000001</v>
      </c>
      <c r="M33" s="246">
        <f>IF('P3'!X24="","",'P3'!X24)</f>
        <v>359.20656198678216</v>
      </c>
    </row>
    <row r="34" spans="1:13" ht="16">
      <c r="A34" s="236"/>
      <c r="B34" s="246">
        <f>IF('P7'!B19="","",'P7'!B19)</f>
        <v>59.45</v>
      </c>
      <c r="C34" s="237" t="str">
        <f>IF('P7'!C19="","",'P7'!C19)</f>
        <v>SK</v>
      </c>
      <c r="D34" s="237" t="str">
        <f>IF('P7'!D19="","",'P7'!D19)</f>
        <v>24-34</v>
      </c>
      <c r="E34" s="238">
        <f>IF('P7'!E19="","",'P7'!E19)</f>
        <v>33830</v>
      </c>
      <c r="F34" s="239" t="str">
        <f>IF('P7'!G19="","",'P7'!G19)</f>
        <v>Sol Anette Waaler</v>
      </c>
      <c r="G34" s="239" t="str">
        <f>IF('P7'!H19="","",'P7'!H19)</f>
        <v>Trondheim AK</v>
      </c>
      <c r="H34" s="245" t="str">
        <f>IF('P7'!O19="","",'P7'!O19)</f>
        <v/>
      </c>
      <c r="I34" s="245">
        <f>IF('P7'!P19="","",'P7'!P19)</f>
        <v>105</v>
      </c>
      <c r="J34" s="246" t="str">
        <f>IF('P7'!T19="","",'P7'!T19)</f>
        <v/>
      </c>
      <c r="K34" s="246" t="str">
        <f>IF('P7'!U19="","",'P7'!U19)</f>
        <v/>
      </c>
      <c r="L34" s="246" t="str">
        <f>IF('P7'!V19="","",'P7'!V19)</f>
        <v/>
      </c>
      <c r="M34" s="246" t="str">
        <f>IF('P7'!X20="","",'P7'!X20)</f>
        <v/>
      </c>
    </row>
    <row r="35" spans="1:13" ht="8" customHeight="1"/>
    <row r="36" spans="1:13" ht="21" thickBot="1">
      <c r="A36" s="317" t="s">
        <v>45</v>
      </c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9"/>
    </row>
    <row r="37" spans="1:13" ht="8" customHeight="1"/>
    <row r="38" spans="1:13" s="13" customFormat="1" ht="16">
      <c r="A38" s="236">
        <v>1</v>
      </c>
      <c r="B38" s="246">
        <f>IF('P9'!B17="","",'P9'!B17)</f>
        <v>107.08</v>
      </c>
      <c r="C38" s="237" t="str">
        <f>IF('P9'!C17="","",'P9'!C17)</f>
        <v>SM</v>
      </c>
      <c r="D38" s="237" t="str">
        <f>IF('P9'!D17="","",'P9'!D17)</f>
        <v>24-34</v>
      </c>
      <c r="E38" s="238" t="str">
        <f>IF('P9'!E17="","",'P9'!E17)</f>
        <v>15.10.92</v>
      </c>
      <c r="F38" s="239" t="str">
        <f>IF('P9'!G17="","",'P9'!G17)</f>
        <v>Jørgen Kjellevand</v>
      </c>
      <c r="G38" s="239" t="str">
        <f>IF('P9'!H17="","",'P9'!H17)</f>
        <v>Spydeberg Atletene</v>
      </c>
      <c r="H38" s="245">
        <f>IF('P9'!O17="","",'P9'!O17)</f>
        <v>130</v>
      </c>
      <c r="I38" s="245">
        <f>IF('P9'!P17="","",'P9'!P17)</f>
        <v>166</v>
      </c>
      <c r="J38" s="246">
        <f>IF('P9'!T17="","",'P9'!T17)</f>
        <v>9.2899999999999991</v>
      </c>
      <c r="K38" s="246">
        <f>IF('P9'!U17="","",'P9'!U17)</f>
        <v>15.99</v>
      </c>
      <c r="L38" s="246">
        <f>IF('P9'!V17="","",'P9'!V17)</f>
        <v>6.37</v>
      </c>
      <c r="M38" s="246">
        <f>IF('P9'!X18="","",'P9'!X18)</f>
        <v>922.34920354763199</v>
      </c>
    </row>
    <row r="39" spans="1:13" s="13" customFormat="1" ht="16">
      <c r="A39" s="236">
        <v>2</v>
      </c>
      <c r="B39" s="246">
        <f>IF('P6'!B21="","",'P6'!B21)</f>
        <v>85.82</v>
      </c>
      <c r="C39" s="237" t="str">
        <f>IF('P6'!C21="","",'P6'!C21)</f>
        <v>SM</v>
      </c>
      <c r="D39" s="237" t="str">
        <f>IF('P6'!D21="","",'P6'!D21)</f>
        <v>19-23</v>
      </c>
      <c r="E39" s="238">
        <f>IF('P6'!E21="","",'P6'!E21)</f>
        <v>36748</v>
      </c>
      <c r="F39" s="239" t="str">
        <f>IF('P6'!G21="","",'P6'!G21)</f>
        <v>Bent Andre Midtbø</v>
      </c>
      <c r="G39" s="239" t="str">
        <f>IF('P6'!H21="","",'P6'!H21)</f>
        <v>Breimsbygda IL</v>
      </c>
      <c r="H39" s="245">
        <f>IF('P6'!O21="","",'P6'!O21)</f>
        <v>105</v>
      </c>
      <c r="I39" s="245">
        <f>IF('P6'!P21="","",'P6'!P21)</f>
        <v>145</v>
      </c>
      <c r="J39" s="246">
        <f>IF('P6'!T21="","",'P6'!T21)</f>
        <v>9.43</v>
      </c>
      <c r="K39" s="246">
        <f>IF('P6'!U21="","",'P6'!U21)</f>
        <v>14.58</v>
      </c>
      <c r="L39" s="246">
        <f>IF('P6'!V21="","",'P6'!V21)</f>
        <v>6.21</v>
      </c>
      <c r="M39" s="246">
        <f>IF('P6'!X22="","",'P6'!X22)</f>
        <v>880.71965491980791</v>
      </c>
    </row>
    <row r="40" spans="1:13" s="13" customFormat="1" ht="16">
      <c r="A40" s="236">
        <v>3</v>
      </c>
      <c r="B40" s="246">
        <f>IF('P6'!B15="","",'P6'!B15)</f>
        <v>63.61</v>
      </c>
      <c r="C40" s="237" t="str">
        <f>IF('P6'!C15="","",'P6'!C15)</f>
        <v>SM</v>
      </c>
      <c r="D40" s="237" t="str">
        <f>IF('P6'!D15="","",'P6'!D15)</f>
        <v>19-23</v>
      </c>
      <c r="E40" s="238" t="str">
        <f>IF('P6'!E15="","",'P6'!E15)</f>
        <v>19.12.00</v>
      </c>
      <c r="F40" s="239" t="str">
        <f>IF('P6'!G15="","",'P6'!G15)</f>
        <v>Marcus Bratli</v>
      </c>
      <c r="G40" s="239" t="str">
        <f>IF('P6'!H15="","",'P6'!H15)</f>
        <v>AK Bjørgvin</v>
      </c>
      <c r="H40" s="245">
        <f>IF('P6'!O15="","",'P6'!O15)</f>
        <v>100</v>
      </c>
      <c r="I40" s="245">
        <f>IF('P6'!P15="","",'P6'!P15)</f>
        <v>120</v>
      </c>
      <c r="J40" s="246">
        <f>IF('P6'!T15="","",'P6'!T15)</f>
        <v>8.8699999999999992</v>
      </c>
      <c r="K40" s="246">
        <f>IF('P6'!U15="","",'P6'!U15)</f>
        <v>12.93</v>
      </c>
      <c r="L40" s="246">
        <f>IF('P6'!V15="","",'P6'!V15)</f>
        <v>6.07</v>
      </c>
      <c r="M40" s="246">
        <f>IF('P6'!X16="","",'P6'!X16)</f>
        <v>871.05553006187426</v>
      </c>
    </row>
    <row r="41" spans="1:13" s="13" customFormat="1" ht="16">
      <c r="A41" s="236">
        <v>4</v>
      </c>
      <c r="B41" s="246">
        <f>IF('P8'!B9="","",'P8'!B9)</f>
        <v>70.239999999999995</v>
      </c>
      <c r="C41" s="237" t="str">
        <f>IF('P8'!C9="","",'P8'!C9)</f>
        <v>SM</v>
      </c>
      <c r="D41" s="237" t="str">
        <f>IF('P8'!D9="","",'P8'!D9)</f>
        <v>24-34</v>
      </c>
      <c r="E41" s="238" t="str">
        <f>IF('P8'!E9="","",'P8'!E9)</f>
        <v>10.05.90</v>
      </c>
      <c r="F41" s="239" t="str">
        <f>IF('P8'!G9="","",'P8'!G9)</f>
        <v>Michael Rosenberg</v>
      </c>
      <c r="G41" s="239" t="str">
        <f>IF('P8'!H9="","",'P8'!H9)</f>
        <v>Elverum AK</v>
      </c>
      <c r="H41" s="245">
        <f>IF('P8'!O9="","",'P8'!O9)</f>
        <v>100</v>
      </c>
      <c r="I41" s="245">
        <f>IF('P8'!P9="","",'P8'!P9)</f>
        <v>115</v>
      </c>
      <c r="J41" s="246">
        <f>IF('P8'!T9="","",'P8'!T9)</f>
        <v>9.5299999999999994</v>
      </c>
      <c r="K41" s="246">
        <f>IF('P8'!U9="","",'P8'!U9)</f>
        <v>12.98</v>
      </c>
      <c r="L41" s="246">
        <f>IF('P8'!V9="","",'P8'!V9)</f>
        <v>5.71</v>
      </c>
      <c r="M41" s="246">
        <f>IF('P8'!X10="","",'P8'!X10)</f>
        <v>866.6203713529751</v>
      </c>
    </row>
    <row r="42" spans="1:13" s="13" customFormat="1" ht="16">
      <c r="A42" s="236">
        <v>5</v>
      </c>
      <c r="B42" s="246">
        <f>IF('P9'!B15="","",'P9'!B15)</f>
        <v>97.8</v>
      </c>
      <c r="C42" s="237" t="str">
        <f>IF('P9'!C15="","",'P9'!C15)</f>
        <v>SM</v>
      </c>
      <c r="D42" s="237" t="str">
        <f>IF('P9'!D15="","",'P9'!D15)</f>
        <v>24-34</v>
      </c>
      <c r="E42" s="238">
        <f>IF('P9'!E15="","",'P9'!E15)</f>
        <v>34599</v>
      </c>
      <c r="F42" s="239" t="str">
        <f>IF('P9'!G15="","",'P9'!G15)</f>
        <v>Victor Boquetale Gomez</v>
      </c>
      <c r="G42" s="239" t="str">
        <f>IF('P9'!H15="","",'P9'!H15)</f>
        <v>Larvik AK</v>
      </c>
      <c r="H42" s="245">
        <f>IF('P9'!O15="","",'P9'!O15)</f>
        <v>120</v>
      </c>
      <c r="I42" s="245">
        <f>IF('P9'!P15="","",'P9'!P15)</f>
        <v>150</v>
      </c>
      <c r="J42" s="246">
        <f>IF('P9'!T15="","",'P9'!T15)</f>
        <v>9.27</v>
      </c>
      <c r="K42" s="246">
        <f>IF('P9'!U15="","",'P9'!U15)</f>
        <v>12.51</v>
      </c>
      <c r="L42" s="246">
        <f>IF('P9'!V15="","",'P9'!V15)</f>
        <v>6.16</v>
      </c>
      <c r="M42" s="246">
        <f>IF('P9'!X16="","",'P9'!X16)</f>
        <v>862.30759621220329</v>
      </c>
    </row>
    <row r="43" spans="1:13" s="13" customFormat="1" ht="16">
      <c r="A43" s="236">
        <v>6</v>
      </c>
      <c r="B43" s="246">
        <f>IF('P6'!B17="","",'P6'!B17)</f>
        <v>71.150000000000006</v>
      </c>
      <c r="C43" s="237" t="str">
        <f>IF('P6'!C17="","",'P6'!C17)</f>
        <v>SM</v>
      </c>
      <c r="D43" s="237" t="str">
        <f>IF('P6'!D17="","",'P6'!D17)</f>
        <v>19-23</v>
      </c>
      <c r="E43" s="238">
        <f>IF('P6'!E17="","",'P6'!E17)</f>
        <v>36529</v>
      </c>
      <c r="F43" s="239" t="str">
        <f>IF('P6'!G17="","",'P6'!G17)</f>
        <v>Robert Andre Moldestad</v>
      </c>
      <c r="G43" s="239" t="str">
        <f>IF('P6'!H17="","",'P6'!H17)</f>
        <v>Breimsbygda IL</v>
      </c>
      <c r="H43" s="245">
        <f>IF('P6'!O17="","",'P6'!O17)</f>
        <v>101</v>
      </c>
      <c r="I43" s="245">
        <f>IF('P6'!P17="","",'P6'!P17)</f>
        <v>125</v>
      </c>
      <c r="J43" s="246">
        <f>IF('P6'!T17="","",'P6'!T17)</f>
        <v>8.64</v>
      </c>
      <c r="K43" s="246">
        <f>IF('P6'!U17="","",'P6'!U17)</f>
        <v>13.33</v>
      </c>
      <c r="L43" s="246">
        <f>IF('P6'!V17="","",'P6'!V17)</f>
        <v>5.98</v>
      </c>
      <c r="M43" s="246">
        <f>IF('P6'!X18="","",'P6'!X18)</f>
        <v>860.01277223663919</v>
      </c>
    </row>
    <row r="44" spans="1:13" ht="16">
      <c r="A44" s="236">
        <v>7</v>
      </c>
      <c r="B44" s="246">
        <f>IF('P9'!B11="","",'P9'!B11)</f>
        <v>90.03</v>
      </c>
      <c r="C44" s="237" t="str">
        <f>IF('P9'!C11="","",'P9'!C11)</f>
        <v>SM</v>
      </c>
      <c r="D44" s="237" t="str">
        <f>IF('P9'!D11="","",'P9'!D11)</f>
        <v>24-34</v>
      </c>
      <c r="E44" s="238" t="str">
        <f>IF('P9'!E11="","",'P9'!E11)</f>
        <v>27.12.93</v>
      </c>
      <c r="F44" s="239" t="str">
        <f>IF('P9'!G11="","",'P9'!G11)</f>
        <v>Roy Sømme Ommedal</v>
      </c>
      <c r="G44" s="239" t="str">
        <f>IF('P9'!H11="","",'P9'!H11)</f>
        <v>Vigrestad IK</v>
      </c>
      <c r="H44" s="245">
        <f>IF('P9'!O11="","",'P9'!O11)</f>
        <v>105</v>
      </c>
      <c r="I44" s="245">
        <f>IF('P9'!P11="","",'P9'!P11)</f>
        <v>145</v>
      </c>
      <c r="J44" s="246">
        <f>IF('P9'!T11="","",'P9'!T11)</f>
        <v>8.76</v>
      </c>
      <c r="K44" s="246">
        <f>IF('P9'!U11="","",'P9'!U11)</f>
        <v>15.04</v>
      </c>
      <c r="L44" s="246">
        <f>IF('P9'!V11="","",'P9'!V11)</f>
        <v>6.42</v>
      </c>
      <c r="M44" s="246">
        <f>IF('P9'!X12="","",'P9'!X12)</f>
        <v>857.71278223355421</v>
      </c>
    </row>
    <row r="45" spans="1:13" ht="16">
      <c r="A45" s="236">
        <v>8</v>
      </c>
      <c r="B45" s="246">
        <f>IF('P9'!B13="","",'P9'!B13)</f>
        <v>97.23</v>
      </c>
      <c r="C45" s="237" t="str">
        <f>IF('P9'!C13="","",'P9'!C13)</f>
        <v>SM</v>
      </c>
      <c r="D45" s="237" t="str">
        <f>IF('P9'!D13="","",'P9'!D13)</f>
        <v>24-34</v>
      </c>
      <c r="E45" s="238">
        <f>IF('P9'!E13="","",'P9'!E13)</f>
        <v>32698</v>
      </c>
      <c r="F45" s="239" t="str">
        <f>IF('P9'!G13="","",'P9'!G13)</f>
        <v>Edvin Øygard</v>
      </c>
      <c r="G45" s="239" t="str">
        <f>IF('P9'!H13="","",'P9'!H13)</f>
        <v>Breimsbygda IL</v>
      </c>
      <c r="H45" s="245">
        <f>IF('P9'!O13="","",'P9'!O13)</f>
        <v>111</v>
      </c>
      <c r="I45" s="245">
        <f>IF('P9'!P13="","",'P9'!P13)</f>
        <v>126</v>
      </c>
      <c r="J45" s="246">
        <f>IF('P9'!T13="","",'P9'!T13)</f>
        <v>8.7899999999999991</v>
      </c>
      <c r="K45" s="246">
        <f>IF('P9'!U13="","",'P9'!U13)</f>
        <v>16.2</v>
      </c>
      <c r="L45" s="246">
        <f>IF('P9'!V13="","",'P9'!V13)</f>
        <v>6.22</v>
      </c>
      <c r="M45" s="246">
        <f>IF('P9'!X14="","",'P9'!X14)</f>
        <v>853.11349152800335</v>
      </c>
    </row>
    <row r="46" spans="1:13" ht="16">
      <c r="A46" s="236">
        <v>9</v>
      </c>
      <c r="B46" s="246">
        <f>IF('P6'!B23="","",'P6'!B23)</f>
        <v>87.15</v>
      </c>
      <c r="C46" s="237" t="str">
        <f>IF('P6'!C23="","",'P6'!C23)</f>
        <v>JM</v>
      </c>
      <c r="D46" s="237" t="str">
        <f>IF('P6'!D23="","",'P6'!D23)</f>
        <v>19-23</v>
      </c>
      <c r="E46" s="238" t="str">
        <f>IF('P6'!E23="","",'P6'!E23)</f>
        <v>22.11.01</v>
      </c>
      <c r="F46" s="239" t="str">
        <f>IF('P6'!G23="","",'P6'!G23)</f>
        <v>Mikal Akseth</v>
      </c>
      <c r="G46" s="239" t="str">
        <f>IF('P6'!H23="","",'P6'!H23)</f>
        <v>Hitra VK</v>
      </c>
      <c r="H46" s="245">
        <f>IF('P6'!O23="","",'P6'!O23)</f>
        <v>106</v>
      </c>
      <c r="I46" s="245">
        <f>IF('P6'!P23="","",'P6'!P23)</f>
        <v>129</v>
      </c>
      <c r="J46" s="246">
        <f>IF('P6'!T23="","",'P6'!T23)</f>
        <v>8.99</v>
      </c>
      <c r="K46" s="246">
        <f>IF('P6'!U23="","",'P6'!U23)</f>
        <v>13.44</v>
      </c>
      <c r="L46" s="246">
        <f>IF('P6'!V23="","",'P6'!V23)</f>
        <v>6.17</v>
      </c>
      <c r="M46" s="246">
        <f>IF('P6'!X24="","",'P6'!X24)</f>
        <v>837.4638840154762</v>
      </c>
    </row>
    <row r="47" spans="1:13" ht="16">
      <c r="A47" s="236">
        <v>10</v>
      </c>
      <c r="B47" s="246">
        <f>IF('P8'!B15="","",'P8'!B15)</f>
        <v>88.63</v>
      </c>
      <c r="C47" s="237" t="str">
        <f>IF('P8'!C15="","",'P8'!C15)</f>
        <v>SM</v>
      </c>
      <c r="D47" s="237" t="str">
        <f>IF('P8'!D15="","",'P8'!D15)</f>
        <v>24-34</v>
      </c>
      <c r="E47" s="238" t="str">
        <f>IF('P8'!E15="","",'P8'!E15)</f>
        <v>07.07.92</v>
      </c>
      <c r="F47" s="239" t="str">
        <f>IF('P8'!G15="","",'P8'!G15)</f>
        <v>Jonas Hetland Mong</v>
      </c>
      <c r="G47" s="239" t="str">
        <f>IF('P8'!H15="","",'P8'!H15)</f>
        <v>Vigrestad IK</v>
      </c>
      <c r="H47" s="245">
        <f>IF('P8'!O15="","",'P8'!O15)</f>
        <v>105</v>
      </c>
      <c r="I47" s="245">
        <f>IF('P8'!P15="","",'P8'!P15)</f>
        <v>135</v>
      </c>
      <c r="J47" s="246">
        <f>IF('P8'!T15="","",'P8'!T15)</f>
        <v>8.8000000000000007</v>
      </c>
      <c r="K47" s="246">
        <f>IF('P8'!U15="","",'P8'!U15)</f>
        <v>13.9</v>
      </c>
      <c r="L47" s="246">
        <f>IF('P8'!V15="","",'P8'!V15)</f>
        <v>6.47</v>
      </c>
      <c r="M47" s="246">
        <f>IF('P8'!X16="","",'P8'!X16)</f>
        <v>832.12396809939946</v>
      </c>
    </row>
    <row r="48" spans="1:13" ht="16">
      <c r="A48" s="236">
        <v>11</v>
      </c>
      <c r="B48" s="246">
        <f>IF('P6'!B25="","",'P6'!B25)</f>
        <v>105.61</v>
      </c>
      <c r="C48" s="237" t="str">
        <f>IF('P6'!C25="","",'P6'!C25)</f>
        <v>SM</v>
      </c>
      <c r="D48" s="237" t="str">
        <f>IF('P6'!D25="","",'P6'!D25)</f>
        <v>19-23</v>
      </c>
      <c r="E48" s="238" t="str">
        <f>IF('P6'!E25="","",'P6'!E25)</f>
        <v>13.09.99</v>
      </c>
      <c r="F48" s="239" t="str">
        <f>IF('P6'!G25="","",'P6'!G25)</f>
        <v>Vetle Andersen</v>
      </c>
      <c r="G48" s="239" t="str">
        <f>IF('P6'!H25="","",'P6'!H25)</f>
        <v>Larvik AK</v>
      </c>
      <c r="H48" s="245">
        <f>IF('P6'!O25="","",'P6'!O25)</f>
        <v>110</v>
      </c>
      <c r="I48" s="245">
        <f>IF('P6'!P25="","",'P6'!P25)</f>
        <v>130</v>
      </c>
      <c r="J48" s="246">
        <f>IF('P6'!T25="","",'P6'!T25)</f>
        <v>9.19</v>
      </c>
      <c r="K48" s="246">
        <f>IF('P6'!U25="","",'P6'!U25)</f>
        <v>14.17</v>
      </c>
      <c r="L48" s="246">
        <f>IF('P6'!V25="","",'P6'!V25)</f>
        <v>6.24</v>
      </c>
      <c r="M48" s="246">
        <f>IF('P6'!X26="","",'P6'!X26)</f>
        <v>829.32610271551152</v>
      </c>
    </row>
    <row r="49" spans="1:13" ht="16">
      <c r="A49" s="236">
        <v>12</v>
      </c>
      <c r="B49" s="246">
        <f>IF('P6'!B13="","",'P6'!B13)</f>
        <v>80.77</v>
      </c>
      <c r="C49" s="237" t="str">
        <f>IF('P6'!C13="","",'P6'!C13)</f>
        <v>UM</v>
      </c>
      <c r="D49" s="237" t="str">
        <f>IF('P6'!D13="","",'P6'!D13)</f>
        <v>17-18</v>
      </c>
      <c r="E49" s="238">
        <f>IF('P6'!E13="","",'P6'!E13)</f>
        <v>38067</v>
      </c>
      <c r="F49" s="239" t="str">
        <f>IF('P6'!G13="","",'P6'!G13)</f>
        <v>Kristen Røyseth</v>
      </c>
      <c r="G49" s="239" t="str">
        <f>IF('P6'!H13="","",'P6'!H13)</f>
        <v>Tambarskjelvar IL</v>
      </c>
      <c r="H49" s="245">
        <f>IF('P6'!O13="","",'P6'!O13)</f>
        <v>101</v>
      </c>
      <c r="I49" s="245">
        <f>IF('P6'!P13="","",'P6'!P13)</f>
        <v>134</v>
      </c>
      <c r="J49" s="246">
        <f>IF('P6'!T13="","",'P6'!T13)</f>
        <v>8.76</v>
      </c>
      <c r="K49" s="246">
        <f>IF('P6'!U13="","",'P6'!U13)</f>
        <v>11.44</v>
      </c>
      <c r="L49" s="246">
        <f>IF('P6'!V13="","",'P6'!V13)</f>
        <v>6.31</v>
      </c>
      <c r="M49" s="246">
        <f>IF('P6'!X14="","",'P6'!X14)</f>
        <v>811.2173818110723</v>
      </c>
    </row>
    <row r="50" spans="1:13" ht="16">
      <c r="A50" s="236">
        <v>13</v>
      </c>
      <c r="B50" s="246">
        <f>IF('P9'!B9="","",'P9'!B9)</f>
        <v>94.3</v>
      </c>
      <c r="C50" s="237" t="str">
        <f>IF('P9'!C9="","",'P9'!C9)</f>
        <v>SM</v>
      </c>
      <c r="D50" s="237" t="str">
        <f>IF('P9'!D9="","",'P9'!D9)</f>
        <v>24-34</v>
      </c>
      <c r="E50" s="238" t="str">
        <f>IF('P9'!E9="","",'P9'!E9)</f>
        <v>10.10.94</v>
      </c>
      <c r="F50" s="239" t="str">
        <f>IF('P9'!G9="","",'P9'!G9)</f>
        <v>Lars Espedal</v>
      </c>
      <c r="G50" s="239" t="str">
        <f>IF('P9'!H9="","",'P9'!H9)</f>
        <v>Vigrestad IK</v>
      </c>
      <c r="H50" s="245">
        <f>IF('P9'!O9="","",'P9'!O9)</f>
        <v>107</v>
      </c>
      <c r="I50" s="245">
        <f>IF('P9'!P9="","",'P9'!P9)</f>
        <v>125</v>
      </c>
      <c r="J50" s="246">
        <f>IF('P9'!T9="","",'P9'!T9)</f>
        <v>8.1199999999999992</v>
      </c>
      <c r="K50" s="246">
        <f>IF('P9'!U9="","",'P9'!U9)</f>
        <v>14.1</v>
      </c>
      <c r="L50" s="246">
        <f>IF('P9'!V9="","",'P9'!V9)</f>
        <v>6.5</v>
      </c>
      <c r="M50" s="246">
        <f>IF('P9'!X10="","",'P9'!X10)</f>
        <v>801.49034568140451</v>
      </c>
    </row>
    <row r="51" spans="1:13" ht="16">
      <c r="A51" s="236">
        <v>14</v>
      </c>
      <c r="B51" s="246">
        <f>IF('P6'!B19="","",'P6'!B19)</f>
        <v>75.150000000000006</v>
      </c>
      <c r="C51" s="237" t="str">
        <f>IF('P6'!C19="","",'P6'!C19)</f>
        <v>JM</v>
      </c>
      <c r="D51" s="237" t="str">
        <f>IF('P6'!D19="","",'P6'!D19)</f>
        <v>19-23</v>
      </c>
      <c r="E51" s="238" t="str">
        <f>IF('P6'!E19="","",'P6'!E19)</f>
        <v>26.09.01</v>
      </c>
      <c r="F51" s="239" t="str">
        <f>IF('P6'!G19="","",'P6'!G19)</f>
        <v>Remy Heggvik Aune</v>
      </c>
      <c r="G51" s="239" t="str">
        <f>IF('P6'!H19="","",'P6'!H19)</f>
        <v>Hitra VK</v>
      </c>
      <c r="H51" s="245">
        <f>IF('P6'!O19="","",'P6'!O19)</f>
        <v>100</v>
      </c>
      <c r="I51" s="245">
        <f>IF('P6'!P19="","",'P6'!P19)</f>
        <v>135</v>
      </c>
      <c r="J51" s="246">
        <f>IF('P6'!T19="","",'P6'!T19)</f>
        <v>8.06</v>
      </c>
      <c r="K51" s="246">
        <f>IF('P6'!U19="","",'P6'!U19)</f>
        <v>10.93</v>
      </c>
      <c r="L51" s="246">
        <f>IF('P6'!V19="","",'P6'!V19)</f>
        <v>6.42</v>
      </c>
      <c r="M51" s="246">
        <f>IF('P6'!X20="","",'P6'!X20)</f>
        <v>799.97450169552951</v>
      </c>
    </row>
    <row r="52" spans="1:13" ht="16">
      <c r="A52" s="236">
        <v>15</v>
      </c>
      <c r="B52" s="246">
        <f>IF('P8'!B21="","",'P8'!B21)</f>
        <v>105.9</v>
      </c>
      <c r="C52" s="237" t="str">
        <f>IF('P8'!C21="","",'P8'!C21)</f>
        <v>M3</v>
      </c>
      <c r="D52" s="237" t="str">
        <f>IF('P8'!D21="","",'P8'!D21)</f>
        <v>+35</v>
      </c>
      <c r="E52" s="238" t="str">
        <f>IF('P8'!E21="","",'P8'!E21)</f>
        <v>30.03.76</v>
      </c>
      <c r="F52" s="239" t="str">
        <f>IF('P8'!G21="","",'P8'!G21)</f>
        <v>Børge Aadland</v>
      </c>
      <c r="G52" s="239" t="str">
        <f>IF('P8'!H21="","",'P8'!H21)</f>
        <v>AK Bjørgvin</v>
      </c>
      <c r="H52" s="245">
        <f>IF('P8'!O21="","",'P8'!O21)</f>
        <v>110</v>
      </c>
      <c r="I52" s="245">
        <f>IF('P8'!P21="","",'P8'!P21)</f>
        <v>149</v>
      </c>
      <c r="J52" s="246">
        <f>IF('P8'!T21="","",'P8'!T21)</f>
        <v>7.78</v>
      </c>
      <c r="K52" s="246">
        <f>IF('P8'!U21="","",'P8'!U21)</f>
        <v>12.18</v>
      </c>
      <c r="L52" s="246">
        <f>IF('P8'!V21="","",'P8'!V21)</f>
        <v>7.05</v>
      </c>
      <c r="M52" s="246">
        <f>IF('P8'!X22="","",'P8'!X22)</f>
        <v>767.75367218895815</v>
      </c>
    </row>
    <row r="53" spans="1:13" ht="16">
      <c r="A53" s="236">
        <v>16</v>
      </c>
      <c r="B53" s="246">
        <f>IF('P4'!B15="","",'P4'!B15)</f>
        <v>65.23</v>
      </c>
      <c r="C53" s="237" t="str">
        <f>IF('P4'!C15="","",'P4'!C15)</f>
        <v>UM</v>
      </c>
      <c r="D53" s="237" t="str">
        <f>IF('P4'!D15="","",'P4'!D15)</f>
        <v>15-16</v>
      </c>
      <c r="E53" s="238">
        <f>IF('P4'!E15="","",'P4'!E15)</f>
        <v>38400</v>
      </c>
      <c r="F53" s="239" t="str">
        <f>IF('P4'!G15="","",'P4'!G15)</f>
        <v>Sander Heyn Stave</v>
      </c>
      <c r="G53" s="239" t="str">
        <f>IF('P4'!H15="","",'P4'!H15)</f>
        <v>Larvik AK</v>
      </c>
      <c r="H53" s="245">
        <f>IF('P4'!O15="","",'P4'!O15)</f>
        <v>78</v>
      </c>
      <c r="I53" s="245">
        <f>IF('P4'!P15="","",'P4'!P15)</f>
        <v>100</v>
      </c>
      <c r="J53" s="246">
        <f>IF('P4'!T15="","",'P4'!T15)</f>
        <v>8.2200000000000006</v>
      </c>
      <c r="K53" s="246">
        <f>IF('P4'!U15="","",'P4'!U15)</f>
        <v>12.6</v>
      </c>
      <c r="L53" s="246">
        <f>IF('P4'!V15="","",'P4'!V15)</f>
        <v>6.32</v>
      </c>
      <c r="M53" s="246">
        <f>IF('P4'!X16="","",'P4'!X16)</f>
        <v>766.32951188767652</v>
      </c>
    </row>
    <row r="54" spans="1:13" ht="16">
      <c r="A54" s="236">
        <v>17</v>
      </c>
      <c r="B54" s="246">
        <f>IF('P4'!B19="","",'P4'!B19)</f>
        <v>65.48</v>
      </c>
      <c r="C54" s="237" t="str">
        <f>IF('P4'!C19="","",'P4'!C19)</f>
        <v>UM</v>
      </c>
      <c r="D54" s="237" t="str">
        <f>IF('P4'!D19="","",'P4'!D19)</f>
        <v>15-16</v>
      </c>
      <c r="E54" s="238">
        <f>IF('P4'!E19="","",'P4'!E19)</f>
        <v>38405</v>
      </c>
      <c r="F54" s="239" t="str">
        <f>IF('P4'!G19="","",'P4'!G19)</f>
        <v>Magnus Børøsund</v>
      </c>
      <c r="G54" s="239" t="str">
        <f>IF('P4'!H19="","",'P4'!H19)</f>
        <v>Nidelv IL</v>
      </c>
      <c r="H54" s="245">
        <f>IF('P4'!O19="","",'P4'!O19)</f>
        <v>77</v>
      </c>
      <c r="I54" s="245">
        <f>IF('P4'!P19="","",'P4'!P19)</f>
        <v>96</v>
      </c>
      <c r="J54" s="246">
        <f>IF('P4'!T19="","",'P4'!T19)</f>
        <v>8.18</v>
      </c>
      <c r="K54" s="246">
        <f>IF('P4'!U19="","",'P4'!U19)</f>
        <v>13.13</v>
      </c>
      <c r="L54" s="246">
        <f>IF('P4'!V19="","",'P4'!V19)</f>
        <v>6.75</v>
      </c>
      <c r="M54" s="246">
        <f>IF('P4'!X20="","",'P4'!X20)</f>
        <v>747.45278128617269</v>
      </c>
    </row>
    <row r="55" spans="1:13" ht="16">
      <c r="A55" s="236">
        <v>18</v>
      </c>
      <c r="B55" s="246">
        <f>IF('P4'!B13="","",'P4'!B13)</f>
        <v>65.83</v>
      </c>
      <c r="C55" s="237" t="str">
        <f>IF('P4'!C13="","",'P4'!C13)</f>
        <v>UM</v>
      </c>
      <c r="D55" s="237" t="str">
        <f>IF('P4'!D13="","",'P4'!D13)</f>
        <v>15-16</v>
      </c>
      <c r="E55" s="238">
        <f>IF('P4'!E13="","",'P4'!E13)</f>
        <v>38896</v>
      </c>
      <c r="F55" s="239" t="str">
        <f>IF('P4'!G13="","",'P4'!G13)</f>
        <v>Alvolai Røyseth</v>
      </c>
      <c r="G55" s="239" t="str">
        <f>IF('P4'!H13="","",'P4'!H13)</f>
        <v>Tambarskjelvar IL</v>
      </c>
      <c r="H55" s="245">
        <f>IF('P4'!O13="","",'P4'!O13)</f>
        <v>78</v>
      </c>
      <c r="I55" s="245">
        <f>IF('P4'!P13="","",'P4'!P13)</f>
        <v>97</v>
      </c>
      <c r="J55" s="246">
        <f>IF('P4'!T13="","",'P4'!T13)</f>
        <v>8.36</v>
      </c>
      <c r="K55" s="246">
        <f>IF('P4'!U13="","",'P4'!U13)</f>
        <v>11.18</v>
      </c>
      <c r="L55" s="246">
        <f>IF('P4'!V13="","",'P4'!V13)</f>
        <v>6.51</v>
      </c>
      <c r="M55" s="246">
        <f>IF('P4'!X14="","",'P4'!X14)</f>
        <v>736.01359460175945</v>
      </c>
    </row>
    <row r="56" spans="1:13" ht="16">
      <c r="A56" s="236">
        <v>19</v>
      </c>
      <c r="B56" s="246">
        <f>IF('P2'!B17="","",'P2'!B17)</f>
        <v>60.99</v>
      </c>
      <c r="C56" s="237" t="str">
        <f>IF('P2'!C17="","",'P2'!C17)</f>
        <v>UM</v>
      </c>
      <c r="D56" s="237" t="str">
        <f>IF('P2'!D17="","",'P2'!D17)</f>
        <v>15-16</v>
      </c>
      <c r="E56" s="238">
        <f>IF('P2'!E17="","",'P2'!E17)</f>
        <v>38922</v>
      </c>
      <c r="F56" s="239" t="str">
        <f>IF('P2'!G17="","",'P2'!G17)</f>
        <v>Aksel Svorstøl</v>
      </c>
      <c r="G56" s="239" t="str">
        <f>IF('P2'!H17="","",'P2'!H17)</f>
        <v>Tambarskjelvar IL</v>
      </c>
      <c r="H56" s="245">
        <f>IF('P2'!O17="","",'P2'!O17)</f>
        <v>68</v>
      </c>
      <c r="I56" s="245">
        <f>IF('P2'!P17="","",'P2'!P17)</f>
        <v>85</v>
      </c>
      <c r="J56" s="246">
        <f>IF('P2'!T17="","",'P2'!T17)</f>
        <v>8.01</v>
      </c>
      <c r="K56" s="246">
        <f>IF('P2'!U17="","",'P2'!U17)</f>
        <v>12.04</v>
      </c>
      <c r="L56" s="246">
        <f>IF('P2'!V17="","",'P2'!V17)</f>
        <v>6.28</v>
      </c>
      <c r="M56" s="246">
        <f>IF('P2'!X18="","",'P2'!X18)</f>
        <v>729.1554255049823</v>
      </c>
    </row>
    <row r="57" spans="1:13" ht="16">
      <c r="A57" s="236">
        <v>20</v>
      </c>
      <c r="B57" s="246">
        <f>IF('P6'!B9="","",'P6'!B9)</f>
        <v>66.84</v>
      </c>
      <c r="C57" s="237" t="str">
        <f>IF('P6'!C9="","",'P6'!C9)</f>
        <v>UM</v>
      </c>
      <c r="D57" s="237" t="str">
        <f>IF('P6'!D9="","",'P6'!D9)</f>
        <v>17-18</v>
      </c>
      <c r="E57" s="238">
        <f>IF('P6'!E9="","",'P6'!E9)</f>
        <v>37999</v>
      </c>
      <c r="F57" s="239" t="str">
        <f>IF('P6'!G9="","",'P6'!G9)</f>
        <v>Lasse Bye</v>
      </c>
      <c r="G57" s="239" t="str">
        <f>IF('P6'!H9="","",'P6'!H9)</f>
        <v>Nidelv IL</v>
      </c>
      <c r="H57" s="245">
        <f>IF('P6'!O9="","",'P6'!O9)</f>
        <v>78</v>
      </c>
      <c r="I57" s="245">
        <f>IF('P6'!P9="","",'P6'!P9)</f>
        <v>97</v>
      </c>
      <c r="J57" s="246">
        <f>IF('P6'!T9="","",'P6'!T9)</f>
        <v>8.02</v>
      </c>
      <c r="K57" s="246">
        <f>IF('P6'!U9="","",'P6'!U9)</f>
        <v>10.6</v>
      </c>
      <c r="L57" s="246">
        <f>IF('P6'!V9="","",'P6'!V9)</f>
        <v>6.41</v>
      </c>
      <c r="M57" s="246">
        <f>IF('P6'!X10="","",'P6'!X10)</f>
        <v>722.9053976591947</v>
      </c>
    </row>
    <row r="58" spans="1:13" ht="16">
      <c r="A58" s="236">
        <v>21</v>
      </c>
      <c r="B58" s="246">
        <f>IF('P2'!B23="","",'P2'!B23)</f>
        <v>60.19</v>
      </c>
      <c r="C58" s="237" t="str">
        <f>IF('P2'!C23="","",'P2'!C23)</f>
        <v>UM</v>
      </c>
      <c r="D58" s="237" t="str">
        <f>IF('P2'!D23="","",'P2'!D23)</f>
        <v>15-16</v>
      </c>
      <c r="E58" s="238">
        <f>IF('P2'!E23="","",'P2'!E23)</f>
        <v>38893</v>
      </c>
      <c r="F58" s="239" t="str">
        <f>IF('P2'!G23="","",'P2'!G23)</f>
        <v>Erik A. F. Johansson</v>
      </c>
      <c r="G58" s="239" t="str">
        <f>IF('P2'!H23="","",'P2'!H23)</f>
        <v>AK Bjørgvin</v>
      </c>
      <c r="H58" s="245">
        <f>IF('P2'!O23="","",'P2'!O23)</f>
        <v>67</v>
      </c>
      <c r="I58" s="245">
        <f>IF('P2'!P23="","",'P2'!P23)</f>
        <v>85</v>
      </c>
      <c r="J58" s="246">
        <f>IF('P2'!T23="","",'P2'!T23)</f>
        <v>8.1</v>
      </c>
      <c r="K58" s="246">
        <f>IF('P2'!U23="","",'P2'!U23)</f>
        <v>11.89</v>
      </c>
      <c r="L58" s="246">
        <f>IF('P2'!V23="","",'P2'!V23)</f>
        <v>6.56</v>
      </c>
      <c r="M58" s="246">
        <f>IF('P2'!X24="","",'P2'!X24)</f>
        <v>717.6977254084926</v>
      </c>
    </row>
    <row r="59" spans="1:13" ht="16">
      <c r="A59" s="236">
        <v>22</v>
      </c>
      <c r="B59" s="246">
        <f>IF('P4'!B21="","",'P4'!B21)</f>
        <v>67.209999999999994</v>
      </c>
      <c r="C59" s="237" t="str">
        <f>IF('P4'!C21="","",'P4'!C21)</f>
        <v>UM</v>
      </c>
      <c r="D59" s="237" t="str">
        <f>IF('P4'!D21="","",'P4'!D21)</f>
        <v>15-16</v>
      </c>
      <c r="E59" s="238">
        <f>IF('P4'!E21="","",'P4'!E21)</f>
        <v>38415</v>
      </c>
      <c r="F59" s="239" t="str">
        <f>IF('P4'!G21="","",'P4'!G21)</f>
        <v>Stefan Rønnevik</v>
      </c>
      <c r="G59" s="239" t="str">
        <f>IF('P4'!H21="","",'P4'!H21)</f>
        <v>Tysvær VK</v>
      </c>
      <c r="H59" s="245">
        <f>IF('P4'!O21="","",'P4'!O21)</f>
        <v>70</v>
      </c>
      <c r="I59" s="245">
        <f>IF('P4'!P21="","",'P4'!P21)</f>
        <v>95</v>
      </c>
      <c r="J59" s="246">
        <f>IF('P4'!T21="","",'P4'!T21)</f>
        <v>8.48</v>
      </c>
      <c r="K59" s="246">
        <f>IF('P4'!U21="","",'P4'!U21)</f>
        <v>9.39</v>
      </c>
      <c r="L59" s="246">
        <f>IF('P4'!V21="","",'P4'!V21)</f>
        <v>6.21</v>
      </c>
      <c r="M59" s="246">
        <f>IF('P4'!X22="","",'P4'!X22)</f>
        <v>707.17645841053024</v>
      </c>
    </row>
    <row r="60" spans="1:13" ht="16">
      <c r="A60" s="236">
        <v>23</v>
      </c>
      <c r="B60" s="246">
        <f>IF('P8'!B19="","",'P8'!B19)</f>
        <v>76.37</v>
      </c>
      <c r="C60" s="237" t="str">
        <f>IF('P8'!C19="","",'P8'!C19)</f>
        <v>M1</v>
      </c>
      <c r="D60" s="237" t="str">
        <f>IF('P8'!D19="","",'P8'!D19)</f>
        <v>+35</v>
      </c>
      <c r="E60" s="238" t="str">
        <f>IF('P8'!E19="","",'P8'!E19)</f>
        <v>19.08.86</v>
      </c>
      <c r="F60" s="239" t="str">
        <f>IF('P8'!G19="","",'P8'!G19)</f>
        <v>Aaron Gem Donerciler</v>
      </c>
      <c r="G60" s="239" t="str">
        <f>IF('P8'!H19="","",'P8'!H19)</f>
        <v>Tysvær VK</v>
      </c>
      <c r="H60" s="245">
        <f>IF('P8'!O19="","",'P8'!O19)</f>
        <v>80</v>
      </c>
      <c r="I60" s="245">
        <f>IF('P8'!P19="","",'P8'!P19)</f>
        <v>92</v>
      </c>
      <c r="J60" s="246">
        <f>IF('P8'!T19="","",'P8'!T19)</f>
        <v>8.17</v>
      </c>
      <c r="K60" s="246">
        <f>IF('P8'!U19="","",'P8'!U19)</f>
        <v>11</v>
      </c>
      <c r="L60" s="246">
        <f>IF('P8'!V19="","",'P8'!V19)</f>
        <v>7</v>
      </c>
      <c r="M60" s="246">
        <f>IF('P8'!X20="","",'P8'!X20)</f>
        <v>685.16595761913197</v>
      </c>
    </row>
    <row r="61" spans="1:13" ht="16">
      <c r="A61" s="236">
        <v>24</v>
      </c>
      <c r="B61" s="246">
        <f>IF('P2'!B21="","",'P2'!B21)</f>
        <v>66.28</v>
      </c>
      <c r="C61" s="237" t="str">
        <f>IF('P2'!C21="","",'P2'!C21)</f>
        <v>UM</v>
      </c>
      <c r="D61" s="237" t="str">
        <f>IF('P2'!D21="","",'P2'!D21)</f>
        <v>15-16</v>
      </c>
      <c r="E61" s="238">
        <f>IF('P2'!E21="","",'P2'!E21)</f>
        <v>38365</v>
      </c>
      <c r="F61" s="239" t="str">
        <f>IF('P2'!G21="","",'P2'!G21)</f>
        <v>Rasmus Heggvik Aune</v>
      </c>
      <c r="G61" s="239" t="str">
        <f>IF('P2'!H21="","",'P2'!H21)</f>
        <v>Hitra VK</v>
      </c>
      <c r="H61" s="245">
        <f>IF('P2'!O21="","",'P2'!O21)</f>
        <v>76</v>
      </c>
      <c r="I61" s="245">
        <f>IF('P2'!P21="","",'P2'!P21)</f>
        <v>102</v>
      </c>
      <c r="J61" s="246">
        <f>IF('P2'!T21="","",'P2'!T21)</f>
        <v>6.92</v>
      </c>
      <c r="K61" s="246">
        <f>IF('P2'!U21="","",'P2'!U21)</f>
        <v>9.5299999999999994</v>
      </c>
      <c r="L61" s="246">
        <f>IF('P2'!V21="","",'P2'!V21)</f>
        <v>6.86</v>
      </c>
      <c r="M61" s="246">
        <f>IF('P2'!X22="","",'P2'!X22)</f>
        <v>677.42309894309585</v>
      </c>
    </row>
    <row r="62" spans="1:13" ht="16">
      <c r="A62" s="236">
        <v>25</v>
      </c>
      <c r="B62" s="246">
        <f>IF('P4'!B23="","",'P4'!B23)</f>
        <v>78.989999999999995</v>
      </c>
      <c r="C62" s="237" t="str">
        <f>IF('P4'!C23="","",'P4'!C23)</f>
        <v>UM</v>
      </c>
      <c r="D62" s="237" t="str">
        <f>IF('P4'!D23="","",'P4'!D23)</f>
        <v>15-16</v>
      </c>
      <c r="E62" s="238">
        <f>IF('P4'!E23="","",'P4'!E23)</f>
        <v>38870</v>
      </c>
      <c r="F62" s="239" t="str">
        <f>IF('P4'!G23="","",'P4'!G23)</f>
        <v>Adrian Rosmæl Skauge</v>
      </c>
      <c r="G62" s="239" t="str">
        <f>IF('P4'!H23="","",'P4'!H23)</f>
        <v>Nidelv IL</v>
      </c>
      <c r="H62" s="245">
        <f>IF('P4'!O23="","",'P4'!O23)</f>
        <v>74</v>
      </c>
      <c r="I62" s="245">
        <f>IF('P4'!P23="","",'P4'!P23)</f>
        <v>86</v>
      </c>
      <c r="J62" s="246">
        <f>IF('P4'!T23="","",'P4'!T23)</f>
        <v>7.98</v>
      </c>
      <c r="K62" s="246">
        <f>IF('P4'!U23="","",'P4'!U23)</f>
        <v>12.28</v>
      </c>
      <c r="L62" s="246">
        <f>IF('P4'!V23="","",'P4'!V23)</f>
        <v>7.05</v>
      </c>
      <c r="M62" s="246">
        <f>IF('P4'!X24="","",'P4'!X24)</f>
        <v>671.66784486591439</v>
      </c>
    </row>
    <row r="63" spans="1:13" ht="16">
      <c r="A63" s="236">
        <v>26</v>
      </c>
      <c r="B63" s="246">
        <f>IF('P4'!B11="","",'P4'!B11)</f>
        <v>65.92</v>
      </c>
      <c r="C63" s="237" t="str">
        <f>IF('P4'!C11="","",'P4'!C11)</f>
        <v>UM</v>
      </c>
      <c r="D63" s="237" t="str">
        <f>IF('P4'!D11="","",'P4'!D11)</f>
        <v>15-16</v>
      </c>
      <c r="E63" s="238">
        <f>IF('P4'!E11="","",'P4'!E11)</f>
        <v>38859</v>
      </c>
      <c r="F63" s="239" t="str">
        <f>IF('P4'!G11="","",'P4'!G11)</f>
        <v>Nima Berntsen Lama</v>
      </c>
      <c r="G63" s="239" t="str">
        <f>IF('P4'!H11="","",'P4'!H11)</f>
        <v>Tambarskjelvar IL</v>
      </c>
      <c r="H63" s="245">
        <f>IF('P4'!O11="","",'P4'!O11)</f>
        <v>69</v>
      </c>
      <c r="I63" s="245">
        <f>IF('P4'!P11="","",'P4'!P11)</f>
        <v>83</v>
      </c>
      <c r="J63" s="246">
        <f>IF('P4'!T11="","",'P4'!T11)</f>
        <v>8.11</v>
      </c>
      <c r="K63" s="246">
        <f>IF('P4'!U11="","",'P4'!U11)</f>
        <v>9.52</v>
      </c>
      <c r="L63" s="246">
        <f>IF('P4'!V11="","",'P4'!V11)</f>
        <v>6.56</v>
      </c>
      <c r="M63" s="246">
        <f>IF('P4'!X12="","",'P4'!X12)</f>
        <v>671.4331133287742</v>
      </c>
    </row>
    <row r="64" spans="1:13" ht="16">
      <c r="A64" s="236">
        <v>27</v>
      </c>
      <c r="B64" s="246">
        <f>IF('P4'!B9="","",'P4'!B9)</f>
        <v>61.24</v>
      </c>
      <c r="C64" s="237" t="str">
        <f>IF('P4'!C9="","",'P4'!C9)</f>
        <v>UM</v>
      </c>
      <c r="D64" s="237" t="str">
        <f>IF('P4'!D9="","",'P4'!D9)</f>
        <v>15-16</v>
      </c>
      <c r="E64" s="238">
        <f>IF('P4'!E9="","",'P4'!E9)</f>
        <v>38776</v>
      </c>
      <c r="F64" s="239" t="str">
        <f>IF('P4'!G9="","",'P4'!G9)</f>
        <v>Sander Freyer</v>
      </c>
      <c r="G64" s="239" t="str">
        <f>IF('P4'!H9="","",'P4'!H9)</f>
        <v>Larvik AK</v>
      </c>
      <c r="H64" s="245">
        <f>IF('P4'!O9="","",'P4'!O9)</f>
        <v>53</v>
      </c>
      <c r="I64" s="245">
        <f>IF('P4'!P9="","",'P4'!P9)</f>
        <v>71</v>
      </c>
      <c r="J64" s="246">
        <f>IF('P4'!T9="","",'P4'!T9)</f>
        <v>8.31</v>
      </c>
      <c r="K64" s="246">
        <f>IF('P4'!U9="","",'P4'!U9)</f>
        <v>10.11</v>
      </c>
      <c r="L64" s="246">
        <f>IF('P4'!V9="","",'P4'!V9)</f>
        <v>6.26</v>
      </c>
      <c r="M64" s="246">
        <f>IF('P4'!X10="","",'P4'!X10)</f>
        <v>659.34048754768878</v>
      </c>
    </row>
    <row r="65" spans="1:13" ht="16">
      <c r="A65" s="236">
        <v>28</v>
      </c>
      <c r="B65" s="246">
        <f>IF('P9'!B19="","",'P9'!B19)</f>
        <v>109</v>
      </c>
      <c r="C65" s="237" t="str">
        <f>IF('P9'!C19="","",'P9'!C19)</f>
        <v>SM</v>
      </c>
      <c r="D65" s="237" t="str">
        <f>IF('P9'!D19="","",'P9'!D19)</f>
        <v>24-34</v>
      </c>
      <c r="E65" s="238" t="str">
        <f>IF('P9'!E19="","",'P9'!E19)</f>
        <v>17.11.91</v>
      </c>
      <c r="F65" s="239" t="str">
        <f>IF('P9'!G19="","",'P9'!G19)</f>
        <v>Tord Gravdal</v>
      </c>
      <c r="G65" s="239" t="str">
        <f>IF('P9'!H19="","",'P9'!H19)</f>
        <v>Vigrestad IK</v>
      </c>
      <c r="H65" s="245">
        <f>IF('P9'!O19="","",'P9'!O19)</f>
        <v>110</v>
      </c>
      <c r="I65" s="245">
        <f>IF('P9'!P19="","",'P9'!P19)</f>
        <v>125</v>
      </c>
      <c r="J65" s="246">
        <f>IF('P9'!T19="","",'P9'!T19)</f>
        <v>7.52</v>
      </c>
      <c r="K65" s="246">
        <f>IF('P9'!U19="","",'P9'!U19)</f>
        <v>11.89</v>
      </c>
      <c r="L65" s="246">
        <f>IF('P9'!V19="","",'P9'!V19)</f>
        <v>8.9700000000000006</v>
      </c>
      <c r="M65" s="246">
        <f>IF('P9'!X20="","",'P9'!X20)</f>
        <v>648.65886915288684</v>
      </c>
    </row>
    <row r="66" spans="1:13" ht="16">
      <c r="A66" s="236">
        <v>29</v>
      </c>
      <c r="B66" s="246">
        <f>IF('P2'!B19="","",'P2'!B19)</f>
        <v>65.319999999999993</v>
      </c>
      <c r="C66" s="237" t="str">
        <f>IF('P2'!C19="","",'P2'!C19)</f>
        <v>UM</v>
      </c>
      <c r="D66" s="237" t="str">
        <f>IF('P2'!D19="","",'P2'!D19)</f>
        <v>15-16</v>
      </c>
      <c r="E66" s="238">
        <f>IF('P2'!E19="","",'P2'!E19)</f>
        <v>39013</v>
      </c>
      <c r="F66" s="239" t="str">
        <f>IF('P2'!G19="","",'P2'!G19)</f>
        <v>Ruben Vikhals Bjerkan</v>
      </c>
      <c r="G66" s="239" t="str">
        <f>IF('P2'!H19="","",'P2'!H19)</f>
        <v>Nidelv IL</v>
      </c>
      <c r="H66" s="245">
        <f>IF('P2'!O19="","",'P2'!O19)</f>
        <v>63</v>
      </c>
      <c r="I66" s="245">
        <f>IF('P2'!P19="","",'P2'!P19)</f>
        <v>77</v>
      </c>
      <c r="J66" s="246">
        <f>IF('P2'!T19="","",'P2'!T19)</f>
        <v>7.62</v>
      </c>
      <c r="K66" s="246">
        <f>IF('P2'!U19="","",'P2'!U19)</f>
        <v>10.39</v>
      </c>
      <c r="L66" s="246">
        <f>IF('P2'!V19="","",'P2'!V19)</f>
        <v>6.83</v>
      </c>
      <c r="M66" s="246">
        <f>IF('P2'!X20="","",'P2'!X20)</f>
        <v>642.60186023187021</v>
      </c>
    </row>
    <row r="67" spans="1:13" ht="16">
      <c r="A67" s="236">
        <v>30</v>
      </c>
      <c r="B67" s="246">
        <f>IF('P6'!B11="","",'P6'!B11)</f>
        <v>70.52</v>
      </c>
      <c r="C67" s="237" t="str">
        <f>IF('P6'!C11="","",'P6'!C11)</f>
        <v>UM</v>
      </c>
      <c r="D67" s="237" t="str">
        <f>IF('P6'!D11="","",'P6'!D11)</f>
        <v>17-18</v>
      </c>
      <c r="E67" s="238">
        <f>IF('P6'!E11="","",'P6'!E11)</f>
        <v>38219</v>
      </c>
      <c r="F67" s="239" t="str">
        <f>IF('P6'!G11="","",'P6'!G11)</f>
        <v>Eivind Balstad</v>
      </c>
      <c r="G67" s="239" t="str">
        <f>IF('P6'!H11="","",'P6'!H11)</f>
        <v>Nidelv IL</v>
      </c>
      <c r="H67" s="245">
        <f>IF('P6'!O11="","",'P6'!O11)</f>
        <v>40</v>
      </c>
      <c r="I67" s="245">
        <f>IF('P6'!P11="","",'P6'!P11)</f>
        <v>90</v>
      </c>
      <c r="J67" s="246">
        <f>IF('P6'!T11="","",'P6'!T11)</f>
        <v>8.86</v>
      </c>
      <c r="K67" s="246">
        <f>IF('P6'!U11="","",'P6'!U11)</f>
        <v>10.15</v>
      </c>
      <c r="L67" s="246">
        <f>IF('P6'!V11="","",'P6'!V11)</f>
        <v>6.78</v>
      </c>
      <c r="M67" s="246">
        <f>IF('P6'!X12="","",'P6'!X12)</f>
        <v>641.80975370556314</v>
      </c>
    </row>
    <row r="68" spans="1:13" ht="16">
      <c r="A68" s="236">
        <v>31</v>
      </c>
      <c r="B68" s="246">
        <f>IF('P4'!B17="","",'P4'!B17)</f>
        <v>60.6</v>
      </c>
      <c r="C68" s="237" t="str">
        <f>IF('P4'!C17="","",'P4'!C17)</f>
        <v>UM</v>
      </c>
      <c r="D68" s="237" t="str">
        <f>IF('P4'!D17="","",'P4'!D17)</f>
        <v>15-16</v>
      </c>
      <c r="E68" s="238">
        <f>IF('P4'!E17="","",'P4'!E17)</f>
        <v>39076</v>
      </c>
      <c r="F68" s="239" t="str">
        <f>IF('P4'!G17="","",'P4'!G17)</f>
        <v>Brede Tengsol Lesto</v>
      </c>
      <c r="G68" s="239" t="str">
        <f>IF('P4'!H17="","",'P4'!H17)</f>
        <v>Tambarskjelvar IL</v>
      </c>
      <c r="H68" s="245">
        <f>IF('P4'!O17="","",'P4'!O17)</f>
        <v>53</v>
      </c>
      <c r="I68" s="245">
        <f>IF('P4'!P17="","",'P4'!P17)</f>
        <v>68</v>
      </c>
      <c r="J68" s="246">
        <f>IF('P4'!T17="","",'P4'!T17)</f>
        <v>7.41</v>
      </c>
      <c r="K68" s="246">
        <f>IF('P4'!U17="","",'P4'!U17)</f>
        <v>9.32</v>
      </c>
      <c r="L68" s="246">
        <f>IF('P4'!V17="","",'P4'!V17)</f>
        <v>7.03</v>
      </c>
      <c r="M68" s="246">
        <f>IF('P4'!X18="","",'P4'!X18)</f>
        <v>595.41968693223316</v>
      </c>
    </row>
    <row r="69" spans="1:13" ht="16">
      <c r="A69" s="236">
        <v>32</v>
      </c>
      <c r="B69" s="246">
        <f>IF('P4'!B25="","",'P4'!B25)</f>
        <v>89.16</v>
      </c>
      <c r="C69" s="237" t="str">
        <f>IF('P4'!C25="","",'P4'!C25)</f>
        <v>UM</v>
      </c>
      <c r="D69" s="237" t="str">
        <f>IF('P4'!D25="","",'P4'!D25)</f>
        <v>15-16</v>
      </c>
      <c r="E69" s="238">
        <f>IF('P4'!E25="","",'P4'!E25)</f>
        <v>38980</v>
      </c>
      <c r="F69" s="239" t="str">
        <f>IF('P4'!G25="","",'P4'!G25)</f>
        <v>William Christiansen</v>
      </c>
      <c r="G69" s="239" t="str">
        <f>IF('P4'!H25="","",'P4'!H25)</f>
        <v>Larvik AK</v>
      </c>
      <c r="H69" s="245">
        <f>IF('P4'!O25="","",'P4'!O25)</f>
        <v>64</v>
      </c>
      <c r="I69" s="245">
        <f>IF('P4'!P25="","",'P4'!P25)</f>
        <v>85</v>
      </c>
      <c r="J69" s="246">
        <f>IF('P4'!T25="","",'P4'!T25)</f>
        <v>6.18</v>
      </c>
      <c r="K69" s="246">
        <f>IF('P4'!U25="","",'P4'!U25)</f>
        <v>10.84</v>
      </c>
      <c r="L69" s="246">
        <f>IF('P4'!V25="","",'P4'!V25)</f>
        <v>7.67</v>
      </c>
      <c r="M69" s="246">
        <f>IF('P4'!X26="","",'P4'!X26)</f>
        <v>564.21150643880833</v>
      </c>
    </row>
    <row r="70" spans="1:13" ht="16">
      <c r="A70" s="236">
        <v>33</v>
      </c>
      <c r="B70" s="246">
        <f>IF('P2'!B13="","",'P2'!B13)</f>
        <v>73.150000000000006</v>
      </c>
      <c r="C70" s="237" t="str">
        <f>IF('P2'!C13="","",'P2'!C13)</f>
        <v>UM</v>
      </c>
      <c r="D70" s="237" t="str">
        <f>IF('P2'!D13="","",'P2'!D13)</f>
        <v>13-14</v>
      </c>
      <c r="E70" s="238">
        <f>IF('P2'!E13="","",'P2'!E13)</f>
        <v>39328</v>
      </c>
      <c r="F70" s="239" t="str">
        <f>IF('P2'!G13="","",'P2'!G13)</f>
        <v>Oliver Haugan</v>
      </c>
      <c r="G70" s="239" t="str">
        <f>IF('P2'!H13="","",'P2'!H13)</f>
        <v>Tønsberg-Kam.</v>
      </c>
      <c r="H70" s="245">
        <f>IF('P2'!O13="","",'P2'!O13)</f>
        <v>61</v>
      </c>
      <c r="I70" s="245">
        <f>IF('P2'!P13="","",'P2'!P13)</f>
        <v>73</v>
      </c>
      <c r="J70" s="246">
        <f>IF('P2'!T13="","",'P2'!T13)</f>
        <v>6.13</v>
      </c>
      <c r="K70" s="246">
        <f>IF('P2'!U13="","",'P2'!U13)</f>
        <v>9.4</v>
      </c>
      <c r="L70" s="246">
        <f>IF('P2'!V13="","",'P2'!V13)</f>
        <v>7.16</v>
      </c>
      <c r="M70" s="246">
        <f>IF('P2'!X14="","",'P2'!X14)</f>
        <v>563.29717204699614</v>
      </c>
    </row>
    <row r="71" spans="1:13" ht="16">
      <c r="A71" s="236">
        <v>34</v>
      </c>
      <c r="B71" s="246">
        <f>IF('P8'!B23="","",'P8'!B23)</f>
        <v>107.3</v>
      </c>
      <c r="C71" s="237" t="str">
        <f>IF('P8'!C23="","",'P8'!C23)</f>
        <v>M4</v>
      </c>
      <c r="D71" s="237" t="str">
        <f>IF('P8'!D23="","",'P8'!D23)</f>
        <v>+35</v>
      </c>
      <c r="E71" s="238" t="str">
        <f>IF('P8'!E23="","",'P8'!E23)</f>
        <v>02.07.68</v>
      </c>
      <c r="F71" s="239" t="str">
        <f>IF('P8'!G23="","",'P8'!G23)</f>
        <v>Dag Rønnevik</v>
      </c>
      <c r="G71" s="239" t="str">
        <f>IF('P8'!H23="","",'P8'!H23)</f>
        <v>Tysvær VK</v>
      </c>
      <c r="H71" s="245">
        <f>IF('P8'!O23="","",'P8'!O23)</f>
        <v>80</v>
      </c>
      <c r="I71" s="245">
        <f>IF('P8'!P23="","",'P8'!P23)</f>
        <v>102</v>
      </c>
      <c r="J71" s="246">
        <f>IF('P8'!T23="","",'P8'!T23)</f>
        <v>6.26</v>
      </c>
      <c r="K71" s="246">
        <f>IF('P8'!U23="","",'P8'!U23)</f>
        <v>11.91</v>
      </c>
      <c r="L71" s="246">
        <f>IF('P8'!V23="","",'P8'!V23)</f>
        <v>9.17</v>
      </c>
      <c r="M71" s="246">
        <f>IF('P8'!X24="","",'P8'!X24)</f>
        <v>548.39943940179285</v>
      </c>
    </row>
    <row r="72" spans="1:13" ht="16">
      <c r="A72" s="236">
        <v>35</v>
      </c>
      <c r="B72" s="246">
        <f>IF('P4'!B27="","",'P4'!B27)</f>
        <v>84.45</v>
      </c>
      <c r="C72" s="237" t="str">
        <f>IF('P4'!C27="","",'P4'!C27)</f>
        <v>UM</v>
      </c>
      <c r="D72" s="237" t="str">
        <f>IF('P4'!D27="","",'P4'!D27)</f>
        <v>15-16</v>
      </c>
      <c r="E72" s="238">
        <f>IF('P4'!E27="","",'P4'!E27)</f>
        <v>38800</v>
      </c>
      <c r="F72" s="239" t="str">
        <f>IF('P4'!G27="","",'P4'!G27)</f>
        <v>Anton B. Gustavson</v>
      </c>
      <c r="G72" s="239" t="str">
        <f>IF('P4'!H27="","",'P4'!H27)</f>
        <v>Vigrestad IK</v>
      </c>
      <c r="H72" s="245">
        <f>IF('P4'!O27="","",'P4'!O27)</f>
        <v>60</v>
      </c>
      <c r="I72" s="245">
        <f>IF('P4'!P27="","",'P4'!P27)</f>
        <v>71</v>
      </c>
      <c r="J72" s="246">
        <f>IF('P4'!T27="","",'P4'!T27)</f>
        <v>7.01</v>
      </c>
      <c r="K72" s="246">
        <f>IF('P4'!U27="","",'P4'!U27)</f>
        <v>7.45</v>
      </c>
      <c r="L72" s="246">
        <f>IF('P4'!V27="","",'P4'!V27)</f>
        <v>7.22</v>
      </c>
      <c r="M72" s="246">
        <f>IF('P4'!X28="","",'P4'!X28)</f>
        <v>532.26796485391003</v>
      </c>
    </row>
    <row r="73" spans="1:13" ht="16">
      <c r="A73" s="236">
        <v>36</v>
      </c>
      <c r="B73" s="246">
        <f>IF('P2'!B9="","",'P2'!B9)</f>
        <v>63.47</v>
      </c>
      <c r="C73" s="237" t="str">
        <f>IF('P2'!C9="","",'P2'!C9)</f>
        <v>UM</v>
      </c>
      <c r="D73" s="237" t="str">
        <f>IF('P2'!D9="","",'P2'!D9)</f>
        <v>13-14</v>
      </c>
      <c r="E73" s="238">
        <f>IF('P2'!E9="","",'P2'!E9)</f>
        <v>39760</v>
      </c>
      <c r="F73" s="239" t="str">
        <f>IF('P2'!G9="","",'P2'!G9)</f>
        <v>Nikolai K. Aadland</v>
      </c>
      <c r="G73" s="239" t="str">
        <f>IF('P2'!H9="","",'P2'!H9)</f>
        <v>AK Bjørgvin</v>
      </c>
      <c r="H73" s="245">
        <f>IF('P2'!O9="","",'P2'!O9)</f>
        <v>52</v>
      </c>
      <c r="I73" s="245">
        <f>IF('P2'!P9="","",'P2'!P9)</f>
        <v>63</v>
      </c>
      <c r="J73" s="246">
        <f>IF('P2'!T9="","",'P2'!T9)</f>
        <v>6.67</v>
      </c>
      <c r="K73" s="246">
        <f>IF('P2'!U9="","",'P2'!U9)</f>
        <v>8.8000000000000007</v>
      </c>
      <c r="L73" s="246">
        <f>IF('P2'!V9="","",'P2'!V9)</f>
        <v>7.71</v>
      </c>
      <c r="M73" s="246">
        <f>IF('P2'!X10="","",'P2'!X10)</f>
        <v>529.26464264772812</v>
      </c>
    </row>
    <row r="74" spans="1:13" ht="16">
      <c r="A74" s="236">
        <v>37</v>
      </c>
      <c r="B74" s="246">
        <f>IF('P2'!B15="","",'P2'!B15)</f>
        <v>57.23</v>
      </c>
      <c r="C74" s="237" t="str">
        <f>IF('P2'!C15="","",'P2'!C15)</f>
        <v>UM</v>
      </c>
      <c r="D74" s="237" t="str">
        <f>IF('P2'!D15="","",'P2'!D15)</f>
        <v>15-16</v>
      </c>
      <c r="E74" s="238">
        <f>IF('P2'!E15="","",'P2'!E15)</f>
        <v>38727</v>
      </c>
      <c r="F74" s="239" t="str">
        <f>IF('P2'!G15="","",'P2'!G15)</f>
        <v>Henrik Kjelsberg</v>
      </c>
      <c r="G74" s="239" t="str">
        <f>IF('P2'!H15="","",'P2'!H15)</f>
        <v>Nidelv IL</v>
      </c>
      <c r="H74" s="245">
        <f>IF('P2'!O15="","",'P2'!O15)</f>
        <v>45</v>
      </c>
      <c r="I74" s="245">
        <f>IF('P2'!P15="","",'P2'!P15)</f>
        <v>58</v>
      </c>
      <c r="J74" s="246">
        <f>IF('P2'!T15="","",'P2'!T15)</f>
        <v>6.3</v>
      </c>
      <c r="K74" s="246">
        <f>IF('P2'!U15="","",'P2'!U15)</f>
        <v>6.95</v>
      </c>
      <c r="L74" s="246">
        <f>IF('P2'!V15="","",'P2'!V15)</f>
        <v>7.59</v>
      </c>
      <c r="M74" s="246">
        <f>IF('P2'!X16="","",'P2'!X16)</f>
        <v>498.60898603556035</v>
      </c>
    </row>
    <row r="75" spans="1:13" ht="16">
      <c r="A75" s="236">
        <v>38</v>
      </c>
      <c r="B75" s="246">
        <f>IF('P2'!B11="","",'P2'!B11)</f>
        <v>78.819999999999993</v>
      </c>
      <c r="C75" s="237" t="str">
        <f>IF('P2'!C11="","",'P2'!C11)</f>
        <v>UM</v>
      </c>
      <c r="D75" s="237" t="str">
        <f>IF('P2'!D11="","",'P2'!D11)</f>
        <v>13-14</v>
      </c>
      <c r="E75" s="238">
        <f>IF('P2'!E11="","",'P2'!E11)</f>
        <v>39126</v>
      </c>
      <c r="F75" s="239" t="str">
        <f>IF('P2'!G11="","",'P2'!G11)</f>
        <v>Kjetil Hovda Skåren</v>
      </c>
      <c r="G75" s="239" t="str">
        <f>IF('P2'!H11="","",'P2'!H11)</f>
        <v>Tysvær VK</v>
      </c>
      <c r="H75" s="245">
        <f>IF('P2'!O11="","",'P2'!O11)</f>
        <v>35</v>
      </c>
      <c r="I75" s="245">
        <f>IF('P2'!P11="","",'P2'!P11)</f>
        <v>42</v>
      </c>
      <c r="J75" s="246">
        <f>IF('P2'!T11="","",'P2'!T11)</f>
        <v>5.0599999999999996</v>
      </c>
      <c r="K75" s="246">
        <f>IF('P2'!U11="","",'P2'!U11)</f>
        <v>5.07</v>
      </c>
      <c r="L75" s="246">
        <f>IF('P2'!V11="","",'P2'!V11)</f>
        <v>8.84</v>
      </c>
      <c r="M75" s="246">
        <f>IF('P2'!X12="","",'P2'!X12)</f>
        <v>325.01896958343218</v>
      </c>
    </row>
    <row r="76" spans="1:13" ht="16">
      <c r="A76" s="236"/>
      <c r="B76" s="246">
        <f>IF('P8'!B13="","",'P8'!B13)</f>
        <v>78.569999999999993</v>
      </c>
      <c r="C76" s="237" t="str">
        <f>IF('P8'!C13="","",'P8'!C13)</f>
        <v>SM</v>
      </c>
      <c r="D76" s="237" t="str">
        <f>IF('P8'!D13="","",'P8'!D13)</f>
        <v>24-34</v>
      </c>
      <c r="E76" s="238" t="str">
        <f>IF('P8'!E13="","",'P8'!E13)</f>
        <v>06.08.96</v>
      </c>
      <c r="F76" s="239" t="str">
        <f>IF('P8'!G13="","",'P8'!G13)</f>
        <v>Jonas Grønstad</v>
      </c>
      <c r="G76" s="239" t="str">
        <f>IF('P8'!H13="","",'P8'!H13)</f>
        <v>Spydeberg Atletene</v>
      </c>
      <c r="H76" s="245">
        <f>IF('P8'!O13="","",'P8'!O13)</f>
        <v>108</v>
      </c>
      <c r="I76" s="245">
        <f>IF('P8'!P13="","",'P8'!P13)</f>
        <v>125</v>
      </c>
      <c r="J76" s="246" t="str">
        <f>IF('P8'!T13="","",'P8'!T13)</f>
        <v/>
      </c>
      <c r="K76" s="246" t="str">
        <f>IF('P8'!U13="","",'P8'!U13)</f>
        <v/>
      </c>
      <c r="L76" s="246" t="str">
        <f>IF('P8'!V13="","",'P8'!V13)</f>
        <v/>
      </c>
      <c r="M76" s="246" t="str">
        <f>IF('P8'!X14="","",'P8'!X14)</f>
        <v/>
      </c>
    </row>
    <row r="77" spans="1:13" ht="16">
      <c r="A77" s="236"/>
      <c r="B77" s="246">
        <f>IF('P8'!B17="","",'P8'!B17)</f>
        <v>84.86</v>
      </c>
      <c r="C77" s="237" t="str">
        <f>IF('P8'!C17="","",'P8'!C17)</f>
        <v>SM</v>
      </c>
      <c r="D77" s="237" t="str">
        <f>IF('P8'!D17="","",'P8'!D17)</f>
        <v>24-34</v>
      </c>
      <c r="E77" s="238" t="str">
        <f>IF('P8'!E17="","",'P8'!E17)</f>
        <v>15.07.96</v>
      </c>
      <c r="F77" s="239" t="str">
        <f>IF('P8'!G17="","",'P8'!G17)</f>
        <v>Bjarne Bergheim</v>
      </c>
      <c r="G77" s="239" t="str">
        <f>IF('P8'!H17="","",'P8'!H17)</f>
        <v>Breimsbygda IL</v>
      </c>
      <c r="H77" s="245">
        <f>IF('P8'!O17="","",'P8'!O17)</f>
        <v>75</v>
      </c>
      <c r="I77" s="245" t="str">
        <f>IF('P8'!P17="","",'P8'!P17)</f>
        <v/>
      </c>
      <c r="J77" s="246">
        <f>IF('P8'!T17="","",'P8'!T17)</f>
        <v>8.31</v>
      </c>
      <c r="K77" s="246">
        <f>IF('P8'!U17="","",'P8'!U17)</f>
        <v>13.16</v>
      </c>
      <c r="L77" s="246">
        <f>IF('P8'!V17="","",'P8'!V17)</f>
        <v>6.67</v>
      </c>
      <c r="M77" s="246" t="str">
        <f>IF('P8'!X18="","",'P8'!X18)</f>
        <v/>
      </c>
    </row>
    <row r="78" spans="1:13" s="13" customFormat="1" ht="16">
      <c r="A78" s="236"/>
      <c r="B78" s="246">
        <f>IF('P8'!B11="","",'P8'!B11)</f>
        <v>74.09</v>
      </c>
      <c r="C78" s="237" t="str">
        <f>IF('P8'!C11="","",'P8'!C11)</f>
        <v>SM</v>
      </c>
      <c r="D78" s="237" t="str">
        <f>IF('P8'!D11="","",'P8'!D11)</f>
        <v>24-34</v>
      </c>
      <c r="E78" s="238" t="str">
        <f>IF('P8'!E11="","",'P8'!E11)</f>
        <v>14.04.91</v>
      </c>
      <c r="F78" s="239" t="str">
        <f>IF('P8'!G11="","",'P8'!G11)</f>
        <v>Daniel Roness</v>
      </c>
      <c r="G78" s="239" t="str">
        <f>IF('P8'!H11="","",'P8'!H11)</f>
        <v>Spydeberg Atletene</v>
      </c>
      <c r="H78" s="245" t="str">
        <f>IF('P8'!O11="","",'P8'!O11)</f>
        <v/>
      </c>
      <c r="I78" s="245">
        <f>IF('P8'!P11="","",'P8'!P11)</f>
        <v>155</v>
      </c>
      <c r="J78" s="246" t="str">
        <f>IF('P8'!T11="","",'P8'!T11)</f>
        <v/>
      </c>
      <c r="K78" s="246" t="str">
        <f>IF('P8'!U11="","",'P8'!U11)</f>
        <v/>
      </c>
      <c r="L78" s="246" t="str">
        <f>IF('P8'!V11="","",'P8'!V11)</f>
        <v/>
      </c>
      <c r="M78" s="246" t="str">
        <f>IF('P8'!X12="","",'P8'!X12)</f>
        <v/>
      </c>
    </row>
    <row r="79" spans="1:13" ht="16">
      <c r="A79" s="236"/>
      <c r="B79" s="246">
        <f>IF('P9'!B21="","",'P9'!B21)</f>
        <v>121.9</v>
      </c>
      <c r="C79" s="237" t="str">
        <f>IF('P9'!C21="","",'P9'!C21)</f>
        <v>SM</v>
      </c>
      <c r="D79" s="237" t="str">
        <f>IF('P9'!D21="","",'P9'!D21)</f>
        <v>24-34</v>
      </c>
      <c r="E79" s="238" t="str">
        <f>IF('P9'!E21="","",'P9'!E21)</f>
        <v>24.12.89</v>
      </c>
      <c r="F79" s="239" t="str">
        <f>IF('P9'!G21="","",'P9'!G21)</f>
        <v>Kim Eirik Tollefsen</v>
      </c>
      <c r="G79" s="239" t="str">
        <f>IF('P9'!H21="","",'P9'!H21)</f>
        <v>Tønsberg-Kam.</v>
      </c>
      <c r="H79" s="245">
        <f>IF('P9'!O21="","",'P9'!O21)</f>
        <v>155</v>
      </c>
      <c r="I79" s="245" t="str">
        <f>IF('P9'!P21="","",'P9'!P21)</f>
        <v/>
      </c>
      <c r="J79" s="246" t="str">
        <f>IF('P9'!T21="","",'P9'!T21)</f>
        <v/>
      </c>
      <c r="K79" s="246" t="str">
        <f>IF('P9'!U21="","",'P9'!U21)</f>
        <v/>
      </c>
      <c r="L79" s="246" t="str">
        <f>IF('P9'!V21="","",'P9'!V21)</f>
        <v/>
      </c>
      <c r="M79" s="246" t="str">
        <f>IF('P9'!X22="","",'P9'!X22)</f>
        <v/>
      </c>
    </row>
  </sheetData>
  <sortState xmlns:xlrd2="http://schemas.microsoft.com/office/spreadsheetml/2017/richdata2" ref="A38:M75">
    <sortCondition descending="1" ref="M38:M75"/>
  </sortState>
  <mergeCells count="6">
    <mergeCell ref="A36:M36"/>
    <mergeCell ref="A1:M1"/>
    <mergeCell ref="A2:E2"/>
    <mergeCell ref="F2:I2"/>
    <mergeCell ref="J2:M2"/>
    <mergeCell ref="A4:M4"/>
  </mergeCells>
  <pageMargins left="0.74803149606299213" right="0.74803149606299213" top="0.98425196850393704" bottom="0.98425196850393704" header="0.51181102362204722" footer="0.51181102362204722"/>
  <pageSetup paperSize="9" scale="64" fitToHeight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A2E1-2570-8A40-8A6A-B891E4DA631A}">
  <sheetPr>
    <pageSetUpPr fitToPage="1"/>
  </sheetPr>
  <dimension ref="A1:M54"/>
  <sheetViews>
    <sheetView topLeftCell="A43" zoomScale="120" zoomScaleNormal="120" zoomScalePageLayoutView="120" workbookViewId="0">
      <selection activeCell="E57" sqref="E57"/>
    </sheetView>
  </sheetViews>
  <sheetFormatPr baseColWidth="10" defaultColWidth="8.83203125" defaultRowHeight="13"/>
  <cols>
    <col min="1" max="1" width="5.33203125" customWidth="1"/>
    <col min="2" max="3" width="7.6640625" customWidth="1"/>
    <col min="4" max="4" width="7.1640625" customWidth="1"/>
    <col min="5" max="5" width="10.33203125" customWidth="1"/>
    <col min="6" max="6" width="27.6640625" customWidth="1"/>
    <col min="7" max="7" width="20.6640625" customWidth="1"/>
    <col min="8" max="9" width="6.83203125" customWidth="1"/>
    <col min="10" max="11" width="8.6640625" customWidth="1"/>
    <col min="12" max="12" width="9.6640625" customWidth="1"/>
    <col min="13" max="13" width="9.33203125" bestFit="1" customWidth="1"/>
  </cols>
  <sheetData>
    <row r="1" spans="1:13" ht="31" thickBot="1">
      <c r="A1" s="320" t="s">
        <v>126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2"/>
    </row>
    <row r="2" spans="1:13" s="70" customFormat="1" ht="24" customHeight="1" thickBot="1">
      <c r="A2" s="323" t="str">
        <f>IF('P1'!I5&gt;0,'P1'!I5,"")</f>
        <v>Larvik AK</v>
      </c>
      <c r="B2" s="324"/>
      <c r="C2" s="324"/>
      <c r="D2" s="324"/>
      <c r="E2" s="324"/>
      <c r="F2" s="325" t="str">
        <f>IF('P1'!P5&gt;0,'P1'!P5,"")</f>
        <v>Stavernhallen</v>
      </c>
      <c r="G2" s="324"/>
      <c r="H2" s="324"/>
      <c r="I2" s="324"/>
      <c r="J2" s="326" t="s">
        <v>125</v>
      </c>
      <c r="K2" s="327"/>
      <c r="L2" s="327"/>
      <c r="M2" s="327"/>
    </row>
    <row r="3" spans="1:13" s="13" customFormat="1" ht="14" thickBot="1">
      <c r="A3" s="67" t="s">
        <v>38</v>
      </c>
      <c r="B3" s="69" t="s">
        <v>39</v>
      </c>
      <c r="C3" s="69" t="s">
        <v>40</v>
      </c>
      <c r="D3" s="67" t="s">
        <v>41</v>
      </c>
      <c r="E3" s="67" t="s">
        <v>42</v>
      </c>
      <c r="F3" s="68" t="s">
        <v>6</v>
      </c>
      <c r="G3" s="68" t="s">
        <v>33</v>
      </c>
      <c r="H3" s="67" t="s">
        <v>8</v>
      </c>
      <c r="I3" s="67" t="s">
        <v>9</v>
      </c>
      <c r="J3" s="67" t="s">
        <v>43</v>
      </c>
      <c r="K3" s="67" t="s">
        <v>44</v>
      </c>
      <c r="L3" s="67" t="s">
        <v>28</v>
      </c>
      <c r="M3" s="67" t="s">
        <v>10</v>
      </c>
    </row>
    <row r="4" spans="1:13" ht="21" thickBot="1">
      <c r="A4" s="328" t="s">
        <v>75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30"/>
    </row>
    <row r="5" spans="1:13" s="13" customFormat="1" ht="11" customHeight="1">
      <c r="A5" s="67"/>
      <c r="B5" s="69"/>
      <c r="C5" s="69"/>
      <c r="D5" s="67"/>
      <c r="E5" s="67"/>
      <c r="F5" s="68"/>
      <c r="G5" s="68"/>
      <c r="H5" s="67"/>
      <c r="I5" s="67"/>
      <c r="J5" s="67"/>
      <c r="K5" s="67"/>
      <c r="L5" s="67"/>
      <c r="M5" s="67"/>
    </row>
    <row r="6" spans="1:13" s="13" customFormat="1" ht="16">
      <c r="A6" s="236">
        <v>1</v>
      </c>
      <c r="B6" s="237">
        <f>IF('P3'!B9="","",'P3'!B9)</f>
        <v>55</v>
      </c>
      <c r="C6" s="237" t="str">
        <f>IF('P3'!C9="","",'P3'!C9)</f>
        <v>UK</v>
      </c>
      <c r="D6" s="237" t="str">
        <f>IF('P3'!D9="","",'P3'!D9)</f>
        <v>17-18</v>
      </c>
      <c r="E6" s="238">
        <f>IF('P3'!E9="","",'P3'!E9)</f>
        <v>38084</v>
      </c>
      <c r="F6" s="239" t="str">
        <f>IF('P3'!G9="","",'P3'!G9)</f>
        <v>Ronja Lenvik</v>
      </c>
      <c r="G6" s="239" t="str">
        <f>IF('P3'!H9="","",'P3'!H9)</f>
        <v>Hitra VK</v>
      </c>
      <c r="H6" s="240">
        <f>IF('P3'!O9="","",'P3'!O9)</f>
        <v>73</v>
      </c>
      <c r="I6" s="240">
        <f>IF('P3'!P9="","",'P3'!P9)</f>
        <v>85</v>
      </c>
      <c r="J6" s="237">
        <f>IF('P3'!T9="","",'P3'!T9)</f>
        <v>7.23</v>
      </c>
      <c r="K6" s="237">
        <f>IF('P3'!U9="","",'P3'!U9)</f>
        <v>10.35</v>
      </c>
      <c r="L6" s="237">
        <f>IF('P3'!V9="","",'P3'!V9)</f>
        <v>6.89</v>
      </c>
      <c r="M6" s="237">
        <f>IF('P3'!X10="","",'P3'!X10)</f>
        <v>674.67957668694908</v>
      </c>
    </row>
    <row r="7" spans="1:13" s="13" customFormat="1" ht="16">
      <c r="A7" s="236">
        <v>2</v>
      </c>
      <c r="B7" s="237">
        <f>IF('P1'!B17="","",'P1'!B17)</f>
        <v>54.95</v>
      </c>
      <c r="C7" s="237" t="str">
        <f>IF('P1'!C17="","",'P1'!C17)</f>
        <v>UK</v>
      </c>
      <c r="D7" s="237" t="str">
        <f>IF('P1'!D17="","",'P1'!D17)</f>
        <v>15-16</v>
      </c>
      <c r="E7" s="238">
        <f>IF('P1'!E17="","",'P1'!E17)</f>
        <v>38424</v>
      </c>
      <c r="F7" s="239" t="str">
        <f>IF('P1'!G17="","",'P1'!G17)</f>
        <v>Sandra Nævdal</v>
      </c>
      <c r="G7" s="239" t="str">
        <f>IF('P1'!H17="","",'P1'!H17)</f>
        <v>AK Bjørgvin</v>
      </c>
      <c r="H7" s="240">
        <f>IF('P1'!O17="","",'P1'!O17)</f>
        <v>68</v>
      </c>
      <c r="I7" s="240">
        <f>IF('P1'!P17="","",'P1'!P17)</f>
        <v>85</v>
      </c>
      <c r="J7" s="237">
        <f>IF('P1'!T17="","",'P1'!T17)</f>
        <v>7.12</v>
      </c>
      <c r="K7" s="237">
        <f>IF('P1'!U17="","",'P1'!U17)</f>
        <v>10.31</v>
      </c>
      <c r="L7" s="237">
        <f>IF('P1'!V17="","",'P1'!V17)</f>
        <v>6.61</v>
      </c>
      <c r="M7" s="237">
        <f>IF('P1'!X18="","",'P1'!X18)</f>
        <v>671.53419641078608</v>
      </c>
    </row>
    <row r="8" spans="1:13" s="13" customFormat="1" ht="16">
      <c r="A8" s="236">
        <v>3</v>
      </c>
      <c r="B8" s="237">
        <f>IF('P3'!B13="","",'P3'!B13)</f>
        <v>57.32</v>
      </c>
      <c r="C8" s="237" t="str">
        <f>IF('P3'!C13="","",'P3'!C13)</f>
        <v>UK</v>
      </c>
      <c r="D8" s="237" t="str">
        <f>IF('P3'!D13="","",'P3'!D13)</f>
        <v>17-18</v>
      </c>
      <c r="E8" s="238">
        <f>IF('P3'!E13="","",'P3'!E13)</f>
        <v>38256</v>
      </c>
      <c r="F8" s="239" t="str">
        <f>IF('P3'!G13="","",'P3'!G13)</f>
        <v>Åse Johanne Berge</v>
      </c>
      <c r="G8" s="239" t="str">
        <f>IF('P3'!H13="","",'P3'!H13)</f>
        <v>Hitra VK</v>
      </c>
      <c r="H8" s="240">
        <f>IF('P3'!O13="","",'P3'!O13)</f>
        <v>64</v>
      </c>
      <c r="I8" s="240">
        <f>IF('P3'!P13="","",'P3'!P13)</f>
        <v>83</v>
      </c>
      <c r="J8" s="237">
        <f>IF('P3'!T13="","",'P3'!T13)</f>
        <v>6.91</v>
      </c>
      <c r="K8" s="237">
        <f>IF('P3'!U13="","",'P3'!U13)</f>
        <v>10.26</v>
      </c>
      <c r="L8" s="237">
        <f>IF('P3'!V13="","",'P3'!V13)</f>
        <v>6.92</v>
      </c>
      <c r="M8" s="237">
        <f>IF('P3'!X14="","",'P3'!X14)</f>
        <v>637.15498999968986</v>
      </c>
    </row>
    <row r="9" spans="1:13" s="13" customFormat="1" ht="16">
      <c r="A9" s="236">
        <v>4</v>
      </c>
      <c r="B9" s="237">
        <f>IF('P1'!B21="","",'P1'!B21)</f>
        <v>63.26</v>
      </c>
      <c r="C9" s="237" t="str">
        <f>IF('P1'!C21="","",'P1'!C21)</f>
        <v>UK</v>
      </c>
      <c r="D9" s="237" t="str">
        <f>IF('P1'!D21="","",'P1'!D21)</f>
        <v>15-16</v>
      </c>
      <c r="E9" s="238">
        <f>IF('P1'!E21="","",'P1'!E21)</f>
        <v>38911</v>
      </c>
      <c r="F9" s="239" t="str">
        <f>IF('P1'!G21="","",'P1'!G21)</f>
        <v>Ingrid Rommetveit Knappen</v>
      </c>
      <c r="G9" s="239" t="str">
        <f>IF('P1'!H21="","",'P1'!H21)</f>
        <v>AK Bjørgvin</v>
      </c>
      <c r="H9" s="240">
        <f>IF('P1'!O21="","",'P1'!O21)</f>
        <v>55</v>
      </c>
      <c r="I9" s="240">
        <f>IF('P1'!P21="","",'P1'!P21)</f>
        <v>73</v>
      </c>
      <c r="J9" s="237">
        <f>IF('P1'!T21="","",'P1'!T21)</f>
        <v>6.48</v>
      </c>
      <c r="K9" s="237">
        <f>IF('P1'!U21="","",'P1'!U21)</f>
        <v>10.220000000000001</v>
      </c>
      <c r="L9" s="237">
        <f>IF('P1'!V21="","",'P1'!V21)</f>
        <v>7.28</v>
      </c>
      <c r="M9" s="237">
        <f>IF('P1'!X22="","",'P1'!X22)</f>
        <v>571.26621313081637</v>
      </c>
    </row>
    <row r="10" spans="1:13" s="13" customFormat="1" ht="16">
      <c r="A10" s="236">
        <v>5</v>
      </c>
      <c r="B10" s="237">
        <f>IF('P3'!B15="","",'P3'!B15)</f>
        <v>69.94</v>
      </c>
      <c r="C10" s="237" t="str">
        <f>IF('P3'!C15="","",'P3'!C15)</f>
        <v>UK</v>
      </c>
      <c r="D10" s="237" t="str">
        <f>IF('P3'!D15="","",'P3'!D15)</f>
        <v>17-18</v>
      </c>
      <c r="E10" s="238">
        <f>IF('P3'!E15="","",'P3'!E15)</f>
        <v>38072</v>
      </c>
      <c r="F10" s="239" t="str">
        <f>IF('P3'!G15="","",'P3'!G15)</f>
        <v>Marte Walseth</v>
      </c>
      <c r="G10" s="239" t="str">
        <f>IF('P3'!H15="","",'P3'!H15)</f>
        <v>Nidelv IL</v>
      </c>
      <c r="H10" s="240">
        <f>IF('P3'!O15="","",'P3'!O15)</f>
        <v>55</v>
      </c>
      <c r="I10" s="240">
        <f>IF('P3'!P15="","",'P3'!P15)</f>
        <v>70</v>
      </c>
      <c r="J10" s="237">
        <f>IF('P3'!T15="","",'P3'!T15)</f>
        <v>6.53</v>
      </c>
      <c r="K10" s="237">
        <f>IF('P3'!U15="","",'P3'!U15)</f>
        <v>8.2799999999999994</v>
      </c>
      <c r="L10" s="237">
        <f>IF('P3'!V15="","",'P3'!V15)</f>
        <v>7.59</v>
      </c>
      <c r="M10" s="237">
        <f>IF('P3'!X16="","",'P3'!X16)</f>
        <v>519.43804233534138</v>
      </c>
    </row>
    <row r="11" spans="1:13" s="13" customFormat="1" ht="16">
      <c r="A11" s="236">
        <v>6</v>
      </c>
      <c r="B11" s="237">
        <f>IF('P1'!B23="","",'P1'!B23)</f>
        <v>70.59</v>
      </c>
      <c r="C11" s="237" t="str">
        <f>IF('P1'!C23="","",'P1'!C23)</f>
        <v>UK</v>
      </c>
      <c r="D11" s="237" t="str">
        <f>IF('P1'!D23="","",'P1'!D23)</f>
        <v>15-16</v>
      </c>
      <c r="E11" s="238">
        <f>IF('P1'!E23="","",'P1'!E23)</f>
        <v>38610</v>
      </c>
      <c r="F11" s="239" t="str">
        <f>IF('P1'!G23="","",'P1'!G23)</f>
        <v>Trine Endestad Hellevang</v>
      </c>
      <c r="G11" s="239" t="str">
        <f>IF('P1'!H23="","",'P1'!H23)</f>
        <v>Tambarskjelvar IL</v>
      </c>
      <c r="H11" s="240">
        <f>IF('P1'!O23="","",'P1'!O23)</f>
        <v>56</v>
      </c>
      <c r="I11" s="240">
        <f>IF('P1'!P23="","",'P1'!P23)</f>
        <v>68</v>
      </c>
      <c r="J11" s="237">
        <f>IF('P1'!T23="","",'P1'!T23)</f>
        <v>6.52</v>
      </c>
      <c r="K11" s="237">
        <f>IF('P1'!U23="","",'P1'!U23)</f>
        <v>9.08</v>
      </c>
      <c r="L11" s="237">
        <f>IF('P1'!V23="","",'P1'!V23)</f>
        <v>7.79</v>
      </c>
      <c r="M11" s="237">
        <f>IF('P1'!X24="","",'P1'!X24)</f>
        <v>519.2537174567135</v>
      </c>
    </row>
    <row r="12" spans="1:13" s="13" customFormat="1" ht="16">
      <c r="A12" s="236">
        <v>7</v>
      </c>
      <c r="B12" s="237">
        <f>IF('P1'!B11="","",'P1'!B11)</f>
        <v>55.8</v>
      </c>
      <c r="C12" s="237" t="str">
        <f>IF('P1'!C11="","",'P1'!C11)</f>
        <v>UK</v>
      </c>
      <c r="D12" s="237" t="str">
        <f>IF('P1'!D11="","",'P1'!D11)</f>
        <v>13-14</v>
      </c>
      <c r="E12" s="238">
        <f>IF('P1'!E11="","",'P1'!E11)</f>
        <v>39505</v>
      </c>
      <c r="F12" s="239" t="str">
        <f>IF('P1'!G11="","",'P1'!G11)</f>
        <v>Eline Høien</v>
      </c>
      <c r="G12" s="239" t="str">
        <f>IF('P1'!H11="","",'P1'!H11)</f>
        <v>Vigrstad IK</v>
      </c>
      <c r="H12" s="240">
        <f>IF('P1'!O11="","",'P1'!O11)</f>
        <v>40</v>
      </c>
      <c r="I12" s="240">
        <f>IF('P1'!P11="","",'P1'!P11)</f>
        <v>51</v>
      </c>
      <c r="J12" s="237">
        <f>IF('P1'!T11="","",'P1'!T11)</f>
        <v>6.2</v>
      </c>
      <c r="K12" s="237">
        <f>IF('P1'!U11="","",'P1'!U11)</f>
        <v>9.65</v>
      </c>
      <c r="L12" s="237">
        <f>IF('P1'!V11="","",'P1'!V11)</f>
        <v>7.3</v>
      </c>
      <c r="M12" s="237">
        <f>IF('P1'!X12="","",'P1'!X12)</f>
        <v>512.27725891629279</v>
      </c>
    </row>
    <row r="13" spans="1:13" ht="16">
      <c r="A13" s="236">
        <v>8</v>
      </c>
      <c r="B13" s="237">
        <f>IF('P1'!B19="","",'P1'!B19)</f>
        <v>58.66</v>
      </c>
      <c r="C13" s="237" t="str">
        <f>IF('P1'!C19="","",'P1'!C19)</f>
        <v>UK</v>
      </c>
      <c r="D13" s="237" t="str">
        <f>IF('P1'!D19="","",'P1'!D19)</f>
        <v>15-16</v>
      </c>
      <c r="E13" s="238">
        <f>IF('P1'!E19="","",'P1'!E19)</f>
        <v>38628</v>
      </c>
      <c r="F13" s="239" t="str">
        <f>IF('P1'!G19="","",'P1'!G19)</f>
        <v>Madeleine Aaslund Jenack</v>
      </c>
      <c r="G13" s="239" t="str">
        <f>IF('P1'!H19="","",'P1'!H19)</f>
        <v>Tysvær VK</v>
      </c>
      <c r="H13" s="240">
        <f>IF('P1'!O19="","",'P1'!O19)</f>
        <v>46</v>
      </c>
      <c r="I13" s="240">
        <f>IF('P1'!P19="","",'P1'!P19)</f>
        <v>55</v>
      </c>
      <c r="J13" s="237">
        <f>IF('P1'!T19="","",'P1'!T19)</f>
        <v>6.08</v>
      </c>
      <c r="K13" s="237">
        <f>IF('P1'!U19="","",'P1'!U19)</f>
        <v>8.86</v>
      </c>
      <c r="L13" s="237">
        <f>IF('P1'!V19="","",'P1'!V19)</f>
        <v>7.45</v>
      </c>
      <c r="M13" s="237">
        <f>IF('P1'!X20="","",'P1'!X20)</f>
        <v>502.9423036349001</v>
      </c>
    </row>
    <row r="14" spans="1:13" ht="16">
      <c r="A14" s="236">
        <v>9</v>
      </c>
      <c r="B14" s="237">
        <f>IF('P1'!B9="","",'P1'!B9)</f>
        <v>55.54</v>
      </c>
      <c r="C14" s="237" t="str">
        <f>IF('P1'!C9="","",'P1'!C9)</f>
        <v>UK</v>
      </c>
      <c r="D14" s="237" t="str">
        <f>IF('P1'!D9="","",'P1'!D9)</f>
        <v>13-14</v>
      </c>
      <c r="E14" s="238">
        <f>IF('P1'!E9="","",'P1'!E9)</f>
        <v>39575</v>
      </c>
      <c r="F14" s="239" t="str">
        <f>IF('P1'!G9="","",'P1'!G9)</f>
        <v>Mariell Endestad Hellevang</v>
      </c>
      <c r="G14" s="239" t="str">
        <f>IF('P1'!H9="","",'P1'!H9)</f>
        <v>Tambarskjelvar IL</v>
      </c>
      <c r="H14" s="240">
        <f>IF('P1'!O9="","",'P1'!O9)</f>
        <v>40</v>
      </c>
      <c r="I14" s="240">
        <f>IF('P1'!P9="","",'P1'!P9)</f>
        <v>54</v>
      </c>
      <c r="J14" s="237">
        <f>IF('P1'!T9="","",'P1'!T9)</f>
        <v>6.34</v>
      </c>
      <c r="K14" s="237">
        <f>IF('P1'!U9="","",'P1'!U9)</f>
        <v>9.84</v>
      </c>
      <c r="L14" s="237">
        <f>IF('P1'!V9="","",'P1'!V9)</f>
        <v>7.91</v>
      </c>
      <c r="M14" s="237">
        <f>IF('P1'!X10="","",'P1'!X10)</f>
        <v>495.16837227225727</v>
      </c>
    </row>
    <row r="15" spans="1:13" ht="16">
      <c r="A15" s="236">
        <v>10</v>
      </c>
      <c r="B15" s="237">
        <f>IF('P3'!B11="","",'P3'!B11)</f>
        <v>56.64</v>
      </c>
      <c r="C15" s="237" t="str">
        <f>IF('P3'!C11="","",'P3'!C11)</f>
        <v>UK</v>
      </c>
      <c r="D15" s="237" t="str">
        <f>IF('P3'!D11="","",'P3'!D11)</f>
        <v>17-18</v>
      </c>
      <c r="E15" s="238">
        <f>IF('P3'!E11="","",'P3'!E11)</f>
        <v>38030</v>
      </c>
      <c r="F15" s="239" t="str">
        <f>IF('P3'!G11="","",'P3'!G11)</f>
        <v>Siv-Helene Haaland</v>
      </c>
      <c r="G15" s="239" t="str">
        <f>IF('P3'!H11="","",'P3'!H11)</f>
        <v>Tysvær VK</v>
      </c>
      <c r="H15" s="240">
        <f>IF('P3'!O11="","",'P3'!O11)</f>
        <v>40</v>
      </c>
      <c r="I15" s="240">
        <f>IF('P3'!P11="","",'P3'!P11)</f>
        <v>42</v>
      </c>
      <c r="J15" s="237">
        <f>IF('P3'!T11="","",'P3'!T11)</f>
        <v>6.09</v>
      </c>
      <c r="K15" s="237">
        <f>IF('P3'!U11="","",'P3'!U11)</f>
        <v>6.57</v>
      </c>
      <c r="L15" s="237">
        <f>IF('P3'!V11="","",'P3'!V11)</f>
        <v>7.89</v>
      </c>
      <c r="M15" s="237">
        <f>IF('P3'!X12="","",'P3'!X12)</f>
        <v>429.30555929348805</v>
      </c>
    </row>
    <row r="16" spans="1:13" ht="16">
      <c r="A16" s="236">
        <v>11</v>
      </c>
      <c r="B16" s="237">
        <f>IF('P1'!B15="","",'P1'!B15)</f>
        <v>69.38</v>
      </c>
      <c r="C16" s="237" t="str">
        <f>IF('P1'!C15="","",'P1'!C15)</f>
        <v>UK</v>
      </c>
      <c r="D16" s="237" t="str">
        <f>IF('P1'!D15="","",'P1'!D15)</f>
        <v>13-14</v>
      </c>
      <c r="E16" s="238">
        <f>IF('P1'!E15="","",'P1'!E15)</f>
        <v>39099</v>
      </c>
      <c r="F16" s="239" t="str">
        <f>IF('P1'!G15="","",'P1'!G15)</f>
        <v>Eline Svendsen</v>
      </c>
      <c r="G16" s="239" t="str">
        <f>IF('P1'!H15="","",'P1'!H15)</f>
        <v>Tysvær VK</v>
      </c>
      <c r="H16" s="240">
        <f>IF('P1'!O15="","",'P1'!O15)</f>
        <v>28</v>
      </c>
      <c r="I16" s="240">
        <f>IF('P1'!P15="","",'P1'!P15)</f>
        <v>47</v>
      </c>
      <c r="J16" s="237">
        <f>IF('P1'!T15="","",'P1'!T15)</f>
        <v>5.92</v>
      </c>
      <c r="K16" s="237">
        <f>IF('P1'!U15="","",'P1'!U15)</f>
        <v>7.31</v>
      </c>
      <c r="L16" s="237">
        <f>IF('P1'!V15="","",'P1'!V15)</f>
        <v>7.82</v>
      </c>
      <c r="M16" s="237">
        <f>IF('P1'!X16="","",'P1'!X16)</f>
        <v>409.03078806029419</v>
      </c>
    </row>
    <row r="17" spans="1:13" ht="16">
      <c r="A17" s="236">
        <v>12</v>
      </c>
      <c r="B17" s="237">
        <f>IF('P1'!B13="","",'P1'!B13)</f>
        <v>67.75</v>
      </c>
      <c r="C17" s="237" t="str">
        <f>IF('P1'!C13="","",'P1'!C13)</f>
        <v>UK</v>
      </c>
      <c r="D17" s="237" t="str">
        <f>IF('P1'!D13="","",'P1'!D13)</f>
        <v>13-14</v>
      </c>
      <c r="E17" s="238">
        <f>IF('P1'!E13="","",'P1'!E13)</f>
        <v>39742</v>
      </c>
      <c r="F17" s="239" t="str">
        <f>IF('P1'!G13="","",'P1'!G13)</f>
        <v>Mille Dekke</v>
      </c>
      <c r="G17" s="239" t="str">
        <f>IF('P1'!H13="","",'P1'!H13)</f>
        <v>Spydeberg Atletene</v>
      </c>
      <c r="H17" s="240">
        <f>IF('P1'!O13="","",'P1'!O13)</f>
        <v>37</v>
      </c>
      <c r="I17" s="240">
        <f>IF('P1'!P13="","",'P1'!P13)</f>
        <v>47</v>
      </c>
      <c r="J17" s="237">
        <f>IF('P1'!T13="","",'P1'!T13)</f>
        <v>5.33</v>
      </c>
      <c r="K17" s="237">
        <f>IF('P1'!U13="","",'P1'!U13)</f>
        <v>9.2200000000000006</v>
      </c>
      <c r="L17" s="237">
        <f>IF('P1'!V13="","",'P1'!V13)</f>
        <v>8.77</v>
      </c>
      <c r="M17" s="237">
        <f>IF('P1'!X14="","",'P1'!X14)</f>
        <v>401.0955652761449</v>
      </c>
    </row>
    <row r="18" spans="1:13" s="13" customFormat="1" ht="11" customHeight="1" thickBot="1">
      <c r="A18" s="228"/>
      <c r="B18" s="229"/>
      <c r="C18" s="229"/>
      <c r="D18" s="228"/>
      <c r="E18" s="228"/>
      <c r="F18" s="230"/>
      <c r="G18" s="230"/>
      <c r="H18" s="228"/>
      <c r="I18" s="228"/>
      <c r="J18" s="228"/>
      <c r="K18" s="228"/>
      <c r="L18" s="228"/>
      <c r="M18" s="228"/>
    </row>
    <row r="19" spans="1:13" ht="21" thickBot="1">
      <c r="A19" s="331" t="s">
        <v>76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3"/>
    </row>
    <row r="20" spans="1:13" s="13" customFormat="1" ht="11" customHeight="1">
      <c r="A20" s="67"/>
      <c r="B20" s="69"/>
      <c r="C20" s="69"/>
      <c r="D20" s="67"/>
      <c r="E20" s="67"/>
      <c r="F20" s="68"/>
      <c r="G20" s="68"/>
      <c r="H20" s="67"/>
      <c r="I20" s="67"/>
      <c r="J20" s="67"/>
      <c r="K20" s="67"/>
      <c r="L20" s="67"/>
      <c r="M20" s="67"/>
    </row>
    <row r="21" spans="1:13" ht="16">
      <c r="A21" s="236">
        <v>1</v>
      </c>
      <c r="B21" s="237">
        <f>IF('P6'!B13="","",'P6'!B13)</f>
        <v>80.77</v>
      </c>
      <c r="C21" s="237" t="str">
        <f>IF('P6'!C13="","",'P6'!C13)</f>
        <v>UM</v>
      </c>
      <c r="D21" s="237" t="str">
        <f>IF('P6'!D13="","",'P6'!D13)</f>
        <v>17-18</v>
      </c>
      <c r="E21" s="238">
        <f>IF('P6'!E13="","",'P6'!E13)</f>
        <v>38067</v>
      </c>
      <c r="F21" s="239" t="str">
        <f>IF('P6'!G13="","",'P6'!G13)</f>
        <v>Kristen Røyseth</v>
      </c>
      <c r="G21" s="239" t="str">
        <f>IF('P6'!H13="","",'P6'!H13)</f>
        <v>Tambarskjelvar IL</v>
      </c>
      <c r="H21" s="240">
        <f>IF('P6'!O13="","",'P6'!O13)</f>
        <v>101</v>
      </c>
      <c r="I21" s="240">
        <f>IF('P6'!P13="","",'P6'!P13)</f>
        <v>134</v>
      </c>
      <c r="J21" s="237">
        <f>IF('P6'!T13="","",'P6'!T13)</f>
        <v>8.76</v>
      </c>
      <c r="K21" s="237">
        <f>IF('P6'!U13="","",'P6'!U13)</f>
        <v>11.44</v>
      </c>
      <c r="L21" s="237">
        <f>IF('P6'!V13="","",'P6'!V13)</f>
        <v>6.31</v>
      </c>
      <c r="M21" s="237">
        <f>IF('P6'!X14="","",'P6'!X14)</f>
        <v>811.2173818110723</v>
      </c>
    </row>
    <row r="22" spans="1:13" s="13" customFormat="1" ht="16">
      <c r="A22" s="236">
        <v>2</v>
      </c>
      <c r="B22" s="237">
        <f>IF('P4'!B15="","",'P4'!B15)</f>
        <v>65.23</v>
      </c>
      <c r="C22" s="237" t="str">
        <f>IF('P4'!C15="","",'P4'!C15)</f>
        <v>UM</v>
      </c>
      <c r="D22" s="237" t="str">
        <f>IF('P4'!D15="","",'P4'!D15)</f>
        <v>15-16</v>
      </c>
      <c r="E22" s="238">
        <f>IF('P4'!E15="","",'P4'!E15)</f>
        <v>38400</v>
      </c>
      <c r="F22" s="239" t="str">
        <f>IF('P4'!G15="","",'P4'!G15)</f>
        <v>Sander Heyn Stave</v>
      </c>
      <c r="G22" s="239" t="str">
        <f>IF('P4'!H15="","",'P4'!H15)</f>
        <v>Larvik AK</v>
      </c>
      <c r="H22" s="240">
        <f>IF('P4'!O15="","",'P4'!O15)</f>
        <v>78</v>
      </c>
      <c r="I22" s="240">
        <f>IF('P4'!P15="","",'P4'!P15)</f>
        <v>100</v>
      </c>
      <c r="J22" s="237">
        <f>IF('P4'!T15="","",'P4'!T15)</f>
        <v>8.2200000000000006</v>
      </c>
      <c r="K22" s="237">
        <f>IF('P4'!U15="","",'P4'!U15)</f>
        <v>12.6</v>
      </c>
      <c r="L22" s="237">
        <f>IF('P4'!V15="","",'P4'!V15)</f>
        <v>6.32</v>
      </c>
      <c r="M22" s="237">
        <f>IF('P4'!X16="","",'P4'!X16)</f>
        <v>766.32951188767652</v>
      </c>
    </row>
    <row r="23" spans="1:13" s="13" customFormat="1" ht="16">
      <c r="A23" s="236">
        <v>3</v>
      </c>
      <c r="B23" s="237">
        <f>IF('P4'!B19="","",'P4'!B19)</f>
        <v>65.48</v>
      </c>
      <c r="C23" s="237" t="str">
        <f>IF('P4'!C19="","",'P4'!C19)</f>
        <v>UM</v>
      </c>
      <c r="D23" s="237" t="str">
        <f>IF('P4'!D19="","",'P4'!D19)</f>
        <v>15-16</v>
      </c>
      <c r="E23" s="238">
        <f>IF('P4'!E19="","",'P4'!E19)</f>
        <v>38405</v>
      </c>
      <c r="F23" s="239" t="str">
        <f>IF('P4'!G19="","",'P4'!G19)</f>
        <v>Magnus Børøsund</v>
      </c>
      <c r="G23" s="239" t="str">
        <f>IF('P4'!H19="","",'P4'!H19)</f>
        <v>Nidelv IL</v>
      </c>
      <c r="H23" s="240">
        <f>IF('P4'!O19="","",'P4'!O19)</f>
        <v>77</v>
      </c>
      <c r="I23" s="240">
        <f>IF('P4'!P19="","",'P4'!P19)</f>
        <v>96</v>
      </c>
      <c r="J23" s="237">
        <f>IF('P4'!T19="","",'P4'!T19)</f>
        <v>8.18</v>
      </c>
      <c r="K23" s="237">
        <f>IF('P4'!U19="","",'P4'!U19)</f>
        <v>13.13</v>
      </c>
      <c r="L23" s="237">
        <f>IF('P4'!V19="","",'P4'!V19)</f>
        <v>6.75</v>
      </c>
      <c r="M23" s="237">
        <f>IF('P4'!X20="","",'P4'!X20)</f>
        <v>747.45278128617269</v>
      </c>
    </row>
    <row r="24" spans="1:13" s="13" customFormat="1" ht="16">
      <c r="A24" s="236">
        <v>4</v>
      </c>
      <c r="B24" s="237">
        <f>IF('P4'!B13="","",'P4'!B13)</f>
        <v>65.83</v>
      </c>
      <c r="C24" s="237" t="str">
        <f>IF('P4'!C13="","",'P4'!C13)</f>
        <v>UM</v>
      </c>
      <c r="D24" s="237" t="str">
        <f>IF('P4'!D13="","",'P4'!D13)</f>
        <v>15-16</v>
      </c>
      <c r="E24" s="238">
        <f>IF('P4'!E13="","",'P4'!E13)</f>
        <v>38896</v>
      </c>
      <c r="F24" s="239" t="str">
        <f>IF('P4'!G13="","",'P4'!G13)</f>
        <v>Alvolai Røyseth</v>
      </c>
      <c r="G24" s="239" t="str">
        <f>IF('P4'!H13="","",'P4'!H13)</f>
        <v>Tambarskjelvar IL</v>
      </c>
      <c r="H24" s="240">
        <f>IF('P4'!O13="","",'P4'!O13)</f>
        <v>78</v>
      </c>
      <c r="I24" s="240">
        <f>IF('P4'!P13="","",'P4'!P13)</f>
        <v>97</v>
      </c>
      <c r="J24" s="237">
        <f>IF('P4'!T13="","",'P4'!T13)</f>
        <v>8.36</v>
      </c>
      <c r="K24" s="237">
        <f>IF('P4'!U13="","",'P4'!U13)</f>
        <v>11.18</v>
      </c>
      <c r="L24" s="237">
        <f>IF('P4'!V13="","",'P4'!V13)</f>
        <v>6.51</v>
      </c>
      <c r="M24" s="237">
        <f>IF('P4'!X14="","",'P4'!X14)</f>
        <v>736.01359460175945</v>
      </c>
    </row>
    <row r="25" spans="1:13" s="13" customFormat="1" ht="16">
      <c r="A25" s="236">
        <v>5</v>
      </c>
      <c r="B25" s="237">
        <f>IF('P2'!B17="","",'P2'!B17)</f>
        <v>60.99</v>
      </c>
      <c r="C25" s="237" t="str">
        <f>IF('P2'!C17="","",'P2'!C17)</f>
        <v>UM</v>
      </c>
      <c r="D25" s="237" t="str">
        <f>IF('P2'!D17="","",'P2'!D17)</f>
        <v>15-16</v>
      </c>
      <c r="E25" s="238">
        <f>IF('P2'!E17="","",'P2'!E17)</f>
        <v>38922</v>
      </c>
      <c r="F25" s="239" t="str">
        <f>IF('P2'!G17="","",'P2'!G17)</f>
        <v>Aksel Svorstøl</v>
      </c>
      <c r="G25" s="239" t="str">
        <f>IF('P2'!H17="","",'P2'!H17)</f>
        <v>Tambarskjelvar IL</v>
      </c>
      <c r="H25" s="240">
        <f>IF('P2'!O17="","",'P2'!O17)</f>
        <v>68</v>
      </c>
      <c r="I25" s="240">
        <f>IF('P2'!P17="","",'P2'!P17)</f>
        <v>85</v>
      </c>
      <c r="J25" s="237">
        <f>IF('P2'!T17="","",'P2'!T17)</f>
        <v>8.01</v>
      </c>
      <c r="K25" s="237">
        <f>IF('P2'!U17="","",'P2'!U17)</f>
        <v>12.04</v>
      </c>
      <c r="L25" s="237">
        <f>IF('P2'!V17="","",'P2'!V17)</f>
        <v>6.28</v>
      </c>
      <c r="M25" s="237">
        <f>IF('P2'!X18="","",'P2'!X18)</f>
        <v>729.1554255049823</v>
      </c>
    </row>
    <row r="26" spans="1:13" s="13" customFormat="1" ht="16">
      <c r="A26" s="236">
        <v>6</v>
      </c>
      <c r="B26" s="237">
        <f>IF('P6'!B9="","",'P6'!B9)</f>
        <v>66.84</v>
      </c>
      <c r="C26" s="237" t="str">
        <f>IF('P6'!C9="","",'P6'!C9)</f>
        <v>UM</v>
      </c>
      <c r="D26" s="237" t="str">
        <f>IF('P6'!D9="","",'P6'!D9)</f>
        <v>17-18</v>
      </c>
      <c r="E26" s="238">
        <f>IF('P6'!E9="","",'P6'!E9)</f>
        <v>37999</v>
      </c>
      <c r="F26" s="239" t="str">
        <f>IF('P6'!G9="","",'P6'!G9)</f>
        <v>Lasse Bye</v>
      </c>
      <c r="G26" s="239" t="str">
        <f>IF('P6'!H9="","",'P6'!H9)</f>
        <v>Nidelv IL</v>
      </c>
      <c r="H26" s="240">
        <f>IF('P6'!O9="","",'P6'!O9)</f>
        <v>78</v>
      </c>
      <c r="I26" s="240">
        <f>IF('P6'!P9="","",'P6'!P9)</f>
        <v>97</v>
      </c>
      <c r="J26" s="237">
        <f>IF('P6'!T9="","",'P6'!T9)</f>
        <v>8.02</v>
      </c>
      <c r="K26" s="237">
        <f>IF('P6'!U9="","",'P6'!U9)</f>
        <v>10.6</v>
      </c>
      <c r="L26" s="237">
        <f>IF('P6'!V9="","",'P6'!V9)</f>
        <v>6.41</v>
      </c>
      <c r="M26" s="237">
        <f>IF('P6'!X10="","",'P6'!X10)</f>
        <v>722.9053976591947</v>
      </c>
    </row>
    <row r="27" spans="1:13" s="13" customFormat="1" ht="16">
      <c r="A27" s="236">
        <v>7</v>
      </c>
      <c r="B27" s="237">
        <f>IF('P2'!B23="","",'P2'!B23)</f>
        <v>60.19</v>
      </c>
      <c r="C27" s="237" t="str">
        <f>IF('P2'!C23="","",'P2'!C23)</f>
        <v>UM</v>
      </c>
      <c r="D27" s="237" t="str">
        <f>IF('P2'!D23="","",'P2'!D23)</f>
        <v>15-16</v>
      </c>
      <c r="E27" s="238">
        <f>IF('P2'!E23="","",'P2'!E23)</f>
        <v>38893</v>
      </c>
      <c r="F27" s="239" t="str">
        <f>IF('P2'!G23="","",'P2'!G23)</f>
        <v>Erik A. F. Johansson</v>
      </c>
      <c r="G27" s="239" t="str">
        <f>IF('P2'!H23="","",'P2'!H23)</f>
        <v>AK Bjørgvin</v>
      </c>
      <c r="H27" s="240">
        <f>IF('P2'!O23="","",'P2'!O23)</f>
        <v>67</v>
      </c>
      <c r="I27" s="240">
        <f>IF('P2'!P23="","",'P2'!P23)</f>
        <v>85</v>
      </c>
      <c r="J27" s="237">
        <f>IF('P2'!T23="","",'P2'!T23)</f>
        <v>8.1</v>
      </c>
      <c r="K27" s="237">
        <f>IF('P2'!U23="","",'P2'!U23)</f>
        <v>11.89</v>
      </c>
      <c r="L27" s="237">
        <f>IF('P2'!V23="","",'P2'!V23)</f>
        <v>6.56</v>
      </c>
      <c r="M27" s="237">
        <f>IF('P2'!X24="","",'P2'!X24)</f>
        <v>717.6977254084926</v>
      </c>
    </row>
    <row r="28" spans="1:13" s="13" customFormat="1" ht="16">
      <c r="A28" s="236">
        <v>8</v>
      </c>
      <c r="B28" s="237">
        <f>IF('P4'!B21="","",'P4'!B21)</f>
        <v>67.209999999999994</v>
      </c>
      <c r="C28" s="237" t="str">
        <f>IF('P4'!C21="","",'P4'!C21)</f>
        <v>UM</v>
      </c>
      <c r="D28" s="237" t="str">
        <f>IF('P4'!D21="","",'P4'!D21)</f>
        <v>15-16</v>
      </c>
      <c r="E28" s="238">
        <f>IF('P4'!E21="","",'P4'!E21)</f>
        <v>38415</v>
      </c>
      <c r="F28" s="239" t="str">
        <f>IF('P4'!G21="","",'P4'!G21)</f>
        <v>Stefan Rønnevik</v>
      </c>
      <c r="G28" s="239" t="str">
        <f>IF('P4'!H21="","",'P4'!H21)</f>
        <v>Tysvær VK</v>
      </c>
      <c r="H28" s="240">
        <f>IF('P4'!O21="","",'P4'!O21)</f>
        <v>70</v>
      </c>
      <c r="I28" s="240">
        <f>IF('P4'!P21="","",'P4'!P21)</f>
        <v>95</v>
      </c>
      <c r="J28" s="237">
        <f>IF('P4'!T21="","",'P4'!T21)</f>
        <v>8.48</v>
      </c>
      <c r="K28" s="237">
        <f>IF('P4'!U21="","",'P4'!U21)</f>
        <v>9.39</v>
      </c>
      <c r="L28" s="237">
        <f>IF('P4'!V21="","",'P4'!V21)</f>
        <v>6.21</v>
      </c>
      <c r="M28" s="237">
        <f>IF('P4'!X22="","",'P4'!X22)</f>
        <v>707.17645841053024</v>
      </c>
    </row>
    <row r="29" spans="1:13" ht="16">
      <c r="A29" s="236">
        <v>9</v>
      </c>
      <c r="B29" s="237">
        <f>IF('P2'!B21="","",'P2'!B21)</f>
        <v>66.28</v>
      </c>
      <c r="C29" s="237" t="str">
        <f>IF('P2'!C21="","",'P2'!C21)</f>
        <v>UM</v>
      </c>
      <c r="D29" s="237" t="str">
        <f>IF('P2'!D21="","",'P2'!D21)</f>
        <v>15-16</v>
      </c>
      <c r="E29" s="238">
        <f>IF('P2'!E21="","",'P2'!E21)</f>
        <v>38365</v>
      </c>
      <c r="F29" s="239" t="str">
        <f>IF('P2'!G21="","",'P2'!G21)</f>
        <v>Rasmus Heggvik Aune</v>
      </c>
      <c r="G29" s="239" t="str">
        <f>IF('P2'!H21="","",'P2'!H21)</f>
        <v>Hitra VK</v>
      </c>
      <c r="H29" s="240">
        <f>IF('P2'!O21="","",'P2'!O21)</f>
        <v>76</v>
      </c>
      <c r="I29" s="240">
        <f>IF('P2'!P21="","",'P2'!P21)</f>
        <v>102</v>
      </c>
      <c r="J29" s="237">
        <f>IF('P2'!T21="","",'P2'!T21)</f>
        <v>6.92</v>
      </c>
      <c r="K29" s="237">
        <f>IF('P2'!U21="","",'P2'!U21)</f>
        <v>9.5299999999999994</v>
      </c>
      <c r="L29" s="237">
        <f>IF('P2'!V21="","",'P2'!V21)</f>
        <v>6.86</v>
      </c>
      <c r="M29" s="237">
        <f>IF('P2'!X22="","",'P2'!X22)</f>
        <v>677.42309894309585</v>
      </c>
    </row>
    <row r="30" spans="1:13" ht="16">
      <c r="A30" s="236">
        <v>10</v>
      </c>
      <c r="B30" s="237">
        <f>IF('P4'!B23="","",'P4'!B23)</f>
        <v>78.989999999999995</v>
      </c>
      <c r="C30" s="237" t="str">
        <f>IF('P4'!C23="","",'P4'!C23)</f>
        <v>UM</v>
      </c>
      <c r="D30" s="237" t="str">
        <f>IF('P4'!D23="","",'P4'!D23)</f>
        <v>15-16</v>
      </c>
      <c r="E30" s="238">
        <f>IF('P4'!E23="","",'P4'!E23)</f>
        <v>38870</v>
      </c>
      <c r="F30" s="239" t="str">
        <f>IF('P4'!G23="","",'P4'!G23)</f>
        <v>Adrian Rosmæl Skauge</v>
      </c>
      <c r="G30" s="239" t="str">
        <f>IF('P4'!H23="","",'P4'!H23)</f>
        <v>Nidelv IL</v>
      </c>
      <c r="H30" s="240">
        <f>IF('P4'!O23="","",'P4'!O23)</f>
        <v>74</v>
      </c>
      <c r="I30" s="240">
        <f>IF('P4'!P23="","",'P4'!P23)</f>
        <v>86</v>
      </c>
      <c r="J30" s="237">
        <f>IF('P4'!T23="","",'P4'!T23)</f>
        <v>7.98</v>
      </c>
      <c r="K30" s="237">
        <f>IF('P4'!U23="","",'P4'!U23)</f>
        <v>12.28</v>
      </c>
      <c r="L30" s="237">
        <f>IF('P4'!V23="","",'P4'!V23)</f>
        <v>7.05</v>
      </c>
      <c r="M30" s="237">
        <f>IF('P4'!X24="","",'P4'!X24)</f>
        <v>671.66784486591439</v>
      </c>
    </row>
    <row r="31" spans="1:13" ht="16">
      <c r="A31" s="236">
        <v>11</v>
      </c>
      <c r="B31" s="237">
        <f>IF('P4'!B11="","",'P4'!B11)</f>
        <v>65.92</v>
      </c>
      <c r="C31" s="237" t="str">
        <f>IF('P4'!C11="","",'P4'!C11)</f>
        <v>UM</v>
      </c>
      <c r="D31" s="237" t="str">
        <f>IF('P4'!D11="","",'P4'!D11)</f>
        <v>15-16</v>
      </c>
      <c r="E31" s="238">
        <f>IF('P4'!E11="","",'P4'!E11)</f>
        <v>38859</v>
      </c>
      <c r="F31" s="239" t="str">
        <f>IF('P4'!G11="","",'P4'!G11)</f>
        <v>Nima Berntsen Lama</v>
      </c>
      <c r="G31" s="239" t="str">
        <f>IF('P4'!H11="","",'P4'!H11)</f>
        <v>Tambarskjelvar IL</v>
      </c>
      <c r="H31" s="240">
        <f>IF('P4'!O11="","",'P4'!O11)</f>
        <v>69</v>
      </c>
      <c r="I31" s="240">
        <f>IF('P4'!P11="","",'P4'!P11)</f>
        <v>83</v>
      </c>
      <c r="J31" s="237">
        <f>IF('P4'!T11="","",'P4'!T11)</f>
        <v>8.11</v>
      </c>
      <c r="K31" s="237">
        <f>IF('P4'!U11="","",'P4'!U11)</f>
        <v>9.52</v>
      </c>
      <c r="L31" s="237">
        <f>IF('P4'!V11="","",'P4'!V11)</f>
        <v>6.56</v>
      </c>
      <c r="M31" s="237">
        <f>IF('P4'!X12="","",'P4'!X12)</f>
        <v>671.4331133287742</v>
      </c>
    </row>
    <row r="32" spans="1:13" ht="16">
      <c r="A32" s="236">
        <v>12</v>
      </c>
      <c r="B32" s="237">
        <f>IF('P4'!B9="","",'P4'!B9)</f>
        <v>61.24</v>
      </c>
      <c r="C32" s="237" t="str">
        <f>IF('P4'!C9="","",'P4'!C9)</f>
        <v>UM</v>
      </c>
      <c r="D32" s="237" t="str">
        <f>IF('P4'!D9="","",'P4'!D9)</f>
        <v>15-16</v>
      </c>
      <c r="E32" s="238">
        <f>IF('P4'!E9="","",'P4'!E9)</f>
        <v>38776</v>
      </c>
      <c r="F32" s="239" t="str">
        <f>IF('P4'!G9="","",'P4'!G9)</f>
        <v>Sander Freyer</v>
      </c>
      <c r="G32" s="239" t="str">
        <f>IF('P4'!H9="","",'P4'!H9)</f>
        <v>Larvik AK</v>
      </c>
      <c r="H32" s="240">
        <f>IF('P4'!O9="","",'P4'!O9)</f>
        <v>53</v>
      </c>
      <c r="I32" s="240">
        <f>IF('P4'!P9="","",'P4'!P9)</f>
        <v>71</v>
      </c>
      <c r="J32" s="237">
        <f>IF('P4'!T9="","",'P4'!T9)</f>
        <v>8.31</v>
      </c>
      <c r="K32" s="237">
        <f>IF('P4'!U9="","",'P4'!U9)</f>
        <v>10.11</v>
      </c>
      <c r="L32" s="237">
        <f>IF('P4'!V9="","",'P4'!V9)</f>
        <v>6.26</v>
      </c>
      <c r="M32" s="237">
        <f>IF('P4'!X10="","",'P4'!X10)</f>
        <v>659.34048754768878</v>
      </c>
    </row>
    <row r="33" spans="1:13" ht="16">
      <c r="A33" s="236">
        <v>13</v>
      </c>
      <c r="B33" s="237">
        <f>IF('P2'!B19="","",'P2'!B19)</f>
        <v>65.319999999999993</v>
      </c>
      <c r="C33" s="237" t="str">
        <f>IF('P2'!C19="","",'P2'!C19)</f>
        <v>UM</v>
      </c>
      <c r="D33" s="237" t="str">
        <f>IF('P2'!D19="","",'P2'!D19)</f>
        <v>15-16</v>
      </c>
      <c r="E33" s="238">
        <f>IF('P2'!E19="","",'P2'!E19)</f>
        <v>39013</v>
      </c>
      <c r="F33" s="239" t="str">
        <f>IF('P2'!G19="","",'P2'!G19)</f>
        <v>Ruben Vikhals Bjerkan</v>
      </c>
      <c r="G33" s="239" t="str">
        <f>IF('P2'!H19="","",'P2'!H19)</f>
        <v>Nidelv IL</v>
      </c>
      <c r="H33" s="240">
        <f>IF('P2'!O19="","",'P2'!O19)</f>
        <v>63</v>
      </c>
      <c r="I33" s="240">
        <f>IF('P2'!P19="","",'P2'!P19)</f>
        <v>77</v>
      </c>
      <c r="J33" s="237">
        <f>IF('P2'!T19="","",'P2'!T19)</f>
        <v>7.62</v>
      </c>
      <c r="K33" s="237">
        <f>IF('P2'!U19="","",'P2'!U19)</f>
        <v>10.39</v>
      </c>
      <c r="L33" s="237">
        <f>IF('P2'!V19="","",'P2'!V19)</f>
        <v>6.83</v>
      </c>
      <c r="M33" s="237">
        <f>IF('P2'!X20="","",'P2'!X20)</f>
        <v>642.60186023187021</v>
      </c>
    </row>
    <row r="34" spans="1:13" ht="16">
      <c r="A34" s="236">
        <v>14</v>
      </c>
      <c r="B34" s="237">
        <f>IF('P6'!B11="","",'P6'!B11)</f>
        <v>70.52</v>
      </c>
      <c r="C34" s="237" t="str">
        <f>IF('P6'!C11="","",'P6'!C11)</f>
        <v>UM</v>
      </c>
      <c r="D34" s="237" t="str">
        <f>IF('P6'!D11="","",'P6'!D11)</f>
        <v>17-18</v>
      </c>
      <c r="E34" s="238">
        <f>IF('P6'!E11="","",'P6'!E11)</f>
        <v>38219</v>
      </c>
      <c r="F34" s="239" t="str">
        <f>IF('P6'!G11="","",'P6'!G11)</f>
        <v>Eivind Balstad</v>
      </c>
      <c r="G34" s="239" t="str">
        <f>IF('P6'!H11="","",'P6'!H11)</f>
        <v>Nidelv IL</v>
      </c>
      <c r="H34" s="240">
        <f>IF('P6'!O11="","",'P6'!O11)</f>
        <v>40</v>
      </c>
      <c r="I34" s="240">
        <f>IF('P6'!P11="","",'P6'!P11)</f>
        <v>90</v>
      </c>
      <c r="J34" s="237">
        <f>IF('P6'!T11="","",'P6'!T11)</f>
        <v>8.86</v>
      </c>
      <c r="K34" s="237">
        <f>IF('P6'!U11="","",'P6'!U11)</f>
        <v>10.15</v>
      </c>
      <c r="L34" s="237">
        <f>IF('P6'!V11="","",'P6'!V11)</f>
        <v>6.78</v>
      </c>
      <c r="M34" s="237">
        <f>IF('P6'!X12="","",'P6'!X12)</f>
        <v>641.80975370556314</v>
      </c>
    </row>
    <row r="35" spans="1:13" ht="16">
      <c r="A35" s="236">
        <v>15</v>
      </c>
      <c r="B35" s="237">
        <f>IF('P4'!B17="","",'P4'!B17)</f>
        <v>60.6</v>
      </c>
      <c r="C35" s="237" t="str">
        <f>IF('P4'!C17="","",'P4'!C17)</f>
        <v>UM</v>
      </c>
      <c r="D35" s="237" t="str">
        <f>IF('P4'!D17="","",'P4'!D17)</f>
        <v>15-16</v>
      </c>
      <c r="E35" s="238">
        <f>IF('P4'!E17="","",'P4'!E17)</f>
        <v>39076</v>
      </c>
      <c r="F35" s="239" t="str">
        <f>IF('P4'!G17="","",'P4'!G17)</f>
        <v>Brede Tengsol Lesto</v>
      </c>
      <c r="G35" s="239" t="str">
        <f>IF('P4'!H17="","",'P4'!H17)</f>
        <v>Tambarskjelvar IL</v>
      </c>
      <c r="H35" s="240">
        <f>IF('P4'!O17="","",'P4'!O17)</f>
        <v>53</v>
      </c>
      <c r="I35" s="240">
        <f>IF('P4'!P17="","",'P4'!P17)</f>
        <v>68</v>
      </c>
      <c r="J35" s="237">
        <f>IF('P4'!T17="","",'P4'!T17)</f>
        <v>7.41</v>
      </c>
      <c r="K35" s="237">
        <f>IF('P4'!U17="","",'P4'!U17)</f>
        <v>9.32</v>
      </c>
      <c r="L35" s="237">
        <f>IF('P4'!V17="","",'P4'!V17)</f>
        <v>7.03</v>
      </c>
      <c r="M35" s="237">
        <f>IF('P4'!X18="","",'P4'!X18)</f>
        <v>595.41968693223316</v>
      </c>
    </row>
    <row r="36" spans="1:13" ht="16">
      <c r="A36" s="236">
        <v>16</v>
      </c>
      <c r="B36" s="237">
        <f>IF('P4'!B25="","",'P4'!B25)</f>
        <v>89.16</v>
      </c>
      <c r="C36" s="237" t="str">
        <f>IF('P4'!C25="","",'P4'!C25)</f>
        <v>UM</v>
      </c>
      <c r="D36" s="237" t="str">
        <f>IF('P4'!D25="","",'P4'!D25)</f>
        <v>15-16</v>
      </c>
      <c r="E36" s="238">
        <f>IF('P4'!E25="","",'P4'!E25)</f>
        <v>38980</v>
      </c>
      <c r="F36" s="239" t="str">
        <f>IF('P4'!G25="","",'P4'!G25)</f>
        <v>William Christiansen</v>
      </c>
      <c r="G36" s="239" t="str">
        <f>IF('P4'!H25="","",'P4'!H25)</f>
        <v>Larvik AK</v>
      </c>
      <c r="H36" s="240">
        <f>IF('P4'!O25="","",'P4'!O25)</f>
        <v>64</v>
      </c>
      <c r="I36" s="240">
        <f>IF('P4'!P25="","",'P4'!P25)</f>
        <v>85</v>
      </c>
      <c r="J36" s="237">
        <f>IF('P4'!T25="","",'P4'!T25)</f>
        <v>6.18</v>
      </c>
      <c r="K36" s="237">
        <f>IF('P4'!U25="","",'P4'!U25)</f>
        <v>10.84</v>
      </c>
      <c r="L36" s="237">
        <f>IF('P4'!V25="","",'P4'!V25)</f>
        <v>7.67</v>
      </c>
      <c r="M36" s="237">
        <f>IF('P4'!X26="","",'P4'!X26)</f>
        <v>564.21150643880833</v>
      </c>
    </row>
    <row r="37" spans="1:13" ht="16">
      <c r="A37" s="236">
        <v>17</v>
      </c>
      <c r="B37" s="237">
        <f>IF('P2'!B13="","",'P2'!B13)</f>
        <v>73.150000000000006</v>
      </c>
      <c r="C37" s="237" t="str">
        <f>IF('P2'!C13="","",'P2'!C13)</f>
        <v>UM</v>
      </c>
      <c r="D37" s="237" t="str">
        <f>IF('P2'!D13="","",'P2'!D13)</f>
        <v>13-14</v>
      </c>
      <c r="E37" s="238">
        <f>IF('P2'!E13="","",'P2'!E13)</f>
        <v>39328</v>
      </c>
      <c r="F37" s="239" t="str">
        <f>IF('P2'!G13="","",'P2'!G13)</f>
        <v>Oliver Haugan</v>
      </c>
      <c r="G37" s="239" t="str">
        <f>IF('P2'!H13="","",'P2'!H13)</f>
        <v>Tønsberg-Kam.</v>
      </c>
      <c r="H37" s="240">
        <f>IF('P2'!O13="","",'P2'!O13)</f>
        <v>61</v>
      </c>
      <c r="I37" s="240">
        <f>IF('P2'!P13="","",'P2'!P13)</f>
        <v>73</v>
      </c>
      <c r="J37" s="237">
        <f>IF('P2'!T13="","",'P2'!T13)</f>
        <v>6.13</v>
      </c>
      <c r="K37" s="237">
        <f>IF('P2'!U13="","",'P2'!U13)</f>
        <v>9.4</v>
      </c>
      <c r="L37" s="237">
        <f>IF('P2'!V13="","",'P2'!V13)</f>
        <v>7.16</v>
      </c>
      <c r="M37" s="237">
        <f>IF('P2'!X14="","",'P2'!X14)</f>
        <v>563.29717204699614</v>
      </c>
    </row>
    <row r="38" spans="1:13" ht="16">
      <c r="A38" s="236">
        <v>18</v>
      </c>
      <c r="B38" s="237">
        <f>IF('P4'!B27="","",'P4'!B27)</f>
        <v>84.45</v>
      </c>
      <c r="C38" s="237" t="str">
        <f>IF('P4'!C27="","",'P4'!C27)</f>
        <v>UM</v>
      </c>
      <c r="D38" s="237" t="str">
        <f>IF('P4'!D27="","",'P4'!D27)</f>
        <v>15-16</v>
      </c>
      <c r="E38" s="238">
        <f>IF('P4'!E27="","",'P4'!E27)</f>
        <v>38800</v>
      </c>
      <c r="F38" s="239" t="str">
        <f>IF('P4'!G27="","",'P4'!G27)</f>
        <v>Anton B. Gustavson</v>
      </c>
      <c r="G38" s="239" t="str">
        <f>IF('P4'!H27="","",'P4'!H27)</f>
        <v>Vigrestad IK</v>
      </c>
      <c r="H38" s="240">
        <f>IF('P4'!O27="","",'P4'!O27)</f>
        <v>60</v>
      </c>
      <c r="I38" s="240">
        <f>IF('P4'!P27="","",'P4'!P27)</f>
        <v>71</v>
      </c>
      <c r="J38" s="237">
        <f>IF('P4'!T27="","",'P4'!T27)</f>
        <v>7.01</v>
      </c>
      <c r="K38" s="237">
        <f>IF('P4'!U27="","",'P4'!U27)</f>
        <v>7.45</v>
      </c>
      <c r="L38" s="237">
        <f>IF('P4'!V27="","",'P4'!V27)</f>
        <v>7.22</v>
      </c>
      <c r="M38" s="237">
        <f>IF('P4'!X28="","",'P4'!X28)</f>
        <v>532.26796485391003</v>
      </c>
    </row>
    <row r="39" spans="1:13" ht="16">
      <c r="A39" s="236">
        <v>19</v>
      </c>
      <c r="B39" s="237">
        <f>IF('P2'!B9="","",'P2'!B9)</f>
        <v>63.47</v>
      </c>
      <c r="C39" s="237" t="str">
        <f>IF('P2'!C9="","",'P2'!C9)</f>
        <v>UM</v>
      </c>
      <c r="D39" s="237" t="str">
        <f>IF('P2'!D9="","",'P2'!D9)</f>
        <v>13-14</v>
      </c>
      <c r="E39" s="238">
        <f>IF('P2'!E9="","",'P2'!E9)</f>
        <v>39760</v>
      </c>
      <c r="F39" s="239" t="str">
        <f>IF('P2'!G9="","",'P2'!G9)</f>
        <v>Nikolai K. Aadland</v>
      </c>
      <c r="G39" s="239" t="str">
        <f>IF('P2'!H9="","",'P2'!H9)</f>
        <v>AK Bjørgvin</v>
      </c>
      <c r="H39" s="240">
        <f>IF('P2'!O9="","",'P2'!O9)</f>
        <v>52</v>
      </c>
      <c r="I39" s="240">
        <f>IF('P2'!P9="","",'P2'!P9)</f>
        <v>63</v>
      </c>
      <c r="J39" s="237">
        <f>IF('P2'!T9="","",'P2'!T9)</f>
        <v>6.67</v>
      </c>
      <c r="K39" s="237">
        <f>IF('P2'!U9="","",'P2'!U9)</f>
        <v>8.8000000000000007</v>
      </c>
      <c r="L39" s="237">
        <f>IF('P2'!V9="","",'P2'!V9)</f>
        <v>7.71</v>
      </c>
      <c r="M39" s="237">
        <f>IF('P2'!X10="","",'P2'!X10)</f>
        <v>529.26464264772812</v>
      </c>
    </row>
    <row r="40" spans="1:13" ht="16">
      <c r="A40" s="236">
        <v>20</v>
      </c>
      <c r="B40" s="237">
        <f>IF('P2'!B15="","",'P2'!B15)</f>
        <v>57.23</v>
      </c>
      <c r="C40" s="237" t="str">
        <f>IF('P2'!C15="","",'P2'!C15)</f>
        <v>UM</v>
      </c>
      <c r="D40" s="237" t="str">
        <f>IF('P2'!D15="","",'P2'!D15)</f>
        <v>15-16</v>
      </c>
      <c r="E40" s="238">
        <f>IF('P2'!E15="","",'P2'!E15)</f>
        <v>38727</v>
      </c>
      <c r="F40" s="239" t="str">
        <f>IF('P2'!G15="","",'P2'!G15)</f>
        <v>Henrik Kjelsberg</v>
      </c>
      <c r="G40" s="239" t="str">
        <f>IF('P2'!H15="","",'P2'!H15)</f>
        <v>Nidelv IL</v>
      </c>
      <c r="H40" s="240">
        <f>IF('P2'!O15="","",'P2'!O15)</f>
        <v>45</v>
      </c>
      <c r="I40" s="240">
        <f>IF('P2'!P15="","",'P2'!P15)</f>
        <v>58</v>
      </c>
      <c r="J40" s="237">
        <f>IF('P2'!T15="","",'P2'!T15)</f>
        <v>6.3</v>
      </c>
      <c r="K40" s="237">
        <f>IF('P2'!U15="","",'P2'!U15)</f>
        <v>6.95</v>
      </c>
      <c r="L40" s="237">
        <f>IF('P2'!V15="","",'P2'!V15)</f>
        <v>7.59</v>
      </c>
      <c r="M40" s="237">
        <f>IF('P2'!X16="","",'P2'!X16)</f>
        <v>498.60898603556035</v>
      </c>
    </row>
    <row r="41" spans="1:13" ht="16">
      <c r="A41" s="236">
        <v>21</v>
      </c>
      <c r="B41" s="237">
        <f>IF('P2'!B11="","",'P2'!B11)</f>
        <v>78.819999999999993</v>
      </c>
      <c r="C41" s="237" t="str">
        <f>IF('P2'!C11="","",'P2'!C11)</f>
        <v>UM</v>
      </c>
      <c r="D41" s="237" t="str">
        <f>IF('P2'!D11="","",'P2'!D11)</f>
        <v>13-14</v>
      </c>
      <c r="E41" s="238">
        <f>IF('P2'!E11="","",'P2'!E11)</f>
        <v>39126</v>
      </c>
      <c r="F41" s="239" t="str">
        <f>IF('P2'!G11="","",'P2'!G11)</f>
        <v>Kjetil Hovda Skåren</v>
      </c>
      <c r="G41" s="239" t="str">
        <f>IF('P2'!H11="","",'P2'!H11)</f>
        <v>Tysvær VK</v>
      </c>
      <c r="H41" s="240">
        <f>IF('P2'!O11="","",'P2'!O11)</f>
        <v>35</v>
      </c>
      <c r="I41" s="240">
        <f>IF('P2'!P11="","",'P2'!P11)</f>
        <v>42</v>
      </c>
      <c r="J41" s="237">
        <f>IF('P2'!T11="","",'P2'!T11)</f>
        <v>5.0599999999999996</v>
      </c>
      <c r="K41" s="237">
        <f>IF('P2'!U11="","",'P2'!U11)</f>
        <v>5.07</v>
      </c>
      <c r="L41" s="237">
        <f>IF('P2'!V11="","",'P2'!V11)</f>
        <v>8.84</v>
      </c>
      <c r="M41" s="237">
        <f>IF('P2'!X12="","",'P2'!X12)</f>
        <v>325.01896958343218</v>
      </c>
    </row>
    <row r="42" spans="1:13" s="13" customFormat="1" ht="11" customHeight="1" thickBot="1">
      <c r="A42" s="231"/>
      <c r="B42" s="232"/>
      <c r="C42" s="232"/>
      <c r="D42" s="231"/>
      <c r="E42" s="231"/>
      <c r="F42" s="233"/>
      <c r="G42" s="233"/>
      <c r="H42" s="231"/>
      <c r="I42" s="231"/>
      <c r="J42" s="231"/>
      <c r="K42" s="231"/>
      <c r="L42" s="231"/>
      <c r="M42" s="231"/>
    </row>
    <row r="43" spans="1:13" ht="21" thickBot="1">
      <c r="A43" s="328" t="s">
        <v>77</v>
      </c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30"/>
    </row>
    <row r="44" spans="1:13" s="13" customFormat="1" ht="11" customHeight="1">
      <c r="A44" s="67"/>
      <c r="B44" s="69"/>
      <c r="C44" s="69"/>
      <c r="D44" s="67"/>
      <c r="E44" s="67"/>
      <c r="F44" s="68"/>
      <c r="G44" s="68"/>
      <c r="H44" s="67"/>
      <c r="I44" s="67"/>
      <c r="J44" s="67"/>
      <c r="K44" s="67"/>
      <c r="L44" s="67"/>
      <c r="M44" s="67"/>
    </row>
    <row r="45" spans="1:13" ht="16">
      <c r="A45" s="236">
        <v>1</v>
      </c>
      <c r="B45" s="237">
        <f>IF('P5'!B9="","",'P5'!B9)</f>
        <v>63.81</v>
      </c>
      <c r="C45" s="237" t="str">
        <f>IF('P5'!C9="","",'P5'!C9)</f>
        <v>JK</v>
      </c>
      <c r="D45" s="237" t="str">
        <f>IF('P5'!D9="","",'P5'!D9)</f>
        <v>19-23</v>
      </c>
      <c r="E45" s="238">
        <f>IF('P5'!E9="","",'P5'!E9)</f>
        <v>37315</v>
      </c>
      <c r="F45" s="239" t="str">
        <f>IF('P5'!G9="","",'P5'!G9)</f>
        <v>Julia Jordanger Loen</v>
      </c>
      <c r="G45" s="239" t="str">
        <f>IF('P5'!H9="","",'P5'!H9)</f>
        <v>Breimsbygda IL</v>
      </c>
      <c r="H45" s="240">
        <f>IF('P5'!O9="","",'P5'!O9)</f>
        <v>75</v>
      </c>
      <c r="I45" s="240">
        <f>IF('P5'!P9="","",'P5'!P9)</f>
        <v>101</v>
      </c>
      <c r="J45" s="237">
        <f>IF('P5'!T9="","",'P5'!T9)</f>
        <v>8.02</v>
      </c>
      <c r="K45" s="237">
        <f>IF('P5'!U9="","",'P5'!U9)</f>
        <v>11.93</v>
      </c>
      <c r="L45" s="237">
        <f>IF('P5'!V9="","",'P5'!V9)</f>
        <v>6.61</v>
      </c>
      <c r="M45" s="237">
        <f>IF('P5'!X10="","",'P5'!X10)</f>
        <v>722.16576591626108</v>
      </c>
    </row>
    <row r="46" spans="1:13" ht="16">
      <c r="A46" s="236">
        <v>2</v>
      </c>
      <c r="B46" s="237">
        <f>IF('P5'!B11="","",'P5'!B11)</f>
        <v>64.739999999999995</v>
      </c>
      <c r="C46" s="237" t="str">
        <f>IF('P5'!C11="","",'P5'!C11)</f>
        <v>JK</v>
      </c>
      <c r="D46" s="237" t="str">
        <f>IF('P5'!D11="","",'P5'!D11)</f>
        <v>19-23</v>
      </c>
      <c r="E46" s="238">
        <f>IF('P5'!E11="","",'P5'!E11)</f>
        <v>37362</v>
      </c>
      <c r="F46" s="239" t="str">
        <f>IF('P5'!G11="","",'P5'!G11)</f>
        <v>Emilie Kolseth Jensen</v>
      </c>
      <c r="G46" s="239" t="str">
        <f>IF('P5'!H11="","",'P5'!H11)</f>
        <v>Breimsbygda IL</v>
      </c>
      <c r="H46" s="240">
        <f>IF('P5'!O11="","",'P5'!O11)</f>
        <v>40</v>
      </c>
      <c r="I46" s="240">
        <f>IF('P5'!P11="","",'P5'!P11)</f>
        <v>54</v>
      </c>
      <c r="J46" s="237">
        <f>IF('P5'!T11="","",'P5'!T11)</f>
        <v>6.95</v>
      </c>
      <c r="K46" s="237">
        <f>IF('P5'!U11="","",'P5'!U11)</f>
        <v>12.84</v>
      </c>
      <c r="L46" s="237">
        <f>IF('P5'!V11="","",'P5'!V11)</f>
        <v>7.32</v>
      </c>
      <c r="M46" s="237">
        <f>IF('P5'!X12="","",'P5'!X12)</f>
        <v>555.36818759699861</v>
      </c>
    </row>
    <row r="47" spans="1:13" s="13" customFormat="1" ht="16">
      <c r="A47" s="236">
        <v>3</v>
      </c>
      <c r="B47" s="237" t="str">
        <f>IF('P3'!B17="","",'P3'!B17)</f>
        <v>71.11</v>
      </c>
      <c r="C47" s="237" t="str">
        <f>IF('P3'!C17="","",'P3'!C17)</f>
        <v>JK</v>
      </c>
      <c r="D47" s="237" t="str">
        <f>IF('P3'!D17="","",'P3'!D17)</f>
        <v>17-18</v>
      </c>
      <c r="E47" s="238">
        <f>IF('P3'!E17="","",'P3'!E17)</f>
        <v>37721</v>
      </c>
      <c r="F47" s="239" t="str">
        <f>IF('P3'!G17="","",'P3'!G17)</f>
        <v>Tuva Loodtz</v>
      </c>
      <c r="G47" s="239" t="str">
        <f>IF('P3'!H17="","",'P3'!H17)</f>
        <v>AK Bjørgvin</v>
      </c>
      <c r="H47" s="240">
        <f>IF('P3'!O17="","",'P3'!O17)</f>
        <v>67</v>
      </c>
      <c r="I47" s="240">
        <f>IF('P3'!P17="","",'P3'!P17)</f>
        <v>83</v>
      </c>
      <c r="J47" s="237">
        <f>IF('P3'!T17="","",'P3'!T17)</f>
        <v>7.14</v>
      </c>
      <c r="K47" s="237">
        <f>IF('P3'!U17="","",'P3'!U17)</f>
        <v>11.23</v>
      </c>
      <c r="L47" s="237">
        <f>IF('P3'!V17="","",'P3'!V17)</f>
        <v>7.01</v>
      </c>
      <c r="M47" s="237">
        <f>IF('P3'!X18="","",'P3'!X18)</f>
        <v>584.79</v>
      </c>
    </row>
    <row r="48" spans="1:13" ht="16">
      <c r="A48" s="236">
        <v>4</v>
      </c>
      <c r="B48" s="237">
        <f>IF('P5'!B17="","",'P5'!B17)</f>
        <v>76.099999999999994</v>
      </c>
      <c r="C48" s="237" t="str">
        <f>IF('P5'!C17="","",'P5'!C17)</f>
        <v>JK</v>
      </c>
      <c r="D48" s="237" t="str">
        <f>IF('P5'!D17="","",'P5'!D17)</f>
        <v>19-23</v>
      </c>
      <c r="E48" s="238">
        <f>IF('P5'!E17="","",'P5'!E17)</f>
        <v>37069</v>
      </c>
      <c r="F48" s="239" t="str">
        <f>IF('P5'!G17="","",'P5'!G17)</f>
        <v>Anna Wiik</v>
      </c>
      <c r="G48" s="239" t="str">
        <f>IF('P5'!H17="","",'P5'!H17)</f>
        <v>Breimsbygda IL</v>
      </c>
      <c r="H48" s="240">
        <f>IF('P5'!O17="","",'P5'!O17)</f>
        <v>46</v>
      </c>
      <c r="I48" s="240">
        <f>IF('P5'!P17="","",'P5'!P17)</f>
        <v>65</v>
      </c>
      <c r="J48" s="237">
        <f>IF('P5'!T17="","",'P5'!T17)</f>
        <v>6.67</v>
      </c>
      <c r="K48" s="237">
        <f>IF('P5'!U17="","",'P5'!U17)</f>
        <v>10.47</v>
      </c>
      <c r="L48" s="237">
        <f>IF('P5'!V17="","",'P5'!V17)</f>
        <v>7.86</v>
      </c>
      <c r="M48" s="237">
        <f>IF('P5'!X18="","",'P5'!X18)</f>
        <v>511.07746302100179</v>
      </c>
    </row>
    <row r="49" spans="1:13" ht="16">
      <c r="A49" s="236">
        <v>5</v>
      </c>
      <c r="B49" s="237">
        <f>IF('P5'!B13="","",'P5'!B13)</f>
        <v>72.11</v>
      </c>
      <c r="C49" s="237" t="str">
        <f>IF('P5'!C13="","",'P5'!C13)</f>
        <v>JK</v>
      </c>
      <c r="D49" s="237" t="str">
        <f>IF('P5'!D13="","",'P5'!D13)</f>
        <v>19-23</v>
      </c>
      <c r="E49" s="238">
        <f>IF('P5'!E13="","",'P5'!E13)</f>
        <v>37485</v>
      </c>
      <c r="F49" s="239" t="str">
        <f>IF('P5'!G13="","",'P5'!G13)</f>
        <v>Mia Mundal</v>
      </c>
      <c r="G49" s="239" t="str">
        <f>IF('P5'!H13="","",'P5'!H13)</f>
        <v>Tønsberg-Kam.</v>
      </c>
      <c r="H49" s="240">
        <f>IF('P5'!O13="","",'P5'!O13)</f>
        <v>64</v>
      </c>
      <c r="I49" s="240">
        <f>IF('P5'!P13="","",'P5'!P13)</f>
        <v>95</v>
      </c>
      <c r="J49" s="237">
        <f>IF('P5'!T13="","",'P5'!T13)</f>
        <v>5.98</v>
      </c>
      <c r="K49" s="237">
        <f>IF('P5'!U13="","",'P5'!U13)</f>
        <v>8.27</v>
      </c>
      <c r="L49" s="237">
        <f>IF('P5'!V13="","",'P5'!V13)</f>
        <v>7.32</v>
      </c>
      <c r="M49" s="237">
        <f>IF('P5'!X14="","",'P5'!X14)</f>
        <v>562.931496071835</v>
      </c>
    </row>
    <row r="50" spans="1:13" s="13" customFormat="1" ht="11" customHeight="1" thickBot="1">
      <c r="A50" s="231"/>
      <c r="B50" s="232"/>
      <c r="C50" s="232"/>
      <c r="D50" s="231"/>
      <c r="E50" s="231"/>
      <c r="F50" s="233"/>
      <c r="G50" s="233"/>
      <c r="H50" s="231"/>
      <c r="I50" s="231"/>
      <c r="J50" s="231"/>
      <c r="K50" s="231"/>
      <c r="L50" s="231"/>
      <c r="M50" s="231"/>
    </row>
    <row r="51" spans="1:13" ht="21" thickBot="1">
      <c r="A51" s="317" t="s">
        <v>78</v>
      </c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9"/>
    </row>
    <row r="52" spans="1:13" s="13" customFormat="1" ht="11" customHeight="1">
      <c r="A52" s="67"/>
      <c r="B52" s="69"/>
      <c r="C52" s="69"/>
      <c r="D52" s="67"/>
      <c r="E52" s="67"/>
      <c r="F52" s="68"/>
      <c r="G52" s="68"/>
      <c r="H52" s="67"/>
      <c r="I52" s="67"/>
      <c r="J52" s="67"/>
      <c r="K52" s="67"/>
      <c r="L52" s="67"/>
      <c r="M52" s="67"/>
    </row>
    <row r="53" spans="1:13" ht="16">
      <c r="A53" s="236">
        <v>1</v>
      </c>
      <c r="B53" s="237">
        <f>IF('P6'!B23="","",'P6'!B23)</f>
        <v>87.15</v>
      </c>
      <c r="C53" s="237" t="str">
        <f>IF('P6'!C23="","",'P6'!C23)</f>
        <v>JM</v>
      </c>
      <c r="D53" s="237" t="str">
        <f>IF('P6'!D23="","",'P6'!D23)</f>
        <v>19-23</v>
      </c>
      <c r="E53" s="238" t="str">
        <f>IF('P6'!E23="","",'P6'!E23)</f>
        <v>22.11.01</v>
      </c>
      <c r="F53" s="239" t="str">
        <f>IF('P6'!G23="","",'P6'!G23)</f>
        <v>Mikal Akseth</v>
      </c>
      <c r="G53" s="239" t="str">
        <f>IF('P6'!H23="","",'P6'!H23)</f>
        <v>Hitra VK</v>
      </c>
      <c r="H53" s="240">
        <f>IF('P6'!O23="","",'P6'!O23)</f>
        <v>106</v>
      </c>
      <c r="I53" s="240">
        <f>IF('P6'!P23="","",'P6'!P23)</f>
        <v>129</v>
      </c>
      <c r="J53" s="237">
        <f>IF('P6'!T23="","",'P6'!T23)</f>
        <v>8.99</v>
      </c>
      <c r="K53" s="237">
        <f>IF('P6'!U23="","",'P6'!U23)</f>
        <v>13.44</v>
      </c>
      <c r="L53" s="237">
        <f>IF('P6'!V23="","",'P6'!V23)</f>
        <v>6.17</v>
      </c>
      <c r="M53" s="237">
        <f>IF('P6'!X24="","",'P6'!X24)</f>
        <v>837.4638840154762</v>
      </c>
    </row>
    <row r="54" spans="1:13" ht="16">
      <c r="A54" s="236">
        <v>2</v>
      </c>
      <c r="B54" s="237">
        <f>IF('P6'!B19="","",'P6'!B19)</f>
        <v>75.150000000000006</v>
      </c>
      <c r="C54" s="237" t="str">
        <f>IF('P6'!C19="","",'P6'!C19)</f>
        <v>JM</v>
      </c>
      <c r="D54" s="237" t="str">
        <f>IF('P6'!D19="","",'P6'!D19)</f>
        <v>19-23</v>
      </c>
      <c r="E54" s="238" t="str">
        <f>IF('P6'!E19="","",'P6'!E19)</f>
        <v>26.09.01</v>
      </c>
      <c r="F54" s="239" t="str">
        <f>IF('P6'!G19="","",'P6'!G19)</f>
        <v>Remy Heggvik Aune</v>
      </c>
      <c r="G54" s="239" t="str">
        <f>IF('P6'!H19="","",'P6'!H19)</f>
        <v>Hitra VK</v>
      </c>
      <c r="H54" s="240">
        <f>IF('P6'!O19="","",'P6'!O19)</f>
        <v>100</v>
      </c>
      <c r="I54" s="240">
        <f>IF('P6'!P19="","",'P6'!P19)</f>
        <v>135</v>
      </c>
      <c r="J54" s="237">
        <f>IF('P6'!T19="","",'P6'!T19)</f>
        <v>8.06</v>
      </c>
      <c r="K54" s="237">
        <f>IF('P6'!U19="","",'P6'!U19)</f>
        <v>10.93</v>
      </c>
      <c r="L54" s="237">
        <f>IF('P6'!V19="","",'P6'!V19)</f>
        <v>6.42</v>
      </c>
      <c r="M54" s="237">
        <f>IF('P6'!X20="","",'P6'!X20)</f>
        <v>799.97450169552951</v>
      </c>
    </row>
  </sheetData>
  <sortState xmlns:xlrd2="http://schemas.microsoft.com/office/spreadsheetml/2017/richdata2" ref="A21:M41">
    <sortCondition descending="1" ref="M21:M41"/>
  </sortState>
  <mergeCells count="8">
    <mergeCell ref="A19:M19"/>
    <mergeCell ref="A43:M43"/>
    <mergeCell ref="A51:M51"/>
    <mergeCell ref="A1:M1"/>
    <mergeCell ref="A2:E2"/>
    <mergeCell ref="F2:I2"/>
    <mergeCell ref="J2:M2"/>
    <mergeCell ref="A4:M4"/>
  </mergeCells>
  <pageMargins left="0.74803149606299213" right="0.74803149606299213" top="0.98425196850393704" bottom="0.98425196850393704" header="0.51181102362204722" footer="0.51181102362204722"/>
  <pageSetup paperSize="9" scale="64" fitToHeight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O80"/>
  <sheetViews>
    <sheetView topLeftCell="A5" zoomScale="120" zoomScaleNormal="120" zoomScalePageLayoutView="120" workbookViewId="0">
      <selection activeCell="O49" sqref="O49"/>
    </sheetView>
  </sheetViews>
  <sheetFormatPr baseColWidth="10" defaultColWidth="8.83203125" defaultRowHeight="13"/>
  <cols>
    <col min="1" max="1" width="5.33203125" customWidth="1"/>
    <col min="2" max="3" width="7.6640625" customWidth="1"/>
    <col min="4" max="4" width="7.1640625" customWidth="1"/>
    <col min="5" max="5" width="10.33203125" customWidth="1"/>
    <col min="6" max="6" width="27.6640625" customWidth="1"/>
    <col min="7" max="8" width="6.83203125" customWidth="1"/>
    <col min="9" max="10" width="8.6640625" customWidth="1"/>
    <col min="11" max="11" width="9.6640625" customWidth="1"/>
    <col min="12" max="12" width="15.83203125" customWidth="1"/>
  </cols>
  <sheetData>
    <row r="1" spans="1:12" ht="31" thickBot="1">
      <c r="A1" s="320" t="s">
        <v>79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2"/>
    </row>
    <row r="2" spans="1:12" s="70" customFormat="1" ht="24" customHeight="1" thickBot="1">
      <c r="A2" s="323" t="str">
        <f>IF('P1'!I5&gt;0,'P1'!I5,"")</f>
        <v>Larvik AK</v>
      </c>
      <c r="B2" s="324"/>
      <c r="C2" s="324"/>
      <c r="D2" s="324"/>
      <c r="E2" s="324"/>
      <c r="F2" s="325" t="str">
        <f>IF('P1'!P5&gt;0,'P1'!P5,"")</f>
        <v>Stavernhallen</v>
      </c>
      <c r="G2" s="324"/>
      <c r="H2" s="324"/>
      <c r="I2" s="326" t="s">
        <v>125</v>
      </c>
      <c r="J2" s="327"/>
      <c r="K2" s="327"/>
      <c r="L2" s="327"/>
    </row>
    <row r="3" spans="1:12" s="13" customFormat="1" ht="14" thickBot="1">
      <c r="A3" s="67" t="s">
        <v>38</v>
      </c>
      <c r="B3" s="69" t="s">
        <v>39</v>
      </c>
      <c r="C3" s="69" t="s">
        <v>40</v>
      </c>
      <c r="D3" s="67" t="s">
        <v>41</v>
      </c>
      <c r="E3" s="67" t="s">
        <v>42</v>
      </c>
      <c r="F3" s="68" t="s">
        <v>6</v>
      </c>
      <c r="G3" s="67" t="s">
        <v>8</v>
      </c>
      <c r="H3" s="67" t="s">
        <v>9</v>
      </c>
      <c r="I3" s="67" t="s">
        <v>43</v>
      </c>
      <c r="J3" s="67" t="s">
        <v>44</v>
      </c>
      <c r="K3" s="67" t="s">
        <v>28</v>
      </c>
      <c r="L3" s="67" t="s">
        <v>10</v>
      </c>
    </row>
    <row r="4" spans="1:12" ht="21" thickBot="1">
      <c r="A4" s="335" t="s">
        <v>80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7"/>
    </row>
    <row r="5" spans="1:12" ht="10" customHeight="1">
      <c r="A5" s="242"/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</row>
    <row r="6" spans="1:12" s="241" customFormat="1" ht="25" customHeight="1">
      <c r="A6" s="250">
        <v>1</v>
      </c>
      <c r="B6" s="341" t="s">
        <v>88</v>
      </c>
      <c r="C6" s="341"/>
      <c r="D6" s="341"/>
      <c r="E6" s="341"/>
      <c r="F6" s="341"/>
      <c r="G6" s="243"/>
      <c r="H6" s="243"/>
      <c r="I6" s="243"/>
      <c r="J6" s="243"/>
      <c r="K6" s="243"/>
      <c r="L6" s="244">
        <f>SUM(L7:L9)</f>
        <v>1827.5904095416024</v>
      </c>
    </row>
    <row r="7" spans="1:12" s="13" customFormat="1" ht="16">
      <c r="A7" s="236"/>
      <c r="B7" s="237">
        <f>IF('P1'!B17="","",'P1'!B17)</f>
        <v>54.95</v>
      </c>
      <c r="C7" s="237" t="str">
        <f>IF('P1'!C17="","",'P1'!C17)</f>
        <v>UK</v>
      </c>
      <c r="D7" s="237" t="str">
        <f>IF('P1'!D17="","",'P1'!D17)</f>
        <v>15-16</v>
      </c>
      <c r="E7" s="238">
        <f>IF('P1'!E17="","",'P1'!E17)</f>
        <v>38424</v>
      </c>
      <c r="F7" s="239" t="str">
        <f>IF('P1'!G17="","",'P1'!G17)</f>
        <v>Sandra Nævdal</v>
      </c>
      <c r="G7" s="245">
        <f>IF('P1'!O17="","",'P1'!O17)</f>
        <v>68</v>
      </c>
      <c r="H7" s="245">
        <f>IF('P1'!P17="","",'P1'!P17)</f>
        <v>85</v>
      </c>
      <c r="I7" s="246">
        <f>IF('P1'!T17="","",'P1'!T17)</f>
        <v>7.12</v>
      </c>
      <c r="J7" s="246">
        <f>IF('P1'!U17="","",'P1'!U17)</f>
        <v>10.31</v>
      </c>
      <c r="K7" s="246">
        <f>IF('P1'!V17="","",'P1'!V17)</f>
        <v>6.61</v>
      </c>
      <c r="L7" s="246">
        <f>IF('P1'!X18="","",'P1'!X18)</f>
        <v>671.53419641078608</v>
      </c>
    </row>
    <row r="8" spans="1:12" s="13" customFormat="1" ht="16">
      <c r="A8" s="236"/>
      <c r="B8" s="237">
        <f>IF('P1'!B21="","",'P1'!B21)</f>
        <v>63.26</v>
      </c>
      <c r="C8" s="237" t="str">
        <f>IF('P1'!C21="","",'P1'!C21)</f>
        <v>UK</v>
      </c>
      <c r="D8" s="237" t="str">
        <f>IF('P1'!D21="","",'P1'!D21)</f>
        <v>15-16</v>
      </c>
      <c r="E8" s="238">
        <f>IF('P1'!E21="","",'P1'!E21)</f>
        <v>38911</v>
      </c>
      <c r="F8" s="239" t="str">
        <f>IF('P1'!G21="","",'P1'!G21)</f>
        <v>Ingrid Rommetveit Knappen</v>
      </c>
      <c r="G8" s="245">
        <f>IF('P1'!O21="","",'P1'!O21)</f>
        <v>55</v>
      </c>
      <c r="H8" s="245">
        <f>IF('P1'!P21="","",'P1'!P21)</f>
        <v>73</v>
      </c>
      <c r="I8" s="246">
        <f>IF('P1'!T21="","",'P1'!T21)</f>
        <v>6.48</v>
      </c>
      <c r="J8" s="246">
        <f>IF('P1'!U21="","",'P1'!U21)</f>
        <v>10.220000000000001</v>
      </c>
      <c r="K8" s="246">
        <f>IF('P1'!V21="","",'P1'!V21)</f>
        <v>7.28</v>
      </c>
      <c r="L8" s="246">
        <f>IF('P1'!X22="","",'P1'!X22)</f>
        <v>571.26621313081637</v>
      </c>
    </row>
    <row r="9" spans="1:12" ht="16">
      <c r="A9" s="236"/>
      <c r="B9" s="237" t="str">
        <f>IF('P3'!B17="","",'P3'!B17)</f>
        <v>71.11</v>
      </c>
      <c r="C9" s="237" t="str">
        <f>IF('P3'!C17="","",'P3'!C17)</f>
        <v>JK</v>
      </c>
      <c r="D9" s="237" t="str">
        <f>IF('P3'!D17="","",'P3'!D17)</f>
        <v>17-18</v>
      </c>
      <c r="E9" s="238">
        <f>IF('P3'!E17="","",'P3'!E17)</f>
        <v>37721</v>
      </c>
      <c r="F9" s="239" t="str">
        <f>IF('P3'!G17="","",'P3'!G17)</f>
        <v>Tuva Loodtz</v>
      </c>
      <c r="G9" s="245">
        <f>IF('P3'!O17="","",'P3'!O17)</f>
        <v>67</v>
      </c>
      <c r="H9" s="245">
        <f>IF('P3'!P17="","",'P3'!P17)</f>
        <v>83</v>
      </c>
      <c r="I9" s="246">
        <f>IF('P3'!T17="","",'P3'!T17)</f>
        <v>7.14</v>
      </c>
      <c r="J9" s="246">
        <f>IF('P3'!U17="","",'P3'!U17)</f>
        <v>11.23</v>
      </c>
      <c r="K9" s="246">
        <f>IF('P3'!V17="","",'P3'!V17)</f>
        <v>7.01</v>
      </c>
      <c r="L9" s="246">
        <f>IF('P3'!X18="","",'P3'!X18)</f>
        <v>584.79</v>
      </c>
    </row>
    <row r="10" spans="1:12" s="241" customFormat="1" ht="25" customHeight="1">
      <c r="A10" s="250">
        <v>2</v>
      </c>
      <c r="B10" s="341" t="s">
        <v>87</v>
      </c>
      <c r="C10" s="341"/>
      <c r="D10" s="341"/>
      <c r="E10" s="341"/>
      <c r="F10" s="341"/>
      <c r="G10" s="243"/>
      <c r="H10" s="243"/>
      <c r="I10" s="243"/>
      <c r="J10" s="243"/>
      <c r="K10" s="243"/>
      <c r="L10" s="244">
        <f>SUM(L11:L13)</f>
        <v>1341.2786509886823</v>
      </c>
    </row>
    <row r="11" spans="1:12" s="13" customFormat="1" ht="16">
      <c r="A11" s="236"/>
      <c r="B11" s="237">
        <f>IF('P1'!B15="","",'P1'!B15)</f>
        <v>69.38</v>
      </c>
      <c r="C11" s="237" t="str">
        <f>IF('P1'!C15="","",'P1'!C15)</f>
        <v>UK</v>
      </c>
      <c r="D11" s="237" t="str">
        <f>IF('P1'!D15="","",'P1'!D15)</f>
        <v>13-14</v>
      </c>
      <c r="E11" s="238">
        <f>IF('P1'!E15="","",'P1'!E15)</f>
        <v>39099</v>
      </c>
      <c r="F11" s="239" t="str">
        <f>IF('P1'!G15="","",'P1'!G15)</f>
        <v>Eline Svendsen</v>
      </c>
      <c r="G11" s="245">
        <f>IF('P1'!O15="","",'P1'!O15)</f>
        <v>28</v>
      </c>
      <c r="H11" s="245">
        <f>IF('P1'!P15="","",'P1'!P15)</f>
        <v>47</v>
      </c>
      <c r="I11" s="246">
        <f>IF('P1'!T15="","",'P1'!T15)</f>
        <v>5.92</v>
      </c>
      <c r="J11" s="246">
        <f>IF('P1'!U15="","",'P1'!U15)</f>
        <v>7.31</v>
      </c>
      <c r="K11" s="246">
        <f>IF('P1'!V15="","",'P1'!V15)</f>
        <v>7.82</v>
      </c>
      <c r="L11" s="246">
        <f>IF('P1'!X16="","",'P1'!X16)</f>
        <v>409.03078806029419</v>
      </c>
    </row>
    <row r="12" spans="1:12" s="13" customFormat="1" ht="16">
      <c r="A12" s="236"/>
      <c r="B12" s="237">
        <f>IF('P1'!B19="","",'P1'!B19)</f>
        <v>58.66</v>
      </c>
      <c r="C12" s="237" t="str">
        <f>IF('P1'!C19="","",'P1'!C19)</f>
        <v>UK</v>
      </c>
      <c r="D12" s="237" t="str">
        <f>IF('P1'!D19="","",'P1'!D19)</f>
        <v>15-16</v>
      </c>
      <c r="E12" s="238">
        <f>IF('P1'!E19="","",'P1'!E19)</f>
        <v>38628</v>
      </c>
      <c r="F12" s="239" t="str">
        <f>IF('P1'!G19="","",'P1'!G19)</f>
        <v>Madeleine Aaslund Jenack</v>
      </c>
      <c r="G12" s="245">
        <f>IF('P1'!O19="","",'P1'!O19)</f>
        <v>46</v>
      </c>
      <c r="H12" s="245">
        <f>IF('P1'!P19="","",'P1'!P19)</f>
        <v>55</v>
      </c>
      <c r="I12" s="246">
        <f>IF('P1'!T19="","",'P1'!T19)</f>
        <v>6.08</v>
      </c>
      <c r="J12" s="246">
        <f>IF('P1'!U19="","",'P1'!U19)</f>
        <v>8.86</v>
      </c>
      <c r="K12" s="246">
        <f>IF('P1'!V19="","",'P1'!V19)</f>
        <v>7.45</v>
      </c>
      <c r="L12" s="246">
        <f>IF('P1'!X20="","",'P1'!X20)</f>
        <v>502.9423036349001</v>
      </c>
    </row>
    <row r="13" spans="1:12" ht="16">
      <c r="A13" s="236"/>
      <c r="B13" s="237">
        <f>IF('P3'!B11="","",'P3'!B11)</f>
        <v>56.64</v>
      </c>
      <c r="C13" s="237" t="str">
        <f>IF('P3'!C11="","",'P3'!C11)</f>
        <v>UK</v>
      </c>
      <c r="D13" s="237" t="str">
        <f>IF('P3'!D11="","",'P3'!D11)</f>
        <v>17-18</v>
      </c>
      <c r="E13" s="238">
        <f>IF('P3'!E11="","",'P3'!E11)</f>
        <v>38030</v>
      </c>
      <c r="F13" s="239" t="str">
        <f>IF('P3'!G11="","",'P3'!G11)</f>
        <v>Siv-Helene Haaland</v>
      </c>
      <c r="G13" s="245">
        <f>IF('P3'!O11="","",'P3'!O11)</f>
        <v>40</v>
      </c>
      <c r="H13" s="245">
        <f>IF('P3'!P11="","",'P3'!P11)</f>
        <v>42</v>
      </c>
      <c r="I13" s="246">
        <f>IF('P3'!T11="","",'P3'!T11)</f>
        <v>6.09</v>
      </c>
      <c r="J13" s="246">
        <f>IF('P3'!U11="","",'P3'!U11)</f>
        <v>6.57</v>
      </c>
      <c r="K13" s="246">
        <f>IF('P3'!V11="","",'P3'!V11)</f>
        <v>7.89</v>
      </c>
      <c r="L13" s="246">
        <f>IF('P3'!X12="","",'P3'!X12)</f>
        <v>429.30555929348805</v>
      </c>
    </row>
    <row r="14" spans="1:12" ht="8" customHeight="1" thickBot="1"/>
    <row r="15" spans="1:12" ht="21" thickBot="1">
      <c r="A15" s="328" t="s">
        <v>81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30"/>
    </row>
    <row r="16" spans="1:12" ht="10" customHeight="1">
      <c r="A16" s="242"/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</row>
    <row r="17" spans="1:12" s="241" customFormat="1" ht="25" customHeight="1">
      <c r="A17" s="250">
        <v>1</v>
      </c>
      <c r="B17" s="341" t="s">
        <v>85</v>
      </c>
      <c r="C17" s="341"/>
      <c r="D17" s="341"/>
      <c r="E17" s="341"/>
      <c r="F17" s="341"/>
      <c r="G17" s="243"/>
      <c r="H17" s="243"/>
      <c r="I17" s="243"/>
      <c r="J17" s="243"/>
      <c r="K17" s="243"/>
      <c r="L17" s="244">
        <f>SUM(L18:L20)</f>
        <v>1825.4966482247714</v>
      </c>
    </row>
    <row r="18" spans="1:12" s="13" customFormat="1" ht="16">
      <c r="A18" s="236"/>
      <c r="B18" s="237">
        <f>IF('P1'!B9="","",'P1'!B9)</f>
        <v>55.54</v>
      </c>
      <c r="C18" s="237" t="str">
        <f>IF('P1'!C9="","",'P1'!C9)</f>
        <v>UK</v>
      </c>
      <c r="D18" s="237" t="str">
        <f>IF('P1'!D9="","",'P1'!D9)</f>
        <v>13-14</v>
      </c>
      <c r="E18" s="238">
        <f>IF('P1'!E9="","",'P1'!E9)</f>
        <v>39575</v>
      </c>
      <c r="F18" s="239" t="str">
        <f>IF('P1'!G9="","",'P1'!G9)</f>
        <v>Mariell Endestad Hellevang</v>
      </c>
      <c r="G18" s="245">
        <f>IF('P1'!O9="","",'P1'!O9)</f>
        <v>40</v>
      </c>
      <c r="H18" s="245">
        <f>IF('P1'!P9="","",'P1'!P9)</f>
        <v>54</v>
      </c>
      <c r="I18" s="246">
        <f>IF('P1'!T9="","",'P1'!T9)</f>
        <v>6.34</v>
      </c>
      <c r="J18" s="246">
        <f>IF('P1'!U9="","",'P1'!U9)</f>
        <v>9.84</v>
      </c>
      <c r="K18" s="246">
        <f>IF('P1'!V9="","",'P1'!V9)</f>
        <v>7.91</v>
      </c>
      <c r="L18" s="246">
        <f>IF('P1'!X10="","",'P1'!X10)</f>
        <v>495.16837227225727</v>
      </c>
    </row>
    <row r="19" spans="1:12" s="13" customFormat="1" ht="16">
      <c r="A19" s="236"/>
      <c r="B19" s="237">
        <f>IF('P1'!B23="","",'P1'!B23)</f>
        <v>70.59</v>
      </c>
      <c r="C19" s="237" t="str">
        <f>IF('P1'!C23="","",'P1'!C23)</f>
        <v>UK</v>
      </c>
      <c r="D19" s="237" t="str">
        <f>IF('P1'!D23="","",'P1'!D23)</f>
        <v>15-16</v>
      </c>
      <c r="E19" s="238">
        <f>IF('P1'!E23="","",'P1'!E23)</f>
        <v>38610</v>
      </c>
      <c r="F19" s="239" t="str">
        <f>IF('P1'!G23="","",'P1'!G23)</f>
        <v>Trine Endestad Hellevang</v>
      </c>
      <c r="G19" s="245">
        <f>IF('P1'!O23="","",'P1'!O23)</f>
        <v>56</v>
      </c>
      <c r="H19" s="245">
        <f>IF('P1'!P23="","",'P1'!P23)</f>
        <v>68</v>
      </c>
      <c r="I19" s="246">
        <f>IF('P1'!T23="","",'P1'!T23)</f>
        <v>6.52</v>
      </c>
      <c r="J19" s="246">
        <f>IF('P1'!U23="","",'P1'!U23)</f>
        <v>9.08</v>
      </c>
      <c r="K19" s="246">
        <f>IF('P1'!V23="","",'P1'!V23)</f>
        <v>7.79</v>
      </c>
      <c r="L19" s="246">
        <f>IF('P1'!X24="","",'P1'!X24)</f>
        <v>519.2537174567135</v>
      </c>
    </row>
    <row r="20" spans="1:12" ht="16">
      <c r="A20" s="236"/>
      <c r="B20" s="237">
        <f>IF('P7'!B21="","",'P7'!B21)</f>
        <v>60.27</v>
      </c>
      <c r="C20" s="237" t="str">
        <f>IF('P7'!C21="","",'P7'!C21)</f>
        <v>SK</v>
      </c>
      <c r="D20" s="237" t="str">
        <f>IF('P7'!D21="","",'P7'!D21)</f>
        <v>24-34</v>
      </c>
      <c r="E20" s="238">
        <f>IF('P7'!E21="","",'P7'!E21)</f>
        <v>32737</v>
      </c>
      <c r="F20" s="239" t="str">
        <f>IF('P7'!G21="","",'P7'!G21)</f>
        <v>Ine Andersson</v>
      </c>
      <c r="G20" s="245">
        <f>IF('P7'!O21="","",'P7'!O21)</f>
        <v>90</v>
      </c>
      <c r="H20" s="245">
        <f>IF('P7'!P21="","",'P7'!P21)</f>
        <v>117</v>
      </c>
      <c r="I20" s="246">
        <f>IF('P7'!T21="","",'P7'!T21)</f>
        <v>8.0500000000000007</v>
      </c>
      <c r="J20" s="246">
        <f>IF('P7'!U21="","",'P7'!U21)</f>
        <v>14.11</v>
      </c>
      <c r="K20" s="246">
        <f>IF('P7'!V21="","",'P7'!V21)</f>
        <v>6.66</v>
      </c>
      <c r="L20" s="249">
        <f>IF('P7'!X22="","",'P7'!X22)</f>
        <v>811.07455849580049</v>
      </c>
    </row>
    <row r="21" spans="1:12" s="241" customFormat="1" ht="25" customHeight="1">
      <c r="A21" s="250">
        <v>2</v>
      </c>
      <c r="B21" s="341" t="s">
        <v>98</v>
      </c>
      <c r="C21" s="341"/>
      <c r="D21" s="341"/>
      <c r="E21" s="341"/>
      <c r="F21" s="341"/>
      <c r="G21" s="243"/>
      <c r="H21" s="243"/>
      <c r="I21" s="243"/>
      <c r="J21" s="243"/>
      <c r="K21" s="243"/>
      <c r="L21" s="244">
        <f>SUM(L22:L24)</f>
        <v>1788.6114165342615</v>
      </c>
    </row>
    <row r="22" spans="1:12" ht="16">
      <c r="A22" s="236"/>
      <c r="B22" s="237">
        <f>IF('P5'!B9="","",'P5'!B9)</f>
        <v>63.81</v>
      </c>
      <c r="C22" s="237" t="str">
        <f>IF('P5'!C9="","",'P5'!C9)</f>
        <v>JK</v>
      </c>
      <c r="D22" s="237" t="str">
        <f>IF('P5'!D9="","",'P5'!D9)</f>
        <v>19-23</v>
      </c>
      <c r="E22" s="238">
        <f>IF('P5'!E9="","",'P5'!E9)</f>
        <v>37315</v>
      </c>
      <c r="F22" s="239" t="str">
        <f>IF('P5'!G9="","",'P5'!G9)</f>
        <v>Julia Jordanger Loen</v>
      </c>
      <c r="G22" s="245">
        <f>IF('P5'!O9="","",'P5'!O9)</f>
        <v>75</v>
      </c>
      <c r="H22" s="245">
        <f>IF('P5'!P9="","",'P5'!P9)</f>
        <v>101</v>
      </c>
      <c r="I22" s="246">
        <f>IF('P5'!T9="","",'P5'!T9)</f>
        <v>8.02</v>
      </c>
      <c r="J22" s="246">
        <f>IF('P5'!U9="","",'P5'!U9)</f>
        <v>11.93</v>
      </c>
      <c r="K22" s="246">
        <f>IF('P5'!V9="","",'P5'!V9)</f>
        <v>6.61</v>
      </c>
      <c r="L22" s="249">
        <f>IF('P5'!X10="","",'P5'!X10)</f>
        <v>722.16576591626108</v>
      </c>
    </row>
    <row r="23" spans="1:12" ht="16">
      <c r="A23" s="236"/>
      <c r="B23" s="237">
        <f>IF('P5'!B11="","",'P5'!B11)</f>
        <v>64.739999999999995</v>
      </c>
      <c r="C23" s="237" t="str">
        <f>IF('P5'!C11="","",'P5'!C11)</f>
        <v>JK</v>
      </c>
      <c r="D23" s="237" t="str">
        <f>IF('P5'!D11="","",'P5'!D11)</f>
        <v>19-23</v>
      </c>
      <c r="E23" s="238">
        <f>IF('P5'!E11="","",'P5'!E11)</f>
        <v>37362</v>
      </c>
      <c r="F23" s="239" t="str">
        <f>IF('P5'!G11="","",'P5'!G11)</f>
        <v>Emilie Kolseth Jensen</v>
      </c>
      <c r="G23" s="245">
        <f>IF('P5'!O11="","",'P5'!O11)</f>
        <v>40</v>
      </c>
      <c r="H23" s="245">
        <f>IF('P5'!P11="","",'P5'!P11)</f>
        <v>54</v>
      </c>
      <c r="I23" s="246">
        <f>IF('P5'!T11="","",'P5'!T11)</f>
        <v>6.95</v>
      </c>
      <c r="J23" s="246">
        <f>IF('P5'!U11="","",'P5'!U11)</f>
        <v>12.84</v>
      </c>
      <c r="K23" s="246">
        <f>IF('P5'!V11="","",'P5'!V11)</f>
        <v>7.32</v>
      </c>
      <c r="L23" s="249">
        <f>IF('P5'!X12="","",'P5'!X12)</f>
        <v>555.36818759699861</v>
      </c>
    </row>
    <row r="24" spans="1:12" ht="16">
      <c r="A24" s="236"/>
      <c r="B24" s="237">
        <f>IF('P5'!B17="","",'P5'!B17)</f>
        <v>76.099999999999994</v>
      </c>
      <c r="C24" s="237" t="str">
        <f>IF('P5'!C17="","",'P5'!C17)</f>
        <v>JK</v>
      </c>
      <c r="D24" s="237" t="str">
        <f>IF('P5'!D17="","",'P5'!D17)</f>
        <v>19-23</v>
      </c>
      <c r="E24" s="238">
        <f>IF('P5'!E17="","",'P5'!E17)</f>
        <v>37069</v>
      </c>
      <c r="F24" s="239" t="str">
        <f>IF('P5'!G17="","",'P5'!G17)</f>
        <v>Anna Wiik</v>
      </c>
      <c r="G24" s="245">
        <f>IF('P5'!O17="","",'P5'!O17)</f>
        <v>46</v>
      </c>
      <c r="H24" s="245">
        <f>IF('P5'!P17="","",'P5'!P17)</f>
        <v>65</v>
      </c>
      <c r="I24" s="246">
        <f>IF('P5'!T17="","",'P5'!T17)</f>
        <v>6.67</v>
      </c>
      <c r="J24" s="246">
        <f>IF('P5'!U17="","",'P5'!U17)</f>
        <v>10.47</v>
      </c>
      <c r="K24" s="246">
        <f>IF('P5'!V17="","",'P5'!V17)</f>
        <v>7.86</v>
      </c>
      <c r="L24" s="246">
        <f>IF('P5'!X18="","",'P5'!X18)</f>
        <v>511.07746302100179</v>
      </c>
    </row>
    <row r="25" spans="1:12" s="241" customFormat="1" ht="25" customHeight="1">
      <c r="A25" s="250">
        <v>3</v>
      </c>
      <c r="B25" s="341" t="s">
        <v>86</v>
      </c>
      <c r="C25" s="341"/>
      <c r="D25" s="341"/>
      <c r="E25" s="341"/>
      <c r="F25" s="341"/>
      <c r="G25" s="243"/>
      <c r="H25" s="243"/>
      <c r="I25" s="243"/>
      <c r="J25" s="243"/>
      <c r="K25" s="243"/>
      <c r="L25" s="244">
        <f>SUM(L26:L28)</f>
        <v>1589.7844351921765</v>
      </c>
    </row>
    <row r="26" spans="1:12" s="13" customFormat="1" ht="16">
      <c r="A26" s="236"/>
      <c r="B26" s="237">
        <f>IF('P1'!B13="","",'P1'!B13)</f>
        <v>67.75</v>
      </c>
      <c r="C26" s="237" t="str">
        <f>IF('P1'!C13="","",'P1'!C13)</f>
        <v>UK</v>
      </c>
      <c r="D26" s="237" t="str">
        <f>IF('P1'!D13="","",'P1'!D13)</f>
        <v>13-14</v>
      </c>
      <c r="E26" s="238">
        <f>IF('P1'!E13="","",'P1'!E13)</f>
        <v>39742</v>
      </c>
      <c r="F26" s="239" t="str">
        <f>IF('P1'!G13="","",'P1'!G13)</f>
        <v>Mille Dekke</v>
      </c>
      <c r="G26" s="245">
        <f>IF('P1'!O13="","",'P1'!O13)</f>
        <v>37</v>
      </c>
      <c r="H26" s="245">
        <f>IF('P1'!P13="","",'P1'!P13)</f>
        <v>47</v>
      </c>
      <c r="I26" s="246">
        <f>IF('P1'!T13="","",'P1'!T13)</f>
        <v>5.33</v>
      </c>
      <c r="J26" s="246">
        <f>IF('P1'!U13="","",'P1'!U13)</f>
        <v>9.2200000000000006</v>
      </c>
      <c r="K26" s="246">
        <f>IF('P1'!V13="","",'P1'!V13)</f>
        <v>8.77</v>
      </c>
      <c r="L26" s="246">
        <f>IF('P1'!X14="","",'P1'!X14)</f>
        <v>401.0955652761449</v>
      </c>
    </row>
    <row r="27" spans="1:12" ht="16">
      <c r="A27" s="236"/>
      <c r="B27" s="237">
        <f>IF('P7'!B15="","",'P7'!B15)</f>
        <v>61.65</v>
      </c>
      <c r="C27" s="237" t="str">
        <f>IF('P7'!C15="","",'P7'!C15)</f>
        <v>SK</v>
      </c>
      <c r="D27" s="237" t="str">
        <f>IF('P7'!D15="","",'P7'!D15)</f>
        <v>24-34</v>
      </c>
      <c r="E27" s="238">
        <f>IF('P7'!E15="","",'P7'!E15)</f>
        <v>33443</v>
      </c>
      <c r="F27" s="239" t="str">
        <f>IF('P7'!G15="","",'P7'!G15)</f>
        <v>Sara Broe Østvold</v>
      </c>
      <c r="G27" s="245">
        <f>IF('P7'!O15="","",'P7'!O15)</f>
        <v>56</v>
      </c>
      <c r="H27" s="245">
        <f>IF('P7'!P15="","",'P7'!P15)</f>
        <v>70</v>
      </c>
      <c r="I27" s="246">
        <f>IF('P7'!T15="","",'P7'!T15)</f>
        <v>6.86</v>
      </c>
      <c r="J27" s="246">
        <f>IF('P7'!U15="","",'P7'!U15)</f>
        <v>7.68</v>
      </c>
      <c r="K27" s="246">
        <f>IF('P7'!V15="","",'P7'!V15)</f>
        <v>7.41</v>
      </c>
      <c r="L27" s="249">
        <f>IF('P7'!X16="","",'P7'!X16)</f>
        <v>537.85576014847993</v>
      </c>
    </row>
    <row r="28" spans="1:12" ht="16">
      <c r="A28" s="236"/>
      <c r="B28" s="237">
        <f>IF('P7'!B23="","",'P7'!B23)</f>
        <v>74.33</v>
      </c>
      <c r="C28" s="237" t="str">
        <f>IF('P7'!C23="","",'P7'!C23)</f>
        <v>SK</v>
      </c>
      <c r="D28" s="237" t="str">
        <f>IF('P7'!D23="","",'P7'!D23)</f>
        <v>24-34</v>
      </c>
      <c r="E28" s="238">
        <f>IF('P7'!E23="","",'P7'!E23)</f>
        <v>32509</v>
      </c>
      <c r="F28" s="239" t="str">
        <f>IF('P7'!G23="","",'P7'!G23)</f>
        <v>Melissa Schanche</v>
      </c>
      <c r="G28" s="245">
        <f>IF('P7'!O23="","",'P7'!O23)</f>
        <v>87</v>
      </c>
      <c r="H28" s="245">
        <f>IF('P7'!P23="","",'P7'!P23)</f>
        <v>108</v>
      </c>
      <c r="I28" s="246">
        <f>IF('P7'!T23="","",'P7'!T23)</f>
        <v>7.32</v>
      </c>
      <c r="J28" s="246">
        <f>IF('P7'!U23="","",'P7'!U23)</f>
        <v>9.8800000000000008</v>
      </c>
      <c r="K28" s="246">
        <f>IF('P7'!V23="","",'P7'!V23)</f>
        <v>7.52</v>
      </c>
      <c r="L28" s="249">
        <f>IF('P7'!X24="","",'P7'!X24)</f>
        <v>650.8331097675516</v>
      </c>
    </row>
    <row r="29" spans="1:12" s="241" customFormat="1" ht="25" customHeight="1">
      <c r="A29" s="250">
        <v>4</v>
      </c>
      <c r="B29" s="341" t="s">
        <v>87</v>
      </c>
      <c r="C29" s="341"/>
      <c r="D29" s="341"/>
      <c r="E29" s="341"/>
      <c r="F29" s="341"/>
      <c r="G29" s="243"/>
      <c r="H29" s="243"/>
      <c r="I29" s="243"/>
      <c r="J29" s="243"/>
      <c r="K29" s="243"/>
      <c r="L29" s="244">
        <f>SUM(L30:L32)</f>
        <v>1574.8018338076788</v>
      </c>
    </row>
    <row r="30" spans="1:12" ht="16">
      <c r="A30" s="236"/>
      <c r="B30" s="237">
        <f>IF('P3'!B23="","",'P3'!B23)</f>
        <v>83.61</v>
      </c>
      <c r="C30" s="237" t="str">
        <f>IF('P3'!C23="","",'P3'!C23)</f>
        <v>K3</v>
      </c>
      <c r="D30" s="237" t="str">
        <f>IF('P3'!D23="","",'P3'!D23)</f>
        <v>+35</v>
      </c>
      <c r="E30" s="238">
        <f>IF('P3'!E23="","",'P3'!E23)</f>
        <v>27503</v>
      </c>
      <c r="F30" s="239" t="str">
        <f>IF('P3'!G23="","",'P3'!G23)</f>
        <v>Monika Zakrzewska</v>
      </c>
      <c r="G30" s="245">
        <f>IF('P3'!O23="","",'P3'!O23)</f>
        <v>42</v>
      </c>
      <c r="H30" s="245">
        <f>IF('P3'!P23="","",'P3'!P23)</f>
        <v>59</v>
      </c>
      <c r="I30" s="246">
        <f>IF('P3'!T23="","",'P3'!T23)</f>
        <v>5.36</v>
      </c>
      <c r="J30" s="246">
        <f>IF('P3'!U23="","",'P3'!U23)</f>
        <v>8.81</v>
      </c>
      <c r="K30" s="246">
        <f>IF('P3'!V23="","",'P3'!V23)</f>
        <v>10.220000000000001</v>
      </c>
      <c r="L30" s="246">
        <f>IF('P3'!X24="","",'P3'!X24)</f>
        <v>359.20656198678216</v>
      </c>
    </row>
    <row r="31" spans="1:12" ht="16">
      <c r="A31" s="236"/>
      <c r="B31" s="237">
        <f>IF('P3'!B19="","",'P3'!B19)</f>
        <v>59.04</v>
      </c>
      <c r="C31" s="237" t="str">
        <f>IF('P3'!C19="","",'P3'!C19)</f>
        <v>K1</v>
      </c>
      <c r="D31" s="237" t="str">
        <f>IF('P3'!D19="","",'P3'!D19)</f>
        <v>+35</v>
      </c>
      <c r="E31" s="238">
        <f>IF('P3'!E19="","",'P3'!E19)</f>
        <v>31091</v>
      </c>
      <c r="F31" s="239" t="str">
        <f>IF('P3'!G19="","",'P3'!G19)</f>
        <v>Tinna Marína Jónsdóttir⁠</v>
      </c>
      <c r="G31" s="245">
        <f>IF('P3'!O19="","",'P3'!O19)</f>
        <v>53</v>
      </c>
      <c r="H31" s="245">
        <f>IF('P3'!P19="","",'P3'!P19)</f>
        <v>68</v>
      </c>
      <c r="I31" s="246">
        <f>IF('P3'!T19="","",'P3'!T19)</f>
        <v>6.98</v>
      </c>
      <c r="J31" s="246">
        <f>IF('P3'!U19="","",'P3'!U19)</f>
        <v>9.6300000000000008</v>
      </c>
      <c r="K31" s="246">
        <f>IF('P3'!V19="","",'P3'!V19)</f>
        <v>7.22</v>
      </c>
      <c r="L31" s="246">
        <f>IF('P3'!X20="","",'P3'!X20)</f>
        <v>571.01797401900944</v>
      </c>
    </row>
    <row r="32" spans="1:12" ht="16">
      <c r="A32" s="236"/>
      <c r="B32" s="237">
        <f>IF('P7'!B17="","",'P7'!B17)</f>
        <v>58.25</v>
      </c>
      <c r="C32" s="237" t="str">
        <f>IF('P7'!C17="","",'P7'!C17)</f>
        <v>SK</v>
      </c>
      <c r="D32" s="237" t="str">
        <f>IF('P7'!D17="","",'P7'!D17)</f>
        <v>24-34</v>
      </c>
      <c r="E32" s="238">
        <f>IF('P7'!E17="","",'P7'!E17)</f>
        <v>35232</v>
      </c>
      <c r="F32" s="239" t="str">
        <f>IF('P7'!G17="","",'P7'!G17)</f>
        <v>Kamilla Storstein Grønnestad</v>
      </c>
      <c r="G32" s="245">
        <f>IF('P7'!O17="","",'P7'!O17)</f>
        <v>63</v>
      </c>
      <c r="H32" s="245">
        <f>IF('P7'!P17="","",'P7'!P17)</f>
        <v>80</v>
      </c>
      <c r="I32" s="246">
        <f>IF('P7'!T17="","",'P7'!T17)</f>
        <v>7.25</v>
      </c>
      <c r="J32" s="246">
        <f>IF('P7'!U17="","",'P7'!U17)</f>
        <v>10.71</v>
      </c>
      <c r="K32" s="246">
        <f>IF('P7'!V17="","",'P7'!V17)</f>
        <v>6.89</v>
      </c>
      <c r="L32" s="249">
        <f>IF('P7'!X18="","",'P7'!X18)</f>
        <v>644.5772978018872</v>
      </c>
    </row>
    <row r="33" spans="1:12" ht="16">
      <c r="A33" s="236"/>
      <c r="B33" s="237">
        <f>IF('P7'!B19="","",'P7'!B19)</f>
        <v>59.45</v>
      </c>
      <c r="C33" s="237" t="str">
        <f>IF('P7'!C19="","",'P7'!C19)</f>
        <v>SK</v>
      </c>
      <c r="D33" s="237" t="str">
        <f>IF('P7'!D19="","",'P7'!D19)</f>
        <v>24-34</v>
      </c>
      <c r="E33" s="238">
        <f>IF('P7'!E19="","",'P7'!E19)</f>
        <v>33830</v>
      </c>
      <c r="F33" s="239" t="str">
        <f>IF('P7'!G19="","",'P7'!G19)</f>
        <v>Sol Anette Waaler</v>
      </c>
      <c r="G33" s="245" t="str">
        <f>IF('P7'!O19="","",'P7'!O19)</f>
        <v/>
      </c>
      <c r="H33" s="245">
        <f>IF('P7'!P19="","",'P7'!P19)</f>
        <v>105</v>
      </c>
      <c r="I33" s="246" t="str">
        <f>IF('P7'!T19="","",'P7'!T19)</f>
        <v/>
      </c>
      <c r="J33" s="246" t="str">
        <f>IF('P7'!U19="","",'P7'!U19)</f>
        <v/>
      </c>
      <c r="K33" s="246" t="str">
        <f>IF('P7'!V19="","",'P7'!V19)</f>
        <v/>
      </c>
      <c r="L33" s="249" t="str">
        <f>IF('P7'!X20="","",'P7'!X20)</f>
        <v/>
      </c>
    </row>
    <row r="34" spans="1:12" ht="8" customHeight="1"/>
    <row r="35" spans="1:12" ht="21" thickBot="1">
      <c r="A35" s="338" t="s">
        <v>82</v>
      </c>
      <c r="B35" s="339"/>
      <c r="C35" s="339"/>
      <c r="D35" s="339"/>
      <c r="E35" s="339"/>
      <c r="F35" s="339"/>
      <c r="G35" s="339"/>
      <c r="H35" s="339"/>
      <c r="I35" s="339"/>
      <c r="J35" s="339"/>
      <c r="K35" s="339"/>
      <c r="L35" s="340"/>
    </row>
    <row r="36" spans="1:12" ht="10" customHeight="1">
      <c r="A36" s="242"/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</row>
    <row r="37" spans="1:12" s="241" customFormat="1" ht="25" customHeight="1">
      <c r="A37" s="251">
        <v>1</v>
      </c>
      <c r="B37" s="334" t="s">
        <v>85</v>
      </c>
      <c r="C37" s="334"/>
      <c r="D37" s="334"/>
      <c r="E37" s="334"/>
      <c r="F37" s="334"/>
      <c r="G37" s="247"/>
      <c r="H37" s="247"/>
      <c r="I37" s="247"/>
      <c r="J37" s="247"/>
      <c r="K37" s="247"/>
      <c r="L37" s="248">
        <f>IF(L41="",SUM(L38:L41),(SUM(L38:L41)-MIN(L38:L41)))</f>
        <v>2276.3864019178141</v>
      </c>
    </row>
    <row r="38" spans="1:12" s="13" customFormat="1" ht="16">
      <c r="A38" s="236"/>
      <c r="B38" s="237">
        <f>IF('P2'!B17="","",'P2'!B17)</f>
        <v>60.99</v>
      </c>
      <c r="C38" s="237" t="str">
        <f>IF('P2'!C17="","",'P2'!C17)</f>
        <v>UM</v>
      </c>
      <c r="D38" s="237" t="str">
        <f>IF('P2'!D17="","",'P2'!D17)</f>
        <v>15-16</v>
      </c>
      <c r="E38" s="238">
        <f>IF('P2'!E17="","",'P2'!E17)</f>
        <v>38922</v>
      </c>
      <c r="F38" s="239" t="str">
        <f>IF('P2'!G17="","",'P2'!G17)</f>
        <v>Aksel Svorstøl</v>
      </c>
      <c r="G38" s="245">
        <f>IF('P2'!O17="","",'P2'!O17)</f>
        <v>68</v>
      </c>
      <c r="H38" s="245">
        <f>IF('P2'!P17="","",'P2'!P17)</f>
        <v>85</v>
      </c>
      <c r="I38" s="246">
        <f>IF('P2'!T17="","",'P2'!T17)</f>
        <v>8.01</v>
      </c>
      <c r="J38" s="246">
        <f>IF('P2'!U17="","",'P2'!U17)</f>
        <v>12.04</v>
      </c>
      <c r="K38" s="246">
        <f>IF('P2'!V17="","",'P2'!V17)</f>
        <v>6.28</v>
      </c>
      <c r="L38" s="246">
        <f>IF('P2'!X18="","",'P2'!X18)</f>
        <v>729.1554255049823</v>
      </c>
    </row>
    <row r="39" spans="1:12" ht="16">
      <c r="A39" s="236"/>
      <c r="B39" s="237">
        <f>IF('P4'!B11="","",'P4'!B11)</f>
        <v>65.92</v>
      </c>
      <c r="C39" s="237" t="str">
        <f>IF('P4'!C11="","",'P4'!C11)</f>
        <v>UM</v>
      </c>
      <c r="D39" s="237" t="str">
        <f>IF('P4'!D11="","",'P4'!D11)</f>
        <v>15-16</v>
      </c>
      <c r="E39" s="238">
        <f>IF('P4'!E11="","",'P4'!E11)</f>
        <v>38859</v>
      </c>
      <c r="F39" s="239" t="str">
        <f>IF('P4'!G11="","",'P4'!G11)</f>
        <v>Nima Berntsen Lama</v>
      </c>
      <c r="G39" s="245">
        <f>IF('P4'!O11="","",'P4'!O11)</f>
        <v>69</v>
      </c>
      <c r="H39" s="245">
        <f>IF('P4'!P11="","",'P4'!P11)</f>
        <v>83</v>
      </c>
      <c r="I39" s="246">
        <f>IF('P4'!T11="","",'P4'!T11)</f>
        <v>8.11</v>
      </c>
      <c r="J39" s="246">
        <f>IF('P4'!U11="","",'P4'!U11)</f>
        <v>9.52</v>
      </c>
      <c r="K39" s="246">
        <f>IF('P4'!V11="","",'P4'!V11)</f>
        <v>6.56</v>
      </c>
      <c r="L39" s="249">
        <f>IF('P4'!X12="","",'P4'!X12)</f>
        <v>671.4331133287742</v>
      </c>
    </row>
    <row r="40" spans="1:12" ht="16">
      <c r="A40" s="236"/>
      <c r="B40" s="237">
        <f>IF('P4'!B13="","",'P4'!B13)</f>
        <v>65.83</v>
      </c>
      <c r="C40" s="237" t="str">
        <f>IF('P4'!C13="","",'P4'!C13)</f>
        <v>UM</v>
      </c>
      <c r="D40" s="237" t="str">
        <f>IF('P4'!D13="","",'P4'!D13)</f>
        <v>15-16</v>
      </c>
      <c r="E40" s="238">
        <f>IF('P4'!E13="","",'P4'!E13)</f>
        <v>38896</v>
      </c>
      <c r="F40" s="239" t="str">
        <f>IF('P4'!G13="","",'P4'!G13)</f>
        <v>Alvolai Røyseth</v>
      </c>
      <c r="G40" s="245">
        <f>IF('P4'!O13="","",'P4'!O13)</f>
        <v>78</v>
      </c>
      <c r="H40" s="245">
        <f>IF('P4'!P13="","",'P4'!P13)</f>
        <v>97</v>
      </c>
      <c r="I40" s="246">
        <f>IF('P4'!T13="","",'P4'!T13)</f>
        <v>8.36</v>
      </c>
      <c r="J40" s="246">
        <f>IF('P4'!U13="","",'P4'!U13)</f>
        <v>11.18</v>
      </c>
      <c r="K40" s="246">
        <f>IF('P4'!V13="","",'P4'!V13)</f>
        <v>6.51</v>
      </c>
      <c r="L40" s="249">
        <f>IF('P4'!X14="","",'P4'!X14)</f>
        <v>736.01359460175945</v>
      </c>
    </row>
    <row r="41" spans="1:12" ht="16">
      <c r="A41" s="236"/>
      <c r="B41" s="237">
        <f>IF('P6'!B13="","",'P6'!B13)</f>
        <v>80.77</v>
      </c>
      <c r="C41" s="237" t="str">
        <f>IF('P6'!C13="","",'P6'!C13)</f>
        <v>UM</v>
      </c>
      <c r="D41" s="237" t="str">
        <f>IF('P6'!D13="","",'P6'!D13)</f>
        <v>17-18</v>
      </c>
      <c r="E41" s="238">
        <f>IF('P6'!E13="","",'P6'!E13)</f>
        <v>38067</v>
      </c>
      <c r="F41" s="239" t="str">
        <f>IF('P6'!G13="","",'P6'!G13)</f>
        <v>Kristen Røyseth</v>
      </c>
      <c r="G41" s="245">
        <f>IF('P6'!O13="","",'P6'!O13)</f>
        <v>101</v>
      </c>
      <c r="H41" s="245">
        <f>IF('P6'!P13="","",'P6'!P13)</f>
        <v>134</v>
      </c>
      <c r="I41" s="246">
        <f>IF('P6'!T13="","",'P6'!T13)</f>
        <v>8.76</v>
      </c>
      <c r="J41" s="246">
        <f>IF('P6'!U13="","",'P6'!U13)</f>
        <v>11.44</v>
      </c>
      <c r="K41" s="246">
        <f>IF('P6'!V13="","",'P6'!V13)</f>
        <v>6.31</v>
      </c>
      <c r="L41" s="249">
        <f>IF('P6'!X14="","",'P6'!X14)</f>
        <v>811.2173818110723</v>
      </c>
    </row>
    <row r="42" spans="1:12" s="241" customFormat="1" ht="25" customHeight="1">
      <c r="A42" s="251">
        <v>2</v>
      </c>
      <c r="B42" s="334" t="s">
        <v>91</v>
      </c>
      <c r="C42" s="334"/>
      <c r="D42" s="334"/>
      <c r="E42" s="334"/>
      <c r="F42" s="334"/>
      <c r="G42" s="247"/>
      <c r="H42" s="247"/>
      <c r="I42" s="247"/>
      <c r="J42" s="247"/>
      <c r="K42" s="247"/>
      <c r="L42" s="248">
        <f>IF(L46="",SUM(L43:L46),(SUM(L43:L46)-MIN(L43:L46)))</f>
        <v>2142.0260238112814</v>
      </c>
    </row>
    <row r="43" spans="1:12" ht="16">
      <c r="A43" s="236"/>
      <c r="B43" s="237">
        <f>IF('P4'!B19="","",'P4'!B19)</f>
        <v>65.48</v>
      </c>
      <c r="C43" s="237" t="str">
        <f>IF('P4'!C19="","",'P4'!C19)</f>
        <v>UM</v>
      </c>
      <c r="D43" s="237" t="str">
        <f>IF('P4'!D19="","",'P4'!D19)</f>
        <v>15-16</v>
      </c>
      <c r="E43" s="238">
        <f>IF('P4'!E19="","",'P4'!E19)</f>
        <v>38405</v>
      </c>
      <c r="F43" s="239" t="str">
        <f>IF('P4'!G19="","",'P4'!G19)</f>
        <v>Magnus Børøsund</v>
      </c>
      <c r="G43" s="245">
        <f>IF('P4'!O19="","",'P4'!O19)</f>
        <v>77</v>
      </c>
      <c r="H43" s="245">
        <f>IF('P4'!P19="","",'P4'!P19)</f>
        <v>96</v>
      </c>
      <c r="I43" s="246">
        <f>IF('P4'!T19="","",'P4'!T19)</f>
        <v>8.18</v>
      </c>
      <c r="J43" s="246">
        <f>IF('P4'!U19="","",'P4'!U19)</f>
        <v>13.13</v>
      </c>
      <c r="K43" s="246">
        <f>IF('P4'!V19="","",'P4'!V19)</f>
        <v>6.75</v>
      </c>
      <c r="L43" s="249">
        <f>IF('P4'!X20="","",'P4'!X20)</f>
        <v>747.45278128617269</v>
      </c>
    </row>
    <row r="44" spans="1:12" ht="16">
      <c r="A44" s="236"/>
      <c r="B44" s="237">
        <f>IF('P4'!B23="","",'P4'!B23)</f>
        <v>78.989999999999995</v>
      </c>
      <c r="C44" s="237" t="str">
        <f>IF('P4'!C23="","",'P4'!C23)</f>
        <v>UM</v>
      </c>
      <c r="D44" s="237" t="str">
        <f>IF('P4'!D23="","",'P4'!D23)</f>
        <v>15-16</v>
      </c>
      <c r="E44" s="238">
        <f>IF('P4'!E23="","",'P4'!E23)</f>
        <v>38870</v>
      </c>
      <c r="F44" s="239" t="str">
        <f>IF('P4'!G23="","",'P4'!G23)</f>
        <v>Adrian Rosmæl Skauge</v>
      </c>
      <c r="G44" s="245">
        <f>IF('P4'!O23="","",'P4'!O23)</f>
        <v>74</v>
      </c>
      <c r="H44" s="245">
        <f>IF('P4'!P23="","",'P4'!P23)</f>
        <v>86</v>
      </c>
      <c r="I44" s="246">
        <f>IF('P4'!T23="","",'P4'!T23)</f>
        <v>7.98</v>
      </c>
      <c r="J44" s="246">
        <f>IF('P4'!U23="","",'P4'!U23)</f>
        <v>12.28</v>
      </c>
      <c r="K44" s="246">
        <f>IF('P4'!V23="","",'P4'!V23)</f>
        <v>7.05</v>
      </c>
      <c r="L44" s="249">
        <f>IF('P4'!X24="","",'P4'!X24)</f>
        <v>671.66784486591439</v>
      </c>
    </row>
    <row r="45" spans="1:12" ht="16">
      <c r="A45" s="236"/>
      <c r="B45" s="237">
        <f>IF('P6'!B9="","",'P6'!B9)</f>
        <v>66.84</v>
      </c>
      <c r="C45" s="237" t="str">
        <f>IF('P6'!C9="","",'P6'!C9)</f>
        <v>UM</v>
      </c>
      <c r="D45" s="237" t="str">
        <f>IF('P6'!D9="","",'P6'!D9)</f>
        <v>17-18</v>
      </c>
      <c r="E45" s="238">
        <f>IF('P6'!E9="","",'P6'!E9)</f>
        <v>37999</v>
      </c>
      <c r="F45" s="239" t="str">
        <f>IF('P6'!G9="","",'P6'!G9)</f>
        <v>Lasse Bye</v>
      </c>
      <c r="G45" s="245">
        <f>IF('P6'!O9="","",'P6'!O9)</f>
        <v>78</v>
      </c>
      <c r="H45" s="245">
        <f>IF('P6'!P9="","",'P6'!P9)</f>
        <v>97</v>
      </c>
      <c r="I45" s="246">
        <f>IF('P6'!T9="","",'P6'!T9)</f>
        <v>8.02</v>
      </c>
      <c r="J45" s="246">
        <f>IF('P6'!U9="","",'P6'!U9)</f>
        <v>10.6</v>
      </c>
      <c r="K45" s="246">
        <f>IF('P6'!V9="","",'P6'!V9)</f>
        <v>6.41</v>
      </c>
      <c r="L45" s="249">
        <f>IF('P6'!X10="","",'P6'!X10)</f>
        <v>722.9053976591947</v>
      </c>
    </row>
    <row r="46" spans="1:12" ht="16">
      <c r="A46" s="236"/>
      <c r="B46" s="237">
        <f>IF('P6'!B11="","",'P6'!B11)</f>
        <v>70.52</v>
      </c>
      <c r="C46" s="237" t="str">
        <f>IF('P6'!C11="","",'P6'!C11)</f>
        <v>UM</v>
      </c>
      <c r="D46" s="237" t="str">
        <f>IF('P6'!D11="","",'P6'!D11)</f>
        <v>17-18</v>
      </c>
      <c r="E46" s="238">
        <f>IF('P6'!E11="","",'P6'!E11)</f>
        <v>38219</v>
      </c>
      <c r="F46" s="239" t="str">
        <f>IF('P6'!G11="","",'P6'!G11)</f>
        <v>Eivind Balstad</v>
      </c>
      <c r="G46" s="245">
        <f>IF('P6'!O11="","",'P6'!O11)</f>
        <v>40</v>
      </c>
      <c r="H46" s="245">
        <f>IF('P6'!P11="","",'P6'!P11)</f>
        <v>90</v>
      </c>
      <c r="I46" s="246">
        <f>IF('P6'!T11="","",'P6'!T11)</f>
        <v>8.86</v>
      </c>
      <c r="J46" s="246">
        <f>IF('P6'!U11="","",'P6'!U11)</f>
        <v>10.15</v>
      </c>
      <c r="K46" s="246">
        <f>IF('P6'!V11="","",'P6'!V11)</f>
        <v>6.78</v>
      </c>
      <c r="L46" s="249">
        <f>IF('P6'!X12="","",'P6'!X12)</f>
        <v>641.80975370556314</v>
      </c>
    </row>
    <row r="47" spans="1:12" s="241" customFormat="1" ht="25" customHeight="1">
      <c r="A47" s="251">
        <v>3</v>
      </c>
      <c r="B47" s="334" t="s">
        <v>94</v>
      </c>
      <c r="C47" s="334"/>
      <c r="D47" s="334"/>
      <c r="E47" s="334"/>
      <c r="F47" s="334"/>
      <c r="G47" s="247"/>
      <c r="H47" s="247"/>
      <c r="I47" s="247"/>
      <c r="J47" s="247"/>
      <c r="K47" s="247"/>
      <c r="L47" s="248">
        <f>SUM(L48:L50)</f>
        <v>1989.8815058741736</v>
      </c>
    </row>
    <row r="48" spans="1:12" ht="16">
      <c r="A48" s="236"/>
      <c r="B48" s="237">
        <f>IF('P4'!B9="","",'P4'!B9)</f>
        <v>61.24</v>
      </c>
      <c r="C48" s="237" t="str">
        <f>IF('P4'!C9="","",'P4'!C9)</f>
        <v>UM</v>
      </c>
      <c r="D48" s="237" t="str">
        <f>IF('P4'!D9="","",'P4'!D9)</f>
        <v>15-16</v>
      </c>
      <c r="E48" s="238">
        <f>IF('P4'!E9="","",'P4'!E9)</f>
        <v>38776</v>
      </c>
      <c r="F48" s="239" t="str">
        <f>IF('P4'!G9="","",'P4'!G9)</f>
        <v>Sander Freyer</v>
      </c>
      <c r="G48" s="245">
        <f>IF('P4'!O9="","",'P4'!O9)</f>
        <v>53</v>
      </c>
      <c r="H48" s="245">
        <f>IF('P4'!P9="","",'P4'!P9)</f>
        <v>71</v>
      </c>
      <c r="I48" s="246">
        <f>IF('P4'!T9="","",'P4'!T9)</f>
        <v>8.31</v>
      </c>
      <c r="J48" s="246">
        <f>IF('P4'!U9="","",'P4'!U9)</f>
        <v>10.11</v>
      </c>
      <c r="K48" s="246">
        <f>IF('P4'!V9="","",'P4'!V9)</f>
        <v>6.26</v>
      </c>
      <c r="L48" s="249">
        <f>IF('P4'!X10="","",'P4'!X10)</f>
        <v>659.34048754768878</v>
      </c>
    </row>
    <row r="49" spans="1:12" ht="16">
      <c r="A49" s="236"/>
      <c r="B49" s="237">
        <f>IF('P4'!B15="","",'P4'!B15)</f>
        <v>65.23</v>
      </c>
      <c r="C49" s="237" t="str">
        <f>IF('P4'!C15="","",'P4'!C15)</f>
        <v>UM</v>
      </c>
      <c r="D49" s="237" t="str">
        <f>IF('P4'!D15="","",'P4'!D15)</f>
        <v>15-16</v>
      </c>
      <c r="E49" s="238">
        <f>IF('P4'!E15="","",'P4'!E15)</f>
        <v>38400</v>
      </c>
      <c r="F49" s="239" t="str">
        <f>IF('P4'!G15="","",'P4'!G15)</f>
        <v>Sander Heyn Stave</v>
      </c>
      <c r="G49" s="245">
        <f>IF('P4'!O15="","",'P4'!O15)</f>
        <v>78</v>
      </c>
      <c r="H49" s="245">
        <f>IF('P4'!P15="","",'P4'!P15)</f>
        <v>100</v>
      </c>
      <c r="I49" s="246">
        <f>IF('P4'!T15="","",'P4'!T15)</f>
        <v>8.2200000000000006</v>
      </c>
      <c r="J49" s="246">
        <f>IF('P4'!U15="","",'P4'!U15)</f>
        <v>12.6</v>
      </c>
      <c r="K49" s="246">
        <f>IF('P4'!V15="","",'P4'!V15)</f>
        <v>6.32</v>
      </c>
      <c r="L49" s="249">
        <f>IF('P4'!X16="","",'P4'!X16)</f>
        <v>766.32951188767652</v>
      </c>
    </row>
    <row r="50" spans="1:12" ht="16">
      <c r="A50" s="236"/>
      <c r="B50" s="237">
        <f>IF('P4'!B25="","",'P4'!B25)</f>
        <v>89.16</v>
      </c>
      <c r="C50" s="237" t="str">
        <f>IF('P4'!C25="","",'P4'!C25)</f>
        <v>UM</v>
      </c>
      <c r="D50" s="237" t="str">
        <f>IF('P4'!D25="","",'P4'!D25)</f>
        <v>15-16</v>
      </c>
      <c r="E50" s="238">
        <f>IF('P4'!E25="","",'P4'!E25)</f>
        <v>38980</v>
      </c>
      <c r="F50" s="239" t="str">
        <f>IF('P4'!G25="","",'P4'!G25)</f>
        <v>William Christiansen</v>
      </c>
      <c r="G50" s="245">
        <f>IF('P4'!O25="","",'P4'!O25)</f>
        <v>64</v>
      </c>
      <c r="H50" s="245">
        <f>IF('P4'!P25="","",'P4'!P25)</f>
        <v>85</v>
      </c>
      <c r="I50" s="246">
        <f>IF('P4'!T25="","",'P4'!T25)</f>
        <v>6.18</v>
      </c>
      <c r="J50" s="246">
        <f>IF('P4'!U25="","",'P4'!U25)</f>
        <v>10.84</v>
      </c>
      <c r="K50" s="246">
        <f>IF('P4'!V25="","",'P4'!V25)</f>
        <v>7.67</v>
      </c>
      <c r="L50" s="249">
        <f>IF('P4'!X26="","",'P4'!X26)</f>
        <v>564.21150643880833</v>
      </c>
    </row>
    <row r="51" spans="1:12" ht="21" thickBot="1">
      <c r="A51" s="317" t="s">
        <v>83</v>
      </c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9"/>
    </row>
    <row r="52" spans="1:12" ht="10" customHeight="1">
      <c r="A52" s="242"/>
      <c r="B52" s="242"/>
      <c r="C52" s="242"/>
      <c r="D52" s="242"/>
      <c r="E52" s="242"/>
      <c r="F52" s="242"/>
      <c r="G52" s="242"/>
      <c r="H52" s="242"/>
      <c r="I52" s="242"/>
      <c r="J52" s="242"/>
      <c r="K52" s="242"/>
      <c r="L52" s="242"/>
    </row>
    <row r="53" spans="1:12" s="241" customFormat="1" ht="25" customHeight="1">
      <c r="A53" s="251">
        <v>1</v>
      </c>
      <c r="B53" s="334" t="s">
        <v>98</v>
      </c>
      <c r="C53" s="334"/>
      <c r="D53" s="334"/>
      <c r="E53" s="334"/>
      <c r="F53" s="334"/>
      <c r="G53" s="247"/>
      <c r="H53" s="247"/>
      <c r="I53" s="247"/>
      <c r="J53" s="247"/>
      <c r="K53" s="247"/>
      <c r="L53" s="248">
        <f>SUM(L54:L56)</f>
        <v>2593.8459186844502</v>
      </c>
    </row>
    <row r="54" spans="1:12" ht="16">
      <c r="A54" s="236"/>
      <c r="B54" s="237">
        <f>IF('P6'!B17="","",'P6'!B17)</f>
        <v>71.150000000000006</v>
      </c>
      <c r="C54" s="237" t="str">
        <f>IF('P6'!C17="","",'P6'!C17)</f>
        <v>SM</v>
      </c>
      <c r="D54" s="237" t="str">
        <f>IF('P6'!D17="","",'P6'!D17)</f>
        <v>19-23</v>
      </c>
      <c r="E54" s="238">
        <f>IF('P6'!E17="","",'P6'!E17)</f>
        <v>36529</v>
      </c>
      <c r="F54" s="239" t="str">
        <f>IF('P6'!G17="","",'P6'!G17)</f>
        <v>Robert Andre Moldestad</v>
      </c>
      <c r="G54" s="245">
        <f>IF('P6'!O17="","",'P6'!O17)</f>
        <v>101</v>
      </c>
      <c r="H54" s="245">
        <f>IF('P6'!P17="","",'P6'!P17)</f>
        <v>125</v>
      </c>
      <c r="I54" s="246">
        <f>IF('P6'!T17="","",'P6'!T17)</f>
        <v>8.64</v>
      </c>
      <c r="J54" s="246">
        <f>IF('P6'!U17="","",'P6'!U17)</f>
        <v>13.33</v>
      </c>
      <c r="K54" s="246">
        <f>IF('P6'!V17="","",'P6'!V17)</f>
        <v>5.98</v>
      </c>
      <c r="L54" s="249">
        <f>IF('P6'!X18="","",'P6'!X18)</f>
        <v>860.01277223663919</v>
      </c>
    </row>
    <row r="55" spans="1:12" ht="16">
      <c r="A55" s="236"/>
      <c r="B55" s="237">
        <f>IF('P6'!B21="","",'P6'!B21)</f>
        <v>85.82</v>
      </c>
      <c r="C55" s="237" t="str">
        <f>IF('P6'!C21="","",'P6'!C21)</f>
        <v>SM</v>
      </c>
      <c r="D55" s="237" t="str">
        <f>IF('P6'!D21="","",'P6'!D21)</f>
        <v>19-23</v>
      </c>
      <c r="E55" s="238">
        <f>IF('P6'!E21="","",'P6'!E21)</f>
        <v>36748</v>
      </c>
      <c r="F55" s="239" t="str">
        <f>IF('P6'!G21="","",'P6'!G21)</f>
        <v>Bent Andre Midtbø</v>
      </c>
      <c r="G55" s="245">
        <f>IF('P6'!O21="","",'P6'!O21)</f>
        <v>105</v>
      </c>
      <c r="H55" s="245">
        <f>IF('P6'!P21="","",'P6'!P21)</f>
        <v>145</v>
      </c>
      <c r="I55" s="246">
        <f>IF('P6'!T21="","",'P6'!T21)</f>
        <v>9.43</v>
      </c>
      <c r="J55" s="246">
        <f>IF('P6'!U21="","",'P6'!U21)</f>
        <v>14.58</v>
      </c>
      <c r="K55" s="246">
        <f>IF('P6'!V21="","",'P6'!V21)</f>
        <v>6.21</v>
      </c>
      <c r="L55" s="249">
        <f>IF('P6'!X22="","",'P6'!X22)</f>
        <v>880.71965491980791</v>
      </c>
    </row>
    <row r="56" spans="1:12" ht="16">
      <c r="A56" s="236"/>
      <c r="B56" s="237">
        <f>IF('P9'!B13="","",'P9'!B13)</f>
        <v>97.23</v>
      </c>
      <c r="C56" s="237" t="str">
        <f>IF('P9'!C13="","",'P9'!C13)</f>
        <v>SM</v>
      </c>
      <c r="D56" s="237" t="str">
        <f>IF('P9'!D13="","",'P9'!D13)</f>
        <v>24-34</v>
      </c>
      <c r="E56" s="238">
        <f>IF('P9'!E13="","",'P9'!E13)</f>
        <v>32698</v>
      </c>
      <c r="F56" s="239" t="str">
        <f>IF('P9'!G13="","",'P9'!G13)</f>
        <v>Edvin Øygard</v>
      </c>
      <c r="G56" s="245">
        <f>IF('P9'!O13="","",'P9'!O13)</f>
        <v>111</v>
      </c>
      <c r="H56" s="245">
        <f>IF('P9'!P13="","",'P9'!P13)</f>
        <v>126</v>
      </c>
      <c r="I56" s="246">
        <f>IF('P9'!T13="","",'P9'!T13)</f>
        <v>8.7899999999999991</v>
      </c>
      <c r="J56" s="246">
        <f>IF('P9'!U13="","",'P9'!U13)</f>
        <v>16.2</v>
      </c>
      <c r="K56" s="246">
        <f>IF('P9'!V13="","",'P9'!V13)</f>
        <v>6.22</v>
      </c>
      <c r="L56" s="249">
        <f>IF('P9'!X14="","",'P9'!X14)</f>
        <v>853.11349152800335</v>
      </c>
    </row>
    <row r="57" spans="1:12" ht="16">
      <c r="A57" s="236"/>
      <c r="B57" s="237">
        <f>IF('P8'!B17="","",'P8'!B17)</f>
        <v>84.86</v>
      </c>
      <c r="C57" s="237" t="str">
        <f>IF('P8'!C17="","",'P8'!C17)</f>
        <v>SM</v>
      </c>
      <c r="D57" s="237" t="str">
        <f>IF('P8'!D17="","",'P8'!D17)</f>
        <v>24-34</v>
      </c>
      <c r="E57" s="238" t="str">
        <f>IF('P8'!E17="","",'P8'!E17)</f>
        <v>15.07.96</v>
      </c>
      <c r="F57" s="239" t="str">
        <f>IF('P8'!G17="","",'P8'!G17)</f>
        <v>Bjarne Bergheim</v>
      </c>
      <c r="G57" s="245">
        <f>IF('P8'!O17="","",'P8'!O17)</f>
        <v>75</v>
      </c>
      <c r="H57" s="245" t="str">
        <f>IF('P8'!P17="","",'P8'!P17)</f>
        <v/>
      </c>
      <c r="I57" s="246">
        <f>IF('P8'!T17="","",'P8'!T17)</f>
        <v>8.31</v>
      </c>
      <c r="J57" s="246">
        <f>IF('P8'!U17="","",'P8'!U17)</f>
        <v>13.16</v>
      </c>
      <c r="K57" s="246">
        <f>IF('P8'!V17="","",'P8'!V17)</f>
        <v>6.67</v>
      </c>
      <c r="L57" s="249" t="str">
        <f>IF('P8'!X18="","",'P8'!X18)</f>
        <v/>
      </c>
    </row>
    <row r="58" spans="1:12" s="241" customFormat="1" ht="25" customHeight="1">
      <c r="A58" s="251">
        <v>2</v>
      </c>
      <c r="B58" s="334" t="s">
        <v>97</v>
      </c>
      <c r="C58" s="334"/>
      <c r="D58" s="334"/>
      <c r="E58" s="334"/>
      <c r="F58" s="334"/>
      <c r="G58" s="247"/>
      <c r="H58" s="247"/>
      <c r="I58" s="247"/>
      <c r="J58" s="247"/>
      <c r="K58" s="247"/>
      <c r="L58" s="248">
        <f>IF(L62="",SUM(L59:L62),(SUM(L59:L62)-MIN(L59:L62)))</f>
        <v>2491.3270960143582</v>
      </c>
    </row>
    <row r="59" spans="1:12" ht="16">
      <c r="A59" s="236"/>
      <c r="B59" s="237">
        <f>IF('P8'!B15="","",'P8'!B15)</f>
        <v>88.63</v>
      </c>
      <c r="C59" s="237" t="str">
        <f>IF('P8'!C15="","",'P8'!C15)</f>
        <v>SM</v>
      </c>
      <c r="D59" s="237" t="str">
        <f>IF('P8'!D15="","",'P8'!D15)</f>
        <v>24-34</v>
      </c>
      <c r="E59" s="238" t="str">
        <f>IF('P8'!E15="","",'P8'!E15)</f>
        <v>07.07.92</v>
      </c>
      <c r="F59" s="239" t="str">
        <f>IF('P8'!G15="","",'P8'!G15)</f>
        <v>Jonas Hetland Mong</v>
      </c>
      <c r="G59" s="245">
        <f>IF('P8'!O15="","",'P8'!O15)</f>
        <v>105</v>
      </c>
      <c r="H59" s="245">
        <f>IF('P8'!P15="","",'P8'!P15)</f>
        <v>135</v>
      </c>
      <c r="I59" s="246">
        <f>IF('P8'!T15="","",'P8'!T15)</f>
        <v>8.8000000000000007</v>
      </c>
      <c r="J59" s="246">
        <f>IF('P8'!U15="","",'P8'!U15)</f>
        <v>13.9</v>
      </c>
      <c r="K59" s="246">
        <f>IF('P8'!V15="","",'P8'!V15)</f>
        <v>6.47</v>
      </c>
      <c r="L59" s="249">
        <f>IF('P8'!X16="","",'P8'!X16)</f>
        <v>832.12396809939946</v>
      </c>
    </row>
    <row r="60" spans="1:12" ht="16">
      <c r="A60" s="236"/>
      <c r="B60" s="237">
        <f>IF('P9'!B9="","",'P9'!B9)</f>
        <v>94.3</v>
      </c>
      <c r="C60" s="237" t="str">
        <f>IF('P9'!C9="","",'P9'!C9)</f>
        <v>SM</v>
      </c>
      <c r="D60" s="237" t="str">
        <f>IF('P9'!D9="","",'P9'!D9)</f>
        <v>24-34</v>
      </c>
      <c r="E60" s="238" t="str">
        <f>IF('P9'!E9="","",'P9'!E9)</f>
        <v>10.10.94</v>
      </c>
      <c r="F60" s="239" t="str">
        <f>IF('P9'!G9="","",'P9'!G9)</f>
        <v>Lars Espedal</v>
      </c>
      <c r="G60" s="245">
        <f>IF('P9'!O9="","",'P9'!O9)</f>
        <v>107</v>
      </c>
      <c r="H60" s="245">
        <f>IF('P9'!P9="","",'P9'!P9)</f>
        <v>125</v>
      </c>
      <c r="I60" s="246">
        <f>IF('P9'!T9="","",'P9'!T9)</f>
        <v>8.1199999999999992</v>
      </c>
      <c r="J60" s="246">
        <f>IF('P9'!U9="","",'P9'!U9)</f>
        <v>14.1</v>
      </c>
      <c r="K60" s="246">
        <f>IF('P9'!V9="","",'P9'!V9)</f>
        <v>6.5</v>
      </c>
      <c r="L60" s="249">
        <f>IF('P9'!X10="","",'P9'!X10)</f>
        <v>801.49034568140451</v>
      </c>
    </row>
    <row r="61" spans="1:12" ht="16">
      <c r="A61" s="236"/>
      <c r="B61" s="237">
        <f>IF('P9'!B11="","",'P9'!B11)</f>
        <v>90.03</v>
      </c>
      <c r="C61" s="237" t="str">
        <f>IF('P9'!C11="","",'P9'!C11)</f>
        <v>SM</v>
      </c>
      <c r="D61" s="237" t="str">
        <f>IF('P9'!D11="","",'P9'!D11)</f>
        <v>24-34</v>
      </c>
      <c r="E61" s="238" t="str">
        <f>IF('P9'!E11="","",'P9'!E11)</f>
        <v>27.12.93</v>
      </c>
      <c r="F61" s="239" t="str">
        <f>IF('P9'!G11="","",'P9'!G11)</f>
        <v>Roy Sømme Ommedal</v>
      </c>
      <c r="G61" s="245">
        <f>IF('P9'!O11="","",'P9'!O11)</f>
        <v>105</v>
      </c>
      <c r="H61" s="245">
        <f>IF('P9'!P11="","",'P9'!P11)</f>
        <v>145</v>
      </c>
      <c r="I61" s="246">
        <f>IF('P9'!T11="","",'P9'!T11)</f>
        <v>8.76</v>
      </c>
      <c r="J61" s="246">
        <f>IF('P9'!U11="","",'P9'!U11)</f>
        <v>15.04</v>
      </c>
      <c r="K61" s="246">
        <f>IF('P9'!V11="","",'P9'!V11)</f>
        <v>6.42</v>
      </c>
      <c r="L61" s="249">
        <f>IF('P9'!X12="","",'P9'!X12)</f>
        <v>857.71278223355421</v>
      </c>
    </row>
    <row r="62" spans="1:12" ht="16">
      <c r="A62" s="236"/>
      <c r="B62" s="237">
        <f>IF('P9'!B19="","",'P9'!B19)</f>
        <v>109</v>
      </c>
      <c r="C62" s="237" t="str">
        <f>IF('P9'!C19="","",'P9'!C19)</f>
        <v>SM</v>
      </c>
      <c r="D62" s="237" t="str">
        <f>IF('P9'!D19="","",'P9'!D19)</f>
        <v>24-34</v>
      </c>
      <c r="E62" s="238" t="str">
        <f>IF('P9'!E19="","",'P9'!E19)</f>
        <v>17.11.91</v>
      </c>
      <c r="F62" s="239" t="str">
        <f>IF('P9'!G19="","",'P9'!G19)</f>
        <v>Tord Gravdal</v>
      </c>
      <c r="G62" s="245">
        <f>IF('P9'!O19="","",'P9'!O19)</f>
        <v>110</v>
      </c>
      <c r="H62" s="245">
        <f>IF('P9'!P19="","",'P9'!P19)</f>
        <v>125</v>
      </c>
      <c r="I62" s="246">
        <f>IF('P9'!T19="","",'P9'!T19)</f>
        <v>7.52</v>
      </c>
      <c r="J62" s="246">
        <f>IF('P9'!U19="","",'P9'!U19)</f>
        <v>11.89</v>
      </c>
      <c r="K62" s="246">
        <f>IF('P9'!V19="","",'P9'!V19)</f>
        <v>8.9700000000000006</v>
      </c>
      <c r="L62" s="249">
        <f>IF('P9'!X20="","",'P9'!X20)</f>
        <v>648.65886915288684</v>
      </c>
    </row>
    <row r="63" spans="1:12" s="241" customFormat="1" ht="25" customHeight="1">
      <c r="A63" s="251">
        <v>3</v>
      </c>
      <c r="B63" s="334" t="s">
        <v>94</v>
      </c>
      <c r="C63" s="334"/>
      <c r="D63" s="334"/>
      <c r="E63" s="334"/>
      <c r="F63" s="334"/>
      <c r="G63" s="247"/>
      <c r="H63" s="247"/>
      <c r="I63" s="247"/>
      <c r="J63" s="247"/>
      <c r="K63" s="247"/>
      <c r="L63" s="248">
        <f>SUM(L64:L66)</f>
        <v>2399.4758746880402</v>
      </c>
    </row>
    <row r="64" spans="1:12" ht="16">
      <c r="A64" s="236"/>
      <c r="B64" s="237">
        <f>IF('P6'!B25="","",'P6'!B25)</f>
        <v>105.61</v>
      </c>
      <c r="C64" s="237" t="str">
        <f>IF('P6'!C25="","",'P6'!C25)</f>
        <v>SM</v>
      </c>
      <c r="D64" s="237" t="str">
        <f>IF('P6'!D25="","",'P6'!D25)</f>
        <v>19-23</v>
      </c>
      <c r="E64" s="238" t="str">
        <f>IF('P6'!E25="","",'P6'!E25)</f>
        <v>13.09.99</v>
      </c>
      <c r="F64" s="239" t="str">
        <f>IF('P6'!G25="","",'P6'!G25)</f>
        <v>Vetle Andersen</v>
      </c>
      <c r="G64" s="245">
        <f>IF('P6'!O25="","",'P6'!O25)</f>
        <v>110</v>
      </c>
      <c r="H64" s="245">
        <f>IF('P6'!P25="","",'P6'!P25)</f>
        <v>130</v>
      </c>
      <c r="I64" s="246">
        <f>IF('P6'!T25="","",'P6'!T25)</f>
        <v>9.19</v>
      </c>
      <c r="J64" s="246">
        <f>IF('P6'!U25="","",'P6'!U25)</f>
        <v>14.17</v>
      </c>
      <c r="K64" s="246">
        <f>IF('P6'!V25="","",'P6'!V25)</f>
        <v>6.24</v>
      </c>
      <c r="L64" s="249">
        <f>IF('P6'!X26="","",'P6'!X26)</f>
        <v>829.32610271551152</v>
      </c>
    </row>
    <row r="65" spans="1:15" ht="16">
      <c r="A65" s="236"/>
      <c r="B65" s="237">
        <f>IF('P7'!B29="","",'P7'!B29)</f>
        <v>56.47</v>
      </c>
      <c r="C65" s="237" t="str">
        <f>IF('P7'!C29="","",'P7'!C29)</f>
        <v>SM</v>
      </c>
      <c r="D65" s="237" t="str">
        <f>IF('P7'!D29="","",'P7'!D29)</f>
        <v>24-34</v>
      </c>
      <c r="E65" s="238" t="str">
        <f>IF('P7'!E29="","",'P7'!E29)</f>
        <v>12.09.96</v>
      </c>
      <c r="F65" s="239" t="str">
        <f>IF('P7'!G29="","",'P7'!G29)</f>
        <v>Rebekka Tao Jacobsen</v>
      </c>
      <c r="G65" s="245">
        <f>IF('P7'!O29="","",'P7'!O29)</f>
        <v>77</v>
      </c>
      <c r="H65" s="245">
        <f>IF('P7'!P29="","",'P7'!P29)</f>
        <v>100</v>
      </c>
      <c r="I65" s="246">
        <f>IF('P7'!T29="","",'P7'!T29)</f>
        <v>7.37</v>
      </c>
      <c r="J65" s="246">
        <f>IF('P7'!U29="","",'P7'!U29)</f>
        <v>8.4</v>
      </c>
      <c r="K65" s="246">
        <f>IF('P7'!V29="","",'P7'!V29)</f>
        <v>6.72</v>
      </c>
      <c r="L65" s="249">
        <f>IF('P7'!X30="","",'P7'!X30)</f>
        <v>707.84217576032529</v>
      </c>
    </row>
    <row r="66" spans="1:15" ht="16">
      <c r="A66" s="236"/>
      <c r="B66" s="237">
        <f>IF('P9'!B15="","",'P9'!B15)</f>
        <v>97.8</v>
      </c>
      <c r="C66" s="237" t="str">
        <f>IF('P9'!C15="","",'P9'!C15)</f>
        <v>SM</v>
      </c>
      <c r="D66" s="237" t="str">
        <f>IF('P9'!D15="","",'P9'!D15)</f>
        <v>24-34</v>
      </c>
      <c r="E66" s="238">
        <f>IF('P9'!E15="","",'P9'!E15)</f>
        <v>34599</v>
      </c>
      <c r="F66" s="239" t="str">
        <f>IF('P9'!G15="","",'P9'!G15)</f>
        <v>Victor Boquetale Gomez</v>
      </c>
      <c r="G66" s="245">
        <f>IF('P9'!O15="","",'P9'!O15)</f>
        <v>120</v>
      </c>
      <c r="H66" s="245">
        <f>IF('P9'!P15="","",'P9'!P15)</f>
        <v>150</v>
      </c>
      <c r="I66" s="246">
        <f>IF('P9'!T15="","",'P9'!T15)</f>
        <v>9.27</v>
      </c>
      <c r="J66" s="246">
        <f>IF('P9'!U15="","",'P9'!U15)</f>
        <v>12.51</v>
      </c>
      <c r="K66" s="246">
        <f>IF('P9'!V15="","",'P9'!V15)</f>
        <v>6.16</v>
      </c>
      <c r="L66" s="249">
        <f>IF('P9'!X16="","",'P9'!X16)</f>
        <v>862.30759621220329</v>
      </c>
      <c r="M66" t="s">
        <v>16</v>
      </c>
    </row>
    <row r="67" spans="1:15" s="241" customFormat="1" ht="25" customHeight="1">
      <c r="A67" s="251">
        <v>4</v>
      </c>
      <c r="B67" s="334" t="s">
        <v>88</v>
      </c>
      <c r="C67" s="334"/>
      <c r="D67" s="334"/>
      <c r="E67" s="334"/>
      <c r="F67" s="334"/>
      <c r="G67" s="247"/>
      <c r="H67" s="247"/>
      <c r="I67" s="247"/>
      <c r="J67" s="247"/>
      <c r="K67" s="247"/>
      <c r="L67" s="248">
        <f>IF(L71="",SUM(L68:L71),(SUM(L68:L71)-MIN(L68:L71)))</f>
        <v>2356.5069276593254</v>
      </c>
    </row>
    <row r="68" spans="1:15" ht="16">
      <c r="A68" s="236"/>
      <c r="B68" s="237">
        <f>IF('P2'!B9="","",'P2'!B9)</f>
        <v>63.47</v>
      </c>
      <c r="C68" s="237" t="str">
        <f>IF('P2'!C9="","",'P2'!C9)</f>
        <v>UM</v>
      </c>
      <c r="D68" s="237" t="str">
        <f>IF('P2'!D9="","",'P2'!D9)</f>
        <v>13-14</v>
      </c>
      <c r="E68" s="238">
        <f>IF('P2'!E9="","",'P2'!E9)</f>
        <v>39760</v>
      </c>
      <c r="F68" s="239" t="str">
        <f>IF('P2'!G9="","",'P2'!G9)</f>
        <v>Nikolai K. Aadland</v>
      </c>
      <c r="G68" s="245">
        <f>IF('P2'!O9="","",'P2'!O9)</f>
        <v>52</v>
      </c>
      <c r="H68" s="245">
        <f>IF('P2'!P9="","",'P2'!P9)</f>
        <v>63</v>
      </c>
      <c r="I68" s="246">
        <f>IF('P2'!T9="","",'P2'!T9)</f>
        <v>6.67</v>
      </c>
      <c r="J68" s="246">
        <f>IF('P2'!U9="","",'P2'!U9)</f>
        <v>8.8000000000000007</v>
      </c>
      <c r="K68" s="246">
        <f>IF('P2'!V9="","",'P2'!V9)</f>
        <v>7.71</v>
      </c>
      <c r="L68" s="246">
        <f>IF('P2'!X10="","",'P2'!X10)</f>
        <v>529.26464264772812</v>
      </c>
    </row>
    <row r="69" spans="1:15" s="13" customFormat="1" ht="16">
      <c r="A69" s="236"/>
      <c r="B69" s="237">
        <f>IF('P2'!B23="","",'P2'!B23)</f>
        <v>60.19</v>
      </c>
      <c r="C69" s="237" t="str">
        <f>IF('P2'!C23="","",'P2'!C23)</f>
        <v>UM</v>
      </c>
      <c r="D69" s="237" t="str">
        <f>IF('P2'!D23="","",'P2'!D23)</f>
        <v>15-16</v>
      </c>
      <c r="E69" s="238">
        <f>IF('P2'!E23="","",'P2'!E23)</f>
        <v>38893</v>
      </c>
      <c r="F69" s="239" t="str">
        <f>IF('P2'!G23="","",'P2'!G23)</f>
        <v>Erik A. F. Johansson</v>
      </c>
      <c r="G69" s="245">
        <f>IF('P2'!O23="","",'P2'!O23)</f>
        <v>67</v>
      </c>
      <c r="H69" s="245">
        <f>IF('P2'!P23="","",'P2'!P23)</f>
        <v>85</v>
      </c>
      <c r="I69" s="246">
        <f>IF('P2'!T23="","",'P2'!T23)</f>
        <v>8.1</v>
      </c>
      <c r="J69" s="246">
        <f>IF('P2'!U23="","",'P2'!U23)</f>
        <v>11.89</v>
      </c>
      <c r="K69" s="246">
        <f>IF('P2'!V23="","",'P2'!V23)</f>
        <v>6.56</v>
      </c>
      <c r="L69" s="246">
        <f>IF('P2'!X24="","",'P2'!X24)</f>
        <v>717.6977254084926</v>
      </c>
    </row>
    <row r="70" spans="1:15" ht="16">
      <c r="A70" s="236"/>
      <c r="B70" s="237">
        <f>IF('P6'!B15="","",'P6'!B15)</f>
        <v>63.61</v>
      </c>
      <c r="C70" s="237" t="str">
        <f>IF('P6'!C15="","",'P6'!C15)</f>
        <v>SM</v>
      </c>
      <c r="D70" s="237" t="str">
        <f>IF('P6'!D15="","",'P6'!D15)</f>
        <v>19-23</v>
      </c>
      <c r="E70" s="238" t="str">
        <f>IF('P6'!E15="","",'P6'!E15)</f>
        <v>19.12.00</v>
      </c>
      <c r="F70" s="239" t="str">
        <f>IF('P6'!G15="","",'P6'!G15)</f>
        <v>Marcus Bratli</v>
      </c>
      <c r="G70" s="245">
        <f>IF('P6'!O15="","",'P6'!O15)</f>
        <v>100</v>
      </c>
      <c r="H70" s="245">
        <f>IF('P6'!P15="","",'P6'!P15)</f>
        <v>120</v>
      </c>
      <c r="I70" s="246">
        <f>IF('P6'!T15="","",'P6'!T15)</f>
        <v>8.8699999999999992</v>
      </c>
      <c r="J70" s="246">
        <f>IF('P6'!U15="","",'P6'!U15)</f>
        <v>12.93</v>
      </c>
      <c r="K70" s="246">
        <f>IF('P6'!V15="","",'P6'!V15)</f>
        <v>6.07</v>
      </c>
      <c r="L70" s="249">
        <f>IF('P6'!X16="","",'P6'!X16)</f>
        <v>871.05553006187426</v>
      </c>
    </row>
    <row r="71" spans="1:15" ht="16">
      <c r="A71" s="236"/>
      <c r="B71" s="237">
        <f>IF('P8'!B21="","",'P8'!B21)</f>
        <v>105.9</v>
      </c>
      <c r="C71" s="237" t="str">
        <f>IF('P8'!C21="","",'P8'!C21)</f>
        <v>M3</v>
      </c>
      <c r="D71" s="237" t="str">
        <f>IF('P8'!D21="","",'P8'!D21)</f>
        <v>+35</v>
      </c>
      <c r="E71" s="238" t="str">
        <f>IF('P8'!E21="","",'P8'!E21)</f>
        <v>30.03.76</v>
      </c>
      <c r="F71" s="239" t="str">
        <f>IF('P8'!G21="","",'P8'!G21)</f>
        <v>Børge Aadland</v>
      </c>
      <c r="G71" s="245">
        <f>IF('P8'!O21="","",'P8'!O21)</f>
        <v>110</v>
      </c>
      <c r="H71" s="245">
        <f>IF('P8'!P21="","",'P8'!P21)</f>
        <v>149</v>
      </c>
      <c r="I71" s="246">
        <f>IF('P8'!T21="","",'P8'!T21)</f>
        <v>7.78</v>
      </c>
      <c r="J71" s="246">
        <f>IF('P8'!U21="","",'P8'!U21)</f>
        <v>12.18</v>
      </c>
      <c r="K71" s="246">
        <f>IF('P8'!V21="","",'P8'!V21)</f>
        <v>7.05</v>
      </c>
      <c r="L71" s="249">
        <f>IF('P8'!X22="","",'P8'!X22)</f>
        <v>767.75367218895815</v>
      </c>
    </row>
    <row r="72" spans="1:15" s="241" customFormat="1" ht="25" customHeight="1">
      <c r="A72" s="251">
        <v>5</v>
      </c>
      <c r="B72" s="334" t="s">
        <v>92</v>
      </c>
      <c r="C72" s="334"/>
      <c r="D72" s="334"/>
      <c r="E72" s="334"/>
      <c r="F72" s="334"/>
      <c r="G72" s="247"/>
      <c r="H72" s="247"/>
      <c r="I72" s="247"/>
      <c r="J72" s="247"/>
      <c r="K72" s="247"/>
      <c r="L72" s="248">
        <f>SUM(L73:L75)</f>
        <v>2314.8614846541013</v>
      </c>
    </row>
    <row r="73" spans="1:15" s="13" customFormat="1" ht="16">
      <c r="A73" s="236"/>
      <c r="B73" s="237">
        <f>IF('P2'!B21="","",'P2'!B21)</f>
        <v>66.28</v>
      </c>
      <c r="C73" s="237" t="str">
        <f>IF('P2'!C21="","",'P2'!C21)</f>
        <v>UM</v>
      </c>
      <c r="D73" s="237" t="str">
        <f>IF('P2'!D21="","",'P2'!D21)</f>
        <v>15-16</v>
      </c>
      <c r="E73" s="238">
        <f>IF('P2'!E21="","",'P2'!E21)</f>
        <v>38365</v>
      </c>
      <c r="F73" s="239" t="str">
        <f>IF('P2'!G21="","",'P2'!G21)</f>
        <v>Rasmus Heggvik Aune</v>
      </c>
      <c r="G73" s="245">
        <f>IF('P2'!O21="","",'P2'!O21)</f>
        <v>76</v>
      </c>
      <c r="H73" s="245">
        <f>IF('P2'!P21="","",'P2'!P21)</f>
        <v>102</v>
      </c>
      <c r="I73" s="246">
        <f>IF('P2'!T21="","",'P2'!T21)</f>
        <v>6.92</v>
      </c>
      <c r="J73" s="246">
        <f>IF('P2'!U21="","",'P2'!U21)</f>
        <v>9.5299999999999994</v>
      </c>
      <c r="K73" s="246">
        <f>IF('P2'!V21="","",'P2'!V21)</f>
        <v>6.86</v>
      </c>
      <c r="L73" s="246">
        <f>IF('P2'!X22="","",'P2'!X22)</f>
        <v>677.42309894309585</v>
      </c>
    </row>
    <row r="74" spans="1:15" ht="16">
      <c r="A74" s="236"/>
      <c r="B74" s="237">
        <f>IF('P6'!B19="","",'P6'!B19)</f>
        <v>75.150000000000006</v>
      </c>
      <c r="C74" s="237" t="str">
        <f>IF('P6'!C19="","",'P6'!C19)</f>
        <v>JM</v>
      </c>
      <c r="D74" s="237" t="str">
        <f>IF('P6'!D19="","",'P6'!D19)</f>
        <v>19-23</v>
      </c>
      <c r="E74" s="238" t="str">
        <f>IF('P6'!E19="","",'P6'!E19)</f>
        <v>26.09.01</v>
      </c>
      <c r="F74" s="239" t="str">
        <f>IF('P6'!G19="","",'P6'!G19)</f>
        <v>Remy Heggvik Aune</v>
      </c>
      <c r="G74" s="245">
        <f>IF('P6'!O19="","",'P6'!O19)</f>
        <v>100</v>
      </c>
      <c r="H74" s="245">
        <f>IF('P6'!P19="","",'P6'!P19)</f>
        <v>135</v>
      </c>
      <c r="I74" s="246">
        <f>IF('P6'!T19="","",'P6'!T19)</f>
        <v>8.06</v>
      </c>
      <c r="J74" s="246">
        <f>IF('P6'!U19="","",'P6'!U19)</f>
        <v>10.93</v>
      </c>
      <c r="K74" s="246">
        <f>IF('P6'!V19="","",'P6'!V19)</f>
        <v>6.42</v>
      </c>
      <c r="L74" s="249">
        <f>IF('P6'!X20="","",'P6'!X20)</f>
        <v>799.97450169552951</v>
      </c>
    </row>
    <row r="75" spans="1:15" ht="16">
      <c r="A75" s="236"/>
      <c r="B75" s="237">
        <f>IF('P6'!B23="","",'P6'!B23)</f>
        <v>87.15</v>
      </c>
      <c r="C75" s="237" t="str">
        <f>IF('P6'!C23="","",'P6'!C23)</f>
        <v>JM</v>
      </c>
      <c r="D75" s="237" t="str">
        <f>IF('P6'!D23="","",'P6'!D23)</f>
        <v>19-23</v>
      </c>
      <c r="E75" s="238" t="str">
        <f>IF('P6'!E23="","",'P6'!E23)</f>
        <v>22.11.01</v>
      </c>
      <c r="F75" s="239" t="str">
        <f>IF('P6'!G23="","",'P6'!G23)</f>
        <v>Mikal Akseth</v>
      </c>
      <c r="G75" s="245">
        <f>IF('P6'!O23="","",'P6'!O23)</f>
        <v>106</v>
      </c>
      <c r="H75" s="245">
        <f>IF('P6'!P23="","",'P6'!P23)</f>
        <v>129</v>
      </c>
      <c r="I75" s="246">
        <f>IF('P6'!T23="","",'P6'!T23)</f>
        <v>8.99</v>
      </c>
      <c r="J75" s="246">
        <f>IF('P6'!U23="","",'P6'!U23)</f>
        <v>13.44</v>
      </c>
      <c r="K75" s="246">
        <f>IF('P6'!V23="","",'P6'!V23)</f>
        <v>6.17</v>
      </c>
      <c r="L75" s="249">
        <f>IF('P6'!X24="","",'P6'!X24)</f>
        <v>837.4638840154762</v>
      </c>
    </row>
    <row r="76" spans="1:15" s="241" customFormat="1" ht="25" customHeight="1">
      <c r="A76" s="251">
        <v>6</v>
      </c>
      <c r="B76" s="334" t="s">
        <v>87</v>
      </c>
      <c r="C76" s="334"/>
      <c r="D76" s="334"/>
      <c r="E76" s="334"/>
      <c r="F76" s="334"/>
      <c r="G76" s="247"/>
      <c r="H76" s="247"/>
      <c r="I76" s="247"/>
      <c r="J76" s="247"/>
      <c r="K76" s="247"/>
      <c r="L76" s="248">
        <f>IF(L80="",SUM(L77:L80),(SUM(L77:L80)-MIN(L77:L80)))</f>
        <v>1940.7418554314547</v>
      </c>
    </row>
    <row r="77" spans="1:15" s="13" customFormat="1" ht="16">
      <c r="A77" s="236"/>
      <c r="B77" s="237">
        <f>IF('P2'!B11="","",'P2'!B11)</f>
        <v>78.819999999999993</v>
      </c>
      <c r="C77" s="237" t="str">
        <f>IF('P2'!C11="","",'P2'!C11)</f>
        <v>UM</v>
      </c>
      <c r="D77" s="237" t="str">
        <f>IF('P2'!D11="","",'P2'!D11)</f>
        <v>13-14</v>
      </c>
      <c r="E77" s="238">
        <f>IF('P2'!E11="","",'P2'!E11)</f>
        <v>39126</v>
      </c>
      <c r="F77" s="239" t="str">
        <f>IF('P2'!G11="","",'P2'!G11)</f>
        <v>Kjetil Hovda Skåren</v>
      </c>
      <c r="G77" s="245">
        <f>IF('P2'!O11="","",'P2'!O11)</f>
        <v>35</v>
      </c>
      <c r="H77" s="245">
        <f>IF('P2'!P11="","",'P2'!P11)</f>
        <v>42</v>
      </c>
      <c r="I77" s="246">
        <f>IF('P2'!T11="","",'P2'!T11)</f>
        <v>5.0599999999999996</v>
      </c>
      <c r="J77" s="246">
        <f>IF('P2'!U11="","",'P2'!U11)</f>
        <v>5.07</v>
      </c>
      <c r="K77" s="246">
        <f>IF('P2'!V11="","",'P2'!V11)</f>
        <v>8.84</v>
      </c>
      <c r="L77" s="246">
        <f>IF('P2'!X12="","",'P2'!X12)</f>
        <v>325.01896958343218</v>
      </c>
    </row>
    <row r="78" spans="1:15" ht="16">
      <c r="A78" s="236"/>
      <c r="B78" s="237">
        <f>IF('P4'!B21="","",'P4'!B21)</f>
        <v>67.209999999999994</v>
      </c>
      <c r="C78" s="237" t="str">
        <f>IF('P4'!C21="","",'P4'!C21)</f>
        <v>UM</v>
      </c>
      <c r="D78" s="237" t="str">
        <f>IF('P4'!D21="","",'P4'!D21)</f>
        <v>15-16</v>
      </c>
      <c r="E78" s="238">
        <f>IF('P4'!E21="","",'P4'!E21)</f>
        <v>38415</v>
      </c>
      <c r="F78" s="239" t="str">
        <f>IF('P4'!G21="","",'P4'!G21)</f>
        <v>Stefan Rønnevik</v>
      </c>
      <c r="G78" s="245">
        <f>IF('P4'!O21="","",'P4'!O21)</f>
        <v>70</v>
      </c>
      <c r="H78" s="245">
        <f>IF('P4'!P21="","",'P4'!P21)</f>
        <v>95</v>
      </c>
      <c r="I78" s="246">
        <f>IF('P4'!T21="","",'P4'!T21)</f>
        <v>8.48</v>
      </c>
      <c r="J78" s="246">
        <f>IF('P4'!U21="","",'P4'!U21)</f>
        <v>9.39</v>
      </c>
      <c r="K78" s="246">
        <f>IF('P4'!V21="","",'P4'!V21)</f>
        <v>6.21</v>
      </c>
      <c r="L78" s="249">
        <f>IF('P4'!X22="","",'P4'!X22)</f>
        <v>707.17645841053024</v>
      </c>
    </row>
    <row r="79" spans="1:15" ht="16">
      <c r="A79" s="236"/>
      <c r="B79" s="237">
        <f>IF('P8'!B19="","",'P8'!B19)</f>
        <v>76.37</v>
      </c>
      <c r="C79" s="237" t="str">
        <f>IF('P8'!C19="","",'P8'!C19)</f>
        <v>M1</v>
      </c>
      <c r="D79" s="237" t="str">
        <f>IF('P8'!D19="","",'P8'!D19)</f>
        <v>+35</v>
      </c>
      <c r="E79" s="238" t="str">
        <f>IF('P8'!E19="","",'P8'!E19)</f>
        <v>19.08.86</v>
      </c>
      <c r="F79" s="239" t="str">
        <f>IF('P8'!G19="","",'P8'!G19)</f>
        <v>Aaron Gem Donerciler</v>
      </c>
      <c r="G79" s="245">
        <f>IF('P8'!O19="","",'P8'!O19)</f>
        <v>80</v>
      </c>
      <c r="H79" s="245">
        <f>IF('P8'!P19="","",'P8'!P19)</f>
        <v>92</v>
      </c>
      <c r="I79" s="246">
        <f>IF('P8'!T19="","",'P8'!T19)</f>
        <v>8.17</v>
      </c>
      <c r="J79" s="246">
        <f>IF('P8'!U19="","",'P8'!U19)</f>
        <v>11</v>
      </c>
      <c r="K79" s="246">
        <f>IF('P8'!V19="","",'P8'!V19)</f>
        <v>7</v>
      </c>
      <c r="L79" s="249">
        <f>IF('P8'!X20="","",'P8'!X20)</f>
        <v>685.16595761913197</v>
      </c>
    </row>
    <row r="80" spans="1:15" ht="16">
      <c r="A80" s="236"/>
      <c r="B80" s="237">
        <f>IF('P8'!B23="","",'P8'!B23)</f>
        <v>107.3</v>
      </c>
      <c r="C80" s="237" t="str">
        <f>IF('P8'!C23="","",'P8'!C23)</f>
        <v>M4</v>
      </c>
      <c r="D80" s="237" t="str">
        <f>IF('P8'!D23="","",'P8'!D23)</f>
        <v>+35</v>
      </c>
      <c r="E80" s="238" t="str">
        <f>IF('P8'!E23="","",'P8'!E23)</f>
        <v>02.07.68</v>
      </c>
      <c r="F80" s="239" t="str">
        <f>IF('P8'!G23="","",'P8'!G23)</f>
        <v>Dag Rønnevik</v>
      </c>
      <c r="G80" s="245">
        <f>IF('P8'!O23="","",'P8'!O23)</f>
        <v>80</v>
      </c>
      <c r="H80" s="245">
        <f>IF('P8'!P23="","",'P8'!P23)</f>
        <v>102</v>
      </c>
      <c r="I80" s="246">
        <f>IF('P8'!T23="","",'P8'!T23)</f>
        <v>6.26</v>
      </c>
      <c r="J80" s="246">
        <f>IF('P8'!U23="","",'P8'!U23)</f>
        <v>11.91</v>
      </c>
      <c r="K80" s="246">
        <f>IF('P8'!V23="","",'P8'!V23)</f>
        <v>9.17</v>
      </c>
      <c r="L80" s="249">
        <f>IF('P8'!X24="","",'P8'!X24)</f>
        <v>548.39943940179285</v>
      </c>
      <c r="O80" t="s">
        <v>16</v>
      </c>
    </row>
  </sheetData>
  <mergeCells count="23">
    <mergeCell ref="B29:F29"/>
    <mergeCell ref="B58:F58"/>
    <mergeCell ref="B63:F63"/>
    <mergeCell ref="A1:L1"/>
    <mergeCell ref="A2:E2"/>
    <mergeCell ref="F2:H2"/>
    <mergeCell ref="I2:L2"/>
    <mergeCell ref="A15:L15"/>
    <mergeCell ref="B6:F6"/>
    <mergeCell ref="B10:F10"/>
    <mergeCell ref="B76:F76"/>
    <mergeCell ref="A51:L51"/>
    <mergeCell ref="A4:L4"/>
    <mergeCell ref="A35:L35"/>
    <mergeCell ref="B21:F21"/>
    <mergeCell ref="B25:F25"/>
    <mergeCell ref="B47:F47"/>
    <mergeCell ref="B42:F42"/>
    <mergeCell ref="B37:F37"/>
    <mergeCell ref="B67:F67"/>
    <mergeCell ref="B53:F53"/>
    <mergeCell ref="B72:F72"/>
    <mergeCell ref="B17:F17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4" fitToHeight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>
    <pageSetUpPr fitToPage="1"/>
  </sheetPr>
  <dimension ref="A1:P30"/>
  <sheetViews>
    <sheetView showGridLines="0" showRowColHeaders="0" showZeros="0" topLeftCell="A3" workbookViewId="0">
      <selection activeCell="K21" sqref="K21"/>
    </sheetView>
  </sheetViews>
  <sheetFormatPr baseColWidth="10" defaultColWidth="8.83203125" defaultRowHeight="13"/>
  <cols>
    <col min="1" max="1" width="5.6640625" customWidth="1"/>
    <col min="2" max="2" width="7.6640625" customWidth="1"/>
    <col min="3" max="3" width="27.6640625" customWidth="1"/>
    <col min="4" max="14" width="7.33203125" customWidth="1"/>
    <col min="15" max="15" width="9.33203125" customWidth="1"/>
    <col min="16" max="16" width="4.6640625" style="7" customWidth="1"/>
  </cols>
  <sheetData>
    <row r="1" spans="1:16" ht="23">
      <c r="A1" s="346" t="s">
        <v>56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15"/>
      <c r="P1" s="15"/>
    </row>
    <row r="2" spans="1:16" ht="15" customHeight="1">
      <c r="B2" s="16" t="s">
        <v>46</v>
      </c>
      <c r="C2" s="348" t="str">
        <f>IF('P1'!C5&gt;0,'P1'!C5,"")</f>
        <v>NM 5-kamp og NC4 (U/J)</v>
      </c>
      <c r="D2" s="348"/>
      <c r="E2" s="348"/>
      <c r="F2" s="348"/>
      <c r="G2" s="348"/>
      <c r="H2" s="17"/>
      <c r="I2" s="17"/>
      <c r="J2" s="17"/>
      <c r="K2" s="17"/>
      <c r="L2" s="17"/>
      <c r="M2" s="17"/>
      <c r="N2" s="17"/>
      <c r="O2" s="17"/>
      <c r="P2" s="17"/>
    </row>
    <row r="3" spans="1:16" ht="16">
      <c r="A3" s="347" t="s">
        <v>0</v>
      </c>
      <c r="B3" s="347"/>
      <c r="C3" s="348" t="str">
        <f>IF('P1'!I5&gt;0,'P1'!I5,"")</f>
        <v>Larvik AK</v>
      </c>
      <c r="D3" s="348"/>
      <c r="E3" s="18" t="s">
        <v>1</v>
      </c>
      <c r="F3" s="349" t="str">
        <f>IF('P1'!P5&gt;0,'P1'!P5,"")</f>
        <v>Stavernhallen</v>
      </c>
      <c r="G3" s="350"/>
      <c r="H3" s="350"/>
      <c r="I3" s="350"/>
      <c r="J3" s="158" t="s">
        <v>2</v>
      </c>
      <c r="K3" s="351">
        <f>IF('P1'!V5&gt;0,'P1'!V5,"")</f>
        <v>44450</v>
      </c>
      <c r="L3" s="351"/>
      <c r="M3" s="19" t="s">
        <v>20</v>
      </c>
      <c r="N3" s="64">
        <v>1</v>
      </c>
      <c r="O3" s="63"/>
      <c r="P3" s="20"/>
    </row>
    <row r="4" spans="1:16" ht="15" thickBot="1">
      <c r="B4" s="342" t="s">
        <v>73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19"/>
      <c r="P4" s="20"/>
    </row>
    <row r="5" spans="1:16" s="21" customFormat="1" ht="14">
      <c r="B5" s="22" t="s">
        <v>23</v>
      </c>
      <c r="C5" s="23" t="s">
        <v>6</v>
      </c>
      <c r="D5" s="343" t="s">
        <v>26</v>
      </c>
      <c r="E5" s="343"/>
      <c r="F5" s="343"/>
      <c r="G5" s="343"/>
      <c r="H5" s="344" t="s">
        <v>27</v>
      </c>
      <c r="I5" s="344"/>
      <c r="J5" s="344"/>
      <c r="K5" s="344"/>
      <c r="L5" s="345" t="s">
        <v>47</v>
      </c>
      <c r="M5" s="345"/>
      <c r="N5" s="345"/>
      <c r="O5" s="24"/>
      <c r="P5" s="25"/>
    </row>
    <row r="6" spans="1:16" ht="14" thickBot="1">
      <c r="B6" s="210" t="s">
        <v>29</v>
      </c>
      <c r="C6" s="26" t="s">
        <v>33</v>
      </c>
      <c r="D6" s="27">
        <v>1</v>
      </c>
      <c r="E6" s="27">
        <v>2</v>
      </c>
      <c r="F6" s="28">
        <v>3</v>
      </c>
      <c r="G6" s="29" t="s">
        <v>48</v>
      </c>
      <c r="H6" s="30">
        <v>1</v>
      </c>
      <c r="I6" s="27">
        <v>2</v>
      </c>
      <c r="J6" s="28">
        <v>3</v>
      </c>
      <c r="K6" s="29" t="s">
        <v>48</v>
      </c>
      <c r="L6" s="30">
        <v>1</v>
      </c>
      <c r="M6" s="28">
        <v>2</v>
      </c>
      <c r="N6" s="31" t="s">
        <v>48</v>
      </c>
      <c r="O6" s="32"/>
      <c r="P6" s="33"/>
    </row>
    <row r="7" spans="1:16" ht="16.5" customHeight="1">
      <c r="B7" s="217" t="str">
        <f>IF('P1'!D9="","",'P1'!D9)</f>
        <v>13-14</v>
      </c>
      <c r="C7" s="212" t="str">
        <f>IF('P1'!G9="","",'P1'!G9)</f>
        <v>Mariell Endestad Hellevang</v>
      </c>
      <c r="D7" s="51">
        <v>6.24</v>
      </c>
      <c r="E7" s="51">
        <v>6.34</v>
      </c>
      <c r="F7" s="52">
        <v>6.33</v>
      </c>
      <c r="G7" s="34">
        <f>IF(MAX(D7,E7,F7)&gt;0,MAX(D7,E7,F7),"")</f>
        <v>6.34</v>
      </c>
      <c r="H7" s="55">
        <v>9.84</v>
      </c>
      <c r="I7" s="51">
        <v>8.6999999999999993</v>
      </c>
      <c r="J7" s="51">
        <v>9.23</v>
      </c>
      <c r="K7" s="34">
        <f>IF(MAX(H7,I7,J7)&gt;0,MAX(H7,I7,J7),"")</f>
        <v>9.84</v>
      </c>
      <c r="L7" s="154">
        <v>7.91</v>
      </c>
      <c r="M7" s="52">
        <v>7.93</v>
      </c>
      <c r="N7" s="34">
        <f>IF(MIN(L7,M7)&gt;0,MIN(L7,M7),"")</f>
        <v>7.91</v>
      </c>
      <c r="O7" s="35"/>
      <c r="P7" s="36"/>
    </row>
    <row r="8" spans="1:16" ht="16.5" customHeight="1">
      <c r="B8" s="37"/>
      <c r="C8" s="213" t="str">
        <f>IF('P1'!H9="","",'P1'!H9)</f>
        <v>Tambarskjelvar IL</v>
      </c>
      <c r="D8" s="44"/>
      <c r="E8" s="44"/>
      <c r="F8" s="45"/>
      <c r="G8" s="38"/>
      <c r="H8" s="47"/>
      <c r="I8" s="44"/>
      <c r="J8" s="45"/>
      <c r="K8" s="39"/>
      <c r="L8" s="47"/>
      <c r="M8" s="45"/>
      <c r="N8" s="40"/>
      <c r="O8" s="41" t="str">
        <f>IF(SUM(L8:N8)&gt;0,SUM(L8:N8),"")</f>
        <v/>
      </c>
      <c r="P8" s="14"/>
    </row>
    <row r="9" spans="1:16" ht="16.5" customHeight="1">
      <c r="B9" s="215" t="str">
        <f>IF('P1'!D11="","",'P1'!D11)</f>
        <v>13-14</v>
      </c>
      <c r="C9" s="214" t="str">
        <f>IF('P1'!G11="","",'P1'!G11)</f>
        <v>Eline Høien</v>
      </c>
      <c r="D9" s="53">
        <v>6.2</v>
      </c>
      <c r="E9" s="53">
        <v>5.86</v>
      </c>
      <c r="F9" s="54">
        <v>6.19</v>
      </c>
      <c r="G9" s="42">
        <f>IF(MAX(D9,E9,F9)&gt;0,MAX(D9,E9,F9),"")</f>
        <v>6.2</v>
      </c>
      <c r="H9" s="56">
        <v>8.49</v>
      </c>
      <c r="I9" s="53">
        <v>9.4499999999999993</v>
      </c>
      <c r="J9" s="53">
        <v>9.65</v>
      </c>
      <c r="K9" s="43">
        <f>IF(MAX(H9,I9,J9)&gt;0,MAX(H9,I9,J9),"")</f>
        <v>9.65</v>
      </c>
      <c r="L9" s="58">
        <v>7.3</v>
      </c>
      <c r="M9" s="54">
        <v>7.4</v>
      </c>
      <c r="N9" s="43">
        <f>IF(MIN(L9,M9)&gt;0,MIN(L9,M9),"")</f>
        <v>7.3</v>
      </c>
      <c r="O9" s="35"/>
      <c r="P9" s="36"/>
    </row>
    <row r="10" spans="1:16" ht="16.5" customHeight="1">
      <c r="B10" s="37"/>
      <c r="C10" s="213" t="str">
        <f>IF('P1'!H11="","",'P1'!H11)</f>
        <v>Vigrstad IK</v>
      </c>
      <c r="D10" s="44"/>
      <c r="E10" s="44"/>
      <c r="F10" s="45"/>
      <c r="G10" s="38"/>
      <c r="H10" s="47"/>
      <c r="I10" s="44"/>
      <c r="J10" s="45"/>
      <c r="K10" s="39"/>
      <c r="L10" s="47"/>
      <c r="M10" s="45"/>
      <c r="N10" s="40"/>
      <c r="O10" s="41" t="str">
        <f>IF(SUM(L10:N10)&gt;0,SUM(L10:N10),"")</f>
        <v/>
      </c>
      <c r="P10" s="14"/>
    </row>
    <row r="11" spans="1:16" ht="16.5" customHeight="1">
      <c r="B11" s="215" t="str">
        <f>IF('P1'!D13="","",'P1'!D13)</f>
        <v>13-14</v>
      </c>
      <c r="C11" s="214" t="str">
        <f>IF('P1'!G13="","",'P1'!G13)</f>
        <v>Mille Dekke</v>
      </c>
      <c r="D11" s="53">
        <v>5.23</v>
      </c>
      <c r="E11" s="53">
        <v>5.33</v>
      </c>
      <c r="F11" s="54">
        <v>5.27</v>
      </c>
      <c r="G11" s="42">
        <f>IF(MAX(D11,E11,F11)&gt;0,MAX(D11,E11,F11),"")</f>
        <v>5.33</v>
      </c>
      <c r="H11" s="56">
        <v>7.41</v>
      </c>
      <c r="I11" s="53">
        <v>9.0399999999999991</v>
      </c>
      <c r="J11" s="53">
        <v>9.2200000000000006</v>
      </c>
      <c r="K11" s="43">
        <f>IF(MAX(H11,I11,J11)&gt;0,MAX(H11,I11,J11),"")</f>
        <v>9.2200000000000006</v>
      </c>
      <c r="L11" s="58">
        <v>8.77</v>
      </c>
      <c r="M11" s="54">
        <v>8.8800000000000008</v>
      </c>
      <c r="N11" s="43">
        <f>IF(MIN(L11,M11)&gt;0,MIN(L11,M11),"")</f>
        <v>8.77</v>
      </c>
      <c r="O11" s="35"/>
      <c r="P11" s="36"/>
    </row>
    <row r="12" spans="1:16" ht="16.5" customHeight="1">
      <c r="B12" s="37"/>
      <c r="C12" s="213" t="str">
        <f>IF('P1'!H13="","",'P1'!H13)</f>
        <v>Spydeberg Atletene</v>
      </c>
      <c r="D12" s="44"/>
      <c r="E12" s="44"/>
      <c r="F12" s="45"/>
      <c r="G12" s="38"/>
      <c r="H12" s="47"/>
      <c r="I12" s="44"/>
      <c r="J12" s="45"/>
      <c r="K12" s="39"/>
      <c r="L12" s="47"/>
      <c r="M12" s="45"/>
      <c r="N12" s="40"/>
      <c r="O12" s="41" t="str">
        <f>IF(SUM(L12:N12)&gt;0,SUM(L12:N12),"")</f>
        <v/>
      </c>
      <c r="P12" s="14"/>
    </row>
    <row r="13" spans="1:16" ht="16.5" customHeight="1">
      <c r="B13" s="215" t="str">
        <f>IF('P1'!D15="","",'P1'!D15)</f>
        <v>13-14</v>
      </c>
      <c r="C13" s="214" t="str">
        <f>IF('P1'!G15="","",'P1'!G15)</f>
        <v>Eline Svendsen</v>
      </c>
      <c r="D13" s="53">
        <v>5.92</v>
      </c>
      <c r="E13" s="53">
        <v>5.62</v>
      </c>
      <c r="F13" s="54">
        <v>5.6</v>
      </c>
      <c r="G13" s="42">
        <f>IF(MAX(D13,E13,F13)&gt;0,MAX(D13,E13,F13),"")</f>
        <v>5.92</v>
      </c>
      <c r="H13" s="56">
        <v>7.31</v>
      </c>
      <c r="I13" s="53">
        <v>7.21</v>
      </c>
      <c r="J13" s="53">
        <v>5.15</v>
      </c>
      <c r="K13" s="43">
        <f>IF(MAX(H13,I13,J13)&gt;0,MAX(H13,I13,J13),"")</f>
        <v>7.31</v>
      </c>
      <c r="L13" s="58">
        <v>7.82</v>
      </c>
      <c r="M13" s="54">
        <v>7.96</v>
      </c>
      <c r="N13" s="43">
        <f>IF(MIN(L13,M13)&gt;0,MIN(L13,M13),"")</f>
        <v>7.82</v>
      </c>
      <c r="O13" s="35"/>
      <c r="P13" s="36"/>
    </row>
    <row r="14" spans="1:16" ht="16.5" customHeight="1">
      <c r="B14" s="37"/>
      <c r="C14" s="213" t="str">
        <f>IF('P1'!H15="","",'P1'!H15)</f>
        <v>Tysvær VK</v>
      </c>
      <c r="D14" s="44"/>
      <c r="E14" s="44"/>
      <c r="F14" s="45"/>
      <c r="G14" s="38"/>
      <c r="H14" s="47"/>
      <c r="I14" s="44"/>
      <c r="J14" s="45"/>
      <c r="K14" s="39"/>
      <c r="L14" s="47"/>
      <c r="M14" s="45"/>
      <c r="N14" s="40"/>
      <c r="O14" s="41" t="str">
        <f>IF(SUM(L14:N14)&gt;0,SUM(L14:N14),"")</f>
        <v/>
      </c>
      <c r="P14" s="14"/>
    </row>
    <row r="15" spans="1:16" ht="16.5" customHeight="1">
      <c r="B15" s="215" t="str">
        <f>IF('P1'!D17="","",'P1'!D17)</f>
        <v>15-16</v>
      </c>
      <c r="C15" s="214" t="str">
        <f>IF('P1'!G17="","",'P1'!G17)</f>
        <v>Sandra Nævdal</v>
      </c>
      <c r="D15" s="53">
        <v>6.66</v>
      </c>
      <c r="E15" s="53">
        <v>7.03</v>
      </c>
      <c r="F15" s="54">
        <v>7.12</v>
      </c>
      <c r="G15" s="42">
        <f>IF(MAX(D15,E15,F15)&gt;0,MAX(D15,E15,F15),"")</f>
        <v>7.12</v>
      </c>
      <c r="H15" s="56">
        <v>8.36</v>
      </c>
      <c r="I15" s="53">
        <v>10.31</v>
      </c>
      <c r="J15" s="53">
        <v>9.98</v>
      </c>
      <c r="K15" s="43">
        <f>IF(MAX(H15,I15,J15)&gt;0,MAX(H15,I15,J15),"")</f>
        <v>10.31</v>
      </c>
      <c r="L15" s="58">
        <v>6.61</v>
      </c>
      <c r="M15" s="54">
        <v>6.71</v>
      </c>
      <c r="N15" s="43">
        <f>IF(MIN(L15,M15)&gt;0,MIN(L15,M15),"")</f>
        <v>6.61</v>
      </c>
      <c r="O15" s="35"/>
      <c r="P15" s="36"/>
    </row>
    <row r="16" spans="1:16" ht="16.5" customHeight="1">
      <c r="B16" s="37"/>
      <c r="C16" s="213" t="str">
        <f>IF('P1'!H17="","",'P1'!H17)</f>
        <v>AK Bjørgvin</v>
      </c>
      <c r="D16" s="44"/>
      <c r="E16" s="44"/>
      <c r="F16" s="45"/>
      <c r="G16" s="38"/>
      <c r="H16" s="47"/>
      <c r="I16" s="44"/>
      <c r="J16" s="45"/>
      <c r="K16" s="39"/>
      <c r="L16" s="47"/>
      <c r="M16" s="45"/>
      <c r="N16" s="40"/>
      <c r="O16" s="41" t="str">
        <f>IF(SUM(L16:N16)&gt;0,SUM(L16:N16),"")</f>
        <v/>
      </c>
      <c r="P16" s="14"/>
    </row>
    <row r="17" spans="2:16" ht="16.5" customHeight="1">
      <c r="B17" s="215" t="str">
        <f>IF('P1'!D19="","",'P1'!D19)</f>
        <v>15-16</v>
      </c>
      <c r="C17" s="214" t="str">
        <f>IF('P1'!G19="","",'P1'!G19)</f>
        <v>Madeleine Aaslund Jenack</v>
      </c>
      <c r="D17" s="53">
        <v>6.08</v>
      </c>
      <c r="E17" s="53">
        <v>6.08</v>
      </c>
      <c r="F17" s="283" t="s">
        <v>207</v>
      </c>
      <c r="G17" s="42">
        <f>IF(MAX(D17,E17,F17)&gt;0,MAX(D17,E17,F17),"")</f>
        <v>6.08</v>
      </c>
      <c r="H17" s="56">
        <v>7.79</v>
      </c>
      <c r="I17" s="53">
        <v>7.97</v>
      </c>
      <c r="J17" s="53">
        <v>8.86</v>
      </c>
      <c r="K17" s="43">
        <f>IF(MAX(H17,I17,J17)&gt;0,MAX(H17,I17,J17),"")</f>
        <v>8.86</v>
      </c>
      <c r="L17" s="58">
        <v>7.45</v>
      </c>
      <c r="M17" s="54">
        <v>7.45</v>
      </c>
      <c r="N17" s="43">
        <f>IF(MIN(L17,M17)&gt;0,MIN(L17,M17),"")</f>
        <v>7.45</v>
      </c>
      <c r="O17" s="35"/>
      <c r="P17" s="36"/>
    </row>
    <row r="18" spans="2:16" ht="16.5" customHeight="1">
      <c r="B18" s="37"/>
      <c r="C18" s="213" t="str">
        <f>IF('P1'!H19="","",'P1'!H19)</f>
        <v>Tysvær VK</v>
      </c>
      <c r="D18" s="44"/>
      <c r="E18" s="44"/>
      <c r="F18" s="45"/>
      <c r="G18" s="38"/>
      <c r="H18" s="47"/>
      <c r="I18" s="44"/>
      <c r="J18" s="45"/>
      <c r="K18" s="39"/>
      <c r="L18" s="47"/>
      <c r="M18" s="45"/>
      <c r="N18" s="40"/>
      <c r="O18" s="41" t="str">
        <f>IF(SUM(L18:N18)&gt;0,SUM(L18:N18),"")</f>
        <v/>
      </c>
      <c r="P18" s="14"/>
    </row>
    <row r="19" spans="2:16" ht="16.5" customHeight="1">
      <c r="B19" s="215" t="str">
        <f>IF('P1'!D21="","",'P1'!D21)</f>
        <v>15-16</v>
      </c>
      <c r="C19" s="214" t="str">
        <f>IF('P1'!G21="","",'P1'!G21)</f>
        <v>Ingrid Rommetveit Knappen</v>
      </c>
      <c r="D19" s="53">
        <v>6.48</v>
      </c>
      <c r="E19" s="53">
        <v>6.37</v>
      </c>
      <c r="F19" s="54">
        <v>6.42</v>
      </c>
      <c r="G19" s="42">
        <f>IF(MAX(D19,E19,F19)&gt;0,MAX(D19,E19,F19),"")</f>
        <v>6.48</v>
      </c>
      <c r="H19" s="56">
        <v>8.0299999999999994</v>
      </c>
      <c r="I19" s="53">
        <v>10.220000000000001</v>
      </c>
      <c r="J19" s="53">
        <v>8.25</v>
      </c>
      <c r="K19" s="43">
        <f>IF(MAX(H19,I19,J19)&gt;0,MAX(H19,I19,J19),"")</f>
        <v>10.220000000000001</v>
      </c>
      <c r="L19" s="58">
        <v>7.28</v>
      </c>
      <c r="M19" s="54">
        <v>7.5</v>
      </c>
      <c r="N19" s="43">
        <f>IF(MIN(L19,M19)&gt;0,MIN(L19,M19),"")</f>
        <v>7.28</v>
      </c>
      <c r="O19" s="35"/>
      <c r="P19" s="36"/>
    </row>
    <row r="20" spans="2:16" ht="16.5" customHeight="1">
      <c r="B20" s="37"/>
      <c r="C20" s="213" t="str">
        <f>IF('P1'!H21="","",'P1'!H21)</f>
        <v>AK Bjørgvin</v>
      </c>
      <c r="D20" s="44"/>
      <c r="E20" s="44"/>
      <c r="F20" s="45"/>
      <c r="G20" s="38"/>
      <c r="H20" s="47"/>
      <c r="I20" s="44"/>
      <c r="J20" s="45"/>
      <c r="K20" s="39"/>
      <c r="L20" s="47"/>
      <c r="M20" s="45"/>
      <c r="N20" s="40"/>
      <c r="O20" s="41" t="str">
        <f>IF(SUM(L20:N20)&gt;0,SUM(L20:N20),"")</f>
        <v/>
      </c>
      <c r="P20" s="14"/>
    </row>
    <row r="21" spans="2:16" ht="16.5" customHeight="1">
      <c r="B21" s="215" t="str">
        <f>IF('P1'!D23="","",'P1'!D23)</f>
        <v>15-16</v>
      </c>
      <c r="C21" s="214" t="str">
        <f>IF('P1'!G23="","",'P1'!G23)</f>
        <v>Trine Endestad Hellevang</v>
      </c>
      <c r="D21" s="53">
        <v>6.4</v>
      </c>
      <c r="E21" s="53">
        <v>6.49</v>
      </c>
      <c r="F21" s="54">
        <v>6.52</v>
      </c>
      <c r="G21" s="42">
        <f>IF(MAX(D21,E21,F21)&gt;0,MAX(D21,E21,F21),"")</f>
        <v>6.52</v>
      </c>
      <c r="H21" s="56">
        <v>7.62</v>
      </c>
      <c r="I21" s="53">
        <v>9.08</v>
      </c>
      <c r="J21" s="53">
        <v>8.8800000000000008</v>
      </c>
      <c r="K21" s="43">
        <f>IF(MAX(H21,I21,J21)&gt;0,MAX(H21,I21,J21),"")</f>
        <v>9.08</v>
      </c>
      <c r="L21" s="58">
        <v>7.79</v>
      </c>
      <c r="M21" s="54">
        <v>7.87</v>
      </c>
      <c r="N21" s="43">
        <f>IF(MIN(L21,M21)&gt;0,MIN(L21,M21),"")</f>
        <v>7.79</v>
      </c>
      <c r="O21" s="35"/>
      <c r="P21" s="36"/>
    </row>
    <row r="22" spans="2:16" ht="16.5" customHeight="1">
      <c r="B22" s="37"/>
      <c r="C22" s="213" t="str">
        <f>IF('P1'!H23="","",'P1'!H23)</f>
        <v>Tambarskjelvar IL</v>
      </c>
      <c r="D22" s="44"/>
      <c r="E22" s="44"/>
      <c r="F22" s="45"/>
      <c r="G22" s="46"/>
      <c r="H22" s="47"/>
      <c r="I22" s="44"/>
      <c r="J22" s="45"/>
      <c r="K22" s="48"/>
      <c r="L22" s="47"/>
      <c r="M22" s="45"/>
      <c r="N22" s="40"/>
      <c r="O22" s="41" t="str">
        <f>IF(SUM(L22:N22)&gt;0,SUM(L22:N22),"")</f>
        <v/>
      </c>
      <c r="P22" s="14"/>
    </row>
    <row r="23" spans="2:16" ht="16.5" customHeight="1">
      <c r="B23" s="215" t="str">
        <f>IF('P1'!D25="","",'P1'!D25)</f>
        <v/>
      </c>
      <c r="C23" s="214" t="str">
        <f>IF('P1'!G25="","",'P1'!G25)</f>
        <v/>
      </c>
      <c r="D23" s="53"/>
      <c r="E23" s="53"/>
      <c r="F23" s="54"/>
      <c r="G23" s="42" t="str">
        <f>IF(MAX(D23,E23,F23)&gt;0,MAX(D23,E23,F23),"")</f>
        <v/>
      </c>
      <c r="H23" s="56"/>
      <c r="I23" s="53"/>
      <c r="J23" s="53"/>
      <c r="K23" s="43" t="str">
        <f>IF(MAX(H23,I23,J23)&gt;0,MAX(H23,I23,J23),"")</f>
        <v/>
      </c>
      <c r="L23" s="58"/>
      <c r="M23" s="54"/>
      <c r="N23" s="43" t="str">
        <f>IF(MIN(L23,M23)&gt;0,MIN(L23,M23),"")</f>
        <v/>
      </c>
      <c r="O23" s="35"/>
      <c r="P23" s="36"/>
    </row>
    <row r="24" spans="2:16" ht="16.5" customHeight="1">
      <c r="B24" s="37"/>
      <c r="C24" s="213" t="str">
        <f>IF('P1'!H25="","",'P1'!H25)</f>
        <v/>
      </c>
      <c r="D24" s="44"/>
      <c r="E24" s="44"/>
      <c r="F24" s="45"/>
      <c r="G24" s="38"/>
      <c r="H24" s="47"/>
      <c r="I24" s="44"/>
      <c r="J24" s="45"/>
      <c r="K24" s="39"/>
      <c r="L24" s="47"/>
      <c r="M24" s="45"/>
      <c r="N24" s="40"/>
      <c r="O24" s="41" t="str">
        <f>IF(SUM(L24:N24)&gt;0,SUM(L24:N24),"")</f>
        <v/>
      </c>
      <c r="P24" s="14"/>
    </row>
    <row r="25" spans="2:16" ht="16.5" customHeight="1">
      <c r="B25" s="215" t="str">
        <f>IF('P1'!D27="","",'P1'!D27)</f>
        <v/>
      </c>
      <c r="C25" s="214" t="str">
        <f>IF('P1'!G27="","",'P1'!G27)</f>
        <v/>
      </c>
      <c r="D25" s="53"/>
      <c r="E25" s="53"/>
      <c r="F25" s="54"/>
      <c r="G25" s="42" t="str">
        <f>IF(MAX(D25,E25,F25)&gt;0,MAX(D25,E25,F25),"")</f>
        <v/>
      </c>
      <c r="H25" s="56"/>
      <c r="I25" s="53"/>
      <c r="J25" s="53"/>
      <c r="K25" s="43" t="str">
        <f>IF(MAX(H25,I25,J25)&gt;0,MAX(H25,I25,J25),"")</f>
        <v/>
      </c>
      <c r="L25" s="58"/>
      <c r="M25" s="54"/>
      <c r="N25" s="43" t="str">
        <f>IF(MIN(L25,M25)&gt;0,MIN(L25,M25),"")</f>
        <v/>
      </c>
      <c r="O25" s="35"/>
      <c r="P25" s="36"/>
    </row>
    <row r="26" spans="2:16" ht="16.5" customHeight="1">
      <c r="B26" s="37"/>
      <c r="C26" s="213" t="str">
        <f>IF('P1'!H27="","",'P1'!H27)</f>
        <v/>
      </c>
      <c r="D26" s="44"/>
      <c r="E26" s="44"/>
      <c r="F26" s="45"/>
      <c r="G26" s="38"/>
      <c r="H26" s="47"/>
      <c r="I26" s="44"/>
      <c r="J26" s="45"/>
      <c r="K26" s="39"/>
      <c r="L26" s="47"/>
      <c r="M26" s="45"/>
      <c r="N26" s="40"/>
      <c r="O26" s="41" t="str">
        <f>IF(SUM(L26:N26)&gt;0,SUM(L26:N26),"")</f>
        <v/>
      </c>
      <c r="P26" s="14"/>
    </row>
    <row r="27" spans="2:16" ht="16.5" customHeight="1">
      <c r="B27" s="215" t="str">
        <f>IF('P1'!D29="","",'P1'!D29)</f>
        <v/>
      </c>
      <c r="C27" s="214" t="str">
        <f>IF('P1'!G29="","",'P1'!G29)</f>
        <v/>
      </c>
      <c r="D27" s="53"/>
      <c r="E27" s="53"/>
      <c r="F27" s="54"/>
      <c r="G27" s="42" t="str">
        <f>IF(MAX(D27,E27,F27)&gt;0,MAX(D27,E27,F27),"")</f>
        <v/>
      </c>
      <c r="H27" s="56"/>
      <c r="I27" s="53"/>
      <c r="J27" s="53"/>
      <c r="K27" s="43" t="str">
        <f>IF(MAX(H27,I27,J27)&gt;0,MAX(H27,I27,J27),"")</f>
        <v/>
      </c>
      <c r="L27" s="58"/>
      <c r="M27" s="54"/>
      <c r="N27" s="43" t="str">
        <f>IF(MIN(L27,M27)&gt;0,MIN(L27,M27),"")</f>
        <v/>
      </c>
      <c r="O27" s="35"/>
      <c r="P27" s="36"/>
    </row>
    <row r="28" spans="2:16" ht="16.5" customHeight="1">
      <c r="B28" s="37"/>
      <c r="C28" s="213" t="str">
        <f>IF('P1'!H29="","",'P1'!H29)</f>
        <v/>
      </c>
      <c r="D28" s="44"/>
      <c r="E28" s="44"/>
      <c r="F28" s="45"/>
      <c r="G28" s="38"/>
      <c r="H28" s="47"/>
      <c r="I28" s="44"/>
      <c r="J28" s="45"/>
      <c r="K28" s="39"/>
      <c r="L28" s="59"/>
      <c r="M28" s="45"/>
      <c r="N28" s="40"/>
      <c r="O28" s="41" t="str">
        <f>IF(SUM(L28:N28)&gt;0,SUM(L28:N28),"")</f>
        <v/>
      </c>
      <c r="P28" s="14"/>
    </row>
    <row r="29" spans="2:16" ht="16.5" customHeight="1">
      <c r="B29" s="215" t="str">
        <f>IF('P1'!D31="","",'P1'!D31)</f>
        <v/>
      </c>
      <c r="C29" s="214" t="str">
        <f>IF('P1'!G31="","",'P1'!G31)</f>
        <v/>
      </c>
      <c r="D29" s="53"/>
      <c r="E29" s="53"/>
      <c r="F29" s="54"/>
      <c r="G29" s="42" t="str">
        <f>IF(MAX(D29,E29,F29)&gt;0,MAX(D29,E29,F29),"")</f>
        <v/>
      </c>
      <c r="H29" s="56"/>
      <c r="I29" s="53"/>
      <c r="J29" s="53"/>
      <c r="K29" s="43" t="str">
        <f>IF(MAX(H29,I29,J29)&gt;0,MAX(H29,I29,J29),"")</f>
        <v/>
      </c>
      <c r="L29" s="60"/>
      <c r="M29" s="54"/>
      <c r="N29" s="43" t="str">
        <f>IF(MIN(L29,M29)&gt;0,MIN(L29,M29),"")</f>
        <v/>
      </c>
      <c r="O29" s="35"/>
      <c r="P29" s="36"/>
    </row>
    <row r="30" spans="2:16" ht="16.5" customHeight="1">
      <c r="B30" s="62"/>
      <c r="C30" s="213" t="str">
        <f>IF('P1'!H31="","",'P1'!H31)</f>
        <v/>
      </c>
      <c r="D30" s="44"/>
      <c r="E30" s="44"/>
      <c r="F30" s="45"/>
      <c r="G30" s="49"/>
      <c r="H30" s="47"/>
      <c r="I30" s="44"/>
      <c r="J30" s="45"/>
      <c r="K30" s="46"/>
      <c r="L30" s="47"/>
      <c r="M30" s="45"/>
      <c r="N30" s="50"/>
      <c r="O30" s="41" t="str">
        <f>IF(SUM(L30:N30)&gt;0,SUM(L30:N30),"")</f>
        <v/>
      </c>
      <c r="P30" s="14"/>
    </row>
  </sheetData>
  <mergeCells count="10">
    <mergeCell ref="B4:N4"/>
    <mergeCell ref="D5:G5"/>
    <mergeCell ref="H5:K5"/>
    <mergeCell ref="L5:N5"/>
    <mergeCell ref="A1:N1"/>
    <mergeCell ref="A3:B3"/>
    <mergeCell ref="C3:D3"/>
    <mergeCell ref="F3:I3"/>
    <mergeCell ref="K3:L3"/>
    <mergeCell ref="C2:G2"/>
  </mergeCells>
  <phoneticPr fontId="19" type="noConversion"/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 copies="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>
    <pageSetUpPr fitToPage="1"/>
  </sheetPr>
  <dimension ref="A1:P30"/>
  <sheetViews>
    <sheetView showGridLines="0" showRowColHeaders="0" showZeros="0" zoomScaleNormal="100" workbookViewId="0">
      <selection activeCell="K21" sqref="K21"/>
    </sheetView>
  </sheetViews>
  <sheetFormatPr baseColWidth="10" defaultColWidth="8.83203125" defaultRowHeight="13"/>
  <cols>
    <col min="1" max="1" width="5.6640625" customWidth="1"/>
    <col min="2" max="2" width="7.6640625" customWidth="1"/>
    <col min="3" max="3" width="27.6640625" customWidth="1"/>
    <col min="4" max="14" width="7.33203125" customWidth="1"/>
    <col min="15" max="15" width="9.33203125" customWidth="1"/>
    <col min="16" max="16" width="4.6640625" style="7" customWidth="1"/>
  </cols>
  <sheetData>
    <row r="1" spans="1:16" ht="23">
      <c r="A1" s="346" t="s">
        <v>56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15"/>
      <c r="P1" s="15"/>
    </row>
    <row r="2" spans="1:16" ht="15" customHeight="1">
      <c r="B2" s="16" t="s">
        <v>46</v>
      </c>
      <c r="C2" s="82" t="str">
        <f>IF('P1'!C5&gt;0,'P1'!C5,"")</f>
        <v>NM 5-kamp og NC4 (U/J)</v>
      </c>
      <c r="D2" s="82"/>
      <c r="E2" s="8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6">
      <c r="A3" s="352" t="s">
        <v>0</v>
      </c>
      <c r="B3" s="352"/>
      <c r="C3" s="348" t="str">
        <f>IF('P1'!I5&gt;0,'P1'!I5,"")</f>
        <v>Larvik AK</v>
      </c>
      <c r="D3" s="348"/>
      <c r="E3" s="18" t="s">
        <v>1</v>
      </c>
      <c r="F3" s="350" t="str">
        <f>IF('P1'!P5&gt;0,'P1'!P5,"")</f>
        <v>Stavernhallen</v>
      </c>
      <c r="G3" s="350"/>
      <c r="H3" s="350"/>
      <c r="I3" s="350"/>
      <c r="J3" s="158" t="s">
        <v>2</v>
      </c>
      <c r="K3" s="351">
        <f>IF('P1'!V5&gt;0,'P1'!V5,"")</f>
        <v>44450</v>
      </c>
      <c r="L3" s="351"/>
      <c r="M3" s="19" t="s">
        <v>20</v>
      </c>
      <c r="N3" s="64">
        <v>2</v>
      </c>
      <c r="O3" s="63"/>
      <c r="P3" s="20"/>
    </row>
    <row r="4" spans="1:16" ht="15" thickBot="1">
      <c r="B4" s="342" t="s">
        <v>73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19"/>
      <c r="P4" s="20"/>
    </row>
    <row r="5" spans="1:16" s="21" customFormat="1" ht="14">
      <c r="B5" s="22" t="s">
        <v>23</v>
      </c>
      <c r="C5" s="23" t="s">
        <v>6</v>
      </c>
      <c r="D5" s="343" t="s">
        <v>26</v>
      </c>
      <c r="E5" s="343"/>
      <c r="F5" s="343"/>
      <c r="G5" s="343"/>
      <c r="H5" s="344" t="s">
        <v>27</v>
      </c>
      <c r="I5" s="344"/>
      <c r="J5" s="344"/>
      <c r="K5" s="344"/>
      <c r="L5" s="345" t="s">
        <v>47</v>
      </c>
      <c r="M5" s="345"/>
      <c r="N5" s="345"/>
      <c r="O5" s="24"/>
      <c r="P5" s="25"/>
    </row>
    <row r="6" spans="1:16" ht="14" thickBot="1">
      <c r="B6" s="210" t="s">
        <v>29</v>
      </c>
      <c r="C6" s="26" t="s">
        <v>33</v>
      </c>
      <c r="D6" s="27">
        <v>1</v>
      </c>
      <c r="E6" s="27">
        <v>2</v>
      </c>
      <c r="F6" s="28">
        <v>3</v>
      </c>
      <c r="G6" s="29" t="s">
        <v>48</v>
      </c>
      <c r="H6" s="30">
        <v>1</v>
      </c>
      <c r="I6" s="27">
        <v>2</v>
      </c>
      <c r="J6" s="28">
        <v>3</v>
      </c>
      <c r="K6" s="29" t="s">
        <v>48</v>
      </c>
      <c r="L6" s="30">
        <v>1</v>
      </c>
      <c r="M6" s="28">
        <v>2</v>
      </c>
      <c r="N6" s="31" t="s">
        <v>48</v>
      </c>
      <c r="O6" s="32"/>
      <c r="P6" s="33"/>
    </row>
    <row r="7" spans="1:16" ht="16.5" customHeight="1">
      <c r="B7" s="217" t="str">
        <f>IF('P2'!D9="","",'P2'!D9)</f>
        <v>13-14</v>
      </c>
      <c r="C7" s="212" t="str">
        <f>IF('P2'!G9="","",'P2'!G9)</f>
        <v>Nikolai K. Aadland</v>
      </c>
      <c r="D7" s="51">
        <v>6.67</v>
      </c>
      <c r="E7" s="51">
        <v>6.63</v>
      </c>
      <c r="F7" s="52">
        <v>6.65</v>
      </c>
      <c r="G7" s="34">
        <f>IF(MAX(D7,E7,F7)&gt;0,MAX(D7,E7,F7),"")</f>
        <v>6.67</v>
      </c>
      <c r="H7" s="55">
        <v>7.66</v>
      </c>
      <c r="I7" s="51">
        <v>8.7899999999999991</v>
      </c>
      <c r="J7" s="51">
        <v>8.8000000000000007</v>
      </c>
      <c r="K7" s="34">
        <f>IF(MAX(H7,I7,J7)&gt;0,MAX(H7,I7,J7),"")</f>
        <v>8.8000000000000007</v>
      </c>
      <c r="L7" s="57">
        <v>7.82</v>
      </c>
      <c r="M7" s="52">
        <v>7.71</v>
      </c>
      <c r="N7" s="34">
        <f>IF(MIN(L7,M7)&gt;0,MIN(L7,M7),"")</f>
        <v>7.71</v>
      </c>
      <c r="O7" s="35"/>
      <c r="P7" s="36"/>
    </row>
    <row r="8" spans="1:16" ht="16.5" customHeight="1">
      <c r="B8" s="37"/>
      <c r="C8" s="234" t="str">
        <f>IF('P2'!H9="","",'P2'!H9)</f>
        <v>AK Bjørgvin</v>
      </c>
      <c r="D8" s="44"/>
      <c r="E8" s="44"/>
      <c r="F8" s="45"/>
      <c r="G8" s="38"/>
      <c r="H8" s="47"/>
      <c r="I8" s="44"/>
      <c r="J8" s="45"/>
      <c r="K8" s="39"/>
      <c r="L8" s="47"/>
      <c r="M8" s="45"/>
      <c r="N8" s="40"/>
      <c r="O8" s="41" t="str">
        <f>IF(SUM(L8:N8)&gt;0,SUM(L8:N8),"")</f>
        <v/>
      </c>
      <c r="P8" s="14"/>
    </row>
    <row r="9" spans="1:16" ht="16.5" customHeight="1">
      <c r="B9" s="215" t="str">
        <f>IF('P2'!D11="","",'P2'!D11)</f>
        <v>13-14</v>
      </c>
      <c r="C9" s="214" t="str">
        <f>IF('P2'!G11="","",'P2'!G11)</f>
        <v>Kjetil Hovda Skåren</v>
      </c>
      <c r="D9" s="53">
        <v>4.75</v>
      </c>
      <c r="E9" s="53">
        <v>5.0599999999999996</v>
      </c>
      <c r="F9" s="54">
        <v>4.84</v>
      </c>
      <c r="G9" s="42">
        <f>IF(MAX(D9,E9,F9)&gt;0,MAX(D9,E9,F9),"")</f>
        <v>5.0599999999999996</v>
      </c>
      <c r="H9" s="56">
        <v>4.4000000000000004</v>
      </c>
      <c r="I9" s="53">
        <v>5.03</v>
      </c>
      <c r="J9" s="53">
        <v>5.07</v>
      </c>
      <c r="K9" s="43">
        <f>IF(MAX(H9,I9,J9)&gt;0,MAX(H9,I9,J9),"")</f>
        <v>5.07</v>
      </c>
      <c r="L9" s="58">
        <v>8.98</v>
      </c>
      <c r="M9" s="54">
        <v>8.84</v>
      </c>
      <c r="N9" s="43">
        <f>IF(MIN(L9,M9)&gt;0,MIN(L9,M9),"")</f>
        <v>8.84</v>
      </c>
      <c r="O9" s="35"/>
      <c r="P9" s="36"/>
    </row>
    <row r="10" spans="1:16" ht="16.5" customHeight="1">
      <c r="B10" s="37"/>
      <c r="C10" s="234" t="str">
        <f>IF('P2'!H11="","",'P2'!H11)</f>
        <v>Tysvær VK</v>
      </c>
      <c r="D10" s="44"/>
      <c r="E10" s="44"/>
      <c r="F10" s="45"/>
      <c r="G10" s="38"/>
      <c r="H10" s="47"/>
      <c r="I10" s="44"/>
      <c r="J10" s="45"/>
      <c r="K10" s="39"/>
      <c r="L10" s="47"/>
      <c r="M10" s="45"/>
      <c r="N10" s="40"/>
      <c r="O10" s="41" t="str">
        <f>IF(SUM(L10:N10)&gt;0,SUM(L10:N10),"")</f>
        <v/>
      </c>
      <c r="P10" s="14"/>
    </row>
    <row r="11" spans="1:16" ht="16.5" customHeight="1">
      <c r="B11" s="215" t="str">
        <f>IF('P2'!D13="","",'P2'!D13)</f>
        <v>13-14</v>
      </c>
      <c r="C11" s="214" t="str">
        <f>IF('P2'!G13="","",'P2'!G13)</f>
        <v>Oliver Haugan</v>
      </c>
      <c r="D11" s="53">
        <v>6.13</v>
      </c>
      <c r="E11" s="53">
        <v>5.77</v>
      </c>
      <c r="F11" s="54">
        <v>5.97</v>
      </c>
      <c r="G11" s="42">
        <f>IF(MAX(D11,E11,F11)&gt;0,MAX(D11,E11,F11),"")</f>
        <v>6.13</v>
      </c>
      <c r="H11" s="56">
        <v>6.6</v>
      </c>
      <c r="I11" s="53">
        <v>5.22</v>
      </c>
      <c r="J11" s="53">
        <v>9.4</v>
      </c>
      <c r="K11" s="43">
        <f>IF(MAX(H11,I11,J11)&gt;0,MAX(H11,I11,J11),"")</f>
        <v>9.4</v>
      </c>
      <c r="L11" s="58">
        <v>7.16</v>
      </c>
      <c r="M11" s="54">
        <v>7.17</v>
      </c>
      <c r="N11" s="43">
        <f>IF(MIN(L11,M11)&gt;0,MIN(L11,M11),"")</f>
        <v>7.16</v>
      </c>
      <c r="O11" s="35"/>
      <c r="P11" s="36"/>
    </row>
    <row r="12" spans="1:16" ht="16.5" customHeight="1">
      <c r="B12" s="37"/>
      <c r="C12" s="234" t="str">
        <f>IF('P2'!H13="","",'P2'!H13)</f>
        <v>Tønsberg-Kam.</v>
      </c>
      <c r="D12" s="44"/>
      <c r="E12" s="44"/>
      <c r="F12" s="45"/>
      <c r="G12" s="38"/>
      <c r="H12" s="47"/>
      <c r="I12" s="44"/>
      <c r="J12" s="45"/>
      <c r="K12" s="39"/>
      <c r="L12" s="47"/>
      <c r="M12" s="45"/>
      <c r="N12" s="40"/>
      <c r="O12" s="41" t="str">
        <f>IF(SUM(L12:N12)&gt;0,SUM(L12:N12),"")</f>
        <v/>
      </c>
      <c r="P12" s="14"/>
    </row>
    <row r="13" spans="1:16" ht="16.5" customHeight="1">
      <c r="B13" s="215" t="str">
        <f>IF('P2'!D15="","",'P2'!D15)</f>
        <v>15-16</v>
      </c>
      <c r="C13" s="214" t="str">
        <f>IF('P2'!G15="","",'P2'!G15)</f>
        <v>Henrik Kjelsberg</v>
      </c>
      <c r="D13" s="53">
        <v>6.1</v>
      </c>
      <c r="E13" s="283">
        <v>6.3</v>
      </c>
      <c r="F13" s="54">
        <v>6.2</v>
      </c>
      <c r="G13" s="42">
        <f>IF(MAX(D13,E13,F13)&gt;0,MAX(D13,E13,F13),"")</f>
        <v>6.3</v>
      </c>
      <c r="H13" s="56">
        <v>6.57</v>
      </c>
      <c r="I13" s="53">
        <v>6.04</v>
      </c>
      <c r="J13" s="53">
        <v>6.95</v>
      </c>
      <c r="K13" s="43">
        <f>IF(MAX(H13,I13,J13)&gt;0,MAX(H13,I13,J13),"")</f>
        <v>6.95</v>
      </c>
      <c r="L13" s="58">
        <v>7.59</v>
      </c>
      <c r="M13" s="54">
        <v>7.64</v>
      </c>
      <c r="N13" s="43">
        <f>IF(MIN(L13,M13)&gt;0,MIN(L13,M13),"")</f>
        <v>7.59</v>
      </c>
      <c r="O13" s="35"/>
      <c r="P13" s="36"/>
    </row>
    <row r="14" spans="1:16" ht="16.5" customHeight="1">
      <c r="B14" s="37"/>
      <c r="C14" s="234" t="str">
        <f>IF('P2'!H15="","",'P2'!H15)</f>
        <v>Nidelv IL</v>
      </c>
      <c r="D14" s="44"/>
      <c r="E14" s="44"/>
      <c r="F14" s="45"/>
      <c r="G14" s="38"/>
      <c r="H14" s="47"/>
      <c r="I14" s="44"/>
      <c r="J14" s="45"/>
      <c r="K14" s="39"/>
      <c r="L14" s="47"/>
      <c r="M14" s="45"/>
      <c r="N14" s="40"/>
      <c r="O14" s="41" t="str">
        <f>IF(SUM(L14:N14)&gt;0,SUM(L14:N14),"")</f>
        <v/>
      </c>
      <c r="P14" s="14"/>
    </row>
    <row r="15" spans="1:16" ht="16.5" customHeight="1">
      <c r="B15" s="215" t="str">
        <f>IF('P2'!D17="","",'P2'!D17)</f>
        <v>15-16</v>
      </c>
      <c r="C15" s="214" t="str">
        <f>IF('P2'!G17="","",'P2'!G17)</f>
        <v>Aksel Svorstøl</v>
      </c>
      <c r="D15" s="53">
        <v>8.01</v>
      </c>
      <c r="E15" s="283" t="s">
        <v>207</v>
      </c>
      <c r="F15" s="54">
        <v>7.83</v>
      </c>
      <c r="G15" s="42">
        <f>IF(MAX(D15,E15,F15)&gt;0,MAX(D15,E15,F15),"")</f>
        <v>8.01</v>
      </c>
      <c r="H15" s="56">
        <v>11.31</v>
      </c>
      <c r="I15" s="53">
        <v>11.41</v>
      </c>
      <c r="J15" s="53">
        <v>12.04</v>
      </c>
      <c r="K15" s="43">
        <f>IF(MAX(H15,I15,J15)&gt;0,MAX(H15,I15,J15),"")</f>
        <v>12.04</v>
      </c>
      <c r="L15" s="58">
        <v>6.33</v>
      </c>
      <c r="M15" s="54">
        <v>6.28</v>
      </c>
      <c r="N15" s="43">
        <f>IF(MIN(L15,M15)&gt;0,MIN(L15,M15),"")</f>
        <v>6.28</v>
      </c>
      <c r="O15" s="35"/>
      <c r="P15" s="36"/>
    </row>
    <row r="16" spans="1:16" ht="16.5" customHeight="1">
      <c r="B16" s="37"/>
      <c r="C16" s="234" t="str">
        <f>IF('P2'!H17="","",'P2'!H17)</f>
        <v>Tambarskjelvar IL</v>
      </c>
      <c r="D16" s="44"/>
      <c r="E16" s="44"/>
      <c r="F16" s="45"/>
      <c r="G16" s="38"/>
      <c r="H16" s="47"/>
      <c r="I16" s="44"/>
      <c r="J16" s="45"/>
      <c r="K16" s="39"/>
      <c r="L16" s="47"/>
      <c r="M16" s="45"/>
      <c r="N16" s="40"/>
      <c r="O16" s="41" t="str">
        <f>IF(SUM(L16:N16)&gt;0,SUM(L16:N16),"")</f>
        <v/>
      </c>
      <c r="P16" s="14"/>
    </row>
    <row r="17" spans="1:16" ht="16.5" customHeight="1">
      <c r="B17" s="215" t="str">
        <f>IF('P2'!D19="","",'P2'!D19)</f>
        <v>15-16</v>
      </c>
      <c r="C17" s="214" t="str">
        <f>IF('P2'!G19="","",'P2'!G19)</f>
        <v>Ruben Vikhals Bjerkan</v>
      </c>
      <c r="D17" s="53">
        <v>7.21</v>
      </c>
      <c r="E17" s="53">
        <v>7.6</v>
      </c>
      <c r="F17" s="54">
        <v>7.62</v>
      </c>
      <c r="G17" s="42">
        <f>IF(MAX(D17,E17,F17)&gt;0,MAX(D17,E17,F17),"")</f>
        <v>7.62</v>
      </c>
      <c r="H17" s="56">
        <v>8.93</v>
      </c>
      <c r="I17" s="53">
        <v>10.39</v>
      </c>
      <c r="J17" s="53">
        <v>10.37</v>
      </c>
      <c r="K17" s="43">
        <f>IF(MAX(H17,I17,J17)&gt;0,MAX(H17,I17,J17),"")</f>
        <v>10.39</v>
      </c>
      <c r="L17" s="58">
        <v>6.83</v>
      </c>
      <c r="M17" s="54">
        <v>6.98</v>
      </c>
      <c r="N17" s="43">
        <f>IF(MIN(L17,M17)&gt;0,MIN(L17,M17),"")</f>
        <v>6.83</v>
      </c>
      <c r="O17" s="35"/>
      <c r="P17" s="36"/>
    </row>
    <row r="18" spans="1:16" ht="16.5" customHeight="1">
      <c r="B18" s="37"/>
      <c r="C18" s="234" t="str">
        <f>IF('P2'!H19="","",'P2'!H19)</f>
        <v>Nidelv IL</v>
      </c>
      <c r="D18" s="44"/>
      <c r="E18" s="44"/>
      <c r="F18" s="45"/>
      <c r="G18" s="38"/>
      <c r="H18" s="47"/>
      <c r="I18" s="44"/>
      <c r="J18" s="45"/>
      <c r="K18" s="39"/>
      <c r="L18" s="47"/>
      <c r="M18" s="45"/>
      <c r="N18" s="40"/>
      <c r="O18" s="41" t="str">
        <f>IF(SUM(L18:N18)&gt;0,SUM(L18:N18),"")</f>
        <v/>
      </c>
      <c r="P18" s="14"/>
    </row>
    <row r="19" spans="1:16" ht="16.5" customHeight="1">
      <c r="B19" s="215" t="str">
        <f>IF('P2'!D21="","",'P2'!D21)</f>
        <v>15-16</v>
      </c>
      <c r="C19" s="214" t="str">
        <f>IF('P2'!G21="","",'P2'!G21)</f>
        <v>Rasmus Heggvik Aune</v>
      </c>
      <c r="D19" s="53">
        <v>6.61</v>
      </c>
      <c r="E19" s="53">
        <v>6.92</v>
      </c>
      <c r="F19" s="54">
        <v>6.73</v>
      </c>
      <c r="G19" s="42">
        <f>IF(MAX(D19,E19,F19)&gt;0,MAX(D19,E19,F19),"")</f>
        <v>6.92</v>
      </c>
      <c r="H19" s="56">
        <v>7.93</v>
      </c>
      <c r="I19" s="53">
        <v>9.5299999999999994</v>
      </c>
      <c r="J19" s="53">
        <v>8.74</v>
      </c>
      <c r="K19" s="43">
        <f>IF(MAX(H19,I19,J19)&gt;0,MAX(H19,I19,J19),"")</f>
        <v>9.5299999999999994</v>
      </c>
      <c r="L19" s="58">
        <v>6.86</v>
      </c>
      <c r="M19" s="54">
        <v>6.91</v>
      </c>
      <c r="N19" s="43">
        <f>IF(MIN(L19,M19)&gt;0,MIN(L19,M19),"")</f>
        <v>6.86</v>
      </c>
      <c r="O19" s="35"/>
      <c r="P19" s="209"/>
    </row>
    <row r="20" spans="1:16" ht="16.5" customHeight="1">
      <c r="B20" s="37"/>
      <c r="C20" s="234" t="str">
        <f>IF('P2'!H21="","",'P2'!H21)</f>
        <v>Hitra VK</v>
      </c>
      <c r="D20" s="44"/>
      <c r="E20" s="44"/>
      <c r="F20" s="45"/>
      <c r="G20" s="38"/>
      <c r="H20" s="47"/>
      <c r="I20" s="44"/>
      <c r="J20" s="45"/>
      <c r="K20" s="39"/>
      <c r="L20" s="47"/>
      <c r="M20" s="45"/>
      <c r="N20" s="40"/>
      <c r="O20" s="41" t="str">
        <f>IF(SUM(L20:N20)&gt;0,SUM(L20:N20),"")</f>
        <v/>
      </c>
      <c r="P20" s="14"/>
    </row>
    <row r="21" spans="1:16" ht="16.5" customHeight="1">
      <c r="B21" s="215" t="str">
        <f>IF('P2'!D23="","",'P2'!D23)</f>
        <v>15-16</v>
      </c>
      <c r="C21" s="214" t="str">
        <f>IF('P2'!G23="","",'P2'!G23)</f>
        <v>Erik A. F. Johansson</v>
      </c>
      <c r="D21" s="53">
        <v>8.1</v>
      </c>
      <c r="E21" s="53">
        <v>8</v>
      </c>
      <c r="F21" s="54">
        <v>8.1</v>
      </c>
      <c r="G21" s="42">
        <f>IF(MAX(D21,E21,F21)&gt;0,MAX(D21,E21,F21),"")</f>
        <v>8.1</v>
      </c>
      <c r="H21" s="56">
        <v>10.48</v>
      </c>
      <c r="I21" s="53">
        <v>11.37</v>
      </c>
      <c r="J21" s="53">
        <v>11.89</v>
      </c>
      <c r="K21" s="43">
        <f>IF(MAX(H21,I21,J21)&gt;0,MAX(H21,I21,J21),"")</f>
        <v>11.89</v>
      </c>
      <c r="L21" s="58">
        <v>6.63</v>
      </c>
      <c r="M21" s="54">
        <v>6.56</v>
      </c>
      <c r="N21" s="43">
        <f>IF(MIN(L21,M21)&gt;0,MIN(L21,M21),"")</f>
        <v>6.56</v>
      </c>
      <c r="O21" s="35"/>
      <c r="P21" s="36"/>
    </row>
    <row r="22" spans="1:16" ht="16.5" customHeight="1">
      <c r="B22" s="37"/>
      <c r="C22" s="234" t="str">
        <f>IF('P2'!H23="","",'P2'!H23)</f>
        <v>AK Bjørgvin</v>
      </c>
      <c r="D22" s="44"/>
      <c r="E22" s="44"/>
      <c r="F22" s="45"/>
      <c r="G22" s="46"/>
      <c r="H22" s="47"/>
      <c r="I22" s="44"/>
      <c r="J22" s="45"/>
      <c r="K22" s="48"/>
      <c r="L22" s="47"/>
      <c r="M22" s="45"/>
      <c r="N22" s="40"/>
      <c r="O22" s="41" t="str">
        <f>IF(SUM(L22:N22)&gt;0,SUM(L22:N22),"")</f>
        <v/>
      </c>
      <c r="P22" s="14"/>
    </row>
    <row r="23" spans="1:16" ht="16.5" customHeight="1">
      <c r="B23" s="215" t="str">
        <f>IF('P2'!D25="","",'P2'!D25)</f>
        <v/>
      </c>
      <c r="C23" s="214" t="str">
        <f>IF('P2'!G25="","",'P2'!G25)</f>
        <v/>
      </c>
      <c r="D23" s="53"/>
      <c r="E23" s="53"/>
      <c r="F23" s="54"/>
      <c r="G23" s="42" t="str">
        <f>IF(MAX(D23,E23,F23)&gt;0,MAX(D23,E23,F23),"")</f>
        <v/>
      </c>
      <c r="H23" s="56"/>
      <c r="I23" s="53"/>
      <c r="J23" s="53"/>
      <c r="K23" s="43" t="str">
        <f>IF(MAX(H23,I23,J23)&gt;0,MAX(H23,I23,J23),"")</f>
        <v/>
      </c>
      <c r="L23" s="58"/>
      <c r="M23" s="54"/>
      <c r="N23" s="43" t="str">
        <f>IF(MIN(L23,M23)&gt;0,MIN(L23,M23),"")</f>
        <v/>
      </c>
      <c r="O23" s="35"/>
      <c r="P23" s="36"/>
    </row>
    <row r="24" spans="1:16" ht="16.5" customHeight="1">
      <c r="B24" s="37"/>
      <c r="C24" s="234" t="str">
        <f>IF('P2'!H25="","",'P2'!H25)</f>
        <v/>
      </c>
      <c r="D24" s="44"/>
      <c r="E24" s="44"/>
      <c r="F24" s="45"/>
      <c r="G24" s="38"/>
      <c r="H24" s="47"/>
      <c r="I24" s="44"/>
      <c r="J24" s="45"/>
      <c r="K24" s="39"/>
      <c r="L24" s="47"/>
      <c r="M24" s="45"/>
      <c r="N24" s="40"/>
      <c r="O24" s="41" t="str">
        <f>IF(SUM(L24:N24)&gt;0,SUM(L24:N24),"")</f>
        <v/>
      </c>
      <c r="P24" s="14"/>
    </row>
    <row r="25" spans="1:16" ht="16.5" customHeight="1">
      <c r="B25" s="215" t="str">
        <f>IF('P2'!D27="","",'P2'!D27)</f>
        <v/>
      </c>
      <c r="C25" s="214" t="str">
        <f>IF('P2'!G27="","",'P2'!G27)</f>
        <v/>
      </c>
      <c r="D25" s="53"/>
      <c r="E25" s="53"/>
      <c r="F25" s="54"/>
      <c r="G25" s="42" t="str">
        <f>IF(MAX(D25,E25,F25)&gt;0,MAX(D25,E25,F25),"")</f>
        <v/>
      </c>
      <c r="H25" s="56"/>
      <c r="I25" s="53"/>
      <c r="J25" s="53"/>
      <c r="K25" s="43" t="str">
        <f>IF(MAX(H25,I25,J25)&gt;0,MAX(H25,I25,J25),"")</f>
        <v/>
      </c>
      <c r="L25" s="58"/>
      <c r="M25" s="54"/>
      <c r="N25" s="43" t="str">
        <f>IF(MIN(L25,M25)&gt;0,MIN(L25,M25),"")</f>
        <v/>
      </c>
      <c r="O25" s="35"/>
      <c r="P25" s="36"/>
    </row>
    <row r="26" spans="1:16" ht="16.5" customHeight="1">
      <c r="B26" s="37"/>
      <c r="C26" s="234" t="str">
        <f>IF('P2'!H27="","",'P2'!H27)</f>
        <v/>
      </c>
      <c r="D26" s="44"/>
      <c r="E26" s="44"/>
      <c r="F26" s="45"/>
      <c r="G26" s="38"/>
      <c r="H26" s="47"/>
      <c r="I26" s="44"/>
      <c r="J26" s="45"/>
      <c r="K26" s="39"/>
      <c r="L26" s="47"/>
      <c r="M26" s="45"/>
      <c r="N26" s="40"/>
      <c r="O26" s="41" t="str">
        <f>IF(SUM(L26:N26)&gt;0,SUM(L26:N26),"")</f>
        <v/>
      </c>
      <c r="P26" s="14"/>
    </row>
    <row r="27" spans="1:16" ht="16.5" customHeight="1">
      <c r="B27" s="215" t="str">
        <f>IF('P2'!D29="","",'P2'!D29)</f>
        <v/>
      </c>
      <c r="C27" s="214" t="str">
        <f>IF('P2'!G29="","",'P2'!G29)</f>
        <v/>
      </c>
      <c r="D27" s="53"/>
      <c r="E27" s="53"/>
      <c r="F27" s="54"/>
      <c r="G27" s="42" t="str">
        <f>IF(MAX(D27,E27,F27)&gt;0,MAX(D27,E27,F27),"")</f>
        <v/>
      </c>
      <c r="H27" s="56"/>
      <c r="I27" s="53"/>
      <c r="J27" s="53"/>
      <c r="K27" s="43" t="str">
        <f>IF(MAX(H27,I27,J27)&gt;0,MAX(H27,I27,J27),"")</f>
        <v/>
      </c>
      <c r="L27" s="58"/>
      <c r="M27" s="54"/>
      <c r="N27" s="43" t="str">
        <f>IF(MIN(L27,M27)&gt;0,MIN(L27,M27),"")</f>
        <v/>
      </c>
      <c r="O27" s="35"/>
      <c r="P27" s="36"/>
    </row>
    <row r="28" spans="1:16" ht="16.5" customHeight="1">
      <c r="B28" s="37"/>
      <c r="C28" s="234" t="str">
        <f>IF('P2'!H29="","",'P2'!H29)</f>
        <v/>
      </c>
      <c r="D28" s="44"/>
      <c r="E28" s="44"/>
      <c r="F28" s="45"/>
      <c r="G28" s="38"/>
      <c r="H28" s="47"/>
      <c r="I28" s="44"/>
      <c r="J28" s="45"/>
      <c r="K28" s="39"/>
      <c r="L28" s="59"/>
      <c r="M28" s="45"/>
      <c r="N28" s="40"/>
      <c r="O28" s="41" t="str">
        <f>IF(SUM(L28:N28)&gt;0,SUM(L28:N28),"")</f>
        <v/>
      </c>
      <c r="P28" s="14"/>
    </row>
    <row r="29" spans="1:16" ht="16.5" customHeight="1">
      <c r="B29" s="215" t="str">
        <f>IF('P2'!D31="","",'P2'!D31)</f>
        <v/>
      </c>
      <c r="C29" s="214" t="str">
        <f>IF('P2'!G31="","",'P2'!G31)</f>
        <v/>
      </c>
      <c r="D29" s="53"/>
      <c r="E29" s="53"/>
      <c r="F29" s="54"/>
      <c r="G29" s="42" t="str">
        <f>IF(MAX(D29,E29,F29)&gt;0,MAX(D29,E29,F29),"")</f>
        <v/>
      </c>
      <c r="H29" s="56"/>
      <c r="I29" s="53"/>
      <c r="J29" s="53"/>
      <c r="K29" s="43" t="str">
        <f>IF(MAX(H29,I29,J29)&gt;0,MAX(H29,I29,J29),"")</f>
        <v/>
      </c>
      <c r="L29" s="60"/>
      <c r="M29" s="54"/>
      <c r="N29" s="43" t="str">
        <f>IF(MIN(L29,M29)&gt;0,MIN(L29,M29),"")</f>
        <v/>
      </c>
      <c r="O29" s="35"/>
      <c r="P29" s="36"/>
    </row>
    <row r="30" spans="1:16" ht="16.5" customHeight="1">
      <c r="A30" s="155"/>
      <c r="B30" s="62"/>
      <c r="C30" s="213" t="str">
        <f>IF('P2'!H31="","",'P2'!H31)</f>
        <v/>
      </c>
      <c r="D30" s="44"/>
      <c r="E30" s="44"/>
      <c r="F30" s="45"/>
      <c r="G30" s="49"/>
      <c r="H30" s="47"/>
      <c r="I30" s="44"/>
      <c r="J30" s="45"/>
      <c r="K30" s="46"/>
      <c r="L30" s="47"/>
      <c r="M30" s="45"/>
      <c r="N30" s="50"/>
      <c r="O30" s="41" t="str">
        <f>IF(SUM(L30:N30)&gt;0,SUM(L30:N30),"")</f>
        <v/>
      </c>
      <c r="P30" s="14"/>
    </row>
  </sheetData>
  <mergeCells count="9">
    <mergeCell ref="B4:N4"/>
    <mergeCell ref="D5:G5"/>
    <mergeCell ref="H5:K5"/>
    <mergeCell ref="L5:N5"/>
    <mergeCell ref="A1:N1"/>
    <mergeCell ref="A3:B3"/>
    <mergeCell ref="C3:D3"/>
    <mergeCell ref="F3:I3"/>
    <mergeCell ref="K3:L3"/>
  </mergeCells>
  <phoneticPr fontId="0" type="noConversion"/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 copies="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D43B-19C6-0E42-8AC3-82FA39C53C1F}">
  <sheetPr>
    <pageSetUpPr fitToPage="1"/>
  </sheetPr>
  <dimension ref="A1:P30"/>
  <sheetViews>
    <sheetView showGridLines="0" showRowColHeaders="0" showZeros="0" topLeftCell="A2" workbookViewId="0">
      <selection activeCell="K21" sqref="K21"/>
    </sheetView>
  </sheetViews>
  <sheetFormatPr baseColWidth="10" defaultColWidth="8.83203125" defaultRowHeight="13"/>
  <cols>
    <col min="1" max="1" width="5.6640625" customWidth="1"/>
    <col min="2" max="2" width="7.6640625" customWidth="1"/>
    <col min="3" max="3" width="27.6640625" customWidth="1"/>
    <col min="4" max="14" width="7.33203125" customWidth="1"/>
    <col min="15" max="15" width="9.33203125" customWidth="1"/>
    <col min="16" max="16" width="4.6640625" style="7" customWidth="1"/>
  </cols>
  <sheetData>
    <row r="1" spans="1:16" ht="23">
      <c r="A1" s="346" t="s">
        <v>56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86"/>
      <c r="P1" s="86"/>
    </row>
    <row r="2" spans="1:16" ht="15" customHeight="1">
      <c r="B2" s="16" t="s">
        <v>46</v>
      </c>
      <c r="C2" s="82" t="str">
        <f>IF('P1'!C5&gt;0,'P1'!C5,"")</f>
        <v>NM 5-kamp og NC4 (U/J)</v>
      </c>
      <c r="D2" s="82"/>
      <c r="E2" s="8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6">
      <c r="A3" s="352" t="s">
        <v>0</v>
      </c>
      <c r="B3" s="352"/>
      <c r="C3" s="348" t="str">
        <f>IF('P1'!I5&gt;0,'P1'!I5,"")</f>
        <v>Larvik AK</v>
      </c>
      <c r="D3" s="348"/>
      <c r="E3" s="18" t="s">
        <v>1</v>
      </c>
      <c r="F3" s="350" t="str">
        <f>IF('P1'!P5&gt;0,'P1'!P5,"")</f>
        <v>Stavernhallen</v>
      </c>
      <c r="G3" s="350"/>
      <c r="H3" s="350"/>
      <c r="I3" s="350"/>
      <c r="J3" s="158" t="s">
        <v>2</v>
      </c>
      <c r="K3" s="351">
        <f>IF('P1'!V5&gt;0,'P1'!V5,"")</f>
        <v>44450</v>
      </c>
      <c r="L3" s="351"/>
      <c r="M3" s="19" t="s">
        <v>20</v>
      </c>
      <c r="N3" s="64">
        <v>3</v>
      </c>
      <c r="O3" s="63"/>
      <c r="P3" s="20"/>
    </row>
    <row r="4" spans="1:16" ht="15" thickBot="1">
      <c r="B4" s="342" t="s">
        <v>73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19"/>
      <c r="P4" s="20"/>
    </row>
    <row r="5" spans="1:16" s="21" customFormat="1" ht="14">
      <c r="B5" s="22" t="s">
        <v>23</v>
      </c>
      <c r="C5" s="23" t="s">
        <v>6</v>
      </c>
      <c r="D5" s="343" t="s">
        <v>26</v>
      </c>
      <c r="E5" s="343"/>
      <c r="F5" s="343"/>
      <c r="G5" s="343"/>
      <c r="H5" s="344" t="s">
        <v>27</v>
      </c>
      <c r="I5" s="344"/>
      <c r="J5" s="344"/>
      <c r="K5" s="344"/>
      <c r="L5" s="345" t="s">
        <v>47</v>
      </c>
      <c r="M5" s="345"/>
      <c r="N5" s="345"/>
      <c r="O5" s="24"/>
      <c r="P5" s="25"/>
    </row>
    <row r="6" spans="1:16" ht="14" thickBot="1">
      <c r="B6" s="210" t="s">
        <v>29</v>
      </c>
      <c r="C6" s="26" t="s">
        <v>33</v>
      </c>
      <c r="D6" s="27">
        <v>1</v>
      </c>
      <c r="E6" s="27">
        <v>2</v>
      </c>
      <c r="F6" s="28">
        <v>3</v>
      </c>
      <c r="G6" s="29" t="s">
        <v>48</v>
      </c>
      <c r="H6" s="30">
        <v>1</v>
      </c>
      <c r="I6" s="27">
        <v>2</v>
      </c>
      <c r="J6" s="28">
        <v>3</v>
      </c>
      <c r="K6" s="29" t="s">
        <v>48</v>
      </c>
      <c r="L6" s="30">
        <v>1</v>
      </c>
      <c r="M6" s="28">
        <v>2</v>
      </c>
      <c r="N6" s="31" t="s">
        <v>48</v>
      </c>
      <c r="O6" s="32"/>
      <c r="P6" s="33"/>
    </row>
    <row r="7" spans="1:16" ht="16.5" customHeight="1">
      <c r="B7" s="217" t="str">
        <f>IF('P3'!D9="","",'P3'!D9)</f>
        <v>17-18</v>
      </c>
      <c r="C7" s="212" t="str">
        <f>IF('P3'!G9="","",'P3'!G9)</f>
        <v>Ronja Lenvik</v>
      </c>
      <c r="D7" s="51">
        <v>7.06</v>
      </c>
      <c r="E7" s="51">
        <v>7.2</v>
      </c>
      <c r="F7" s="52">
        <v>7.23</v>
      </c>
      <c r="G7" s="34">
        <f>IF(MAX(D7,E7,F7)&gt;0,MAX(D7,E7,F7),"")</f>
        <v>7.23</v>
      </c>
      <c r="H7" s="55">
        <v>9.84</v>
      </c>
      <c r="I7" s="51">
        <v>10.35</v>
      </c>
      <c r="J7" s="51">
        <v>9.64</v>
      </c>
      <c r="K7" s="34">
        <f>IF(MAX(H7,I7,J7)&gt;0,MAX(H7,I7,J7),"")</f>
        <v>10.35</v>
      </c>
      <c r="L7" s="57">
        <v>7.32</v>
      </c>
      <c r="M7" s="52">
        <v>6.89</v>
      </c>
      <c r="N7" s="34">
        <f>IF(MIN(L7,M7)&gt;0,MIN(L7,M7),"")</f>
        <v>6.89</v>
      </c>
      <c r="O7" s="35"/>
      <c r="P7" s="36"/>
    </row>
    <row r="8" spans="1:16" ht="16.5" customHeight="1">
      <c r="B8" s="37"/>
      <c r="C8" s="213" t="str">
        <f>IF('P3'!H9="","",'P3'!H9)</f>
        <v>Hitra VK</v>
      </c>
      <c r="D8" s="44"/>
      <c r="E8" s="44"/>
      <c r="F8" s="45"/>
      <c r="G8" s="38"/>
      <c r="H8" s="47"/>
      <c r="I8" s="44"/>
      <c r="J8" s="45"/>
      <c r="K8" s="39"/>
      <c r="L8" s="47"/>
      <c r="M8" s="45"/>
      <c r="N8" s="40"/>
      <c r="O8" s="41" t="str">
        <f>IF(SUM(L8:N8)&gt;0,SUM(L8:N8),"")</f>
        <v/>
      </c>
      <c r="P8" s="14"/>
    </row>
    <row r="9" spans="1:16" ht="16.5" customHeight="1">
      <c r="B9" s="215" t="str">
        <f>IF('P3'!D11="","",'P3'!D11)</f>
        <v>17-18</v>
      </c>
      <c r="C9" s="214" t="str">
        <f>IF('P3'!G11="","",'P3'!G11)</f>
        <v>Siv-Helene Haaland</v>
      </c>
      <c r="D9" s="53">
        <v>5.75</v>
      </c>
      <c r="E9" s="53">
        <v>6.09</v>
      </c>
      <c r="F9" s="54">
        <v>6.01</v>
      </c>
      <c r="G9" s="42">
        <f>IF(MAX(D9,E9,F9)&gt;0,MAX(D9,E9,F9),"")</f>
        <v>6.09</v>
      </c>
      <c r="H9" s="56">
        <v>4.9800000000000004</v>
      </c>
      <c r="I9" s="53">
        <v>5.71</v>
      </c>
      <c r="J9" s="53">
        <v>6.57</v>
      </c>
      <c r="K9" s="43">
        <f>IF(MAX(H9,I9,J9)&gt;0,MAX(H9,I9,J9),"")</f>
        <v>6.57</v>
      </c>
      <c r="L9" s="58">
        <v>7.89</v>
      </c>
      <c r="M9" s="54">
        <v>7.91</v>
      </c>
      <c r="N9" s="43">
        <f>IF(MIN(L9,M9)&gt;0,MIN(L9,M9),"")</f>
        <v>7.89</v>
      </c>
      <c r="O9" s="35"/>
      <c r="P9" s="36"/>
    </row>
    <row r="10" spans="1:16" ht="16.5" customHeight="1">
      <c r="B10" s="37"/>
      <c r="C10" s="213" t="str">
        <f>IF('P3'!H11="","",'P3'!H11)</f>
        <v>Tysvær VK</v>
      </c>
      <c r="D10" s="44"/>
      <c r="E10" s="44"/>
      <c r="F10" s="45"/>
      <c r="G10" s="38"/>
      <c r="H10" s="47"/>
      <c r="I10" s="44"/>
      <c r="J10" s="45"/>
      <c r="K10" s="39"/>
      <c r="L10" s="47"/>
      <c r="M10" s="45"/>
      <c r="N10" s="40"/>
      <c r="O10" s="41" t="str">
        <f>IF(SUM(L10:N10)&gt;0,SUM(L10:N10),"")</f>
        <v/>
      </c>
      <c r="P10" s="14"/>
    </row>
    <row r="11" spans="1:16" ht="16.5" customHeight="1">
      <c r="B11" s="215" t="str">
        <f>IF('P3'!D13="","",'P3'!D13)</f>
        <v>17-18</v>
      </c>
      <c r="C11" s="214" t="str">
        <f>IF('P3'!G13="","",'P3'!G13)</f>
        <v>Åse Johanne Berge</v>
      </c>
      <c r="D11" s="53">
        <v>6.78</v>
      </c>
      <c r="E11" s="53">
        <v>6.91</v>
      </c>
      <c r="F11" s="54">
        <v>6.91</v>
      </c>
      <c r="G11" s="42">
        <f>IF(MAX(D11,E11,F11)&gt;0,MAX(D11,E11,F11),"")</f>
        <v>6.91</v>
      </c>
      <c r="H11" s="56">
        <v>9.7200000000000006</v>
      </c>
      <c r="I11" s="53">
        <v>10.14</v>
      </c>
      <c r="J11" s="53">
        <v>10.26</v>
      </c>
      <c r="K11" s="43">
        <f>IF(MAX(H11,I11,J11)&gt;0,MAX(H11,I11,J11),"")</f>
        <v>10.26</v>
      </c>
      <c r="L11" s="58">
        <v>6.97</v>
      </c>
      <c r="M11" s="54">
        <v>6.92</v>
      </c>
      <c r="N11" s="43">
        <f>IF(MIN(L11,M11)&gt;0,MIN(L11,M11),"")</f>
        <v>6.92</v>
      </c>
      <c r="O11" s="35"/>
      <c r="P11" s="36"/>
    </row>
    <row r="12" spans="1:16" ht="16.5" customHeight="1">
      <c r="B12" s="37"/>
      <c r="C12" s="213" t="str">
        <f>IF('P3'!H13="","",'P3'!H13)</f>
        <v>Hitra VK</v>
      </c>
      <c r="D12" s="44"/>
      <c r="E12" s="44"/>
      <c r="F12" s="45"/>
      <c r="G12" s="38"/>
      <c r="H12" s="47"/>
      <c r="I12" s="44"/>
      <c r="J12" s="45"/>
      <c r="K12" s="39"/>
      <c r="L12" s="47"/>
      <c r="M12" s="45"/>
      <c r="N12" s="40"/>
      <c r="O12" s="41" t="str">
        <f>IF(SUM(L12:N12)&gt;0,SUM(L12:N12),"")</f>
        <v/>
      </c>
      <c r="P12" s="14"/>
    </row>
    <row r="13" spans="1:16" ht="16.5" customHeight="1">
      <c r="B13" s="215" t="str">
        <f>IF('P3'!D15="","",'P3'!D15)</f>
        <v>17-18</v>
      </c>
      <c r="C13" s="214" t="str">
        <f>IF('P3'!G15="","",'P3'!G15)</f>
        <v>Marte Walseth</v>
      </c>
      <c r="D13" s="53">
        <v>6.42</v>
      </c>
      <c r="E13" s="53">
        <v>6.53</v>
      </c>
      <c r="F13" s="54">
        <v>6.23</v>
      </c>
      <c r="G13" s="42">
        <f>IF(MAX(D13,E13,F13)&gt;0,MAX(D13,E13,F13),"")</f>
        <v>6.53</v>
      </c>
      <c r="H13" s="56">
        <v>7.61</v>
      </c>
      <c r="I13" s="53">
        <v>8.02</v>
      </c>
      <c r="J13" s="53">
        <v>8.2799999999999994</v>
      </c>
      <c r="K13" s="43">
        <f>IF(MAX(H13,I13,J13)&gt;0,MAX(H13,I13,J13),"")</f>
        <v>8.2799999999999994</v>
      </c>
      <c r="L13" s="58">
        <v>7.59</v>
      </c>
      <c r="M13" s="54">
        <v>7.67</v>
      </c>
      <c r="N13" s="43">
        <f>IF(MIN(L13,M13)&gt;0,MIN(L13,M13),"")</f>
        <v>7.59</v>
      </c>
      <c r="O13" s="35"/>
      <c r="P13" s="36"/>
    </row>
    <row r="14" spans="1:16" ht="16.5" customHeight="1">
      <c r="B14" s="37"/>
      <c r="C14" s="213" t="str">
        <f>IF('P3'!H15="","",'P3'!H15)</f>
        <v>Nidelv IL</v>
      </c>
      <c r="D14" s="44"/>
      <c r="E14" s="44"/>
      <c r="F14" s="45"/>
      <c r="G14" s="38"/>
      <c r="H14" s="47"/>
      <c r="I14" s="44"/>
      <c r="J14" s="45"/>
      <c r="K14" s="39"/>
      <c r="L14" s="47"/>
      <c r="M14" s="45"/>
      <c r="N14" s="40"/>
      <c r="O14" s="41" t="str">
        <f>IF(SUM(L14:N14)&gt;0,SUM(L14:N14),"")</f>
        <v/>
      </c>
      <c r="P14" s="14"/>
    </row>
    <row r="15" spans="1:16" ht="16.5" customHeight="1">
      <c r="B15" s="215" t="str">
        <f>IF('P3'!D17="","",'P3'!D17)</f>
        <v>17-18</v>
      </c>
      <c r="C15" s="214" t="str">
        <f>IF('P3'!G17="","",'P3'!G17)</f>
        <v>Tuva Loodtz</v>
      </c>
      <c r="D15" s="53">
        <v>6.8</v>
      </c>
      <c r="E15" s="53">
        <v>7.14</v>
      </c>
      <c r="F15" s="54">
        <v>7.13</v>
      </c>
      <c r="G15" s="42">
        <f>IF(MAX(D15,E15,F15)&gt;0,MAX(D15,E15,F15),"")</f>
        <v>7.14</v>
      </c>
      <c r="H15" s="56">
        <v>10.29</v>
      </c>
      <c r="I15" s="53">
        <v>10.29</v>
      </c>
      <c r="J15" s="53">
        <v>11.23</v>
      </c>
      <c r="K15" s="43">
        <f>IF(MAX(H15,I15,J15)&gt;0,MAX(H15,I15,J15),"")</f>
        <v>11.23</v>
      </c>
      <c r="L15" s="58">
        <v>7.02</v>
      </c>
      <c r="M15" s="54">
        <v>7.01</v>
      </c>
      <c r="N15" s="43">
        <f>IF(MIN(L15,M15)&gt;0,MIN(L15,M15),"")</f>
        <v>7.01</v>
      </c>
      <c r="O15" s="35"/>
      <c r="P15" s="36"/>
    </row>
    <row r="16" spans="1:16" ht="16.5" customHeight="1">
      <c r="B16" s="37"/>
      <c r="C16" s="213" t="str">
        <f>IF('P3'!H17="","",'P3'!H17)</f>
        <v>AK Bjørgvin</v>
      </c>
      <c r="D16" s="44"/>
      <c r="E16" s="44"/>
      <c r="F16" s="45"/>
      <c r="G16" s="38"/>
      <c r="H16" s="47"/>
      <c r="I16" s="44"/>
      <c r="J16" s="45"/>
      <c r="K16" s="39"/>
      <c r="L16" s="47"/>
      <c r="M16" s="45"/>
      <c r="N16" s="40"/>
      <c r="O16" s="41" t="str">
        <f>IF(SUM(L16:N16)&gt;0,SUM(L16:N16),"")</f>
        <v/>
      </c>
      <c r="P16" s="14"/>
    </row>
    <row r="17" spans="1:16" ht="16.5" customHeight="1">
      <c r="B17" s="215" t="str">
        <f>IF('P3'!D19="","",'P3'!D19)</f>
        <v>+35</v>
      </c>
      <c r="C17" s="214" t="str">
        <f>IF('P3'!G19="","",'P3'!G19)</f>
        <v>Tinna Marína Jónsdóttir⁠</v>
      </c>
      <c r="D17" s="53">
        <v>6.89</v>
      </c>
      <c r="E17" s="53">
        <v>6.98</v>
      </c>
      <c r="F17" s="54">
        <v>6.98</v>
      </c>
      <c r="G17" s="42">
        <f>IF(MAX(D17,E17,F17)&gt;0,MAX(D17,E17,F17),"")</f>
        <v>6.98</v>
      </c>
      <c r="H17" s="56">
        <v>9.1199999999999992</v>
      </c>
      <c r="I17" s="53">
        <v>7.38</v>
      </c>
      <c r="J17" s="53">
        <v>9.6300000000000008</v>
      </c>
      <c r="K17" s="43">
        <f>IF(MAX(H17,I17,J17)&gt;0,MAX(H17,I17,J17),"")</f>
        <v>9.6300000000000008</v>
      </c>
      <c r="L17" s="58">
        <v>7.29</v>
      </c>
      <c r="M17" s="54">
        <v>7.22</v>
      </c>
      <c r="N17" s="43">
        <f>IF(MIN(L17,M17)&gt;0,MIN(L17,M17),"")</f>
        <v>7.22</v>
      </c>
      <c r="O17" s="35"/>
      <c r="P17" s="36"/>
    </row>
    <row r="18" spans="1:16" ht="16.5" customHeight="1">
      <c r="B18" s="37"/>
      <c r="C18" s="213" t="str">
        <f>IF('P3'!H19="","",'P3'!H19)</f>
        <v>Tysvær VK</v>
      </c>
      <c r="D18" s="44"/>
      <c r="E18" s="44"/>
      <c r="F18" s="45"/>
      <c r="G18" s="38"/>
      <c r="H18" s="47"/>
      <c r="I18" s="44"/>
      <c r="J18" s="45"/>
      <c r="K18" s="39"/>
      <c r="L18" s="47"/>
      <c r="M18" s="45"/>
      <c r="N18" s="40"/>
      <c r="O18" s="41" t="str">
        <f>IF(SUM(L18:N18)&gt;0,SUM(L18:N18),"")</f>
        <v/>
      </c>
      <c r="P18" s="14"/>
    </row>
    <row r="19" spans="1:16" ht="16.5" customHeight="1">
      <c r="B19" s="215" t="str">
        <f>IF('P3'!D21="","",'P3'!D21)</f>
        <v>+35</v>
      </c>
      <c r="C19" s="214" t="str">
        <f>IF('P3'!G21="","",'P3'!G21)</f>
        <v>Ingeborg Endresen</v>
      </c>
      <c r="D19" s="53">
        <v>6.18</v>
      </c>
      <c r="E19" s="53">
        <v>6.3</v>
      </c>
      <c r="F19" s="54">
        <v>6.21</v>
      </c>
      <c r="G19" s="42">
        <f>IF(MAX(D19,E19,F19)&gt;0,MAX(D19,E19,F19),"")</f>
        <v>6.3</v>
      </c>
      <c r="H19" s="56">
        <v>7.83</v>
      </c>
      <c r="I19" s="53">
        <v>8.4499999999999993</v>
      </c>
      <c r="J19" s="53">
        <v>7.51</v>
      </c>
      <c r="K19" s="43">
        <f>IF(MAX(H19,I19,J19)&gt;0,MAX(H19,I19,J19),"")</f>
        <v>8.4499999999999993</v>
      </c>
      <c r="L19" s="58">
        <v>7.71</v>
      </c>
      <c r="M19" s="54">
        <v>7.74</v>
      </c>
      <c r="N19" s="43">
        <f>IF(MIN(L19,M19)&gt;0,MIN(L19,M19),"")</f>
        <v>7.71</v>
      </c>
      <c r="O19" s="35"/>
      <c r="P19" s="36"/>
    </row>
    <row r="20" spans="1:16" ht="16.5" customHeight="1">
      <c r="B20" s="37"/>
      <c r="C20" s="213" t="str">
        <f>IF('P3'!H21="","",'P3'!H21)</f>
        <v>AK Bjørgvin</v>
      </c>
      <c r="D20" s="44"/>
      <c r="E20" s="44"/>
      <c r="F20" s="45"/>
      <c r="G20" s="38"/>
      <c r="H20" s="47"/>
      <c r="I20" s="44"/>
      <c r="J20" s="45"/>
      <c r="K20" s="39"/>
      <c r="L20" s="47"/>
      <c r="M20" s="45"/>
      <c r="N20" s="40"/>
      <c r="O20" s="41" t="str">
        <f>IF(SUM(L20:N20)&gt;0,SUM(L20:N20),"")</f>
        <v/>
      </c>
      <c r="P20" s="14"/>
    </row>
    <row r="21" spans="1:16" ht="16.5" customHeight="1">
      <c r="B21" s="215" t="str">
        <f>IF('P3'!D23="","",'P3'!D23)</f>
        <v>+35</v>
      </c>
      <c r="C21" s="214" t="str">
        <f>IF('P3'!G23="","",'P3'!G23)</f>
        <v>Monika Zakrzewska</v>
      </c>
      <c r="D21" s="53">
        <v>5.19</v>
      </c>
      <c r="E21" s="283" t="s">
        <v>207</v>
      </c>
      <c r="F21" s="54">
        <v>5.36</v>
      </c>
      <c r="G21" s="42">
        <f>IF(MAX(D21,E21,F21)&gt;0,MAX(D21,E21,F21),"")</f>
        <v>5.36</v>
      </c>
      <c r="H21" s="56">
        <v>8.81</v>
      </c>
      <c r="I21" s="53">
        <v>8.24</v>
      </c>
      <c r="J21" s="53">
        <v>8.2799999999999994</v>
      </c>
      <c r="K21" s="43">
        <f>IF(MAX(H21,I21,J21)&gt;0,MAX(H21,I21,J21),"")</f>
        <v>8.81</v>
      </c>
      <c r="L21" s="58">
        <v>11</v>
      </c>
      <c r="M21" s="54">
        <v>10.220000000000001</v>
      </c>
      <c r="N21" s="43">
        <f>IF(MIN(L21,M21)&gt;0,MIN(L21,M21),"")</f>
        <v>10.220000000000001</v>
      </c>
      <c r="O21" s="35"/>
      <c r="P21" s="36"/>
    </row>
    <row r="22" spans="1:16" ht="16.5" customHeight="1">
      <c r="B22" s="37"/>
      <c r="C22" s="213" t="str">
        <f>IF('P3'!H23="","",'P3'!H23)</f>
        <v>Tysvær VK</v>
      </c>
      <c r="D22" s="44"/>
      <c r="E22" s="44"/>
      <c r="F22" s="45"/>
      <c r="G22" s="46"/>
      <c r="H22" s="47"/>
      <c r="I22" s="44"/>
      <c r="J22" s="45"/>
      <c r="K22" s="48"/>
      <c r="L22" s="47"/>
      <c r="M22" s="45"/>
      <c r="N22" s="40"/>
      <c r="O22" s="41" t="str">
        <f>IF(SUM(L22:N22)&gt;0,SUM(L22:N22),"")</f>
        <v/>
      </c>
      <c r="P22" s="14"/>
    </row>
    <row r="23" spans="1:16" ht="16.5" customHeight="1">
      <c r="B23" s="215" t="str">
        <f>IF('P3'!D25="","",'P3'!D25)</f>
        <v/>
      </c>
      <c r="C23" s="214" t="str">
        <f>IF('P3'!G25="","",'P3'!G25)</f>
        <v/>
      </c>
      <c r="D23" s="53"/>
      <c r="E23" s="53"/>
      <c r="F23" s="54"/>
      <c r="G23" s="42" t="str">
        <f>IF(MAX(D23,E23,F23)&gt;0,MAX(D23,E23,F23),"")</f>
        <v/>
      </c>
      <c r="H23" s="56"/>
      <c r="I23" s="53"/>
      <c r="J23" s="53"/>
      <c r="K23" s="43" t="str">
        <f>IF(MAX(H23,I23,J23)&gt;0,MAX(H23,I23,J23),"")</f>
        <v/>
      </c>
      <c r="L23" s="58"/>
      <c r="M23" s="54"/>
      <c r="N23" s="43" t="str">
        <f>IF(MIN(L23,M23)&gt;0,MIN(L23,M23),"")</f>
        <v/>
      </c>
      <c r="O23" s="35"/>
      <c r="P23" s="36"/>
    </row>
    <row r="24" spans="1:16" ht="16.5" customHeight="1">
      <c r="B24" s="37"/>
      <c r="C24" s="213" t="str">
        <f>IF('P3'!H25="","",'P3'!GH25)</f>
        <v/>
      </c>
      <c r="D24" s="44"/>
      <c r="E24" s="44"/>
      <c r="F24" s="45"/>
      <c r="G24" s="38"/>
      <c r="H24" s="47"/>
      <c r="I24" s="44"/>
      <c r="J24" s="45"/>
      <c r="K24" s="39"/>
      <c r="L24" s="47"/>
      <c r="M24" s="45"/>
      <c r="N24" s="40"/>
      <c r="O24" s="41" t="str">
        <f>IF(SUM(L24:N24)&gt;0,SUM(L24:N24),"")</f>
        <v/>
      </c>
      <c r="P24" s="14"/>
    </row>
    <row r="25" spans="1:16" ht="16.5" customHeight="1">
      <c r="B25" s="215" t="str">
        <f>IF('P3'!D27="","",'P3'!D27)</f>
        <v/>
      </c>
      <c r="C25" s="214" t="str">
        <f>IF('P3'!G27="","",'P3'!G27)</f>
        <v/>
      </c>
      <c r="D25" s="53"/>
      <c r="E25" s="53"/>
      <c r="F25" s="54"/>
      <c r="G25" s="42" t="str">
        <f>IF(MAX(D25,E25,F25)&gt;0,MAX(D25,E25,F25),"")</f>
        <v/>
      </c>
      <c r="H25" s="56"/>
      <c r="I25" s="53"/>
      <c r="J25" s="53"/>
      <c r="K25" s="43" t="str">
        <f>IF(MAX(H25,I25,J25)&gt;0,MAX(H25,I25,J25),"")</f>
        <v/>
      </c>
      <c r="L25" s="58"/>
      <c r="M25" s="54"/>
      <c r="N25" s="43" t="str">
        <f>IF(MIN(L25,M25)&gt;0,MIN(L25,M25),"")</f>
        <v/>
      </c>
      <c r="O25" s="35"/>
      <c r="P25" s="36"/>
    </row>
    <row r="26" spans="1:16" ht="16.5" customHeight="1">
      <c r="B26" s="37"/>
      <c r="C26" s="213" t="str">
        <f>IF('P3'!H27="","",'P3'!GH27)</f>
        <v/>
      </c>
      <c r="D26" s="44"/>
      <c r="E26" s="44"/>
      <c r="F26" s="45"/>
      <c r="G26" s="38"/>
      <c r="H26" s="47"/>
      <c r="I26" s="44"/>
      <c r="J26" s="45"/>
      <c r="K26" s="39"/>
      <c r="L26" s="47"/>
      <c r="M26" s="45"/>
      <c r="N26" s="40"/>
      <c r="O26" s="41" t="str">
        <f>IF(SUM(L26:N26)&gt;0,SUM(L26:N26),"")</f>
        <v/>
      </c>
      <c r="P26" s="14"/>
    </row>
    <row r="27" spans="1:16" ht="16.5" customHeight="1">
      <c r="B27" s="215" t="str">
        <f>IF('P3'!D29="","",'P3'!D29)</f>
        <v/>
      </c>
      <c r="C27" s="214" t="str">
        <f>IF('P3'!G29="","",'P3'!G29)</f>
        <v/>
      </c>
      <c r="D27" s="53"/>
      <c r="E27" s="53"/>
      <c r="F27" s="54"/>
      <c r="G27" s="42" t="str">
        <f>IF(MAX(D27,E27,F27)&gt;0,MAX(D27,E27,F27),"")</f>
        <v/>
      </c>
      <c r="H27" s="56"/>
      <c r="I27" s="53"/>
      <c r="J27" s="53"/>
      <c r="K27" s="43" t="str">
        <f>IF(MAX(H27,I27,J27)&gt;0,MAX(H27,I27,J27),"")</f>
        <v/>
      </c>
      <c r="L27" s="58"/>
      <c r="M27" s="54"/>
      <c r="N27" s="43" t="str">
        <f>IF(MIN(L27,M27)&gt;0,MIN(L27,M27),"")</f>
        <v/>
      </c>
      <c r="O27" s="35"/>
      <c r="P27" s="36"/>
    </row>
    <row r="28" spans="1:16" ht="16.5" customHeight="1">
      <c r="B28" s="37"/>
      <c r="C28" s="213" t="str">
        <f>IF('P3'!H29="","",'P3'!GH29)</f>
        <v/>
      </c>
      <c r="D28" s="44"/>
      <c r="E28" s="44"/>
      <c r="F28" s="45"/>
      <c r="G28" s="38"/>
      <c r="H28" s="47"/>
      <c r="I28" s="44"/>
      <c r="J28" s="45"/>
      <c r="K28" s="39"/>
      <c r="L28" s="59"/>
      <c r="M28" s="45"/>
      <c r="N28" s="40"/>
      <c r="O28" s="41" t="str">
        <f>IF(SUM(L28:N28)&gt;0,SUM(L28:N28),"")</f>
        <v/>
      </c>
      <c r="P28" s="14"/>
    </row>
    <row r="29" spans="1:16" ht="16.5" customHeight="1">
      <c r="B29" s="215" t="str">
        <f>IF('P3'!D31="","",'P3'!D31)</f>
        <v/>
      </c>
      <c r="C29" s="214" t="str">
        <f>IF('P3'!G31="","",'P3'!G31)</f>
        <v/>
      </c>
      <c r="D29" s="53"/>
      <c r="E29" s="53"/>
      <c r="F29" s="54"/>
      <c r="G29" s="42" t="str">
        <f>IF(MAX(D29,E29,F29)&gt;0,MAX(D29,E29,F29),"")</f>
        <v/>
      </c>
      <c r="H29" s="56"/>
      <c r="I29" s="53"/>
      <c r="J29" s="53"/>
      <c r="K29" s="43" t="str">
        <f>IF(MAX(H29,I29,J29)&gt;0,MAX(H29,I29,J29),"")</f>
        <v/>
      </c>
      <c r="L29" s="60"/>
      <c r="M29" s="54"/>
      <c r="N29" s="43" t="str">
        <f>IF(MIN(L29,M29)&gt;0,MIN(L29,M29),"")</f>
        <v/>
      </c>
      <c r="O29" s="35"/>
      <c r="P29" s="36"/>
    </row>
    <row r="30" spans="1:16" ht="16.5" customHeight="1">
      <c r="A30" s="61"/>
      <c r="B30" s="62"/>
      <c r="C30" s="213">
        <f>IF('P3'!H31="","",'P3'!GH31)</f>
        <v>0</v>
      </c>
      <c r="D30" s="44"/>
      <c r="E30" s="44"/>
      <c r="F30" s="45"/>
      <c r="G30" s="49"/>
      <c r="H30" s="47"/>
      <c r="I30" s="44"/>
      <c r="J30" s="45"/>
      <c r="K30" s="46"/>
      <c r="L30" s="47"/>
      <c r="M30" s="45"/>
      <c r="N30" s="50"/>
      <c r="O30" s="41" t="str">
        <f>IF(SUM(L30:N30)&gt;0,SUM(L30:N30),"")</f>
        <v/>
      </c>
      <c r="P30" s="14"/>
    </row>
  </sheetData>
  <mergeCells count="9">
    <mergeCell ref="D5:G5"/>
    <mergeCell ref="H5:K5"/>
    <mergeCell ref="L5:N5"/>
    <mergeCell ref="A1:N1"/>
    <mergeCell ref="A3:B3"/>
    <mergeCell ref="C3:D3"/>
    <mergeCell ref="F3:I3"/>
    <mergeCell ref="K3:L3"/>
    <mergeCell ref="B4:N4"/>
  </mergeCells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 copies="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P30"/>
  <sheetViews>
    <sheetView showGridLines="0" showRowColHeaders="0" showZeros="0" topLeftCell="A2" workbookViewId="0">
      <selection activeCell="K25" sqref="K25"/>
    </sheetView>
  </sheetViews>
  <sheetFormatPr baseColWidth="10" defaultColWidth="8.83203125" defaultRowHeight="13"/>
  <cols>
    <col min="1" max="1" width="5.6640625" customWidth="1"/>
    <col min="2" max="2" width="7.6640625" customWidth="1"/>
    <col min="3" max="3" width="27.6640625" customWidth="1"/>
    <col min="4" max="14" width="7.33203125" customWidth="1"/>
    <col min="15" max="15" width="9.33203125" customWidth="1"/>
    <col min="16" max="16" width="4.6640625" style="7" customWidth="1"/>
  </cols>
  <sheetData>
    <row r="1" spans="1:16" ht="23">
      <c r="A1" s="346" t="s">
        <v>56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15"/>
      <c r="P1" s="15"/>
    </row>
    <row r="2" spans="1:16" ht="15" customHeight="1">
      <c r="B2" s="16" t="s">
        <v>46</v>
      </c>
      <c r="C2" s="82" t="str">
        <f>IF('P1'!C5&gt;0,'P1'!C5,"")</f>
        <v>NM 5-kamp og NC4 (U/J)</v>
      </c>
      <c r="D2" s="82"/>
      <c r="E2" s="8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6">
      <c r="A3" s="352" t="s">
        <v>0</v>
      </c>
      <c r="B3" s="352"/>
      <c r="C3" s="348" t="str">
        <f>IF('P1'!I5&gt;0,'P1'!I5,"")</f>
        <v>Larvik AK</v>
      </c>
      <c r="D3" s="348"/>
      <c r="E3" s="18" t="s">
        <v>1</v>
      </c>
      <c r="F3" s="350" t="str">
        <f>IF('P1'!P5&gt;0,'P1'!P5,"")</f>
        <v>Stavernhallen</v>
      </c>
      <c r="G3" s="350"/>
      <c r="H3" s="350"/>
      <c r="I3" s="350"/>
      <c r="J3" s="158" t="s">
        <v>2</v>
      </c>
      <c r="K3" s="353">
        <f>IF('P1'!V5&gt;0,'P1'!V5,"")</f>
        <v>44450</v>
      </c>
      <c r="L3" s="353"/>
      <c r="M3" s="19" t="s">
        <v>20</v>
      </c>
      <c r="N3" s="66">
        <v>4</v>
      </c>
      <c r="O3" s="65"/>
      <c r="P3" s="20"/>
    </row>
    <row r="4" spans="1:16" ht="15" thickBot="1">
      <c r="B4" s="342" t="s">
        <v>73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19"/>
      <c r="P4" s="20"/>
    </row>
    <row r="5" spans="1:16" s="21" customFormat="1" ht="14">
      <c r="B5" s="22" t="s">
        <v>23</v>
      </c>
      <c r="C5" s="23" t="s">
        <v>6</v>
      </c>
      <c r="D5" s="343" t="s">
        <v>26</v>
      </c>
      <c r="E5" s="343"/>
      <c r="F5" s="343"/>
      <c r="G5" s="343"/>
      <c r="H5" s="344" t="s">
        <v>27</v>
      </c>
      <c r="I5" s="344"/>
      <c r="J5" s="344"/>
      <c r="K5" s="344"/>
      <c r="L5" s="345" t="s">
        <v>47</v>
      </c>
      <c r="M5" s="345"/>
      <c r="N5" s="345"/>
      <c r="O5" s="24"/>
      <c r="P5" s="25"/>
    </row>
    <row r="6" spans="1:16" ht="14" thickBot="1">
      <c r="B6" s="210" t="s">
        <v>29</v>
      </c>
      <c r="C6" s="26" t="s">
        <v>33</v>
      </c>
      <c r="D6" s="27">
        <v>1</v>
      </c>
      <c r="E6" s="27">
        <v>2</v>
      </c>
      <c r="F6" s="28">
        <v>3</v>
      </c>
      <c r="G6" s="29" t="s">
        <v>48</v>
      </c>
      <c r="H6" s="30">
        <v>1</v>
      </c>
      <c r="I6" s="27">
        <v>2</v>
      </c>
      <c r="J6" s="28">
        <v>3</v>
      </c>
      <c r="K6" s="29" t="s">
        <v>48</v>
      </c>
      <c r="L6" s="30">
        <v>1</v>
      </c>
      <c r="M6" s="28">
        <v>2</v>
      </c>
      <c r="N6" s="31" t="s">
        <v>48</v>
      </c>
      <c r="O6" s="32"/>
      <c r="P6" s="33"/>
    </row>
    <row r="7" spans="1:16" ht="16.5" customHeight="1">
      <c r="B7" s="217" t="str">
        <f>IF('P4'!D9="","",'P4'!D9)</f>
        <v>15-16</v>
      </c>
      <c r="C7" s="212" t="str">
        <f>IF('P4'!G9="","",'P4'!G9)</f>
        <v>Sander Freyer</v>
      </c>
      <c r="D7" s="51">
        <v>8.17</v>
      </c>
      <c r="E7" s="51">
        <v>8.31</v>
      </c>
      <c r="F7" s="52">
        <v>7.96</v>
      </c>
      <c r="G7" s="34">
        <f>IF(MAX(D7,E7,F7)&gt;0,MAX(D7,E7,F7),"")</f>
        <v>8.31</v>
      </c>
      <c r="H7" s="55">
        <v>9.9700000000000006</v>
      </c>
      <c r="I7" s="51">
        <v>10.11</v>
      </c>
      <c r="J7" s="51">
        <v>8.1300000000000008</v>
      </c>
      <c r="K7" s="34">
        <f>IF(MAX(H7,I7,J7)&gt;0,MAX(H7,I7,J7),"")</f>
        <v>10.11</v>
      </c>
      <c r="L7" s="57">
        <v>6.34</v>
      </c>
      <c r="M7" s="52">
        <v>6.26</v>
      </c>
      <c r="N7" s="34">
        <f>IF(MIN(L7,M7)&gt;0,MIN(L7,M7),"")</f>
        <v>6.26</v>
      </c>
      <c r="O7" s="35"/>
      <c r="P7" s="36"/>
    </row>
    <row r="8" spans="1:16" ht="16.5" customHeight="1">
      <c r="B8" s="37"/>
      <c r="C8" s="234" t="str">
        <f>IF('P4'!H9="","",'P4'!H9)</f>
        <v>Larvik AK</v>
      </c>
      <c r="D8" s="44"/>
      <c r="E8" s="44"/>
      <c r="F8" s="45"/>
      <c r="G8" s="38"/>
      <c r="H8" s="47"/>
      <c r="I8" s="44"/>
      <c r="J8" s="45"/>
      <c r="K8" s="39"/>
      <c r="L8" s="47"/>
      <c r="M8" s="45"/>
      <c r="N8" s="40"/>
      <c r="O8" s="41" t="str">
        <f>IF(SUM(L8:N8)&gt;0,SUM(L8:N8),"")</f>
        <v/>
      </c>
      <c r="P8" s="14"/>
    </row>
    <row r="9" spans="1:16" ht="16.5" customHeight="1">
      <c r="B9" s="216" t="str">
        <f>IF('P4'!D11="","",'P4'!D11)</f>
        <v>15-16</v>
      </c>
      <c r="C9" s="235" t="str">
        <f>IF('P4'!G11="","",'P4'!G11)</f>
        <v>Nima Berntsen Lama</v>
      </c>
      <c r="D9" s="53">
        <v>7.74</v>
      </c>
      <c r="E9" s="53">
        <v>8.11</v>
      </c>
      <c r="F9" s="54">
        <v>7.84</v>
      </c>
      <c r="G9" s="42">
        <f>IF(MAX(D9,E9,F9)&gt;0,MAX(D9,E9,F9),"")</f>
        <v>8.11</v>
      </c>
      <c r="H9" s="56">
        <v>9.52</v>
      </c>
      <c r="I9" s="53">
        <v>9.49</v>
      </c>
      <c r="J9" s="53">
        <v>8.76</v>
      </c>
      <c r="K9" s="43">
        <f>IF(MAX(H9,I9,J9)&gt;0,MAX(H9,I9,J9),"")</f>
        <v>9.52</v>
      </c>
      <c r="L9" s="58">
        <v>6.66</v>
      </c>
      <c r="M9" s="54">
        <v>6.56</v>
      </c>
      <c r="N9" s="43">
        <f>IF(MIN(L9,M9)&gt;0,MIN(L9,M9),"")</f>
        <v>6.56</v>
      </c>
      <c r="O9" s="35"/>
      <c r="P9" s="36"/>
    </row>
    <row r="10" spans="1:16" ht="16.5" customHeight="1">
      <c r="B10" s="37"/>
      <c r="C10" s="213" t="str">
        <f>IF('P4'!H11="","",'P4'!H11)</f>
        <v>Tambarskjelvar IL</v>
      </c>
      <c r="D10" s="44"/>
      <c r="E10" s="44"/>
      <c r="F10" s="45"/>
      <c r="G10" s="38"/>
      <c r="H10" s="47"/>
      <c r="I10" s="44"/>
      <c r="J10" s="45"/>
      <c r="K10" s="39"/>
      <c r="L10" s="47"/>
      <c r="M10" s="45"/>
      <c r="N10" s="40"/>
      <c r="O10" s="41" t="str">
        <f>IF(SUM(L10:N10)&gt;0,SUM(L10:N10),"")</f>
        <v/>
      </c>
      <c r="P10" s="14"/>
    </row>
    <row r="11" spans="1:16" ht="16.5" customHeight="1">
      <c r="B11" s="216" t="str">
        <f>IF('P4'!D13="","",'P4'!D13)</f>
        <v>15-16</v>
      </c>
      <c r="C11" s="235" t="str">
        <f>IF('P4'!G13="","",'P4'!G13)</f>
        <v>Alvolai Røyseth</v>
      </c>
      <c r="D11" s="53">
        <v>8.34</v>
      </c>
      <c r="E11" s="53">
        <v>8.32</v>
      </c>
      <c r="F11" s="54">
        <v>8.36</v>
      </c>
      <c r="G11" s="42">
        <f>IF(MAX(D11,E11,F11)&gt;0,MAX(D11,E11,F11),"")</f>
        <v>8.36</v>
      </c>
      <c r="H11" s="56">
        <v>10.95</v>
      </c>
      <c r="I11" s="53">
        <v>11.18</v>
      </c>
      <c r="J11" s="53">
        <v>10.15</v>
      </c>
      <c r="K11" s="43">
        <f>IF(MAX(H11,I11,J11)&gt;0,MAX(H11,I11,J11),"")</f>
        <v>11.18</v>
      </c>
      <c r="L11" s="58">
        <v>6.58</v>
      </c>
      <c r="M11" s="54">
        <v>6.51</v>
      </c>
      <c r="N11" s="43">
        <f>IF(MIN(L11,M11)&gt;0,MIN(L11,M11),"")</f>
        <v>6.51</v>
      </c>
      <c r="O11" s="35"/>
      <c r="P11" s="36"/>
    </row>
    <row r="12" spans="1:16" ht="16.5" customHeight="1">
      <c r="B12" s="37"/>
      <c r="C12" s="213" t="str">
        <f>IF('P4'!H13="","",'P4'!H13)</f>
        <v>Tambarskjelvar IL</v>
      </c>
      <c r="D12" s="44"/>
      <c r="E12" s="44"/>
      <c r="F12" s="45"/>
      <c r="G12" s="38"/>
      <c r="H12" s="47"/>
      <c r="I12" s="44"/>
      <c r="J12" s="45"/>
      <c r="K12" s="39"/>
      <c r="L12" s="47"/>
      <c r="M12" s="45"/>
      <c r="N12" s="40"/>
      <c r="O12" s="41" t="str">
        <f>IF(SUM(L12:N12)&gt;0,SUM(L12:N12),"")</f>
        <v/>
      </c>
      <c r="P12" s="14"/>
    </row>
    <row r="13" spans="1:16" ht="16.5" customHeight="1">
      <c r="B13" s="216" t="str">
        <f>IF('P4'!D15="","",'P4'!D15)</f>
        <v>15-16</v>
      </c>
      <c r="C13" s="235" t="str">
        <f>IF('P4'!G15="","",'P4'!G15)</f>
        <v>Sander Heyn Stave</v>
      </c>
      <c r="D13" s="53">
        <v>8.01</v>
      </c>
      <c r="E13" s="53">
        <v>8.1199999999999992</v>
      </c>
      <c r="F13" s="54">
        <v>8.2200000000000006</v>
      </c>
      <c r="G13" s="42">
        <f>IF(MAX(D13,E13,F13)&gt;0,MAX(D13,E13,F13),"")</f>
        <v>8.2200000000000006</v>
      </c>
      <c r="H13" s="56">
        <v>12.6</v>
      </c>
      <c r="I13" s="53">
        <v>11.3</v>
      </c>
      <c r="J13" s="53">
        <v>12.22</v>
      </c>
      <c r="K13" s="43">
        <f>IF(MAX(H13,I13,J13)&gt;0,MAX(H13,I13,J13),"")</f>
        <v>12.6</v>
      </c>
      <c r="L13" s="58">
        <v>6.34</v>
      </c>
      <c r="M13" s="54">
        <v>6.32</v>
      </c>
      <c r="N13" s="43">
        <f>IF(MIN(L13,M13)&gt;0,MIN(L13,M13),"")</f>
        <v>6.32</v>
      </c>
      <c r="O13" s="35"/>
      <c r="P13" s="36"/>
    </row>
    <row r="14" spans="1:16" ht="16.5" customHeight="1">
      <c r="B14" s="37"/>
      <c r="C14" s="213" t="str">
        <f>IF('P4'!H15="","",'P4'!H15)</f>
        <v>Larvik AK</v>
      </c>
      <c r="D14" s="44"/>
      <c r="E14" s="44"/>
      <c r="F14" s="45"/>
      <c r="G14" s="38"/>
      <c r="H14" s="47"/>
      <c r="I14" s="44"/>
      <c r="J14" s="45"/>
      <c r="K14" s="39"/>
      <c r="L14" s="47"/>
      <c r="M14" s="45"/>
      <c r="N14" s="40"/>
      <c r="O14" s="41" t="str">
        <f>IF(SUM(L14:N14)&gt;0,SUM(L14:N14),"")</f>
        <v/>
      </c>
      <c r="P14" s="14"/>
    </row>
    <row r="15" spans="1:16" ht="16.5" customHeight="1">
      <c r="B15" s="216" t="str">
        <f>IF('P4'!D17="","",'P4'!D17)</f>
        <v>15-16</v>
      </c>
      <c r="C15" s="235" t="str">
        <f>IF('P4'!G17="","",'P4'!G17)</f>
        <v>Brede Tengsol Lesto</v>
      </c>
      <c r="D15" s="53">
        <v>7.39</v>
      </c>
      <c r="E15" s="53">
        <v>7.41</v>
      </c>
      <c r="F15" s="54">
        <v>7.39</v>
      </c>
      <c r="G15" s="42">
        <f>IF(MAX(D15,E15,F15)&gt;0,MAX(D15,E15,F15),"")</f>
        <v>7.41</v>
      </c>
      <c r="H15" s="56">
        <v>8.6999999999999993</v>
      </c>
      <c r="I15" s="53">
        <v>9.32</v>
      </c>
      <c r="J15" s="53">
        <v>9</v>
      </c>
      <c r="K15" s="43">
        <f>IF(MAX(H15,I15,J15)&gt;0,MAX(H15,I15,J15),"")</f>
        <v>9.32</v>
      </c>
      <c r="L15" s="58">
        <v>7.03</v>
      </c>
      <c r="M15" s="54">
        <v>7.06</v>
      </c>
      <c r="N15" s="43">
        <f>IF(MIN(L15,M15)&gt;0,MIN(L15,M15),"")</f>
        <v>7.03</v>
      </c>
      <c r="O15" s="35"/>
      <c r="P15" s="36"/>
    </row>
    <row r="16" spans="1:16" ht="16.5" customHeight="1">
      <c r="B16" s="37"/>
      <c r="C16" s="213" t="str">
        <f>IF('P4'!H17="","",'P4'!H17)</f>
        <v>Tambarskjelvar IL</v>
      </c>
      <c r="D16" s="44"/>
      <c r="E16" s="44"/>
      <c r="F16" s="45"/>
      <c r="G16" s="38"/>
      <c r="H16" s="47"/>
      <c r="I16" s="44"/>
      <c r="J16" s="45"/>
      <c r="K16" s="39"/>
      <c r="L16" s="47"/>
      <c r="M16" s="45"/>
      <c r="N16" s="40"/>
      <c r="O16" s="41" t="str">
        <f>IF(SUM(L16:N16)&gt;0,SUM(L16:N16),"")</f>
        <v/>
      </c>
      <c r="P16" s="14"/>
    </row>
    <row r="17" spans="2:16" ht="16.5" customHeight="1">
      <c r="B17" s="216" t="str">
        <f>IF('P4'!D19="","",'P4'!D19)</f>
        <v>15-16</v>
      </c>
      <c r="C17" s="235" t="str">
        <f>IF('P4'!G19="","",'P4'!G19)</f>
        <v>Magnus Børøsund</v>
      </c>
      <c r="D17" s="53">
        <v>8.09</v>
      </c>
      <c r="E17" s="53">
        <v>7.91</v>
      </c>
      <c r="F17" s="54">
        <v>8.18</v>
      </c>
      <c r="G17" s="42">
        <f>IF(MAX(D17,E17,F17)&gt;0,MAX(D17,E17,F17),"")</f>
        <v>8.18</v>
      </c>
      <c r="H17" s="56">
        <v>11.76</v>
      </c>
      <c r="I17" s="53">
        <v>13.13</v>
      </c>
      <c r="J17" s="53">
        <v>12.92</v>
      </c>
      <c r="K17" s="43">
        <f>IF(MAX(H17,I17,J17)&gt;0,MAX(H17,I17,J17),"")</f>
        <v>13.13</v>
      </c>
      <c r="L17" s="58">
        <v>6.75</v>
      </c>
      <c r="M17" s="54">
        <v>6.8</v>
      </c>
      <c r="N17" s="43">
        <f>IF(MIN(L17,M17)&gt;0,MIN(L17,M17),"")</f>
        <v>6.75</v>
      </c>
      <c r="O17" s="35"/>
      <c r="P17" s="36"/>
    </row>
    <row r="18" spans="2:16" ht="16.5" customHeight="1">
      <c r="B18" s="37"/>
      <c r="C18" s="213" t="str">
        <f>IF('P4'!H19="","",'P4'!H19)</f>
        <v>Nidelv IL</v>
      </c>
      <c r="D18" s="44"/>
      <c r="E18" s="44"/>
      <c r="F18" s="45"/>
      <c r="G18" s="38"/>
      <c r="H18" s="47"/>
      <c r="I18" s="44"/>
      <c r="J18" s="45"/>
      <c r="K18" s="39"/>
      <c r="L18" s="47"/>
      <c r="M18" s="45"/>
      <c r="N18" s="40"/>
      <c r="O18" s="41" t="str">
        <f>IF(SUM(L18:N18)&gt;0,SUM(L18:N18),"")</f>
        <v/>
      </c>
      <c r="P18" s="14"/>
    </row>
    <row r="19" spans="2:16" ht="16.5" customHeight="1">
      <c r="B19" s="216" t="str">
        <f>IF('P4'!D21="","",'P4'!D21)</f>
        <v>15-16</v>
      </c>
      <c r="C19" s="235" t="str">
        <f>IF('P4'!G21="","",'P4'!G21)</f>
        <v>Stefan Rønnevik</v>
      </c>
      <c r="D19" s="53">
        <v>8.4700000000000006</v>
      </c>
      <c r="E19" s="53">
        <v>8.48</v>
      </c>
      <c r="F19" s="54">
        <v>8.35</v>
      </c>
      <c r="G19" s="42">
        <f>IF(MAX(D19,E19,F19)&gt;0,MAX(D19,E19,F19),"")</f>
        <v>8.48</v>
      </c>
      <c r="H19" s="56">
        <v>8.9700000000000006</v>
      </c>
      <c r="I19" s="53">
        <v>9.39</v>
      </c>
      <c r="J19" s="53">
        <v>9.17</v>
      </c>
      <c r="K19" s="43">
        <f>IF(MAX(H19,I19,J19)&gt;0,MAX(H19,I19,J19),"")</f>
        <v>9.39</v>
      </c>
      <c r="L19" s="58">
        <v>6.26</v>
      </c>
      <c r="M19" s="54">
        <v>6.21</v>
      </c>
      <c r="N19" s="43">
        <f>IF(MIN(L19,M19)&gt;0,MIN(L19,M19),"")</f>
        <v>6.21</v>
      </c>
      <c r="O19" s="35"/>
      <c r="P19" s="36"/>
    </row>
    <row r="20" spans="2:16" ht="16.5" customHeight="1">
      <c r="B20" s="37"/>
      <c r="C20" s="213" t="str">
        <f>IF('P4'!H21="","",'P4'!H21)</f>
        <v>Tysvær VK</v>
      </c>
      <c r="D20" s="44"/>
      <c r="E20" s="44"/>
      <c r="F20" s="45"/>
      <c r="G20" s="38"/>
      <c r="H20" s="47"/>
      <c r="I20" s="44"/>
      <c r="J20" s="45"/>
      <c r="K20" s="39"/>
      <c r="L20" s="47"/>
      <c r="M20" s="45"/>
      <c r="N20" s="40"/>
      <c r="O20" s="41" t="str">
        <f>IF(SUM(L20:N20)&gt;0,SUM(L20:N20),"")</f>
        <v/>
      </c>
      <c r="P20" s="14"/>
    </row>
    <row r="21" spans="2:16" ht="16.5" customHeight="1">
      <c r="B21" s="216" t="str">
        <f>IF('P4'!D23="","",'P4'!D23)</f>
        <v>15-16</v>
      </c>
      <c r="C21" s="235" t="str">
        <f>IF('P4'!G23="","",'P4'!G23)</f>
        <v>Adrian Rosmæl Skauge</v>
      </c>
      <c r="D21" s="53">
        <v>7.69</v>
      </c>
      <c r="E21" s="53">
        <v>7.92</v>
      </c>
      <c r="F21" s="54">
        <v>7.98</v>
      </c>
      <c r="G21" s="42">
        <f>IF(MAX(D21,E21,F21)&gt;0,MAX(D21,E21,F21),"")</f>
        <v>7.98</v>
      </c>
      <c r="H21" s="56">
        <v>12.01</v>
      </c>
      <c r="I21" s="53">
        <v>10.42</v>
      </c>
      <c r="J21" s="53">
        <v>12.28</v>
      </c>
      <c r="K21" s="43">
        <f>IF(MAX(H21,I21,J21)&gt;0,MAX(H21,I21,J21),"")</f>
        <v>12.28</v>
      </c>
      <c r="L21" s="58">
        <v>7.05</v>
      </c>
      <c r="M21" s="54">
        <v>7.27</v>
      </c>
      <c r="N21" s="43">
        <f>IF(MIN(L21,M21)&gt;0,MIN(L21,M21),"")</f>
        <v>7.05</v>
      </c>
      <c r="O21" s="35"/>
      <c r="P21" s="36"/>
    </row>
    <row r="22" spans="2:16" ht="16.5" customHeight="1">
      <c r="B22" s="37"/>
      <c r="C22" s="213" t="str">
        <f>IF('P4'!H23="","",'P4'!H23)</f>
        <v>Nidelv IL</v>
      </c>
      <c r="D22" s="44"/>
      <c r="E22" s="44"/>
      <c r="F22" s="45"/>
      <c r="G22" s="46"/>
      <c r="H22" s="47"/>
      <c r="I22" s="44"/>
      <c r="J22" s="45"/>
      <c r="K22" s="48"/>
      <c r="L22" s="47"/>
      <c r="M22" s="45"/>
      <c r="N22" s="40"/>
      <c r="O22" s="41" t="str">
        <f>IF(SUM(L22:N22)&gt;0,SUM(L22:N22),"")</f>
        <v/>
      </c>
      <c r="P22" s="14"/>
    </row>
    <row r="23" spans="2:16" ht="16.5" customHeight="1">
      <c r="B23" s="216" t="str">
        <f>IF('P4'!D25="","",'P4'!D25)</f>
        <v>15-16</v>
      </c>
      <c r="C23" s="235" t="str">
        <f>IF('P4'!G25="","",'P4'!G25)</f>
        <v>William Christiansen</v>
      </c>
      <c r="D23" s="53">
        <v>5.95</v>
      </c>
      <c r="E23" s="53">
        <v>5.64</v>
      </c>
      <c r="F23" s="54">
        <v>6.18</v>
      </c>
      <c r="G23" s="42">
        <f>IF(MAX(D23,E23,F23)&gt;0,MAX(D23,E23,F23),"")</f>
        <v>6.18</v>
      </c>
      <c r="H23" s="56">
        <v>10.06</v>
      </c>
      <c r="I23" s="53">
        <v>10.84</v>
      </c>
      <c r="J23" s="53">
        <v>10.210000000000001</v>
      </c>
      <c r="K23" s="43">
        <f>IF(MAX(H23,I23,J23)&gt;0,MAX(H23,I23,J23),"")</f>
        <v>10.84</v>
      </c>
      <c r="L23" s="58">
        <v>7.67</v>
      </c>
      <c r="M23" s="54">
        <v>7.81</v>
      </c>
      <c r="N23" s="43">
        <f>IF(MIN(L23,M23)&gt;0,MIN(L23,M23),"")</f>
        <v>7.67</v>
      </c>
      <c r="O23" s="35"/>
      <c r="P23" s="36"/>
    </row>
    <row r="24" spans="2:16" ht="16.5" customHeight="1">
      <c r="B24" s="37"/>
      <c r="C24" s="213" t="str">
        <f>IF('P4'!H25="","",'P4'!H25)</f>
        <v>Larvik AK</v>
      </c>
      <c r="D24" s="44"/>
      <c r="E24" s="44"/>
      <c r="F24" s="45"/>
      <c r="G24" s="38"/>
      <c r="H24" s="47"/>
      <c r="I24" s="44"/>
      <c r="J24" s="45"/>
      <c r="K24" s="39"/>
      <c r="L24" s="47"/>
      <c r="M24" s="45"/>
      <c r="N24" s="40"/>
      <c r="O24" s="41" t="str">
        <f>IF(SUM(L24:N24)&gt;0,SUM(L24:N24),"")</f>
        <v/>
      </c>
      <c r="P24" s="14"/>
    </row>
    <row r="25" spans="2:16" ht="16.5" customHeight="1">
      <c r="B25" s="216" t="str">
        <f>IF('P4'!D27="","",'P4'!D27)</f>
        <v>15-16</v>
      </c>
      <c r="C25" s="235" t="str">
        <f>IF('P4'!G27="","",'P4'!G27)</f>
        <v>Anton B. Gustavson</v>
      </c>
      <c r="D25" s="53">
        <v>6.85</v>
      </c>
      <c r="E25" s="53">
        <v>6.77</v>
      </c>
      <c r="F25" s="54">
        <v>7.01</v>
      </c>
      <c r="G25" s="42">
        <f>IF(MAX(D25,E25,F25)&gt;0,MAX(D25,E25,F25),"")</f>
        <v>7.01</v>
      </c>
      <c r="H25" s="285" t="s">
        <v>207</v>
      </c>
      <c r="I25" s="53">
        <v>6.2</v>
      </c>
      <c r="J25" s="53">
        <v>7.45</v>
      </c>
      <c r="K25" s="43">
        <f>IF(MAX(H25,I25,J25)&gt;0,MAX(H25,I25,J25),"")</f>
        <v>7.45</v>
      </c>
      <c r="L25" s="58">
        <v>7.23</v>
      </c>
      <c r="M25" s="54">
        <v>7.22</v>
      </c>
      <c r="N25" s="43">
        <f>IF(MIN(L25,M25)&gt;0,MIN(L25,M25),"")</f>
        <v>7.22</v>
      </c>
      <c r="O25" s="35"/>
      <c r="P25" s="36"/>
    </row>
    <row r="26" spans="2:16" ht="16.5" customHeight="1">
      <c r="B26" s="37"/>
      <c r="C26" s="213" t="str">
        <f>IF('P4'!H27="","",'P4'!H27)</f>
        <v>Vigrestad IK</v>
      </c>
      <c r="D26" s="44"/>
      <c r="E26" s="44"/>
      <c r="F26" s="45"/>
      <c r="G26" s="38"/>
      <c r="H26" s="47"/>
      <c r="I26" s="44"/>
      <c r="J26" s="45"/>
      <c r="K26" s="39"/>
      <c r="L26" s="47"/>
      <c r="M26" s="45"/>
      <c r="N26" s="40"/>
      <c r="O26" s="41" t="str">
        <f>IF(SUM(L26:N26)&gt;0,SUM(L26:N26),"")</f>
        <v/>
      </c>
      <c r="P26" s="14"/>
    </row>
    <row r="27" spans="2:16" ht="16.5" customHeight="1">
      <c r="B27" s="216" t="str">
        <f>IF('P4'!D29="","",'P4'!D29)</f>
        <v/>
      </c>
      <c r="C27" s="235" t="str">
        <f>IF('P4'!G29="","",'P4'!G29)</f>
        <v/>
      </c>
      <c r="D27" s="53"/>
      <c r="E27" s="53"/>
      <c r="F27" s="54"/>
      <c r="G27" s="42" t="str">
        <f>IF(MAX(D27,E27,F27)&gt;0,MAX(D27,E27,F27),"")</f>
        <v/>
      </c>
      <c r="H27" s="56"/>
      <c r="I27" s="53"/>
      <c r="J27" s="53"/>
      <c r="K27" s="43" t="str">
        <f>IF(MAX(H27,I27,J27)&gt;0,MAX(H27,I27,J27),"")</f>
        <v/>
      </c>
      <c r="L27" s="58"/>
      <c r="M27" s="54"/>
      <c r="N27" s="43" t="str">
        <f>IF(MIN(L27,M27)&gt;0,MIN(L27,M27),"")</f>
        <v/>
      </c>
      <c r="O27" s="35"/>
      <c r="P27" s="36"/>
    </row>
    <row r="28" spans="2:16" ht="16.5" customHeight="1">
      <c r="B28" s="37"/>
      <c r="C28" s="213" t="str">
        <f>IF('P4'!H29="","",'P4'!H29)</f>
        <v/>
      </c>
      <c r="D28" s="44"/>
      <c r="E28" s="44"/>
      <c r="F28" s="45"/>
      <c r="G28" s="38"/>
      <c r="H28" s="47"/>
      <c r="I28" s="44"/>
      <c r="J28" s="45"/>
      <c r="K28" s="39"/>
      <c r="L28" s="59"/>
      <c r="M28" s="45"/>
      <c r="N28" s="40"/>
      <c r="O28" s="41" t="str">
        <f>IF(SUM(L28:N28)&gt;0,SUM(L28:N28),"")</f>
        <v/>
      </c>
      <c r="P28" s="14"/>
    </row>
    <row r="29" spans="2:16" ht="16.5" customHeight="1">
      <c r="B29" s="216" t="str">
        <f>IF('P4'!D31="","",'P4'!D31)</f>
        <v/>
      </c>
      <c r="C29" s="235" t="str">
        <f>IF('P4'!G31="","",'P4'!G31)</f>
        <v/>
      </c>
      <c r="D29" s="53"/>
      <c r="E29" s="53"/>
      <c r="F29" s="54"/>
      <c r="G29" s="42" t="str">
        <f>IF(MAX(D29,E29,F29)&gt;0,MAX(D29,E29,F29),"")</f>
        <v/>
      </c>
      <c r="H29" s="56"/>
      <c r="I29" s="53"/>
      <c r="J29" s="53"/>
      <c r="K29" s="43" t="str">
        <f>IF(MAX(H29,I29,J29)&gt;0,MAX(H29,I29,J29),"")</f>
        <v/>
      </c>
      <c r="L29" s="60"/>
      <c r="M29" s="54"/>
      <c r="N29" s="43" t="str">
        <f>IF(MIN(L29,M29)&gt;0,MIN(L29,M29),"")</f>
        <v/>
      </c>
      <c r="O29" s="35"/>
      <c r="P29" s="36"/>
    </row>
    <row r="30" spans="2:16" ht="16.5" customHeight="1">
      <c r="B30" s="62"/>
      <c r="C30" s="213" t="str">
        <f>IF('P4'!H31="","",'P4'!H31)</f>
        <v/>
      </c>
      <c r="D30" s="44"/>
      <c r="E30" s="44"/>
      <c r="F30" s="45"/>
      <c r="G30" s="49"/>
      <c r="H30" s="47"/>
      <c r="I30" s="44"/>
      <c r="J30" s="45"/>
      <c r="K30" s="46"/>
      <c r="L30" s="47"/>
      <c r="M30" s="45"/>
      <c r="N30" s="50"/>
      <c r="O30" s="41" t="str">
        <f>IF(SUM(L30:N30)&gt;0,SUM(L30:N30),"")</f>
        <v/>
      </c>
      <c r="P30" s="14"/>
    </row>
  </sheetData>
  <mergeCells count="9">
    <mergeCell ref="B4:N4"/>
    <mergeCell ref="D5:G5"/>
    <mergeCell ref="H5:K5"/>
    <mergeCell ref="L5:N5"/>
    <mergeCell ref="A1:N1"/>
    <mergeCell ref="A3:B3"/>
    <mergeCell ref="C3:D3"/>
    <mergeCell ref="F3:I3"/>
    <mergeCell ref="K3:L3"/>
  </mergeCells>
  <phoneticPr fontId="0" type="noConversion"/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 copies="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>
    <pageSetUpPr fitToPage="1"/>
  </sheetPr>
  <dimension ref="A1:P30"/>
  <sheetViews>
    <sheetView showGridLines="0" showRowColHeaders="0" showZeros="0" zoomScaleNormal="100" workbookViewId="0">
      <selection activeCell="K15" sqref="K15"/>
    </sheetView>
  </sheetViews>
  <sheetFormatPr baseColWidth="10" defaultColWidth="8.83203125" defaultRowHeight="13"/>
  <cols>
    <col min="1" max="1" width="5.6640625" customWidth="1"/>
    <col min="2" max="2" width="7.6640625" customWidth="1"/>
    <col min="3" max="3" width="27.6640625" customWidth="1"/>
    <col min="4" max="14" width="7.33203125" customWidth="1"/>
    <col min="15" max="15" width="9.33203125" customWidth="1"/>
    <col min="16" max="16" width="4.6640625" style="7" customWidth="1"/>
  </cols>
  <sheetData>
    <row r="1" spans="1:16" ht="23">
      <c r="A1" s="346" t="s">
        <v>56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15"/>
      <c r="P1" s="15"/>
    </row>
    <row r="2" spans="1:16" ht="15" customHeight="1">
      <c r="B2" s="16" t="s">
        <v>46</v>
      </c>
      <c r="C2" s="82" t="str">
        <f>IF('P1'!C5&gt;0,'P1'!C5,"")</f>
        <v>NM 5-kamp og NC4 (U/J)</v>
      </c>
      <c r="D2" s="82"/>
      <c r="E2" s="8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6">
      <c r="A3" s="352" t="s">
        <v>0</v>
      </c>
      <c r="B3" s="352"/>
      <c r="C3" s="348" t="str">
        <f>IF('P1'!I5&gt;0,'P1'!I5,"")</f>
        <v>Larvik AK</v>
      </c>
      <c r="D3" s="348"/>
      <c r="E3" s="18" t="s">
        <v>1</v>
      </c>
      <c r="F3" s="350" t="str">
        <f>IF('P1'!P5&gt;0,'P1'!P5,"")</f>
        <v>Stavernhallen</v>
      </c>
      <c r="G3" s="350"/>
      <c r="H3" s="350"/>
      <c r="I3" s="350"/>
      <c r="J3" s="158" t="s">
        <v>2</v>
      </c>
      <c r="K3" s="351">
        <f>IF('P1'!V5&gt;0,'P1'!V5,"")</f>
        <v>44450</v>
      </c>
      <c r="L3" s="351"/>
      <c r="M3" s="19" t="s">
        <v>20</v>
      </c>
      <c r="N3" s="64">
        <v>5</v>
      </c>
      <c r="O3" s="63"/>
      <c r="P3" s="20"/>
    </row>
    <row r="4" spans="1:16" ht="15" thickBot="1">
      <c r="B4" s="342" t="s">
        <v>73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19"/>
      <c r="P4" s="20"/>
    </row>
    <row r="5" spans="1:16" s="21" customFormat="1" ht="14">
      <c r="B5" s="22" t="s">
        <v>23</v>
      </c>
      <c r="C5" s="23" t="s">
        <v>6</v>
      </c>
      <c r="D5" s="343" t="s">
        <v>26</v>
      </c>
      <c r="E5" s="343"/>
      <c r="F5" s="343"/>
      <c r="G5" s="343"/>
      <c r="H5" s="344" t="s">
        <v>27</v>
      </c>
      <c r="I5" s="344"/>
      <c r="J5" s="344"/>
      <c r="K5" s="344"/>
      <c r="L5" s="345" t="s">
        <v>47</v>
      </c>
      <c r="M5" s="345"/>
      <c r="N5" s="345"/>
      <c r="O5" s="24"/>
      <c r="P5" s="25"/>
    </row>
    <row r="6" spans="1:16" ht="14" thickBot="1">
      <c r="B6" s="210" t="s">
        <v>29</v>
      </c>
      <c r="C6" s="26" t="s">
        <v>33</v>
      </c>
      <c r="D6" s="27">
        <v>1</v>
      </c>
      <c r="E6" s="27">
        <v>2</v>
      </c>
      <c r="F6" s="28">
        <v>3</v>
      </c>
      <c r="G6" s="29" t="s">
        <v>48</v>
      </c>
      <c r="H6" s="30">
        <v>1</v>
      </c>
      <c r="I6" s="27">
        <v>2</v>
      </c>
      <c r="J6" s="28">
        <v>3</v>
      </c>
      <c r="K6" s="29" t="s">
        <v>48</v>
      </c>
      <c r="L6" s="30">
        <v>1</v>
      </c>
      <c r="M6" s="28">
        <v>2</v>
      </c>
      <c r="N6" s="31" t="s">
        <v>48</v>
      </c>
      <c r="O6" s="32"/>
      <c r="P6" s="33"/>
    </row>
    <row r="7" spans="1:16" ht="16.5" customHeight="1">
      <c r="B7" s="217" t="str">
        <f>IF('P5'!D9="","",'P5'!D9)</f>
        <v>19-23</v>
      </c>
      <c r="C7" s="214" t="str">
        <f>IF('P5'!G9="","",'P5'!G9)</f>
        <v>Julia Jordanger Loen</v>
      </c>
      <c r="D7" s="51">
        <v>7.6</v>
      </c>
      <c r="E7" s="51">
        <v>7.95</v>
      </c>
      <c r="F7" s="52">
        <v>8.02</v>
      </c>
      <c r="G7" s="34">
        <f>IF(MAX(D7,E7,F7)&gt;0,MAX(D7,E7,F7),"")</f>
        <v>8.02</v>
      </c>
      <c r="H7" s="55">
        <v>11.2</v>
      </c>
      <c r="I7" s="51">
        <v>11.93</v>
      </c>
      <c r="J7" s="51">
        <v>11.79</v>
      </c>
      <c r="K7" s="34">
        <f>IF(MAX(H7,I7,J7)&gt;0,MAX(H7,I7,J7),"")</f>
        <v>11.93</v>
      </c>
      <c r="L7" s="57">
        <v>6.61</v>
      </c>
      <c r="M7" s="52">
        <v>6.7</v>
      </c>
      <c r="N7" s="34">
        <f>IF(MIN(L7,M7)&gt;0,MIN(L7,M7),"")</f>
        <v>6.61</v>
      </c>
      <c r="O7" s="35"/>
      <c r="P7" s="36"/>
    </row>
    <row r="8" spans="1:16" ht="16.5" customHeight="1">
      <c r="B8" s="37"/>
      <c r="C8" s="213" t="str">
        <f>IF('P5'!H9="","",'P5'!H9)</f>
        <v>Breimsbygda IL</v>
      </c>
      <c r="D8" s="44"/>
      <c r="E8" s="44"/>
      <c r="F8" s="45"/>
      <c r="G8" s="38"/>
      <c r="H8" s="47"/>
      <c r="I8" s="44"/>
      <c r="J8" s="45"/>
      <c r="K8" s="39"/>
      <c r="L8" s="47"/>
      <c r="M8" s="45"/>
      <c r="N8" s="40"/>
      <c r="O8" s="41" t="str">
        <f>IF(SUM(L8:N8)&gt;0,SUM(L8:N8),"")</f>
        <v/>
      </c>
      <c r="P8" s="14"/>
    </row>
    <row r="9" spans="1:16" ht="16.5" customHeight="1">
      <c r="B9" s="215" t="str">
        <f>IF('P5'!D11="","",'P5'!D11)</f>
        <v>19-23</v>
      </c>
      <c r="C9" s="214" t="str">
        <f>IF('P5'!G11="","",'P5'!G11)</f>
        <v>Emilie Kolseth Jensen</v>
      </c>
      <c r="D9" s="53">
        <v>6.77</v>
      </c>
      <c r="E9" s="53">
        <v>6.79</v>
      </c>
      <c r="F9" s="54">
        <v>6.95</v>
      </c>
      <c r="G9" s="42">
        <f>IF(MAX(D9,E9,F9)&gt;0,MAX(D9,E9,F9),"")</f>
        <v>6.95</v>
      </c>
      <c r="H9" s="56">
        <v>12.84</v>
      </c>
      <c r="I9" s="53">
        <v>11.77</v>
      </c>
      <c r="J9" s="53">
        <v>12.33</v>
      </c>
      <c r="K9" s="43">
        <v>12.84</v>
      </c>
      <c r="L9" s="58">
        <v>7.49</v>
      </c>
      <c r="M9" s="54">
        <v>7.32</v>
      </c>
      <c r="N9" s="43">
        <f>IF(MIN(L9,M9)&gt;0,MIN(L9,M9),"")</f>
        <v>7.32</v>
      </c>
      <c r="O9" s="35"/>
      <c r="P9" s="36"/>
    </row>
    <row r="10" spans="1:16" ht="16.5" customHeight="1">
      <c r="B10" s="37"/>
      <c r="C10" s="213" t="str">
        <f>IF('P5'!H11="","",'P5'!H11)</f>
        <v>Breimsbygda IL</v>
      </c>
      <c r="D10" s="44"/>
      <c r="E10" s="44"/>
      <c r="F10" s="45"/>
      <c r="G10" s="38"/>
      <c r="H10" s="47"/>
      <c r="I10" s="44"/>
      <c r="J10" s="45"/>
      <c r="K10" s="39"/>
      <c r="L10" s="47"/>
      <c r="M10" s="45"/>
      <c r="N10" s="40"/>
      <c r="O10" s="41" t="str">
        <f>IF(SUM(L10:N10)&gt;0,SUM(L10:N10),"")</f>
        <v/>
      </c>
      <c r="P10" s="14"/>
    </row>
    <row r="11" spans="1:16" ht="16.5" customHeight="1">
      <c r="B11" s="215" t="str">
        <f>IF('P5'!D13="","",'P5'!D13)</f>
        <v>19-23</v>
      </c>
      <c r="C11" s="214" t="str">
        <f>IF('P5'!G13="","",'P5'!G13)</f>
        <v>Mia Mundal</v>
      </c>
      <c r="D11" s="53">
        <v>5.98</v>
      </c>
      <c r="E11" s="283" t="s">
        <v>207</v>
      </c>
      <c r="F11" s="283" t="s">
        <v>207</v>
      </c>
      <c r="G11" s="42">
        <f>IF(MAX(D11,E11,F11)&gt;0,MAX(D11,E11,F11),"")</f>
        <v>5.98</v>
      </c>
      <c r="H11" s="56">
        <v>8.1999999999999993</v>
      </c>
      <c r="I11" s="53">
        <v>7.84</v>
      </c>
      <c r="J11" s="53">
        <v>8.27</v>
      </c>
      <c r="K11" s="43">
        <f>IF(MAX(H11,I11,J11)&gt;0,MAX(H11,I11,J11),"")</f>
        <v>8.27</v>
      </c>
      <c r="L11" s="58">
        <v>7.38</v>
      </c>
      <c r="M11" s="54">
        <v>7.32</v>
      </c>
      <c r="N11" s="43">
        <f>IF(MIN(L11,M11)&gt;0,MIN(L11,M11),"")</f>
        <v>7.32</v>
      </c>
      <c r="O11" s="35"/>
      <c r="P11" s="36"/>
    </row>
    <row r="12" spans="1:16" ht="16.5" customHeight="1">
      <c r="B12" s="37"/>
      <c r="C12" s="213" t="str">
        <f>IF('P5'!H13="","",'P5'!H13)</f>
        <v>Tønsberg-Kam.</v>
      </c>
      <c r="D12" s="44"/>
      <c r="E12" s="44"/>
      <c r="F12" s="45"/>
      <c r="G12" s="38"/>
      <c r="H12" s="47"/>
      <c r="I12" s="44"/>
      <c r="J12" s="45"/>
      <c r="K12" s="39"/>
      <c r="L12" s="47"/>
      <c r="M12" s="45"/>
      <c r="N12" s="40"/>
      <c r="O12" s="41" t="str">
        <f>IF(SUM(L12:N12)&gt;0,SUM(L12:N12),"")</f>
        <v/>
      </c>
      <c r="P12" s="14"/>
    </row>
    <row r="13" spans="1:16" ht="16.5" customHeight="1">
      <c r="B13" s="215" t="str">
        <f>IF('P5'!D15="","",'P5'!D15)</f>
        <v>19-23</v>
      </c>
      <c r="C13" s="214" t="str">
        <f>IF('P5'!G15="","",'P5'!G15)</f>
        <v>Nora Skuggedal</v>
      </c>
      <c r="D13" s="53">
        <v>6.97</v>
      </c>
      <c r="E13" s="53">
        <v>7.09</v>
      </c>
      <c r="F13" s="53" t="s">
        <v>207</v>
      </c>
      <c r="G13" s="42">
        <f>IF(MAX(D13,E13,F13)&gt;0,MAX(D13,E13,F13),"")</f>
        <v>7.09</v>
      </c>
      <c r="H13" s="56">
        <v>10.6</v>
      </c>
      <c r="I13" s="53">
        <v>10.68</v>
      </c>
      <c r="J13" s="283" t="s">
        <v>207</v>
      </c>
      <c r="K13" s="43">
        <f>IF(MAX(H13,I13,J13)&gt;0,MAX(H13,I13,J13),"")</f>
        <v>10.68</v>
      </c>
      <c r="L13" s="58">
        <v>8.36</v>
      </c>
      <c r="M13" s="54">
        <v>7.24</v>
      </c>
      <c r="N13" s="43">
        <f>IF(MIN(L13,M13)&gt;0,MIN(L13,M13),"")</f>
        <v>7.24</v>
      </c>
      <c r="O13" s="35"/>
      <c r="P13" s="36"/>
    </row>
    <row r="14" spans="1:16" ht="16.5" customHeight="1">
      <c r="B14" s="37"/>
      <c r="C14" s="213" t="str">
        <f>IF('P5'!H15="","",'P5'!H15)</f>
        <v>Larvik AK</v>
      </c>
      <c r="D14" s="44"/>
      <c r="E14" s="44"/>
      <c r="F14" s="45"/>
      <c r="G14" s="38"/>
      <c r="H14" s="47"/>
      <c r="I14" s="44"/>
      <c r="J14" s="45"/>
      <c r="K14" s="39"/>
      <c r="L14" s="47"/>
      <c r="M14" s="45"/>
      <c r="N14" s="40"/>
      <c r="O14" s="41" t="str">
        <f>IF(SUM(L14:N14)&gt;0,SUM(L14:N14),"")</f>
        <v/>
      </c>
      <c r="P14" s="14"/>
    </row>
    <row r="15" spans="1:16" ht="16.5" customHeight="1">
      <c r="B15" s="215" t="str">
        <f>IF('P5'!D17="","",'P5'!D17)</f>
        <v>19-23</v>
      </c>
      <c r="C15" s="214" t="str">
        <f>IF('P5'!G17="","",'P5'!G17)</f>
        <v>Anna Wiik</v>
      </c>
      <c r="D15" s="53">
        <v>6.48</v>
      </c>
      <c r="E15" s="53">
        <v>6.61</v>
      </c>
      <c r="F15" s="54">
        <v>6.67</v>
      </c>
      <c r="G15" s="42">
        <f>IF(MAX(D15,E15,F15)&gt;0,MAX(D15,E15,F15),"")</f>
        <v>6.67</v>
      </c>
      <c r="H15" s="56">
        <v>9.85</v>
      </c>
      <c r="I15" s="53">
        <v>9.1999999999999993</v>
      </c>
      <c r="J15" s="53">
        <v>10.47</v>
      </c>
      <c r="K15" s="43">
        <f>IF(MAX(H15,I15,J15)&gt;0,MAX(H15,I15,J15),"")</f>
        <v>10.47</v>
      </c>
      <c r="L15" s="58">
        <v>8.1300000000000008</v>
      </c>
      <c r="M15" s="54">
        <v>7.86</v>
      </c>
      <c r="N15" s="43">
        <f>IF(MIN(L15,M15)&gt;0,MIN(L15,M15),"")</f>
        <v>7.86</v>
      </c>
      <c r="O15" s="35"/>
      <c r="P15" s="36"/>
    </row>
    <row r="16" spans="1:16" ht="16.5" customHeight="1">
      <c r="B16" s="37"/>
      <c r="C16" s="213" t="str">
        <f>IF('P5'!H17="","",'P5'!H17)</f>
        <v>Breimsbygda IL</v>
      </c>
      <c r="D16" s="44"/>
      <c r="E16" s="44"/>
      <c r="F16" s="45"/>
      <c r="G16" s="38"/>
      <c r="H16" s="47"/>
      <c r="I16" s="44"/>
      <c r="J16" s="45"/>
      <c r="K16" s="39"/>
      <c r="L16" s="47"/>
      <c r="M16" s="45"/>
      <c r="N16" s="40"/>
      <c r="O16" s="41" t="str">
        <f>IF(SUM(L16:N16)&gt;0,SUM(L16:N16),"")</f>
        <v/>
      </c>
      <c r="P16" s="14"/>
    </row>
    <row r="17" spans="2:16" ht="16.5" customHeight="1">
      <c r="B17" s="215" t="str">
        <f>IF('P5'!D19="","",'P5'!D19)</f>
        <v/>
      </c>
      <c r="C17" s="214" t="str">
        <f>IF('P5'!G19="","",'P5'!G19)</f>
        <v/>
      </c>
      <c r="D17" s="53"/>
      <c r="E17" s="53"/>
      <c r="F17" s="54"/>
      <c r="G17" s="42" t="str">
        <f>IF(MAX(D17,E17,F17)&gt;0,MAX(D17,E17,F17),"")</f>
        <v/>
      </c>
      <c r="H17" s="56"/>
      <c r="I17" s="53"/>
      <c r="J17" s="53"/>
      <c r="K17" s="43" t="str">
        <f>IF(MAX(H17,I17,J17)&gt;0,MAX(H17,I17,J17),"")</f>
        <v/>
      </c>
      <c r="L17" s="58"/>
      <c r="M17" s="54"/>
      <c r="N17" s="43" t="str">
        <f>IF(MIN(L17,M17)&gt;0,MIN(L17,M17),"")</f>
        <v/>
      </c>
      <c r="O17" s="35"/>
      <c r="P17" s="36"/>
    </row>
    <row r="18" spans="2:16" ht="16.5" customHeight="1">
      <c r="B18" s="37"/>
      <c r="C18" s="213" t="str">
        <f>IF('P5'!H19="","",'P5'!H19)</f>
        <v/>
      </c>
      <c r="D18" s="44"/>
      <c r="E18" s="44"/>
      <c r="F18" s="45"/>
      <c r="G18" s="38"/>
      <c r="H18" s="47"/>
      <c r="I18" s="44"/>
      <c r="J18" s="45"/>
      <c r="K18" s="39"/>
      <c r="L18" s="47"/>
      <c r="M18" s="45"/>
      <c r="N18" s="40"/>
      <c r="O18" s="41" t="str">
        <f>IF(SUM(L18:N18)&gt;0,SUM(L18:N18),"")</f>
        <v/>
      </c>
      <c r="P18" s="14"/>
    </row>
    <row r="19" spans="2:16" ht="16.5" customHeight="1">
      <c r="B19" s="215" t="str">
        <f>IF('P5'!D21="","",'P5'!D21)</f>
        <v/>
      </c>
      <c r="C19" s="214" t="str">
        <f>IF('P5'!G21="","",'P5'!G21)</f>
        <v/>
      </c>
      <c r="D19" s="53"/>
      <c r="E19" s="53"/>
      <c r="F19" s="54"/>
      <c r="G19" s="42" t="str">
        <f>IF(MAX(D19,E19,F19)&gt;0,MAX(D19,E19,F19),"")</f>
        <v/>
      </c>
      <c r="H19" s="56"/>
      <c r="I19" s="53"/>
      <c r="J19" s="53"/>
      <c r="K19" s="43" t="str">
        <f>IF(MAX(H19,I19,J19)&gt;0,MAX(H19,I19,J19),"")</f>
        <v/>
      </c>
      <c r="L19" s="58"/>
      <c r="M19" s="54"/>
      <c r="N19" s="43" t="str">
        <f>IF(MIN(L19,M19)&gt;0,MIN(L19,M19),"")</f>
        <v/>
      </c>
      <c r="O19" s="35"/>
      <c r="P19" s="36"/>
    </row>
    <row r="20" spans="2:16" ht="16.5" customHeight="1">
      <c r="B20" s="37"/>
      <c r="C20" s="213" t="str">
        <f>IF('P5'!H21="","",'P5'!H21)</f>
        <v/>
      </c>
      <c r="D20" s="44"/>
      <c r="E20" s="44"/>
      <c r="F20" s="45"/>
      <c r="G20" s="38"/>
      <c r="H20" s="47"/>
      <c r="I20" s="44"/>
      <c r="J20" s="45"/>
      <c r="K20" s="39"/>
      <c r="L20" s="47"/>
      <c r="M20" s="45"/>
      <c r="N20" s="40"/>
      <c r="O20" s="41" t="str">
        <f>IF(SUM(L20:N20)&gt;0,SUM(L20:N20),"")</f>
        <v/>
      </c>
      <c r="P20" s="14"/>
    </row>
    <row r="21" spans="2:16" ht="16.5" customHeight="1">
      <c r="B21" s="215" t="str">
        <f>IF('P5'!D23="","",'P5'!D23)</f>
        <v/>
      </c>
      <c r="C21" s="214" t="str">
        <f>IF('P5'!G23="","",'P5'!G23)</f>
        <v/>
      </c>
      <c r="D21" s="53"/>
      <c r="E21" s="53"/>
      <c r="F21" s="54"/>
      <c r="G21" s="42" t="str">
        <f>IF(MAX(D21,E21,F21)&gt;0,MAX(D21,E21,F21),"")</f>
        <v/>
      </c>
      <c r="H21" s="56"/>
      <c r="I21" s="53"/>
      <c r="J21" s="53"/>
      <c r="K21" s="43" t="str">
        <f>IF(MAX(H21,I21,J21)&gt;0,MAX(H21,I21,J21),"")</f>
        <v/>
      </c>
      <c r="L21" s="58"/>
      <c r="M21" s="54"/>
      <c r="N21" s="43" t="str">
        <f>IF(MIN(L21,M21)&gt;0,MIN(L21,M21),"")</f>
        <v/>
      </c>
      <c r="O21" s="35"/>
      <c r="P21" s="36"/>
    </row>
    <row r="22" spans="2:16" ht="16.5" customHeight="1">
      <c r="B22" s="37"/>
      <c r="C22" s="213" t="str">
        <f>IF('P5'!H23="","",'P5'!H23)</f>
        <v/>
      </c>
      <c r="D22" s="44"/>
      <c r="E22" s="44"/>
      <c r="F22" s="45"/>
      <c r="G22" s="46"/>
      <c r="H22" s="47"/>
      <c r="I22" s="44"/>
      <c r="J22" s="45"/>
      <c r="K22" s="48"/>
      <c r="L22" s="47"/>
      <c r="M22" s="45"/>
      <c r="N22" s="40"/>
      <c r="O22" s="41" t="str">
        <f>IF(SUM(L22:N22)&gt;0,SUM(L22:N22),"")</f>
        <v/>
      </c>
      <c r="P22" s="14"/>
    </row>
    <row r="23" spans="2:16" ht="16.5" customHeight="1">
      <c r="B23" s="215" t="str">
        <f>IF('P5'!D25="","",'P5'!D25)</f>
        <v/>
      </c>
      <c r="C23" s="214" t="str">
        <f>IF('P5'!G25="","",'P5'!G25)</f>
        <v/>
      </c>
      <c r="D23" s="53"/>
      <c r="E23" s="53"/>
      <c r="F23" s="54"/>
      <c r="G23" s="42" t="str">
        <f>IF(MAX(D23,E23,F23)&gt;0,MAX(D23,E23,F23),"")</f>
        <v/>
      </c>
      <c r="H23" s="56"/>
      <c r="I23" s="53"/>
      <c r="J23" s="53"/>
      <c r="K23" s="43" t="str">
        <f>IF(MAX(H23,I23,J23)&gt;0,MAX(H23,I23,J23),"")</f>
        <v/>
      </c>
      <c r="L23" s="58"/>
      <c r="M23" s="54"/>
      <c r="N23" s="43" t="str">
        <f>IF(MIN(L23,M23)&gt;0,MIN(L23,M23),"")</f>
        <v/>
      </c>
      <c r="O23" s="35"/>
      <c r="P23" s="36"/>
    </row>
    <row r="24" spans="2:16" ht="16.5" customHeight="1">
      <c r="B24" s="37"/>
      <c r="C24" s="213" t="str">
        <f>IF('P5'!H25="","",'P5'!H25)</f>
        <v/>
      </c>
      <c r="D24" s="44"/>
      <c r="E24" s="44"/>
      <c r="F24" s="45"/>
      <c r="G24" s="38"/>
      <c r="H24" s="47"/>
      <c r="I24" s="44"/>
      <c r="J24" s="45"/>
      <c r="K24" s="39"/>
      <c r="L24" s="47"/>
      <c r="M24" s="45"/>
      <c r="N24" s="40"/>
      <c r="O24" s="41" t="str">
        <f>IF(SUM(L24:N24)&gt;0,SUM(L24:N24),"")</f>
        <v/>
      </c>
      <c r="P24" s="14"/>
    </row>
    <row r="25" spans="2:16" ht="16.5" customHeight="1">
      <c r="B25" s="215" t="str">
        <f>IF('P5'!D27="","",'P5'!D27)</f>
        <v/>
      </c>
      <c r="C25" s="214" t="str">
        <f>IF('P5'!G27="","",'P5'!G27)</f>
        <v/>
      </c>
      <c r="D25" s="53"/>
      <c r="E25" s="53"/>
      <c r="F25" s="54"/>
      <c r="G25" s="42" t="str">
        <f>IF(MAX(D25,E25,F25)&gt;0,MAX(D25,E25,F25),"")</f>
        <v/>
      </c>
      <c r="H25" s="56"/>
      <c r="I25" s="53"/>
      <c r="J25" s="53"/>
      <c r="K25" s="43" t="str">
        <f>IF(MAX(H25,I25,J25)&gt;0,MAX(H25,I25,J25),"")</f>
        <v/>
      </c>
      <c r="L25" s="58"/>
      <c r="M25" s="54"/>
      <c r="N25" s="43" t="str">
        <f>IF(MIN(L25,M25)&gt;0,MIN(L25,M25),"")</f>
        <v/>
      </c>
      <c r="O25" s="35"/>
      <c r="P25" s="36"/>
    </row>
    <row r="26" spans="2:16" ht="16.5" customHeight="1">
      <c r="B26" s="37"/>
      <c r="C26" s="213" t="str">
        <f>IF('P5'!H27="","",'P5'!H27)</f>
        <v/>
      </c>
      <c r="D26" s="44"/>
      <c r="E26" s="44"/>
      <c r="F26" s="45"/>
      <c r="G26" s="38"/>
      <c r="H26" s="47"/>
      <c r="I26" s="44"/>
      <c r="J26" s="45"/>
      <c r="K26" s="39"/>
      <c r="L26" s="47"/>
      <c r="M26" s="45"/>
      <c r="N26" s="40"/>
      <c r="O26" s="41" t="str">
        <f>IF(SUM(L26:N26)&gt;0,SUM(L26:N26),"")</f>
        <v/>
      </c>
      <c r="P26" s="14"/>
    </row>
    <row r="27" spans="2:16" ht="16.5" customHeight="1">
      <c r="B27" s="215" t="str">
        <f>IF('P5'!D29="","",'P5'!D29)</f>
        <v/>
      </c>
      <c r="C27" s="214" t="str">
        <f>IF('P5'!G29="","",'P5'!G29)</f>
        <v/>
      </c>
      <c r="D27" s="53"/>
      <c r="E27" s="53"/>
      <c r="F27" s="54"/>
      <c r="G27" s="42" t="str">
        <f>IF(MAX(D27,E27,F27)&gt;0,MAX(D27,E27,F27),"")</f>
        <v/>
      </c>
      <c r="H27" s="56"/>
      <c r="I27" s="53"/>
      <c r="J27" s="53"/>
      <c r="K27" s="43" t="str">
        <f>IF(MAX(H27,I27,J27)&gt;0,MAX(H27,I27,J27),"")</f>
        <v/>
      </c>
      <c r="L27" s="58"/>
      <c r="M27" s="54"/>
      <c r="N27" s="43" t="str">
        <f>IF(MIN(L27,M27)&gt;0,MIN(L27,M27),"")</f>
        <v/>
      </c>
      <c r="O27" s="35"/>
      <c r="P27" s="36"/>
    </row>
    <row r="28" spans="2:16" ht="16.5" customHeight="1">
      <c r="B28" s="37"/>
      <c r="C28" s="213" t="str">
        <f>IF('P5'!H29="","",'P5'!H29)</f>
        <v/>
      </c>
      <c r="D28" s="44"/>
      <c r="E28" s="44"/>
      <c r="F28" s="45"/>
      <c r="G28" s="38"/>
      <c r="H28" s="47"/>
      <c r="I28" s="44"/>
      <c r="J28" s="45"/>
      <c r="K28" s="39"/>
      <c r="L28" s="59"/>
      <c r="M28" s="45"/>
      <c r="N28" s="40"/>
      <c r="O28" s="41" t="str">
        <f>IF(SUM(L28:N28)&gt;0,SUM(L28:N28),"")</f>
        <v/>
      </c>
      <c r="P28" s="14"/>
    </row>
    <row r="29" spans="2:16" ht="16.5" customHeight="1">
      <c r="B29" s="215" t="str">
        <f>IF('P5'!D31="","",'P5'!D31)</f>
        <v/>
      </c>
      <c r="C29" s="214" t="str">
        <f>IF('P5'!G31="","",'P5'!G31)</f>
        <v/>
      </c>
      <c r="D29" s="53"/>
      <c r="E29" s="53"/>
      <c r="F29" s="54"/>
      <c r="G29" s="42" t="str">
        <f>IF(MAX(D29,E29,F29)&gt;0,MAX(D29,E29,F29),"")</f>
        <v/>
      </c>
      <c r="H29" s="56"/>
      <c r="I29" s="53"/>
      <c r="J29" s="53"/>
      <c r="K29" s="43" t="str">
        <f>IF(MAX(H29,I29,J29)&gt;0,MAX(H29,I29,J29),"")</f>
        <v/>
      </c>
      <c r="L29" s="60"/>
      <c r="M29" s="54"/>
      <c r="N29" s="43" t="str">
        <f>IF(MIN(L29,M29)&gt;0,MIN(L29,M29),"")</f>
        <v/>
      </c>
      <c r="O29" s="35"/>
      <c r="P29" s="36"/>
    </row>
    <row r="30" spans="2:16" ht="16.5" customHeight="1">
      <c r="B30" s="62"/>
      <c r="C30" s="213" t="str">
        <f>IF('P5'!H31="","",'P5'!H31)</f>
        <v/>
      </c>
      <c r="D30" s="44"/>
      <c r="E30" s="44"/>
      <c r="F30" s="45"/>
      <c r="G30" s="49"/>
      <c r="H30" s="47"/>
      <c r="I30" s="44"/>
      <c r="J30" s="45"/>
      <c r="K30" s="46"/>
      <c r="L30" s="47"/>
      <c r="M30" s="45"/>
      <c r="N30" s="50"/>
      <c r="O30" s="41" t="str">
        <f>IF(SUM(L30:N30)&gt;0,SUM(L30:N30),"")</f>
        <v/>
      </c>
      <c r="P30" s="14"/>
    </row>
  </sheetData>
  <mergeCells count="9">
    <mergeCell ref="B4:N4"/>
    <mergeCell ref="D5:G5"/>
    <mergeCell ref="H5:K5"/>
    <mergeCell ref="L5:N5"/>
    <mergeCell ref="A1:N1"/>
    <mergeCell ref="A3:B3"/>
    <mergeCell ref="C3:D3"/>
    <mergeCell ref="F3:I3"/>
    <mergeCell ref="K3:L3"/>
  </mergeCells>
  <phoneticPr fontId="0" type="noConversion"/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 copies="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pageSetUpPr fitToPage="1"/>
  </sheetPr>
  <dimension ref="A1:P30"/>
  <sheetViews>
    <sheetView showGridLines="0" showRowColHeaders="0" showZeros="0" workbookViewId="0">
      <selection activeCell="K23" sqref="K23"/>
    </sheetView>
  </sheetViews>
  <sheetFormatPr baseColWidth="10" defaultColWidth="8.83203125" defaultRowHeight="13"/>
  <cols>
    <col min="1" max="1" width="5.6640625" customWidth="1"/>
    <col min="2" max="2" width="7.6640625" customWidth="1"/>
    <col min="3" max="3" width="27.6640625" customWidth="1"/>
    <col min="4" max="14" width="7.33203125" customWidth="1"/>
    <col min="15" max="15" width="9.33203125" customWidth="1"/>
    <col min="16" max="16" width="4.6640625" style="7" customWidth="1"/>
  </cols>
  <sheetData>
    <row r="1" spans="1:16" ht="23">
      <c r="A1" s="346" t="s">
        <v>56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15"/>
      <c r="P1" s="15"/>
    </row>
    <row r="2" spans="1:16" ht="15" customHeight="1">
      <c r="B2" s="16" t="s">
        <v>46</v>
      </c>
      <c r="C2" s="82" t="str">
        <f>IF('P1'!C5&gt;0,'P1'!C5,"")</f>
        <v>NM 5-kamp og NC4 (U/J)</v>
      </c>
      <c r="D2" s="82"/>
      <c r="E2" s="8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6">
      <c r="A3" s="352" t="s">
        <v>0</v>
      </c>
      <c r="B3" s="352"/>
      <c r="C3" s="348" t="str">
        <f>IF('P1'!I5&gt;0,'P1'!I5,"")</f>
        <v>Larvik AK</v>
      </c>
      <c r="D3" s="348"/>
      <c r="E3" s="18" t="s">
        <v>1</v>
      </c>
      <c r="F3" s="350" t="str">
        <f>IF('P1'!P5&gt;0,'P1'!P5,"")</f>
        <v>Stavernhallen</v>
      </c>
      <c r="G3" s="350"/>
      <c r="H3" s="350"/>
      <c r="I3" s="350"/>
      <c r="J3" s="158" t="s">
        <v>2</v>
      </c>
      <c r="K3" s="351">
        <f>IF('P1'!V5&gt;0,'P1'!V5,"")</f>
        <v>44450</v>
      </c>
      <c r="L3" s="351"/>
      <c r="M3" s="19" t="s">
        <v>20</v>
      </c>
      <c r="N3" s="64">
        <v>6</v>
      </c>
      <c r="O3" s="63"/>
      <c r="P3" s="20"/>
    </row>
    <row r="4" spans="1:16" ht="15" thickBot="1">
      <c r="B4" s="342" t="s">
        <v>73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19"/>
      <c r="P4" s="20"/>
    </row>
    <row r="5" spans="1:16" s="21" customFormat="1" ht="14">
      <c r="B5" s="22" t="s">
        <v>23</v>
      </c>
      <c r="C5" s="23" t="s">
        <v>6</v>
      </c>
      <c r="D5" s="343" t="s">
        <v>26</v>
      </c>
      <c r="E5" s="343"/>
      <c r="F5" s="343"/>
      <c r="G5" s="343"/>
      <c r="H5" s="344" t="s">
        <v>27</v>
      </c>
      <c r="I5" s="344"/>
      <c r="J5" s="344"/>
      <c r="K5" s="344"/>
      <c r="L5" s="345" t="s">
        <v>47</v>
      </c>
      <c r="M5" s="345"/>
      <c r="N5" s="345"/>
      <c r="O5" s="24"/>
      <c r="P5" s="25"/>
    </row>
    <row r="6" spans="1:16" ht="14" thickBot="1">
      <c r="B6" s="210" t="s">
        <v>29</v>
      </c>
      <c r="C6" s="26" t="s">
        <v>33</v>
      </c>
      <c r="D6" s="27">
        <v>1</v>
      </c>
      <c r="E6" s="27">
        <v>2</v>
      </c>
      <c r="F6" s="28">
        <v>3</v>
      </c>
      <c r="G6" s="29" t="s">
        <v>48</v>
      </c>
      <c r="H6" s="30">
        <v>1</v>
      </c>
      <c r="I6" s="27">
        <v>2</v>
      </c>
      <c r="J6" s="28">
        <v>3</v>
      </c>
      <c r="K6" s="29" t="s">
        <v>48</v>
      </c>
      <c r="L6" s="30">
        <v>1</v>
      </c>
      <c r="M6" s="28">
        <v>2</v>
      </c>
      <c r="N6" s="31" t="s">
        <v>48</v>
      </c>
      <c r="O6" s="32"/>
      <c r="P6" s="33"/>
    </row>
    <row r="7" spans="1:16" ht="16.5" customHeight="1">
      <c r="B7" s="217" t="str">
        <f>IF('P6'!D9="","",'P6'!D9)</f>
        <v>17-18</v>
      </c>
      <c r="C7" s="212" t="str">
        <f>IF('P6'!G9="","",'P6'!G9)</f>
        <v>Lasse Bye</v>
      </c>
      <c r="D7" s="51">
        <v>7.94</v>
      </c>
      <c r="E7" s="51">
        <v>8.01</v>
      </c>
      <c r="F7" s="52">
        <v>8.02</v>
      </c>
      <c r="G7" s="34">
        <f>IF(MAX(D7,E7,F7)&gt;0,MAX(D7,E7,F7),"")</f>
        <v>8.02</v>
      </c>
      <c r="H7" s="55">
        <v>9.4700000000000006</v>
      </c>
      <c r="I7" s="51">
        <v>9.9499999999999993</v>
      </c>
      <c r="J7" s="51">
        <v>10.6</v>
      </c>
      <c r="K7" s="34">
        <f>IF(MAX(H7,I7,J7)&gt;0,MAX(H7,I7,J7),"")</f>
        <v>10.6</v>
      </c>
      <c r="L7" s="57">
        <v>6.46</v>
      </c>
      <c r="M7" s="52">
        <v>6.41</v>
      </c>
      <c r="N7" s="34">
        <f>IF(MIN(L7,M7)&gt;0,MIN(L7,M7),"")</f>
        <v>6.41</v>
      </c>
      <c r="O7" s="35"/>
      <c r="P7" s="36"/>
    </row>
    <row r="8" spans="1:16" ht="16.5" customHeight="1">
      <c r="B8" s="37"/>
      <c r="C8" s="213" t="str">
        <f>IF('P6'!H9="","",'P6'!H9)</f>
        <v>Nidelv IL</v>
      </c>
      <c r="D8" s="44"/>
      <c r="E8" s="44"/>
      <c r="F8" s="45"/>
      <c r="G8" s="38"/>
      <c r="H8" s="47"/>
      <c r="I8" s="44"/>
      <c r="J8" s="45"/>
      <c r="K8" s="39"/>
      <c r="L8" s="47"/>
      <c r="M8" s="45"/>
      <c r="N8" s="40"/>
      <c r="O8" s="41" t="str">
        <f>IF(SUM(L8:N8)&gt;0,SUM(L8:N8),"")</f>
        <v/>
      </c>
      <c r="P8" s="14"/>
    </row>
    <row r="9" spans="1:16" ht="16.5" customHeight="1">
      <c r="B9" s="215" t="str">
        <f>IF('P6'!D11="","",'P6'!D11)</f>
        <v>17-18</v>
      </c>
      <c r="C9" s="214" t="str">
        <f>IF('P6'!G11="","",'P6'!G11)</f>
        <v>Eivind Balstad</v>
      </c>
      <c r="D9" s="53">
        <v>8.15</v>
      </c>
      <c r="E9" s="53">
        <v>8.66</v>
      </c>
      <c r="F9" s="54">
        <v>8.86</v>
      </c>
      <c r="G9" s="42">
        <f>IF(MAX(D9,E9,F9)&gt;0,MAX(D9,E9,F9),"")</f>
        <v>8.86</v>
      </c>
      <c r="H9" s="56">
        <v>10.15</v>
      </c>
      <c r="I9" s="53">
        <v>9.92</v>
      </c>
      <c r="J9" s="53">
        <v>9.89</v>
      </c>
      <c r="K9" s="43">
        <f>IF(MAX(H9,I9,J9)&gt;0,MAX(H9,I9,J9),"")</f>
        <v>10.15</v>
      </c>
      <c r="L9" s="58">
        <v>6.93</v>
      </c>
      <c r="M9" s="54">
        <v>6.78</v>
      </c>
      <c r="N9" s="43">
        <f>IF(MIN(L9,M9)&gt;0,MIN(L9,M9),"")</f>
        <v>6.78</v>
      </c>
      <c r="O9" s="35"/>
      <c r="P9" s="36"/>
    </row>
    <row r="10" spans="1:16" ht="16.5" customHeight="1">
      <c r="B10" s="37"/>
      <c r="C10" s="213" t="str">
        <f>IF('P6'!H11="","",'P6'!H11)</f>
        <v>Nidelv IL</v>
      </c>
      <c r="D10" s="44"/>
      <c r="E10" s="44"/>
      <c r="F10" s="45"/>
      <c r="G10" s="38"/>
      <c r="H10" s="47"/>
      <c r="I10" s="44"/>
      <c r="J10" s="45"/>
      <c r="K10" s="39"/>
      <c r="L10" s="47"/>
      <c r="M10" s="45"/>
      <c r="N10" s="40"/>
      <c r="O10" s="41" t="str">
        <f>IF(SUM(L10:N10)&gt;0,SUM(L10:N10),"")</f>
        <v/>
      </c>
      <c r="P10" s="14"/>
    </row>
    <row r="11" spans="1:16" ht="16.5" customHeight="1">
      <c r="B11" s="215" t="str">
        <f>IF('P6'!D13="","",'P6'!D13)</f>
        <v>17-18</v>
      </c>
      <c r="C11" s="214" t="str">
        <f>IF('P6'!G13="","",'P6'!G13)</f>
        <v>Kristen Røyseth</v>
      </c>
      <c r="D11" s="53">
        <v>8.74</v>
      </c>
      <c r="E11" s="53">
        <v>8.76</v>
      </c>
      <c r="F11" s="54">
        <v>8.57</v>
      </c>
      <c r="G11" s="42">
        <f>IF(MAX(D11,E11,F11)&gt;0,MAX(D11,E11,F11),"")</f>
        <v>8.76</v>
      </c>
      <c r="H11" s="56">
        <v>11.19</v>
      </c>
      <c r="I11" s="53">
        <v>11.44</v>
      </c>
      <c r="J11" s="53">
        <v>11.11</v>
      </c>
      <c r="K11" s="43">
        <f>IF(MAX(H11,I11,J11)&gt;0,MAX(H11,I11,J11),"")</f>
        <v>11.44</v>
      </c>
      <c r="L11" s="58">
        <v>6.37</v>
      </c>
      <c r="M11" s="54">
        <v>6.31</v>
      </c>
      <c r="N11" s="43">
        <f>IF(MIN(L11,M11)&gt;0,MIN(L11,M11),"")</f>
        <v>6.31</v>
      </c>
      <c r="O11" s="35"/>
      <c r="P11" s="36"/>
    </row>
    <row r="12" spans="1:16" ht="16.5" customHeight="1">
      <c r="B12" s="37"/>
      <c r="C12" s="213" t="str">
        <f>IF('P6'!H13="","",'P6'!H13)</f>
        <v>Tambarskjelvar IL</v>
      </c>
      <c r="D12" s="44"/>
      <c r="E12" s="44"/>
      <c r="F12" s="45"/>
      <c r="G12" s="38"/>
      <c r="H12" s="47"/>
      <c r="I12" s="44"/>
      <c r="J12" s="45"/>
      <c r="K12" s="39"/>
      <c r="L12" s="47"/>
      <c r="M12" s="45"/>
      <c r="N12" s="40"/>
      <c r="O12" s="41" t="str">
        <f>IF(SUM(L12:N12)&gt;0,SUM(L12:N12),"")</f>
        <v/>
      </c>
      <c r="P12" s="14"/>
    </row>
    <row r="13" spans="1:16" ht="16.5" customHeight="1">
      <c r="B13" s="215" t="str">
        <f>IF('P6'!D15="","",'P6'!D15)</f>
        <v>19-23</v>
      </c>
      <c r="C13" s="214" t="str">
        <f>IF('P6'!G15="","",'P6'!G15)</f>
        <v>Marcus Bratli</v>
      </c>
      <c r="D13" s="53">
        <v>8.3000000000000007</v>
      </c>
      <c r="E13" s="53">
        <v>8.8699999999999992</v>
      </c>
      <c r="F13" s="54">
        <v>8.64</v>
      </c>
      <c r="G13" s="42">
        <f>IF(MAX(D13,E13,F13)&gt;0,MAX(D13,E13,F13),"")</f>
        <v>8.8699999999999992</v>
      </c>
      <c r="H13" s="56">
        <v>12.93</v>
      </c>
      <c r="I13" s="53">
        <v>11.78</v>
      </c>
      <c r="J13" s="53">
        <v>11.85</v>
      </c>
      <c r="K13" s="43">
        <f>IF(MAX(H13,I13,J13)&gt;0,MAX(H13,I13,J13),"")</f>
        <v>12.93</v>
      </c>
      <c r="L13" s="58">
        <v>6.23</v>
      </c>
      <c r="M13" s="54">
        <v>6.07</v>
      </c>
      <c r="N13" s="43">
        <f>IF(MIN(L13,M13)&gt;0,MIN(L13,M13),"")</f>
        <v>6.07</v>
      </c>
      <c r="O13" s="35"/>
      <c r="P13" s="36"/>
    </row>
    <row r="14" spans="1:16" ht="16.5" customHeight="1">
      <c r="B14" s="37"/>
      <c r="C14" s="213" t="str">
        <f>IF('P6'!H15="","",'P6'!H15)</f>
        <v>AK Bjørgvin</v>
      </c>
      <c r="D14" s="44"/>
      <c r="E14" s="44"/>
      <c r="F14" s="45"/>
      <c r="G14" s="38"/>
      <c r="H14" s="47"/>
      <c r="I14" s="44"/>
      <c r="J14" s="45"/>
      <c r="K14" s="39"/>
      <c r="L14" s="47"/>
      <c r="M14" s="45"/>
      <c r="N14" s="40"/>
      <c r="O14" s="41" t="str">
        <f>IF(SUM(L14:N14)&gt;0,SUM(L14:N14),"")</f>
        <v/>
      </c>
      <c r="P14" s="14"/>
    </row>
    <row r="15" spans="1:16" ht="16.5" customHeight="1">
      <c r="B15" s="215" t="str">
        <f>IF('P6'!D17="","",'P6'!D17)</f>
        <v>19-23</v>
      </c>
      <c r="C15" s="214" t="str">
        <f>IF('P6'!G17="","",'P6'!G17)</f>
        <v>Robert Andre Moldestad</v>
      </c>
      <c r="D15" s="53">
        <v>8.4499999999999993</v>
      </c>
      <c r="E15" s="53">
        <v>8.49</v>
      </c>
      <c r="F15" s="54">
        <v>8.64</v>
      </c>
      <c r="G15" s="42">
        <f>IF(MAX(D15,E15,F15)&gt;0,MAX(D15,E15,F15),"")</f>
        <v>8.64</v>
      </c>
      <c r="H15" s="56">
        <v>13.33</v>
      </c>
      <c r="I15" s="53">
        <v>12.62</v>
      </c>
      <c r="J15" s="53">
        <v>13.15</v>
      </c>
      <c r="K15" s="43">
        <f>IF(MAX(H15,I15,J15)&gt;0,MAX(H15,I15,J15),"")</f>
        <v>13.33</v>
      </c>
      <c r="L15" s="58">
        <v>5.99</v>
      </c>
      <c r="M15" s="54">
        <v>5.98</v>
      </c>
      <c r="N15" s="43">
        <f>IF(MIN(L15,M15)&gt;0,MIN(L15,M15),"")</f>
        <v>5.98</v>
      </c>
      <c r="O15" s="35"/>
      <c r="P15" s="36"/>
    </row>
    <row r="16" spans="1:16" ht="16.5" customHeight="1">
      <c r="B16" s="37"/>
      <c r="C16" s="213" t="str">
        <f>IF('P6'!H17="","",'P6'!H17)</f>
        <v>Breimsbygda IL</v>
      </c>
      <c r="D16" s="44"/>
      <c r="E16" s="44"/>
      <c r="F16" s="45"/>
      <c r="G16" s="38"/>
      <c r="H16" s="47"/>
      <c r="I16" s="44"/>
      <c r="J16" s="45"/>
      <c r="K16" s="39"/>
      <c r="L16" s="47"/>
      <c r="M16" s="45"/>
      <c r="N16" s="40"/>
      <c r="O16" s="41" t="str">
        <f>IF(SUM(L16:N16)&gt;0,SUM(L16:N16),"")</f>
        <v/>
      </c>
      <c r="P16" s="14"/>
    </row>
    <row r="17" spans="2:16" ht="16.5" customHeight="1">
      <c r="B17" s="215" t="str">
        <f>IF('P6'!D19="","",'P6'!D19)</f>
        <v>19-23</v>
      </c>
      <c r="C17" s="214" t="str">
        <f>IF('P6'!G19="","",'P6'!G19)</f>
        <v>Remy Heggvik Aune</v>
      </c>
      <c r="D17" s="53">
        <v>8.0399999999999991</v>
      </c>
      <c r="E17" s="53">
        <v>8.06</v>
      </c>
      <c r="F17" s="54">
        <v>8.0399999999999991</v>
      </c>
      <c r="G17" s="42">
        <f>IF(MAX(D17,E17,F17)&gt;0,MAX(D17,E17,F17),"")</f>
        <v>8.06</v>
      </c>
      <c r="H17" s="56">
        <v>7.46</v>
      </c>
      <c r="I17" s="53">
        <v>7.34</v>
      </c>
      <c r="J17" s="53">
        <v>10.93</v>
      </c>
      <c r="K17" s="43">
        <f>IF(MAX(H17,I17,J17)&gt;0,MAX(H17,I17,J17),"")</f>
        <v>10.93</v>
      </c>
      <c r="L17" s="58">
        <v>6.54</v>
      </c>
      <c r="M17" s="54">
        <v>6.42</v>
      </c>
      <c r="N17" s="43">
        <f>IF(MIN(L17,M17)&gt;0,MIN(L17,M17),"")</f>
        <v>6.42</v>
      </c>
      <c r="O17" s="35"/>
      <c r="P17" s="36"/>
    </row>
    <row r="18" spans="2:16" ht="16.5" customHeight="1">
      <c r="B18" s="37"/>
      <c r="C18" s="213" t="str">
        <f>IF('P6'!H19="","",'P6'!H19)</f>
        <v>Hitra VK</v>
      </c>
      <c r="D18" s="44"/>
      <c r="E18" s="44"/>
      <c r="F18" s="45"/>
      <c r="G18" s="38"/>
      <c r="H18" s="47"/>
      <c r="I18" s="44"/>
      <c r="J18" s="45"/>
      <c r="K18" s="39"/>
      <c r="L18" s="47"/>
      <c r="M18" s="45"/>
      <c r="N18" s="40"/>
      <c r="O18" s="41" t="str">
        <f>IF(SUM(L18:N18)&gt;0,SUM(L18:N18),"")</f>
        <v/>
      </c>
      <c r="P18" s="14"/>
    </row>
    <row r="19" spans="2:16" ht="16.5" customHeight="1">
      <c r="B19" s="215" t="str">
        <f>IF('P6'!D21="","",'P6'!D21)</f>
        <v>19-23</v>
      </c>
      <c r="C19" s="214" t="str">
        <f>IF('P6'!G21="","",'P6'!G21)</f>
        <v>Bent Andre Midtbø</v>
      </c>
      <c r="D19" s="53">
        <v>9.16</v>
      </c>
      <c r="E19" s="53">
        <v>9.3699999999999992</v>
      </c>
      <c r="F19" s="54">
        <v>9.43</v>
      </c>
      <c r="G19" s="42">
        <f>IF(MAX(D19,E19,F19)&gt;0,MAX(D19,E19,F19),"")</f>
        <v>9.43</v>
      </c>
      <c r="H19" s="56">
        <v>14.58</v>
      </c>
      <c r="I19" s="53">
        <v>14.38</v>
      </c>
      <c r="J19" s="53">
        <v>14.53</v>
      </c>
      <c r="K19" s="43">
        <f>IF(MAX(H19,I19,J19)&gt;0,MAX(H19,I19,J19),"")</f>
        <v>14.58</v>
      </c>
      <c r="L19" s="58">
        <v>6.24</v>
      </c>
      <c r="M19" s="54">
        <v>6.21</v>
      </c>
      <c r="N19" s="43">
        <f>IF(MIN(L19,M19)&gt;0,MIN(L19,M19),"")</f>
        <v>6.21</v>
      </c>
      <c r="O19" s="35"/>
      <c r="P19" s="36"/>
    </row>
    <row r="20" spans="2:16" ht="16.5" customHeight="1">
      <c r="B20" s="37"/>
      <c r="C20" s="213" t="str">
        <f>IF('P6'!H21="","",'P6'!H21)</f>
        <v>Breimsbygda IL</v>
      </c>
      <c r="D20" s="44"/>
      <c r="E20" s="44"/>
      <c r="F20" s="45"/>
      <c r="G20" s="38"/>
      <c r="H20" s="47"/>
      <c r="I20" s="44"/>
      <c r="J20" s="45"/>
      <c r="K20" s="39"/>
      <c r="L20" s="47"/>
      <c r="M20" s="45"/>
      <c r="N20" s="40"/>
      <c r="O20" s="41" t="str">
        <f>IF(SUM(L20:N20)&gt;0,SUM(L20:N20),"")</f>
        <v/>
      </c>
      <c r="P20" s="14"/>
    </row>
    <row r="21" spans="2:16" ht="16.5" customHeight="1">
      <c r="B21" s="215" t="str">
        <f>IF('P6'!D23="","",'P6'!D23)</f>
        <v>19-23</v>
      </c>
      <c r="C21" s="214" t="str">
        <f>IF('P6'!G23="","",'P6'!G23)</f>
        <v>Mikal Akseth</v>
      </c>
      <c r="D21" s="53">
        <v>8.99</v>
      </c>
      <c r="E21" s="53">
        <v>8.9499999999999993</v>
      </c>
      <c r="F21" s="54">
        <v>8.9</v>
      </c>
      <c r="G21" s="42">
        <f>IF(MAX(D21,E21,F21)&gt;0,MAX(D21,E21,F21),"")</f>
        <v>8.99</v>
      </c>
      <c r="H21" s="56">
        <v>11.34</v>
      </c>
      <c r="I21" s="53">
        <v>13.31</v>
      </c>
      <c r="J21" s="53">
        <v>13.44</v>
      </c>
      <c r="K21" s="43">
        <f>IF(MAX(H21,I21,J21)&gt;0,MAX(H21,I21,J21),"")</f>
        <v>13.44</v>
      </c>
      <c r="L21" s="58">
        <v>6.2</v>
      </c>
      <c r="M21" s="54">
        <v>6.17</v>
      </c>
      <c r="N21" s="43">
        <f>IF(MIN(L21,M21)&gt;0,MIN(L21,M21),"")</f>
        <v>6.17</v>
      </c>
      <c r="O21" s="35"/>
      <c r="P21" s="36"/>
    </row>
    <row r="22" spans="2:16" ht="16.5" customHeight="1">
      <c r="B22" s="37"/>
      <c r="C22" s="213" t="str">
        <f>IF('P6'!H23="","",'P6'!H23)</f>
        <v>Hitra VK</v>
      </c>
      <c r="D22" s="44"/>
      <c r="E22" s="44"/>
      <c r="F22" s="45"/>
      <c r="G22" s="46"/>
      <c r="H22" s="47"/>
      <c r="I22" s="44"/>
      <c r="J22" s="45"/>
      <c r="K22" s="48"/>
      <c r="L22" s="47"/>
      <c r="M22" s="45"/>
      <c r="N22" s="40"/>
      <c r="O22" s="41" t="str">
        <f>IF(SUM(L22:N22)&gt;0,SUM(L22:N22),"")</f>
        <v/>
      </c>
      <c r="P22" s="14"/>
    </row>
    <row r="23" spans="2:16" ht="16.5" customHeight="1">
      <c r="B23" s="215" t="str">
        <f>IF('P6'!D25="","",'P6'!D25)</f>
        <v>19-23</v>
      </c>
      <c r="C23" s="214" t="str">
        <f>IF('P6'!G25="","",'P6'!G25)</f>
        <v>Vetle Andersen</v>
      </c>
      <c r="D23" s="53">
        <v>8.89</v>
      </c>
      <c r="E23" s="53">
        <v>9.19</v>
      </c>
      <c r="F23" s="54">
        <v>9.07</v>
      </c>
      <c r="G23" s="42">
        <f>IF(MAX(D23,E23,F23)&gt;0,MAX(D23,E23,F23),"")</f>
        <v>9.19</v>
      </c>
      <c r="H23" s="56">
        <v>12.89</v>
      </c>
      <c r="I23" s="53">
        <v>14.17</v>
      </c>
      <c r="J23" s="53">
        <v>13.93</v>
      </c>
      <c r="K23" s="43">
        <f>IF(MAX(H23,I23,J23)&gt;0,MAX(H23,I23,J23),"")</f>
        <v>14.17</v>
      </c>
      <c r="L23" s="58">
        <v>6.24</v>
      </c>
      <c r="M23" s="283" t="s">
        <v>207</v>
      </c>
      <c r="N23" s="43">
        <f>IF(MIN(L23,M23)&gt;0,MIN(L23,M23),"")</f>
        <v>6.24</v>
      </c>
      <c r="O23" s="35"/>
      <c r="P23" s="36"/>
    </row>
    <row r="24" spans="2:16" ht="16.5" customHeight="1">
      <c r="B24" s="37"/>
      <c r="C24" s="213" t="str">
        <f>IF('P6'!H25="","",'P6'!H25)</f>
        <v>Larvik AK</v>
      </c>
      <c r="D24" s="44"/>
      <c r="E24" s="44"/>
      <c r="F24" s="45"/>
      <c r="G24" s="38"/>
      <c r="H24" s="47"/>
      <c r="I24" s="44"/>
      <c r="J24" s="45"/>
      <c r="K24" s="39"/>
      <c r="L24" s="47"/>
      <c r="M24" s="45"/>
      <c r="N24" s="40"/>
      <c r="O24" s="41" t="str">
        <f>IF(SUM(L24:N24)&gt;0,SUM(L24:N24),"")</f>
        <v/>
      </c>
      <c r="P24" s="14"/>
    </row>
    <row r="25" spans="2:16" ht="16.5" customHeight="1">
      <c r="B25" s="215" t="str">
        <f>IF('P6'!D27="","",'P6'!D27)</f>
        <v/>
      </c>
      <c r="C25" s="214" t="str">
        <f>IF('P6'!G27="","",'P6'!G27)</f>
        <v/>
      </c>
      <c r="D25" s="53"/>
      <c r="E25" s="53"/>
      <c r="F25" s="54"/>
      <c r="G25" s="42" t="str">
        <f>IF(MAX(D25,E25,F25)&gt;0,MAX(D25,E25,F25),"")</f>
        <v/>
      </c>
      <c r="H25" s="56"/>
      <c r="I25" s="53"/>
      <c r="J25" s="53"/>
      <c r="K25" s="43" t="str">
        <f>IF(MAX(H25,I25,J25)&gt;0,MAX(H25,I25,J25),"")</f>
        <v/>
      </c>
      <c r="L25" s="58"/>
      <c r="M25" s="54"/>
      <c r="N25" s="43" t="str">
        <f>IF(MIN(L25,M25)&gt;0,MIN(L25,M25),"")</f>
        <v/>
      </c>
      <c r="O25" s="35"/>
      <c r="P25" s="36"/>
    </row>
    <row r="26" spans="2:16" ht="16.5" customHeight="1">
      <c r="B26" s="37"/>
      <c r="C26" s="213" t="str">
        <f>IF('P6'!H27="","",'P6'!H27)</f>
        <v/>
      </c>
      <c r="D26" s="44"/>
      <c r="E26" s="44"/>
      <c r="F26" s="45"/>
      <c r="G26" s="38"/>
      <c r="H26" s="47"/>
      <c r="I26" s="44"/>
      <c r="J26" s="45"/>
      <c r="K26" s="39"/>
      <c r="L26" s="47"/>
      <c r="M26" s="45"/>
      <c r="N26" s="40"/>
      <c r="O26" s="41" t="str">
        <f>IF(SUM(L26:N26)&gt;0,SUM(L26:N26),"")</f>
        <v/>
      </c>
      <c r="P26" s="14"/>
    </row>
    <row r="27" spans="2:16" ht="16.5" customHeight="1">
      <c r="B27" s="215" t="str">
        <f>IF('P6'!D29="","",'P6'!D29)</f>
        <v/>
      </c>
      <c r="C27" s="214" t="str">
        <f>IF('P6'!G29="","",'P6'!G29)</f>
        <v/>
      </c>
      <c r="D27" s="53"/>
      <c r="E27" s="53"/>
      <c r="F27" s="54"/>
      <c r="G27" s="42" t="str">
        <f>IF(MAX(D27,E27,F27)&gt;0,MAX(D27,E27,F27),"")</f>
        <v/>
      </c>
      <c r="H27" s="56"/>
      <c r="I27" s="53"/>
      <c r="J27" s="53"/>
      <c r="K27" s="43" t="str">
        <f>IF(MAX(H27,I27,J27)&gt;0,MAX(H27,I27,J27),"")</f>
        <v/>
      </c>
      <c r="L27" s="58"/>
      <c r="M27" s="54"/>
      <c r="N27" s="43" t="str">
        <f>IF(MIN(L27,M27)&gt;0,MIN(L27,M27),"")</f>
        <v/>
      </c>
      <c r="O27" s="35"/>
      <c r="P27" s="36"/>
    </row>
    <row r="28" spans="2:16" ht="16.5" customHeight="1">
      <c r="B28" s="37"/>
      <c r="C28" s="213" t="str">
        <f>IF('P6'!H29="","",'P6'!H29)</f>
        <v/>
      </c>
      <c r="D28" s="44"/>
      <c r="E28" s="44"/>
      <c r="F28" s="45"/>
      <c r="G28" s="38"/>
      <c r="H28" s="47"/>
      <c r="I28" s="44"/>
      <c r="J28" s="45"/>
      <c r="K28" s="39"/>
      <c r="L28" s="59"/>
      <c r="M28" s="45"/>
      <c r="N28" s="40"/>
      <c r="O28" s="41" t="str">
        <f>IF(SUM(L28:N28)&gt;0,SUM(L28:N28),"")</f>
        <v/>
      </c>
      <c r="P28" s="14"/>
    </row>
    <row r="29" spans="2:16" ht="16.5" customHeight="1">
      <c r="B29" s="215" t="str">
        <f>IF('P6'!D31="","",'P6'!D31)</f>
        <v/>
      </c>
      <c r="C29" s="214" t="str">
        <f>IF('P6'!G31="","",'P6'!G31)</f>
        <v/>
      </c>
      <c r="D29" s="53"/>
      <c r="E29" s="53"/>
      <c r="F29" s="54"/>
      <c r="G29" s="42" t="str">
        <f>IF(MAX(D29,E29,F29)&gt;0,MAX(D29,E29,F29),"")</f>
        <v/>
      </c>
      <c r="H29" s="56"/>
      <c r="I29" s="53"/>
      <c r="J29" s="53"/>
      <c r="K29" s="43" t="str">
        <f>IF(MAX(H29,I29,J29)&gt;0,MAX(H29,I29,J29),"")</f>
        <v/>
      </c>
      <c r="L29" s="60"/>
      <c r="M29" s="54"/>
      <c r="N29" s="43" t="str">
        <f>IF(MIN(L29,M29)&gt;0,MIN(L29,M29),"")</f>
        <v/>
      </c>
      <c r="O29" s="35"/>
      <c r="P29" s="36"/>
    </row>
    <row r="30" spans="2:16" ht="16.5" customHeight="1">
      <c r="B30" s="62"/>
      <c r="C30" s="213" t="str">
        <f>IF('P6'!H31="","",'P6'!H31)</f>
        <v/>
      </c>
      <c r="D30" s="44"/>
      <c r="E30" s="44"/>
      <c r="F30" s="45"/>
      <c r="G30" s="49"/>
      <c r="H30" s="47"/>
      <c r="I30" s="44"/>
      <c r="J30" s="45"/>
      <c r="K30" s="46"/>
      <c r="L30" s="47"/>
      <c r="M30" s="45"/>
      <c r="N30" s="50"/>
      <c r="O30" s="41" t="str">
        <f>IF(SUM(L30:N30)&gt;0,SUM(L30:N30),"")</f>
        <v/>
      </c>
      <c r="P30" s="14"/>
    </row>
  </sheetData>
  <mergeCells count="9">
    <mergeCell ref="B4:N4"/>
    <mergeCell ref="D5:G5"/>
    <mergeCell ref="H5:K5"/>
    <mergeCell ref="L5:N5"/>
    <mergeCell ref="A1:N1"/>
    <mergeCell ref="A3:B3"/>
    <mergeCell ref="C3:D3"/>
    <mergeCell ref="F3:I3"/>
    <mergeCell ref="K3:L3"/>
  </mergeCells>
  <phoneticPr fontId="0" type="noConversion"/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 copies="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E14F-0C0C-844F-AB06-38541D79AB5F}">
  <sheetPr>
    <pageSetUpPr fitToPage="1"/>
  </sheetPr>
  <dimension ref="A1:AG50"/>
  <sheetViews>
    <sheetView showGridLines="0" showRowColHeaders="0" showZeros="0" topLeftCell="A12" zoomScale="90" zoomScaleNormal="90" workbookViewId="0">
      <selection activeCell="S30" sqref="S30"/>
    </sheetView>
  </sheetViews>
  <sheetFormatPr baseColWidth="10" defaultColWidth="9.1640625" defaultRowHeight="13"/>
  <cols>
    <col min="1" max="1" width="7" style="7" customWidth="1"/>
    <col min="2" max="2" width="8" style="7" customWidth="1"/>
    <col min="3" max="3" width="5.83203125" style="7" customWidth="1"/>
    <col min="4" max="4" width="7.6640625" style="7" customWidth="1"/>
    <col min="5" max="5" width="10.6640625" style="7" customWidth="1"/>
    <col min="6" max="6" width="4.33203125" style="7" customWidth="1"/>
    <col min="7" max="7" width="27.83203125" customWidth="1"/>
    <col min="8" max="8" width="20.6640625" customWidth="1"/>
    <col min="9" max="17" width="6.83203125" style="7" customWidth="1"/>
    <col min="18" max="21" width="8" style="7" customWidth="1"/>
    <col min="22" max="22" width="9" style="7" customWidth="1"/>
    <col min="23" max="24" width="8" style="7" customWidth="1"/>
    <col min="25" max="25" width="4.6640625" style="7" customWidth="1"/>
    <col min="26" max="26" width="5" style="7" customWidth="1"/>
    <col min="27" max="27" width="9.33203125" hidden="1" customWidth="1"/>
    <col min="28" max="33" width="9.1640625" hidden="1" customWidth="1"/>
  </cols>
  <sheetData>
    <row r="1" spans="1:33" ht="13" customHeight="1">
      <c r="H1" s="7"/>
      <c r="Z1"/>
    </row>
    <row r="2" spans="1:33" ht="72.75" customHeight="1">
      <c r="G2" s="293" t="s">
        <v>54</v>
      </c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U2" s="87" t="s">
        <v>59</v>
      </c>
      <c r="Z2"/>
    </row>
    <row r="3" spans="1:33" ht="29">
      <c r="E3" s="88"/>
      <c r="G3" s="294" t="s">
        <v>22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304" t="s">
        <v>60</v>
      </c>
      <c r="T3" s="304"/>
      <c r="U3" s="304"/>
      <c r="V3" s="304"/>
      <c r="W3" s="304"/>
      <c r="X3" s="304"/>
      <c r="Y3" s="304"/>
      <c r="Z3" s="304"/>
    </row>
    <row r="4" spans="1:33">
      <c r="H4" s="7"/>
      <c r="Z4"/>
    </row>
    <row r="5" spans="1:33" ht="15" customHeight="1">
      <c r="A5" s="300" t="s">
        <v>21</v>
      </c>
      <c r="B5" s="300"/>
      <c r="C5" s="301" t="s">
        <v>127</v>
      </c>
      <c r="D5" s="301"/>
      <c r="E5" s="301"/>
      <c r="F5" s="301"/>
      <c r="G5" s="301"/>
      <c r="H5" s="160" t="s">
        <v>0</v>
      </c>
      <c r="I5" s="305" t="s">
        <v>94</v>
      </c>
      <c r="J5" s="305"/>
      <c r="K5" s="305"/>
      <c r="L5" s="305"/>
      <c r="M5" s="305"/>
      <c r="N5" s="305"/>
      <c r="O5" s="160" t="s">
        <v>1</v>
      </c>
      <c r="P5" s="306" t="s">
        <v>117</v>
      </c>
      <c r="Q5" s="306"/>
      <c r="R5" s="306"/>
      <c r="S5" s="306"/>
      <c r="T5" s="306"/>
      <c r="U5" s="90" t="s">
        <v>2</v>
      </c>
      <c r="V5" s="307">
        <v>44450</v>
      </c>
      <c r="W5" s="307"/>
      <c r="X5" s="91" t="s">
        <v>20</v>
      </c>
      <c r="Y5" s="92">
        <v>2</v>
      </c>
      <c r="Z5"/>
    </row>
    <row r="6" spans="1:33" ht="13.75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3"/>
      <c r="X6" s="9"/>
      <c r="Y6" s="9"/>
      <c r="Z6"/>
      <c r="AB6" s="4"/>
      <c r="AC6" s="4"/>
      <c r="AD6" s="4"/>
      <c r="AE6" s="187" t="s">
        <v>67</v>
      </c>
      <c r="AF6" s="187" t="s">
        <v>67</v>
      </c>
      <c r="AG6" s="187" t="s">
        <v>67</v>
      </c>
    </row>
    <row r="7" spans="1:33" s="21" customFormat="1" ht="15" customHeight="1">
      <c r="A7" s="94" t="s">
        <v>3</v>
      </c>
      <c r="B7" s="165" t="s">
        <v>4</v>
      </c>
      <c r="C7" s="164" t="s">
        <v>23</v>
      </c>
      <c r="D7" s="97" t="s">
        <v>23</v>
      </c>
      <c r="E7" s="163" t="s">
        <v>5</v>
      </c>
      <c r="F7" s="163" t="s">
        <v>24</v>
      </c>
      <c r="G7" s="163" t="s">
        <v>6</v>
      </c>
      <c r="H7" s="163" t="s">
        <v>7</v>
      </c>
      <c r="I7" s="308" t="s">
        <v>8</v>
      </c>
      <c r="J7" s="309"/>
      <c r="K7" s="310"/>
      <c r="L7" s="308" t="s">
        <v>9</v>
      </c>
      <c r="M7" s="309"/>
      <c r="N7" s="310"/>
      <c r="O7" s="311" t="s">
        <v>25</v>
      </c>
      <c r="P7" s="312"/>
      <c r="Q7" s="312"/>
      <c r="R7" s="312"/>
      <c r="S7" s="99" t="s">
        <v>10</v>
      </c>
      <c r="T7" s="100" t="s">
        <v>61</v>
      </c>
      <c r="U7" s="100" t="s">
        <v>27</v>
      </c>
      <c r="V7" s="100" t="s">
        <v>28</v>
      </c>
      <c r="W7" s="163" t="s">
        <v>56</v>
      </c>
      <c r="X7" s="101" t="s">
        <v>29</v>
      </c>
      <c r="Y7" s="101" t="s">
        <v>30</v>
      </c>
      <c r="Z7" s="11" t="s">
        <v>31</v>
      </c>
      <c r="AB7" s="1"/>
      <c r="AC7" s="1"/>
      <c r="AD7" s="1"/>
      <c r="AE7" s="188" t="s">
        <v>68</v>
      </c>
      <c r="AF7" s="188" t="s">
        <v>68</v>
      </c>
      <c r="AG7" s="188" t="s">
        <v>68</v>
      </c>
    </row>
    <row r="8" spans="1:33" s="21" customFormat="1" ht="15" customHeight="1" thickBot="1">
      <c r="A8" s="102" t="s">
        <v>11</v>
      </c>
      <c r="B8" s="103" t="s">
        <v>12</v>
      </c>
      <c r="C8" s="104" t="s">
        <v>32</v>
      </c>
      <c r="D8" s="105" t="s">
        <v>29</v>
      </c>
      <c r="E8" s="106" t="s">
        <v>19</v>
      </c>
      <c r="F8" s="106" t="s">
        <v>62</v>
      </c>
      <c r="G8" s="159"/>
      <c r="H8" s="159"/>
      <c r="I8" s="295" t="s">
        <v>34</v>
      </c>
      <c r="J8" s="296"/>
      <c r="K8" s="297"/>
      <c r="L8" s="295" t="s">
        <v>34</v>
      </c>
      <c r="M8" s="296"/>
      <c r="N8" s="297"/>
      <c r="O8" s="108" t="s">
        <v>8</v>
      </c>
      <c r="P8" s="103" t="s">
        <v>9</v>
      </c>
      <c r="Q8" s="109" t="s">
        <v>35</v>
      </c>
      <c r="R8" s="104" t="s">
        <v>10</v>
      </c>
      <c r="S8" s="108" t="s">
        <v>55</v>
      </c>
      <c r="T8" s="110" t="s">
        <v>10</v>
      </c>
      <c r="U8" s="110" t="s">
        <v>10</v>
      </c>
      <c r="V8" s="110" t="s">
        <v>10</v>
      </c>
      <c r="W8" s="106" t="s">
        <v>57</v>
      </c>
      <c r="X8" s="111" t="s">
        <v>36</v>
      </c>
      <c r="Y8" s="111"/>
      <c r="Z8" s="12"/>
      <c r="AB8" s="1" t="s">
        <v>69</v>
      </c>
      <c r="AC8" s="1" t="s">
        <v>58</v>
      </c>
      <c r="AD8" s="3" t="s">
        <v>55</v>
      </c>
      <c r="AE8" s="188" t="s">
        <v>70</v>
      </c>
      <c r="AF8" s="188" t="s">
        <v>71</v>
      </c>
      <c r="AG8" s="188" t="s">
        <v>72</v>
      </c>
    </row>
    <row r="9" spans="1:33" s="21" customFormat="1" ht="18" customHeight="1">
      <c r="A9" s="252" t="s">
        <v>93</v>
      </c>
      <c r="B9" s="224">
        <v>63.47</v>
      </c>
      <c r="C9" s="225" t="s">
        <v>128</v>
      </c>
      <c r="D9" s="253" t="s">
        <v>180</v>
      </c>
      <c r="E9" s="254">
        <v>39760</v>
      </c>
      <c r="F9" s="255"/>
      <c r="G9" s="256" t="s">
        <v>190</v>
      </c>
      <c r="H9" s="256" t="s">
        <v>88</v>
      </c>
      <c r="I9" s="258">
        <v>48</v>
      </c>
      <c r="J9" s="259">
        <v>52</v>
      </c>
      <c r="K9" s="259">
        <v>-55</v>
      </c>
      <c r="L9" s="258">
        <v>59</v>
      </c>
      <c r="M9" s="259">
        <v>63</v>
      </c>
      <c r="N9" s="259">
        <v>-66</v>
      </c>
      <c r="O9" s="115">
        <f>IF(MAX(I9:K9)&gt;0,IF(MAX(I9:K9)&lt;0,0,TRUNC(MAX(I9:K9)/1)*1),"")</f>
        <v>52</v>
      </c>
      <c r="P9" s="116">
        <f>IF(MAX(L9:N9)&gt;0,IF(MAX(L9:N9)&lt;0,0,TRUNC(MAX(L9:N9)/1)*1),"")</f>
        <v>63</v>
      </c>
      <c r="Q9" s="117">
        <f>IF(O9="","",IF(P9="","",IF(SUM(O9:P9)=0,"",SUM(O9:P9))))</f>
        <v>115</v>
      </c>
      <c r="R9" s="118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161.22053553977346</v>
      </c>
      <c r="S9" s="119" t="str">
        <f>IF(AD9=1,R9*AG9,"")</f>
        <v/>
      </c>
      <c r="T9" s="73">
        <f>IF('K2'!G7="","",'K2'!G7)</f>
        <v>6.67</v>
      </c>
      <c r="U9" s="73">
        <f>IF('K2'!K7="","",'K2'!K7)</f>
        <v>8.8000000000000007</v>
      </c>
      <c r="V9" s="73">
        <f>IF('K2'!N7="","",'K2'!N7)</f>
        <v>7.71</v>
      </c>
      <c r="W9" s="120"/>
      <c r="X9" s="121"/>
      <c r="Y9" s="122"/>
      <c r="Z9" s="77"/>
      <c r="AA9" s="123">
        <f>V5</f>
        <v>44450</v>
      </c>
      <c r="AB9" s="177" t="str">
        <f>IF(ISNUMBER(FIND("M",C9)),"m",IF(ISNUMBER(FIND("K",C9)),"k"))</f>
        <v>m</v>
      </c>
      <c r="AC9" s="178">
        <f>IF(OR(E9="",AA9=""),0,(YEAR(AA9)-YEAR(E9)))</f>
        <v>13</v>
      </c>
      <c r="AD9" s="179" t="str">
        <f>IF(AC9&gt;34,1,"")</f>
        <v/>
      </c>
      <c r="AE9" s="180" t="b">
        <f>IF(AD9=1,LOOKUP(AC9,'Meltzer-Faber'!A3:A63,'Meltzer-Faber'!B3:B63))</f>
        <v>0</v>
      </c>
      <c r="AF9" s="180" t="b">
        <f>IF(AD9=1,LOOKUP(AC9,'Meltzer-Faber'!A3:A63,'Meltzer-Faber'!C3:C63))</f>
        <v>0</v>
      </c>
      <c r="AG9" s="180" t="b">
        <f>IF(AB9="m",AE9,IF(AB9="k",AF9,""))</f>
        <v>0</v>
      </c>
    </row>
    <row r="10" spans="1:33" s="21" customFormat="1" ht="18" customHeight="1">
      <c r="A10" s="124"/>
      <c r="B10" s="125"/>
      <c r="C10" s="126"/>
      <c r="D10" s="127"/>
      <c r="E10" s="128"/>
      <c r="F10" s="260"/>
      <c r="G10" s="74"/>
      <c r="H10" s="74"/>
      <c r="I10" s="298"/>
      <c r="J10" s="289"/>
      <c r="K10" s="299"/>
      <c r="L10" s="286"/>
      <c r="M10" s="287"/>
      <c r="N10" s="288"/>
      <c r="O10" s="126"/>
      <c r="P10" s="130"/>
      <c r="Q10" s="289">
        <f>IF(R9="","",R9*1.2)</f>
        <v>193.46464264772814</v>
      </c>
      <c r="R10" s="289"/>
      <c r="S10" s="131"/>
      <c r="T10" s="132">
        <f>IF(T9="","",T9*20)</f>
        <v>133.4</v>
      </c>
      <c r="U10" s="132">
        <f>IF(U9="","",U9*13)</f>
        <v>114.4</v>
      </c>
      <c r="V10" s="78">
        <f>IF(V9="","",IF((80+(8-ROUNDUP(V9,1))*40)&lt;0,0,80+(8-ROUNDUP(V9,1))*40))</f>
        <v>88</v>
      </c>
      <c r="W10" s="78">
        <f>IF(SUM(T10,U10,V10)&gt;0,SUM(T10,U10,V10),"")</f>
        <v>335.8</v>
      </c>
      <c r="X10" s="133">
        <f>IF(OR(Q10="",T10="",U10="",V10=""),"",SUM(Q10,T10,U10,V10))</f>
        <v>529.26464264772812</v>
      </c>
      <c r="Y10" s="79">
        <v>2</v>
      </c>
      <c r="Z10" s="80"/>
      <c r="AA10" s="123"/>
      <c r="AB10" s="177"/>
      <c r="AC10" s="178"/>
      <c r="AD10" s="179"/>
      <c r="AE10" s="180"/>
      <c r="AF10" s="180"/>
      <c r="AG10" s="180"/>
    </row>
    <row r="11" spans="1:33" s="21" customFormat="1" ht="18" customHeight="1">
      <c r="A11" s="252" t="s">
        <v>95</v>
      </c>
      <c r="B11" s="224">
        <v>78.819999999999993</v>
      </c>
      <c r="C11" s="225" t="s">
        <v>128</v>
      </c>
      <c r="D11" s="253" t="s">
        <v>180</v>
      </c>
      <c r="E11" s="254">
        <v>39126</v>
      </c>
      <c r="F11" s="255"/>
      <c r="G11" s="256" t="s">
        <v>191</v>
      </c>
      <c r="H11" s="256" t="s">
        <v>87</v>
      </c>
      <c r="I11" s="258">
        <v>30</v>
      </c>
      <c r="J11" s="259">
        <v>33</v>
      </c>
      <c r="K11" s="259">
        <v>35</v>
      </c>
      <c r="L11" s="258">
        <v>35</v>
      </c>
      <c r="M11" s="259">
        <v>39</v>
      </c>
      <c r="N11" s="259">
        <v>42</v>
      </c>
      <c r="O11" s="115">
        <f>IF(MAX(I11:K11)&gt;0,IF(MAX(I11:K11)&lt;0,0,TRUNC(MAX(I11:K11)/1)*1),"")</f>
        <v>35</v>
      </c>
      <c r="P11" s="116">
        <f>IF(MAX(L11:N11)&gt;0,IF(MAX(L11:N11)&lt;0,0,TRUNC(MAX(L11:N11)/1)*1),"")</f>
        <v>42</v>
      </c>
      <c r="Q11" s="117">
        <f>IF(O11="","",IF(P11="","",IF(SUM(O11:P11)=0,"",SUM(O11:P11))))</f>
        <v>77</v>
      </c>
      <c r="R11" s="118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94.924141319526797</v>
      </c>
      <c r="S11" s="119" t="str">
        <f>IF(AD11=1,R11*AG11,"")</f>
        <v/>
      </c>
      <c r="T11" s="73">
        <f>IF('K2'!G9="","",'K2'!G9)</f>
        <v>5.0599999999999996</v>
      </c>
      <c r="U11" s="73">
        <f>IF('K2'!K9="","",'K2'!K9)</f>
        <v>5.07</v>
      </c>
      <c r="V11" s="73">
        <f>IF('K2'!N9="","",'K2'!N9)</f>
        <v>8.84</v>
      </c>
      <c r="W11" s="120"/>
      <c r="X11" s="121"/>
      <c r="Y11" s="134"/>
      <c r="Z11" s="75"/>
      <c r="AA11" s="123">
        <f>V5</f>
        <v>44450</v>
      </c>
      <c r="AB11" s="177" t="str">
        <f t="shared" ref="AB11" si="0">IF(ISNUMBER(FIND("M",C11)),"m",IF(ISNUMBER(FIND("K",C11)),"k"))</f>
        <v>m</v>
      </c>
      <c r="AC11" s="178">
        <f t="shared" ref="AC11" si="1">IF(OR(E11="",AA11=""),0,(YEAR(AA11)-YEAR(E11)))</f>
        <v>14</v>
      </c>
      <c r="AD11" s="179" t="str">
        <f t="shared" ref="AD11:AD31" si="2">IF(AC11&gt;34,1,"")</f>
        <v/>
      </c>
      <c r="AE11" s="180" t="b">
        <f>IF(AD11=1,LOOKUP(AC11,'Meltzer-Faber'!A3:A63,'Meltzer-Faber'!B3:B63))</f>
        <v>0</v>
      </c>
      <c r="AF11" s="180" t="b">
        <f>IF(AD11=1,LOOKUP(AC11,'Meltzer-Faber'!A3:A63,'Meltzer-Faber'!C3:C63))</f>
        <v>0</v>
      </c>
      <c r="AG11" s="180" t="b">
        <f t="shared" ref="AG11" si="3">IF(AB11="m",AE11,IF(AB11="k",AF11,""))</f>
        <v>0</v>
      </c>
    </row>
    <row r="12" spans="1:33" s="21" customFormat="1" ht="18" customHeight="1">
      <c r="A12" s="124"/>
      <c r="B12" s="125"/>
      <c r="C12" s="126"/>
      <c r="D12" s="127"/>
      <c r="E12" s="128"/>
      <c r="F12" s="260"/>
      <c r="G12" s="74"/>
      <c r="H12" s="74"/>
      <c r="I12" s="298"/>
      <c r="J12" s="289"/>
      <c r="K12" s="299"/>
      <c r="L12" s="286"/>
      <c r="M12" s="287"/>
      <c r="N12" s="288"/>
      <c r="O12" s="126"/>
      <c r="P12" s="130"/>
      <c r="Q12" s="289">
        <f>IF(R11="","",R11*1.2)</f>
        <v>113.90896958343215</v>
      </c>
      <c r="R12" s="289"/>
      <c r="S12" s="131"/>
      <c r="T12" s="132">
        <f>IF(T11="","",T11*20)</f>
        <v>101.19999999999999</v>
      </c>
      <c r="U12" s="132">
        <f>IF(U11="","",U11*13)</f>
        <v>65.91</v>
      </c>
      <c r="V12" s="78">
        <f>IF(V11="","",IF((80+(8-ROUNDUP(V11,1))*40)&lt;0,0,80+(8-ROUNDUP(V11,1))*40))</f>
        <v>43.999999999999986</v>
      </c>
      <c r="W12" s="78">
        <f>IF(SUM(T12,U12,V12)&gt;0,SUM(T12,U12,V12),"")</f>
        <v>211.10999999999996</v>
      </c>
      <c r="X12" s="133">
        <f>IF(OR(Q12="",T12="",U12="",V12=""),"",SUM(Q12,T12,U12,V12))</f>
        <v>325.01896958343218</v>
      </c>
      <c r="Y12" s="79">
        <v>3</v>
      </c>
      <c r="Z12" s="80"/>
      <c r="AA12" s="123"/>
    </row>
    <row r="13" spans="1:33" s="21" customFormat="1" ht="18" customHeight="1">
      <c r="A13" s="252" t="s">
        <v>95</v>
      </c>
      <c r="B13" s="224">
        <v>73.150000000000006</v>
      </c>
      <c r="C13" s="225" t="s">
        <v>128</v>
      </c>
      <c r="D13" s="253" t="s">
        <v>180</v>
      </c>
      <c r="E13" s="254">
        <v>39328</v>
      </c>
      <c r="F13" s="255"/>
      <c r="G13" s="256" t="s">
        <v>192</v>
      </c>
      <c r="H13" s="256" t="s">
        <v>90</v>
      </c>
      <c r="I13" s="258">
        <v>55</v>
      </c>
      <c r="J13" s="259">
        <v>58</v>
      </c>
      <c r="K13" s="259">
        <v>61</v>
      </c>
      <c r="L13" s="258">
        <v>67</v>
      </c>
      <c r="M13" s="259">
        <v>70</v>
      </c>
      <c r="N13" s="259">
        <v>73</v>
      </c>
      <c r="O13" s="115">
        <f>IF(MAX(I13:K13)&gt;0,IF(MAX(I13:K13)&lt;0,0,TRUNC(MAX(I13:K13)/1)*1),"")</f>
        <v>61</v>
      </c>
      <c r="P13" s="116">
        <f>IF(MAX(L13:N13)&gt;0,IF(MAX(L13:N13)&lt;0,0,TRUNC(MAX(L13:N13)/1)*1),"")</f>
        <v>73</v>
      </c>
      <c r="Q13" s="117">
        <f>IF(O13="","",IF(P13="","",IF(SUM(O13:P13)=0,"",SUM(O13:P13))))</f>
        <v>134</v>
      </c>
      <c r="R13" s="118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172.0809767058301</v>
      </c>
      <c r="S13" s="119" t="str">
        <f>IF(AD13=1,R13*AG13,"")</f>
        <v/>
      </c>
      <c r="T13" s="73">
        <f>IF('K2'!G11="","",'K2'!G11)</f>
        <v>6.13</v>
      </c>
      <c r="U13" s="73">
        <f>IF('K2'!K11="","",'K2'!K11)</f>
        <v>9.4</v>
      </c>
      <c r="V13" s="73">
        <f>IF('K2'!N11="","",'K2'!N11)</f>
        <v>7.16</v>
      </c>
      <c r="W13" s="120"/>
      <c r="X13" s="121"/>
      <c r="Y13" s="134"/>
      <c r="Z13" s="75"/>
      <c r="AA13" s="123">
        <f>V5</f>
        <v>44450</v>
      </c>
      <c r="AB13" s="177" t="str">
        <f t="shared" ref="AB13" si="4">IF(ISNUMBER(FIND("M",C13)),"m",IF(ISNUMBER(FIND("K",C13)),"k"))</f>
        <v>m</v>
      </c>
      <c r="AC13" s="178">
        <f t="shared" ref="AC13" si="5">IF(OR(E13="",AA13=""),0,(YEAR(AA13)-YEAR(E13)))</f>
        <v>14</v>
      </c>
      <c r="AD13" s="179" t="str">
        <f t="shared" si="2"/>
        <v/>
      </c>
      <c r="AE13" s="180" t="b">
        <f>IF(AD13=1,LOOKUP(AC13,'Meltzer-Faber'!A3:A63,'Meltzer-Faber'!B3:B63))</f>
        <v>0</v>
      </c>
      <c r="AF13" s="180" t="b">
        <f>IF(AD13=1,LOOKUP(AC13,'Meltzer-Faber'!A3:A63,'Meltzer-Faber'!C3:C63))</f>
        <v>0</v>
      </c>
      <c r="AG13" s="180" t="b">
        <f t="shared" ref="AG13" si="6">IF(AB13="m",AE13,IF(AB13="k",AF13,""))</f>
        <v>0</v>
      </c>
    </row>
    <row r="14" spans="1:33" s="21" customFormat="1" ht="18" customHeight="1">
      <c r="A14" s="124"/>
      <c r="B14" s="125"/>
      <c r="C14" s="126"/>
      <c r="D14" s="127"/>
      <c r="E14" s="128"/>
      <c r="F14" s="260"/>
      <c r="G14" s="74"/>
      <c r="H14" s="74"/>
      <c r="I14" s="298"/>
      <c r="J14" s="289"/>
      <c r="K14" s="299"/>
      <c r="L14" s="286"/>
      <c r="M14" s="287"/>
      <c r="N14" s="288"/>
      <c r="O14" s="126"/>
      <c r="P14" s="130"/>
      <c r="Q14" s="289">
        <f>IF(R13="","",R13*1.2)</f>
        <v>206.4971720469961</v>
      </c>
      <c r="R14" s="289"/>
      <c r="S14" s="131"/>
      <c r="T14" s="132">
        <f>IF(T13="","",T13*20)</f>
        <v>122.6</v>
      </c>
      <c r="U14" s="132">
        <f>IF(U13="","",U13*13)</f>
        <v>122.2</v>
      </c>
      <c r="V14" s="78">
        <f>IF(V13="","",IF((80+(8-ROUNDUP(V13,1))*40)&lt;0,0,80+(8-ROUNDUP(V13,1))*40))</f>
        <v>112.00000000000003</v>
      </c>
      <c r="W14" s="78">
        <f>IF(SUM(T14,U14,V14)&gt;0,SUM(T14,U14,V14),"")</f>
        <v>356.80000000000007</v>
      </c>
      <c r="X14" s="133">
        <f>IF(OR(Q14="",T14="",U14="",V14=""),"",SUM(Q14,T14,U14,V14))</f>
        <v>563.29717204699614</v>
      </c>
      <c r="Y14" s="79">
        <v>1</v>
      </c>
      <c r="Z14" s="80"/>
      <c r="AA14" s="123"/>
    </row>
    <row r="15" spans="1:33" s="21" customFormat="1" ht="18" customHeight="1">
      <c r="A15" s="252" t="s">
        <v>134</v>
      </c>
      <c r="B15" s="224">
        <v>57.23</v>
      </c>
      <c r="C15" s="225" t="s">
        <v>128</v>
      </c>
      <c r="D15" s="253" t="s">
        <v>129</v>
      </c>
      <c r="E15" s="254">
        <v>38727</v>
      </c>
      <c r="F15" s="255"/>
      <c r="G15" s="256" t="s">
        <v>193</v>
      </c>
      <c r="H15" s="256" t="s">
        <v>91</v>
      </c>
      <c r="I15" s="258">
        <v>-45</v>
      </c>
      <c r="J15" s="259">
        <v>45</v>
      </c>
      <c r="K15" s="259">
        <v>-48</v>
      </c>
      <c r="L15" s="258">
        <v>55</v>
      </c>
      <c r="M15" s="259">
        <v>58</v>
      </c>
      <c r="N15" s="259">
        <v>-60</v>
      </c>
      <c r="O15" s="115">
        <f>IF(MAX(I15:K15)&gt;0,IF(MAX(I15:K15)&lt;0,0,TRUNC(MAX(I15:K15)/1)*1),"")</f>
        <v>45</v>
      </c>
      <c r="P15" s="116">
        <f>IF(MAX(L15:N15)&gt;0,IF(MAX(L15:N15)&lt;0,0,TRUNC(MAX(L15:N15)/1)*1),"")</f>
        <v>58</v>
      </c>
      <c r="Q15" s="117">
        <f>IF(O15="","",IF(P15="","",IF(SUM(O15:P15)=0,"",SUM(O15:P15))))</f>
        <v>103</v>
      </c>
      <c r="R15" s="118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155.21582169630028</v>
      </c>
      <c r="S15" s="119" t="str">
        <f>IF(AD15=1,R15*AG15,"")</f>
        <v/>
      </c>
      <c r="T15" s="73">
        <f>IF('K2'!G13="","",'K2'!G13)</f>
        <v>6.3</v>
      </c>
      <c r="U15" s="73">
        <f>IF('K2'!K13="","",'K2'!K13)</f>
        <v>6.95</v>
      </c>
      <c r="V15" s="73">
        <f>IF('K2'!N13="","",'K2'!N13)</f>
        <v>7.59</v>
      </c>
      <c r="W15" s="120"/>
      <c r="X15" s="121"/>
      <c r="Y15" s="134"/>
      <c r="Z15" s="75"/>
      <c r="AA15" s="123">
        <f>V5</f>
        <v>44450</v>
      </c>
      <c r="AB15" s="177" t="str">
        <f t="shared" ref="AB15" si="7">IF(ISNUMBER(FIND("M",C15)),"m",IF(ISNUMBER(FIND("K",C15)),"k"))</f>
        <v>m</v>
      </c>
      <c r="AC15" s="178">
        <f t="shared" ref="AC15" si="8">IF(OR(E15="",AA15=""),0,(YEAR(AA15)-YEAR(E15)))</f>
        <v>15</v>
      </c>
      <c r="AD15" s="179" t="str">
        <f t="shared" si="2"/>
        <v/>
      </c>
      <c r="AE15" s="180" t="b">
        <f>IF(AD15=1,LOOKUP(AC15,'Meltzer-Faber'!A3:A63,'Meltzer-Faber'!B3:B63))</f>
        <v>0</v>
      </c>
      <c r="AF15" s="180" t="b">
        <f>IF(AD15=1,LOOKUP(AC15,'Meltzer-Faber'!A3:A63,'Meltzer-Faber'!C3:C63))</f>
        <v>0</v>
      </c>
      <c r="AG15" s="180" t="b">
        <f t="shared" ref="AG15" si="9">IF(AB15="m",AE15,IF(AB15="k",AF15,""))</f>
        <v>0</v>
      </c>
    </row>
    <row r="16" spans="1:33" s="21" customFormat="1" ht="18" customHeight="1">
      <c r="A16" s="124"/>
      <c r="B16" s="125"/>
      <c r="C16" s="126"/>
      <c r="D16" s="127"/>
      <c r="E16" s="128"/>
      <c r="F16" s="260"/>
      <c r="G16" s="74"/>
      <c r="H16" s="74"/>
      <c r="I16" s="298"/>
      <c r="J16" s="289"/>
      <c r="K16" s="299"/>
      <c r="L16" s="286"/>
      <c r="M16" s="287"/>
      <c r="N16" s="288"/>
      <c r="O16" s="126"/>
      <c r="P16" s="130"/>
      <c r="Q16" s="289">
        <f>IF(R15="","",R15*1.2)</f>
        <v>186.25898603556033</v>
      </c>
      <c r="R16" s="289"/>
      <c r="S16" s="131"/>
      <c r="T16" s="132">
        <f>IF(T15="","",T15*20)</f>
        <v>126</v>
      </c>
      <c r="U16" s="132">
        <f>IF(U15="","",U15*13)</f>
        <v>90.350000000000009</v>
      </c>
      <c r="V16" s="78">
        <f>IF(V15="","",IF((80+(8-ROUNDUP(V15,1))*40)&lt;0,0,80+(8-ROUNDUP(V15,1))*40))</f>
        <v>96.000000000000014</v>
      </c>
      <c r="W16" s="78">
        <f>IF(SUM(T16,U16,V16)&gt;0,SUM(T16,U16,V16),"")</f>
        <v>312.35000000000002</v>
      </c>
      <c r="X16" s="133">
        <f>IF(OR(Q16="",T16="",U16="",V16=""),"",SUM(Q16,T16,U16,V16))</f>
        <v>498.60898603556035</v>
      </c>
      <c r="Y16" s="79">
        <v>15</v>
      </c>
      <c r="Z16" s="80"/>
      <c r="AA16" s="123"/>
    </row>
    <row r="17" spans="1:33" s="21" customFormat="1" ht="18" customHeight="1">
      <c r="A17" s="252" t="s">
        <v>134</v>
      </c>
      <c r="B17" s="224">
        <v>60.99</v>
      </c>
      <c r="C17" s="225" t="s">
        <v>128</v>
      </c>
      <c r="D17" s="253" t="s">
        <v>129</v>
      </c>
      <c r="E17" s="254">
        <v>38922</v>
      </c>
      <c r="F17" s="255"/>
      <c r="G17" s="256" t="s">
        <v>194</v>
      </c>
      <c r="H17" s="256" t="s">
        <v>85</v>
      </c>
      <c r="I17" s="258">
        <v>60</v>
      </c>
      <c r="J17" s="259">
        <v>64</v>
      </c>
      <c r="K17" s="259">
        <v>68</v>
      </c>
      <c r="L17" s="258">
        <v>75</v>
      </c>
      <c r="M17" s="259">
        <v>80</v>
      </c>
      <c r="N17" s="259">
        <v>85</v>
      </c>
      <c r="O17" s="115">
        <f>IF(MAX(I17:K17)&gt;0,IF(MAX(I17:K17)&lt;0,0,TRUNC(MAX(I17:K17)/1)*1),"")</f>
        <v>68</v>
      </c>
      <c r="P17" s="116">
        <f>IF(MAX(L17:N17)&gt;0,IF(MAX(L17:N17)&lt;0,0,TRUNC(MAX(L17:N17)/1)*1),"")</f>
        <v>85</v>
      </c>
      <c r="Q17" s="117">
        <f>IF(O17="","",IF(P17="","",IF(SUM(O17:P17)=0,"",SUM(O17:P17))))</f>
        <v>153</v>
      </c>
      <c r="R17" s="118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>220.36285458748532</v>
      </c>
      <c r="S17" s="119" t="str">
        <f>IF(AD17=1,R17*AG17,"")</f>
        <v/>
      </c>
      <c r="T17" s="73">
        <f>IF('K2'!G15="","",'K2'!G15)</f>
        <v>8.01</v>
      </c>
      <c r="U17" s="73">
        <f>IF('K2'!K15="","",'K2'!K15)</f>
        <v>12.04</v>
      </c>
      <c r="V17" s="73">
        <f>IF('K2'!N15="","",'K2'!N15)</f>
        <v>6.28</v>
      </c>
      <c r="W17" s="120"/>
      <c r="X17" s="121"/>
      <c r="Y17" s="134"/>
      <c r="Z17" s="75"/>
      <c r="AA17" s="123">
        <f>V5</f>
        <v>44450</v>
      </c>
      <c r="AB17" s="177" t="str">
        <f t="shared" ref="AB17" si="10">IF(ISNUMBER(FIND("M",C17)),"m",IF(ISNUMBER(FIND("K",C17)),"k"))</f>
        <v>m</v>
      </c>
      <c r="AC17" s="178">
        <f t="shared" ref="AC17" si="11">IF(OR(E17="",AA17=""),0,(YEAR(AA17)-YEAR(E17)))</f>
        <v>15</v>
      </c>
      <c r="AD17" s="179" t="str">
        <f t="shared" si="2"/>
        <v/>
      </c>
      <c r="AE17" s="180" t="b">
        <f>IF(AD17=1,LOOKUP(AC17,'Meltzer-Faber'!A3:A63,'Meltzer-Faber'!B3:B63))</f>
        <v>0</v>
      </c>
      <c r="AF17" s="180" t="b">
        <f>IF(AD17=1,LOOKUP(AC17,'Meltzer-Faber'!A3:A63,'Meltzer-Faber'!C3:C63))</f>
        <v>0</v>
      </c>
      <c r="AG17" s="180" t="b">
        <f t="shared" ref="AG17" si="12">IF(AB17="m",AE17,IF(AB17="k",AF17,""))</f>
        <v>0</v>
      </c>
    </row>
    <row r="18" spans="1:33" s="21" customFormat="1" ht="18" customHeight="1">
      <c r="A18" s="124"/>
      <c r="B18" s="125"/>
      <c r="C18" s="126"/>
      <c r="D18" s="127"/>
      <c r="E18" s="128"/>
      <c r="F18" s="260"/>
      <c r="G18" s="74"/>
      <c r="H18" s="74"/>
      <c r="I18" s="298"/>
      <c r="J18" s="289"/>
      <c r="K18" s="299"/>
      <c r="L18" s="286"/>
      <c r="M18" s="287"/>
      <c r="N18" s="288"/>
      <c r="O18" s="126"/>
      <c r="P18" s="130"/>
      <c r="Q18" s="289">
        <f>IF(R17="","",R17*1.2)</f>
        <v>264.43542550498239</v>
      </c>
      <c r="R18" s="289"/>
      <c r="S18" s="131"/>
      <c r="T18" s="132">
        <f>IF(T17="","",T17*20)</f>
        <v>160.19999999999999</v>
      </c>
      <c r="U18" s="132">
        <f>IF(U17="","",U17*13)</f>
        <v>156.51999999999998</v>
      </c>
      <c r="V18" s="78">
        <f>IF(V17="","",IF((80+(8-ROUNDUP(V17,1))*40)&lt;0,0,80+(8-ROUNDUP(V17,1))*40))</f>
        <v>148</v>
      </c>
      <c r="W18" s="78">
        <f>IF(SUM(T18,U18,V18)&gt;0,SUM(T18,U18,V18),"")</f>
        <v>464.71999999999997</v>
      </c>
      <c r="X18" s="133">
        <f>IF(OR(Q18="",T18="",U18="",V18=""),"",SUM(Q18,T18,U18,V18))</f>
        <v>729.1554255049823</v>
      </c>
      <c r="Y18" s="79">
        <v>4</v>
      </c>
      <c r="Z18" s="80"/>
      <c r="AA18" s="123"/>
    </row>
    <row r="19" spans="1:33" s="21" customFormat="1" ht="18" customHeight="1">
      <c r="A19" s="252" t="s">
        <v>93</v>
      </c>
      <c r="B19" s="224">
        <v>65.319999999999993</v>
      </c>
      <c r="C19" s="225" t="s">
        <v>128</v>
      </c>
      <c r="D19" s="253" t="s">
        <v>129</v>
      </c>
      <c r="E19" s="254">
        <v>39013</v>
      </c>
      <c r="F19" s="255"/>
      <c r="G19" s="256" t="s">
        <v>195</v>
      </c>
      <c r="H19" s="256" t="s">
        <v>91</v>
      </c>
      <c r="I19" s="258">
        <v>59</v>
      </c>
      <c r="J19" s="259">
        <v>63</v>
      </c>
      <c r="K19" s="259">
        <v>-65</v>
      </c>
      <c r="L19" s="258">
        <v>73</v>
      </c>
      <c r="M19" s="259">
        <v>77</v>
      </c>
      <c r="N19" s="259">
        <v>-80</v>
      </c>
      <c r="O19" s="115">
        <f>IF(MAX(I19:K19)&gt;0,IF(MAX(I19:K19)&lt;0,0,TRUNC(MAX(I19:K19)/1)*1),"")</f>
        <v>63</v>
      </c>
      <c r="P19" s="116">
        <f>IF(MAX(L19:N19)&gt;0,IF(MAX(L19:N19)&lt;0,0,TRUNC(MAX(L19:N19)/1)*1),"")</f>
        <v>77</v>
      </c>
      <c r="Q19" s="117">
        <f>IF(O19="","",IF(P19="","",IF(SUM(O19:P19)=0,"",SUM(O19:P19))))</f>
        <v>140</v>
      </c>
      <c r="R19" s="118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>192.60988352655855</v>
      </c>
      <c r="S19" s="119" t="str">
        <f>IF(AD19=1,R19*AG19,"")</f>
        <v/>
      </c>
      <c r="T19" s="73">
        <f>IF('K2'!G17="","",'K2'!G17)</f>
        <v>7.62</v>
      </c>
      <c r="U19" s="73">
        <f>IF('K2'!K17="","",'K2'!K17)</f>
        <v>10.39</v>
      </c>
      <c r="V19" s="73">
        <f>IF('K2'!N17="","",'K2'!N17)</f>
        <v>6.83</v>
      </c>
      <c r="W19" s="120"/>
      <c r="X19" s="121"/>
      <c r="Y19" s="134"/>
      <c r="Z19" s="75"/>
      <c r="AA19" s="123">
        <f>V5</f>
        <v>44450</v>
      </c>
      <c r="AB19" s="177" t="str">
        <f t="shared" ref="AB19" si="13">IF(ISNUMBER(FIND("M",C19)),"m",IF(ISNUMBER(FIND("K",C19)),"k"))</f>
        <v>m</v>
      </c>
      <c r="AC19" s="178">
        <f t="shared" ref="AC19" si="14">IF(OR(E19="",AA19=""),0,(YEAR(AA19)-YEAR(E19)))</f>
        <v>15</v>
      </c>
      <c r="AD19" s="179" t="str">
        <f t="shared" si="2"/>
        <v/>
      </c>
      <c r="AE19" s="180" t="b">
        <f>IF(AD19=1,LOOKUP(AC19,'Meltzer-Faber'!A3:A63,'Meltzer-Faber'!B3:B63))</f>
        <v>0</v>
      </c>
      <c r="AF19" s="180" t="b">
        <f>IF(AD19=1,LOOKUP(AC19,'Meltzer-Faber'!A3:A63,'Meltzer-Faber'!C3:C63))</f>
        <v>0</v>
      </c>
      <c r="AG19" s="180" t="b">
        <f t="shared" ref="AG19" si="15">IF(AB19="m",AE19,IF(AB19="k",AF19,""))</f>
        <v>0</v>
      </c>
    </row>
    <row r="20" spans="1:33" s="21" customFormat="1" ht="18" customHeight="1">
      <c r="A20" s="124"/>
      <c r="B20" s="125"/>
      <c r="C20" s="126"/>
      <c r="D20" s="127"/>
      <c r="E20" s="128"/>
      <c r="F20" s="260"/>
      <c r="G20" s="74"/>
      <c r="H20" s="74"/>
      <c r="I20" s="298"/>
      <c r="J20" s="289"/>
      <c r="K20" s="299"/>
      <c r="L20" s="286"/>
      <c r="M20" s="287"/>
      <c r="N20" s="288"/>
      <c r="O20" s="126"/>
      <c r="P20" s="130"/>
      <c r="Q20" s="289">
        <f>IF(R19="","",R19*1.2)</f>
        <v>231.13186023187023</v>
      </c>
      <c r="R20" s="289"/>
      <c r="S20" s="131"/>
      <c r="T20" s="132">
        <f>IF(T19="","",T19*20)</f>
        <v>152.4</v>
      </c>
      <c r="U20" s="132">
        <f>IF(U19="","",U19*13)</f>
        <v>135.07</v>
      </c>
      <c r="V20" s="78">
        <f>IF(V19="","",IF((80+(8-ROUNDUP(V19,1))*40)&lt;0,0,80+(8-ROUNDUP(V19,1))*40))</f>
        <v>124.00000000000003</v>
      </c>
      <c r="W20" s="78">
        <f>IF(SUM(T20,U20,V20)&gt;0,SUM(T20,U20,V20),"")</f>
        <v>411.47</v>
      </c>
      <c r="X20" s="133">
        <f>IF(OR(Q20="",T20="",U20="",V20=""),"",SUM(Q20,T20,U20,V20))</f>
        <v>642.60186023187021</v>
      </c>
      <c r="Y20" s="79">
        <v>11</v>
      </c>
      <c r="Z20" s="80"/>
      <c r="AA20" s="123"/>
    </row>
    <row r="21" spans="1:33" s="21" customFormat="1" ht="18" customHeight="1">
      <c r="A21" s="252" t="s">
        <v>93</v>
      </c>
      <c r="B21" s="224">
        <v>66.28</v>
      </c>
      <c r="C21" s="225" t="s">
        <v>128</v>
      </c>
      <c r="D21" s="253" t="s">
        <v>129</v>
      </c>
      <c r="E21" s="254">
        <v>38365</v>
      </c>
      <c r="F21" s="255"/>
      <c r="G21" s="256" t="s">
        <v>196</v>
      </c>
      <c r="H21" s="256" t="s">
        <v>92</v>
      </c>
      <c r="I21" s="258">
        <v>72</v>
      </c>
      <c r="J21" s="259">
        <v>76</v>
      </c>
      <c r="K21" s="259">
        <v>-78</v>
      </c>
      <c r="L21" s="258">
        <v>94</v>
      </c>
      <c r="M21" s="259">
        <v>98</v>
      </c>
      <c r="N21" s="259">
        <v>102</v>
      </c>
      <c r="O21" s="115">
        <f>IF(MAX(I21:K21)&gt;0,IF(MAX(I21:K21)&lt;0,0,TRUNC(MAX(I21:K21)/1)*1),"")</f>
        <v>76</v>
      </c>
      <c r="P21" s="116">
        <f>IF(MAX(L21:N21)&gt;0,IF(MAX(L21:N21)&lt;0,0,TRUNC(MAX(L21:N21)/1)*1),"")</f>
        <v>102</v>
      </c>
      <c r="Q21" s="117">
        <f>IF(O21="","",IF(P21="","",IF(SUM(O21:P21)=0,"",SUM(O21:P21))))</f>
        <v>178</v>
      </c>
      <c r="R21" s="118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>242.61091578591322</v>
      </c>
      <c r="S21" s="119" t="str">
        <f>IF(AD21=1,R21*AG21,"")</f>
        <v/>
      </c>
      <c r="T21" s="73">
        <f>IF('K2'!G19="","",'K2'!G19)</f>
        <v>6.92</v>
      </c>
      <c r="U21" s="73">
        <f>IF('K2'!K19="","",'K2'!K19)</f>
        <v>9.5299999999999994</v>
      </c>
      <c r="V21" s="73">
        <f>IF('K2'!N19="","",'K2'!N19)</f>
        <v>6.86</v>
      </c>
      <c r="W21" s="120"/>
      <c r="X21" s="121"/>
      <c r="Y21" s="134"/>
      <c r="Z21" s="75"/>
      <c r="AA21" s="123">
        <f>V5</f>
        <v>44450</v>
      </c>
      <c r="AB21" s="177" t="str">
        <f t="shared" ref="AB21" si="16">IF(ISNUMBER(FIND("M",C21)),"m",IF(ISNUMBER(FIND("K",C21)),"k"))</f>
        <v>m</v>
      </c>
      <c r="AC21" s="178">
        <f t="shared" ref="AC21" si="17">IF(OR(E21="",AA21=""),0,(YEAR(AA21)-YEAR(E21)))</f>
        <v>16</v>
      </c>
      <c r="AD21" s="179" t="str">
        <f t="shared" si="2"/>
        <v/>
      </c>
      <c r="AE21" s="180" t="b">
        <f>IF(AD21=1,LOOKUP(AC21,'Meltzer-Faber'!A3:A63,'Meltzer-Faber'!B3:B63))</f>
        <v>0</v>
      </c>
      <c r="AF21" s="180" t="b">
        <f>IF(AD21=1,LOOKUP(AC21,'Meltzer-Faber'!A3:A63,'Meltzer-Faber'!C3:C63))</f>
        <v>0</v>
      </c>
      <c r="AG21" s="180" t="b">
        <f t="shared" ref="AG21" si="18">IF(AB21="m",AE21,IF(AB21="k",AF21,""))</f>
        <v>0</v>
      </c>
    </row>
    <row r="22" spans="1:33" s="21" customFormat="1" ht="18" customHeight="1">
      <c r="A22" s="124"/>
      <c r="B22" s="125"/>
      <c r="C22" s="126"/>
      <c r="D22" s="127"/>
      <c r="E22" s="128"/>
      <c r="F22" s="260"/>
      <c r="G22" s="74"/>
      <c r="H22" s="74"/>
      <c r="I22" s="298"/>
      <c r="J22" s="289"/>
      <c r="K22" s="299"/>
      <c r="L22" s="286"/>
      <c r="M22" s="287"/>
      <c r="N22" s="288"/>
      <c r="O22" s="126"/>
      <c r="P22" s="130"/>
      <c r="Q22" s="289">
        <f>IF(R21="","",R21*1.2)</f>
        <v>291.13309894309583</v>
      </c>
      <c r="R22" s="289"/>
      <c r="S22" s="131"/>
      <c r="T22" s="132">
        <f>IF(T21="","",T21*20)</f>
        <v>138.4</v>
      </c>
      <c r="U22" s="132">
        <f>IF(U21="","",U21*13)</f>
        <v>123.88999999999999</v>
      </c>
      <c r="V22" s="78">
        <f>IF(V21="","",IF((80+(8-ROUNDUP(V21,1))*40)&lt;0,0,80+(8-ROUNDUP(V21,1))*40))</f>
        <v>124.00000000000003</v>
      </c>
      <c r="W22" s="78">
        <f>IF(SUM(T22,U22,V22)&gt;0,SUM(T22,U22,V22),"")</f>
        <v>386.28999999999996</v>
      </c>
      <c r="X22" s="133">
        <f>IF(OR(Q22="",T22="",U22="",V22=""),"",SUM(Q22,T22,U22,V22))</f>
        <v>677.42309894309585</v>
      </c>
      <c r="Y22" s="79">
        <v>7</v>
      </c>
      <c r="Z22" s="80"/>
      <c r="AA22" s="123"/>
    </row>
    <row r="23" spans="1:33" s="21" customFormat="1" ht="18" customHeight="1">
      <c r="A23" s="252" t="s">
        <v>134</v>
      </c>
      <c r="B23" s="224">
        <v>60.19</v>
      </c>
      <c r="C23" s="225" t="s">
        <v>128</v>
      </c>
      <c r="D23" s="253" t="s">
        <v>129</v>
      </c>
      <c r="E23" s="254">
        <v>38893</v>
      </c>
      <c r="F23" s="255"/>
      <c r="G23" s="256" t="s">
        <v>197</v>
      </c>
      <c r="H23" s="256" t="s">
        <v>88</v>
      </c>
      <c r="I23" s="258">
        <v>58</v>
      </c>
      <c r="J23" s="259">
        <v>63</v>
      </c>
      <c r="K23" s="259">
        <v>67</v>
      </c>
      <c r="L23" s="258">
        <v>77</v>
      </c>
      <c r="M23" s="259">
        <v>82</v>
      </c>
      <c r="N23" s="259">
        <v>85</v>
      </c>
      <c r="O23" s="115">
        <f>IF(MAX(I23:K23)&gt;0,IF(MAX(I23:K23)&lt;0,0,TRUNC(MAX(I23:K23)/1)*1),"")</f>
        <v>67</v>
      </c>
      <c r="P23" s="116">
        <f>IF(MAX(L23:N23)&gt;0,IF(MAX(L23:N23)&lt;0,0,TRUNC(MAX(L23:N23)/1)*1),"")</f>
        <v>85</v>
      </c>
      <c r="Q23" s="117">
        <f>IF(O23="","",IF(P23="","",IF(SUM(O23:P23)=0,"",SUM(O23:P23))))</f>
        <v>152</v>
      </c>
      <c r="R23" s="118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>220.93977117374385</v>
      </c>
      <c r="S23" s="119" t="str">
        <f>IF(AD23=1,R23*AG23,"")</f>
        <v/>
      </c>
      <c r="T23" s="73">
        <f>IF('K2'!G21="","",'K2'!G21)</f>
        <v>8.1</v>
      </c>
      <c r="U23" s="73">
        <f>IF('K2'!K21="","",'K2'!K21)</f>
        <v>11.89</v>
      </c>
      <c r="V23" s="73">
        <f>IF('K2'!N21="","",'K2'!N21)</f>
        <v>6.56</v>
      </c>
      <c r="W23" s="120"/>
      <c r="X23" s="121"/>
      <c r="Y23" s="134"/>
      <c r="Z23" s="75"/>
      <c r="AA23" s="123">
        <f>V5</f>
        <v>44450</v>
      </c>
      <c r="AB23" s="177" t="str">
        <f t="shared" ref="AB23" si="19">IF(ISNUMBER(FIND("M",C23)),"m",IF(ISNUMBER(FIND("K",C23)),"k"))</f>
        <v>m</v>
      </c>
      <c r="AC23" s="178">
        <f t="shared" ref="AC23" si="20">IF(OR(E23="",AA23=""),0,(YEAR(AA23)-YEAR(E23)))</f>
        <v>15</v>
      </c>
      <c r="AD23" s="179" t="str">
        <f t="shared" si="2"/>
        <v/>
      </c>
      <c r="AE23" s="180" t="b">
        <f>IF(AD23=1,LOOKUP(AC23,'Meltzer-Faber'!A3:A63,'Meltzer-Faber'!B3:B63))</f>
        <v>0</v>
      </c>
      <c r="AF23" s="180" t="b">
        <f>IF(AD23=1,LOOKUP(AC23,'Meltzer-Faber'!A3:A63,'Meltzer-Faber'!C3:C63))</f>
        <v>0</v>
      </c>
      <c r="AG23" s="180" t="b">
        <f t="shared" ref="AG23" si="21">IF(AB23="m",AE23,IF(AB23="k",AF23,""))</f>
        <v>0</v>
      </c>
    </row>
    <row r="24" spans="1:33" s="21" customFormat="1" ht="18" customHeight="1">
      <c r="A24" s="124"/>
      <c r="B24" s="125"/>
      <c r="C24" s="126"/>
      <c r="D24" s="127"/>
      <c r="E24" s="128"/>
      <c r="F24" s="260"/>
      <c r="G24" s="74"/>
      <c r="H24" s="74"/>
      <c r="I24" s="298"/>
      <c r="J24" s="289"/>
      <c r="K24" s="299"/>
      <c r="L24" s="286"/>
      <c r="M24" s="287"/>
      <c r="N24" s="288"/>
      <c r="O24" s="126"/>
      <c r="P24" s="130"/>
      <c r="Q24" s="289">
        <f>IF(R23="","",R23*1.2)</f>
        <v>265.12772540849261</v>
      </c>
      <c r="R24" s="289"/>
      <c r="S24" s="131"/>
      <c r="T24" s="132">
        <f>IF(T23="","",T23*20)</f>
        <v>162</v>
      </c>
      <c r="U24" s="132">
        <f>IF(U23="","",U23*13)</f>
        <v>154.57</v>
      </c>
      <c r="V24" s="78">
        <f>IF(V23="","",IF((80+(8-ROUNDUP(V23,1))*40)&lt;0,0,80+(8-ROUNDUP(V23,1))*40))</f>
        <v>136</v>
      </c>
      <c r="W24" s="78">
        <f>IF(SUM(T24,U24,V24)&gt;0,SUM(T24,U24,V24),"")</f>
        <v>452.57</v>
      </c>
      <c r="X24" s="133">
        <f>IF(OR(Q24="",T24="",U24="",V24=""),"",SUM(Q24,T24,U24,V24))</f>
        <v>717.6977254084926</v>
      </c>
      <c r="Y24" s="79">
        <v>5</v>
      </c>
      <c r="Z24" s="80"/>
      <c r="AA24" s="123"/>
    </row>
    <row r="25" spans="1:33" s="21" customFormat="1" ht="18" customHeight="1">
      <c r="A25" s="112"/>
      <c r="B25" s="113"/>
      <c r="C25" s="71"/>
      <c r="D25" s="114"/>
      <c r="E25" s="71"/>
      <c r="F25" s="71"/>
      <c r="G25" s="72"/>
      <c r="H25" s="72"/>
      <c r="I25" s="156"/>
      <c r="J25" s="157"/>
      <c r="K25" s="157"/>
      <c r="L25" s="157"/>
      <c r="M25" s="157"/>
      <c r="N25" s="157"/>
      <c r="O25" s="115" t="str">
        <f>IF(MAX(I25:K25)&gt;0,IF(MAX(I25:K25)&lt;0,0,TRUNC(MAX(I25:K25)/1)*1),"")</f>
        <v/>
      </c>
      <c r="P25" s="116" t="str">
        <f>IF(MAX(L25:N25)&gt;0,IF(MAX(L25:N25)&lt;0,0,TRUNC(MAX(L25:N25)/1)*1),"")</f>
        <v/>
      </c>
      <c r="Q25" s="117" t="str">
        <f>IF(O25="","",IF(P25="","",IF(SUM(O25:P25)=0,"",SUM(O25:P25))))</f>
        <v/>
      </c>
      <c r="R25" s="118" t="str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119" t="str">
        <f>IF(AD25=1,R25*AG25,"")</f>
        <v/>
      </c>
      <c r="T25" s="73" t="str">
        <f>IF('K2'!G23="","",'K2'!G23)</f>
        <v/>
      </c>
      <c r="U25" s="73" t="str">
        <f>IF('K2'!K23="","",'K2'!K23)</f>
        <v/>
      </c>
      <c r="V25" s="73" t="str">
        <f>IF('K2'!N23="","",'K2'!N23)</f>
        <v/>
      </c>
      <c r="W25" s="120"/>
      <c r="X25" s="121"/>
      <c r="Y25" s="134"/>
      <c r="Z25" s="75"/>
      <c r="AA25" s="123">
        <f>V5</f>
        <v>44450</v>
      </c>
      <c r="AB25" s="177" t="b">
        <f t="shared" ref="AB25" si="22">IF(ISNUMBER(FIND("M",C25)),"m",IF(ISNUMBER(FIND("K",C25)),"k"))</f>
        <v>0</v>
      </c>
      <c r="AC25" s="178">
        <f t="shared" ref="AC25" si="23">IF(OR(E25="",AA25=""),0,(YEAR(AA25)-YEAR(E25)))</f>
        <v>0</v>
      </c>
      <c r="AD25" s="179" t="str">
        <f t="shared" si="2"/>
        <v/>
      </c>
      <c r="AE25" s="180" t="b">
        <f>IF(AD25=1,LOOKUP(AC25,'Meltzer-Faber'!A3:A63,'Meltzer-Faber'!B3:B63))</f>
        <v>0</v>
      </c>
      <c r="AF25" s="180" t="b">
        <f>IF(AD25=1,LOOKUP(AC25,'Meltzer-Faber'!A3:A63,'Meltzer-Faber'!C3:C63))</f>
        <v>0</v>
      </c>
      <c r="AG25" s="180" t="str">
        <f t="shared" ref="AG25" si="24">IF(AB25="m",AE25,IF(AB25="k",AF25,""))</f>
        <v/>
      </c>
    </row>
    <row r="26" spans="1:33" s="21" customFormat="1" ht="18" customHeight="1">
      <c r="A26" s="124"/>
      <c r="B26" s="125"/>
      <c r="C26" s="135"/>
      <c r="D26" s="127"/>
      <c r="E26" s="128"/>
      <c r="F26" s="128"/>
      <c r="G26" s="74"/>
      <c r="H26" s="129"/>
      <c r="I26" s="286"/>
      <c r="J26" s="287"/>
      <c r="K26" s="288"/>
      <c r="L26" s="286"/>
      <c r="M26" s="287"/>
      <c r="N26" s="288"/>
      <c r="O26" s="126"/>
      <c r="P26" s="130"/>
      <c r="Q26" s="289" t="str">
        <f>IF(R25="","",R25*1.2)</f>
        <v/>
      </c>
      <c r="R26" s="289"/>
      <c r="S26" s="131"/>
      <c r="T26" s="132" t="str">
        <f>IF(T25="","",T25*20)</f>
        <v/>
      </c>
      <c r="U26" s="132" t="str">
        <f>IF(U25="","",U25*13)</f>
        <v/>
      </c>
      <c r="V26" s="78" t="str">
        <f>IF(V25="","",IF((80+(8-ROUNDUP(V25,1))*40)&lt;0,0,80+(8-ROUNDUP(V25,1))*40))</f>
        <v/>
      </c>
      <c r="W26" s="78" t="str">
        <f>IF(SUM(T26,U26,V26)&gt;0,SUM(T26,U26,V26),"")</f>
        <v/>
      </c>
      <c r="X26" s="133" t="str">
        <f>IF(OR(Q26="",T26="",U26="",V26=""),"",SUM(Q26,T26,U26,V26))</f>
        <v/>
      </c>
      <c r="Y26" s="79"/>
      <c r="Z26" s="80"/>
      <c r="AA26" s="123"/>
    </row>
    <row r="27" spans="1:33" s="21" customFormat="1" ht="18" customHeight="1">
      <c r="A27" s="112"/>
      <c r="B27" s="113"/>
      <c r="C27" s="71"/>
      <c r="D27" s="114"/>
      <c r="E27" s="71"/>
      <c r="F27" s="71"/>
      <c r="G27" s="72"/>
      <c r="H27" s="72"/>
      <c r="I27" s="156"/>
      <c r="J27" s="157"/>
      <c r="K27" s="157"/>
      <c r="L27" s="157"/>
      <c r="M27" s="157"/>
      <c r="N27" s="157"/>
      <c r="O27" s="115" t="str">
        <f>IF(MAX(I27:K27)&gt;0,IF(MAX(I27:K27)&lt;0,0,TRUNC(MAX(I27:K27)/1)*1),"")</f>
        <v/>
      </c>
      <c r="P27" s="116" t="str">
        <f>IF(MAX(L27:N27)&gt;0,IF(MAX(L27:N27)&lt;0,0,TRUNC(MAX(L27:N27)/1)*1),"")</f>
        <v/>
      </c>
      <c r="Q27" s="117" t="str">
        <f>IF(O27="","",IF(P27="","",IF(SUM(O27:P27)=0,"",SUM(O27:P27))))</f>
        <v/>
      </c>
      <c r="R27" s="118" t="str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119" t="str">
        <f>IF(AD27=1,R27*AG27,"")</f>
        <v/>
      </c>
      <c r="T27" s="73" t="str">
        <f>IF('K2'!G25="","",'K2'!G25)</f>
        <v/>
      </c>
      <c r="U27" s="73" t="str">
        <f>IF('K2'!K25="","",'K2'!K25)</f>
        <v/>
      </c>
      <c r="V27" s="73" t="str">
        <f>IF('K2'!N25="","",'K2'!N25)</f>
        <v/>
      </c>
      <c r="W27" s="120"/>
      <c r="X27" s="121"/>
      <c r="Y27" s="134"/>
      <c r="Z27" s="75"/>
      <c r="AA27" s="123">
        <f>V5</f>
        <v>44450</v>
      </c>
      <c r="AB27" s="177" t="b">
        <f t="shared" ref="AB27" si="25">IF(ISNUMBER(FIND("M",C27)),"m",IF(ISNUMBER(FIND("K",C27)),"k"))</f>
        <v>0</v>
      </c>
      <c r="AC27" s="178">
        <f t="shared" ref="AC27" si="26">IF(OR(E27="",AA27=""),0,(YEAR(AA27)-YEAR(E27)))</f>
        <v>0</v>
      </c>
      <c r="AD27" s="179" t="str">
        <f t="shared" si="2"/>
        <v/>
      </c>
      <c r="AE27" s="180" t="b">
        <f>IF(AD27=1,LOOKUP(AC27,'Meltzer-Faber'!A3:A63,'Meltzer-Faber'!B3:B63))</f>
        <v>0</v>
      </c>
      <c r="AF27" s="180" t="b">
        <f>IF(AD27=1,LOOKUP(AC27,'Meltzer-Faber'!A3:A63,'Meltzer-Faber'!C3:C63))</f>
        <v>0</v>
      </c>
      <c r="AG27" s="180" t="str">
        <f t="shared" ref="AG27" si="27">IF(AB27="m",AE27,IF(AB27="k",AF27,""))</f>
        <v/>
      </c>
    </row>
    <row r="28" spans="1:33" s="21" customFormat="1" ht="18" customHeight="1">
      <c r="A28" s="124"/>
      <c r="B28" s="125"/>
      <c r="C28" s="126"/>
      <c r="D28" s="127"/>
      <c r="E28" s="128"/>
      <c r="F28" s="128"/>
      <c r="G28" s="74"/>
      <c r="H28" s="129"/>
      <c r="I28" s="286"/>
      <c r="J28" s="287"/>
      <c r="K28" s="288"/>
      <c r="L28" s="286"/>
      <c r="M28" s="287"/>
      <c r="N28" s="288"/>
      <c r="O28" s="126"/>
      <c r="P28" s="130"/>
      <c r="Q28" s="289" t="str">
        <f>IF(R27="","",R27*1.2)</f>
        <v/>
      </c>
      <c r="R28" s="289"/>
      <c r="S28" s="131"/>
      <c r="T28" s="132" t="str">
        <f>IF(T27="","",T27*20)</f>
        <v/>
      </c>
      <c r="U28" s="132" t="str">
        <f>IF(U27="","",U27*13)</f>
        <v/>
      </c>
      <c r="V28" s="78" t="str">
        <f>IF(V27="","",IF((80+(8-ROUNDUP(V27,1))*40)&lt;0,0,80+(8-ROUNDUP(V27,1))*40))</f>
        <v/>
      </c>
      <c r="W28" s="78" t="str">
        <f>IF(SUM(T28,U28,V28)&gt;0,SUM(T28,U28,V28),"")</f>
        <v/>
      </c>
      <c r="X28" s="133" t="str">
        <f>IF(OR(Q28="",T28="",U28="",V28=""),"",SUM(Q28,T28,U28,V28))</f>
        <v/>
      </c>
      <c r="Y28" s="79"/>
      <c r="Z28" s="80"/>
      <c r="AA28" s="123"/>
    </row>
    <row r="29" spans="1:33" s="21" customFormat="1" ht="18" customHeight="1">
      <c r="A29" s="112"/>
      <c r="B29" s="113"/>
      <c r="C29" s="71"/>
      <c r="D29" s="114"/>
      <c r="E29" s="71"/>
      <c r="F29" s="71"/>
      <c r="G29" s="72"/>
      <c r="H29" s="72"/>
      <c r="I29" s="156"/>
      <c r="J29" s="157"/>
      <c r="K29" s="157"/>
      <c r="L29" s="157"/>
      <c r="M29" s="157"/>
      <c r="N29" s="157"/>
      <c r="O29" s="115" t="str">
        <f>IF(MAX(I29:K29)&gt;0,IF(MAX(I29:K29)&lt;0,0,TRUNC(MAX(I29:K29)/1)*1),"")</f>
        <v/>
      </c>
      <c r="P29" s="116" t="str">
        <f>IF(MAX(L29:N29)&gt;0,IF(MAX(L29:N29)&lt;0,0,TRUNC(MAX(L29:N29)/1)*1),"")</f>
        <v/>
      </c>
      <c r="Q29" s="117" t="str">
        <f>IF(O29="","",IF(P29="","",IF(SUM(O29:P29)=0,"",SUM(O29:P29))))</f>
        <v/>
      </c>
      <c r="R29" s="118" t="str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119" t="str">
        <f>IF(AD29=1,R29*AG29,"")</f>
        <v/>
      </c>
      <c r="T29" s="73" t="str">
        <f>IF('K2'!G27="","",'K2'!G27)</f>
        <v/>
      </c>
      <c r="U29" s="73" t="str">
        <f>IF('K2'!K27="","",'K2'!K27)</f>
        <v/>
      </c>
      <c r="V29" s="73" t="str">
        <f>IF('K2'!N27="","",'K2'!N27)</f>
        <v/>
      </c>
      <c r="W29" s="120"/>
      <c r="X29" s="121"/>
      <c r="Y29" s="134"/>
      <c r="Z29" s="75"/>
      <c r="AA29" s="123">
        <f>V5</f>
        <v>44450</v>
      </c>
      <c r="AB29" s="177" t="b">
        <f t="shared" ref="AB29" si="28">IF(ISNUMBER(FIND("M",C29)),"m",IF(ISNUMBER(FIND("K",C29)),"k"))</f>
        <v>0</v>
      </c>
      <c r="AC29" s="178">
        <f t="shared" ref="AC29" si="29">IF(OR(E29="",AA29=""),0,(YEAR(AA29)-YEAR(E29)))</f>
        <v>0</v>
      </c>
      <c r="AD29" s="179" t="str">
        <f t="shared" si="2"/>
        <v/>
      </c>
      <c r="AE29" s="180" t="b">
        <f>IF(AD29=1,LOOKUP(AC29,'Meltzer-Faber'!A3:A63,'Meltzer-Faber'!B3:B63))</f>
        <v>0</v>
      </c>
      <c r="AF29" s="180" t="b">
        <f>IF(AD29=1,LOOKUP(AC29,'Meltzer-Faber'!A3:A63,'Meltzer-Faber'!C3:C63))</f>
        <v>0</v>
      </c>
      <c r="AG29" s="180" t="str">
        <f t="shared" ref="AG29" si="30">IF(AB29="m",AE29,IF(AB29="k",AF29,""))</f>
        <v/>
      </c>
    </row>
    <row r="30" spans="1:33" s="21" customFormat="1" ht="18" customHeight="1">
      <c r="A30" s="124"/>
      <c r="B30" s="125"/>
      <c r="C30" s="126"/>
      <c r="D30" s="127"/>
      <c r="E30" s="128"/>
      <c r="F30" s="264"/>
      <c r="G30" s="74"/>
      <c r="H30" s="129"/>
      <c r="I30" s="286"/>
      <c r="J30" s="287"/>
      <c r="K30" s="288"/>
      <c r="L30" s="286"/>
      <c r="M30" s="287"/>
      <c r="N30" s="288"/>
      <c r="O30" s="126"/>
      <c r="P30" s="130"/>
      <c r="Q30" s="289" t="str">
        <f>IF(R29="","",R29*1.2)</f>
        <v/>
      </c>
      <c r="R30" s="289"/>
      <c r="S30" s="131"/>
      <c r="T30" s="132" t="str">
        <f>IF(T29="","",T29*20)</f>
        <v/>
      </c>
      <c r="U30" s="132" t="str">
        <f>IF(U29="","",U29*13)</f>
        <v/>
      </c>
      <c r="V30" s="78" t="str">
        <f>IF(V29="","",IF((80+(8-ROUNDUP(V29,1))*40)&lt;0,0,80+(8-ROUNDUP(V29,1))*40))</f>
        <v/>
      </c>
      <c r="W30" s="78" t="str">
        <f>IF(SUM(T30,U30,V30)&gt;0,SUM(T30,U30,V30),"")</f>
        <v/>
      </c>
      <c r="X30" s="133" t="str">
        <f>IF(OR(Q30="",T30="",U30="",V30=""),"",SUM(Q30,T30,U30,V30))</f>
        <v/>
      </c>
      <c r="Y30" s="79"/>
      <c r="Z30" s="80"/>
      <c r="AA30" s="123"/>
    </row>
    <row r="31" spans="1:33" s="21" customFormat="1" ht="18" customHeight="1">
      <c r="A31" s="112"/>
      <c r="B31" s="113"/>
      <c r="C31" s="71"/>
      <c r="D31" s="114"/>
      <c r="E31" s="71"/>
      <c r="F31" s="71"/>
      <c r="G31" s="72"/>
      <c r="H31" s="72"/>
      <c r="I31" s="156"/>
      <c r="J31" s="157"/>
      <c r="K31" s="157"/>
      <c r="L31" s="157"/>
      <c r="M31" s="157"/>
      <c r="N31" s="157"/>
      <c r="O31" s="269" t="str">
        <f>IF(MAX(I31:K31)&gt;0,IF(MAX(I31:K31)&lt;0,0,TRUNC(MAX(I31:K31)/1)*1),"")</f>
        <v/>
      </c>
      <c r="P31" s="270" t="str">
        <f>IF(MAX(L31:N31)&gt;0,IF(MAX(L31:N31)&lt;0,0,TRUNC(MAX(L31:N31)/1)*1),"")</f>
        <v/>
      </c>
      <c r="Q31" s="271" t="str">
        <f>IF(O31="","",IF(P31="","",IF(SUM(O31:P31)=0,"",SUM(O31:P31))))</f>
        <v/>
      </c>
      <c r="R31" s="27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21" t="str">
        <f>IF(AD31=1,R31*AG31,"")</f>
        <v/>
      </c>
      <c r="T31" s="73" t="str">
        <f>IF('K2'!G29="","",'K2'!G29)</f>
        <v/>
      </c>
      <c r="U31" s="73" t="str">
        <f>IF('K2'!K29="","",'K2'!K29)</f>
        <v/>
      </c>
      <c r="V31" s="73" t="str">
        <f>IF('K2'!N29="","",'K2'!N29)</f>
        <v/>
      </c>
      <c r="W31" s="120" t="s">
        <v>16</v>
      </c>
      <c r="X31" s="121"/>
      <c r="Y31" s="134"/>
      <c r="Z31" s="75"/>
      <c r="AA31" s="123">
        <f>V5</f>
        <v>44450</v>
      </c>
      <c r="AB31" s="177" t="b">
        <f t="shared" ref="AB31" si="31">IF(ISNUMBER(FIND("M",C31)),"m",IF(ISNUMBER(FIND("K",C31)),"k"))</f>
        <v>0</v>
      </c>
      <c r="AC31" s="178">
        <f t="shared" ref="AC31" si="32">IF(OR(E31="",AA31=""),0,(YEAR(AA31)-YEAR(E31)))</f>
        <v>0</v>
      </c>
      <c r="AD31" s="179" t="str">
        <f t="shared" si="2"/>
        <v/>
      </c>
      <c r="AE31" s="180" t="b">
        <f>IF(AD31=1,LOOKUP(AC31,'Meltzer-Faber'!A3:A63,'Meltzer-Faber'!B3:B63))</f>
        <v>0</v>
      </c>
      <c r="AF31" s="180" t="b">
        <f>IF(AD31=1,LOOKUP(AC31,'Meltzer-Faber'!A3:A63,'Meltzer-Faber'!C3:C63))</f>
        <v>0</v>
      </c>
      <c r="AG31" s="180" t="str">
        <f t="shared" ref="AG31" si="33">IF(AB31="m",AE31,IF(AB31="k",AF31,""))</f>
        <v/>
      </c>
    </row>
    <row r="32" spans="1:33" s="21" customFormat="1" ht="18" customHeight="1">
      <c r="A32" s="124"/>
      <c r="B32" s="125"/>
      <c r="C32" s="126"/>
      <c r="D32" s="127"/>
      <c r="E32" s="128"/>
      <c r="F32" s="264"/>
      <c r="G32" s="274"/>
      <c r="H32" s="275"/>
      <c r="I32" s="290"/>
      <c r="J32" s="291"/>
      <c r="K32" s="292"/>
      <c r="L32" s="290"/>
      <c r="M32" s="291"/>
      <c r="N32" s="292"/>
      <c r="O32" s="273"/>
      <c r="P32" s="276"/>
      <c r="Q32" s="314" t="str">
        <f>IF(R31="","",R31*1.2)</f>
        <v/>
      </c>
      <c r="R32" s="314"/>
      <c r="S32" s="277"/>
      <c r="T32" s="278" t="str">
        <f>IF(T31="","",T31*20)</f>
        <v/>
      </c>
      <c r="U32" s="278" t="str">
        <f>IF(U31="","",U31*13)</f>
        <v/>
      </c>
      <c r="V32" s="279" t="str">
        <f>IF(V31="","",IF((80+(8-ROUNDUP(V31,1))*40)&lt;0,0,80+(8-ROUNDUP(V31,1))*40))</f>
        <v/>
      </c>
      <c r="W32" s="279" t="str">
        <f>IF(SUM(T32,U32,V32)&gt;0,SUM(T32,U32,V32),"")</f>
        <v/>
      </c>
      <c r="X32" s="280" t="str">
        <f>IF(OR(Q32="",T32="",U32="",V32=""),"",SUM(Q32,T32,U32,V32))</f>
        <v/>
      </c>
      <c r="Y32" s="281"/>
      <c r="Z32" s="282"/>
      <c r="AA32" s="123"/>
    </row>
    <row r="33" spans="1:26" s="21" customFormat="1" ht="14">
      <c r="A33" s="136"/>
      <c r="B33" s="136"/>
      <c r="C33" s="136"/>
      <c r="D33" s="137"/>
      <c r="E33" s="138"/>
      <c r="F33" s="138"/>
      <c r="G33" s="139"/>
      <c r="H33" s="139"/>
      <c r="I33" s="140"/>
      <c r="J33" s="140"/>
      <c r="K33" s="140"/>
      <c r="L33" s="140"/>
      <c r="M33" s="140"/>
      <c r="N33" s="140"/>
      <c r="O33" s="136"/>
      <c r="P33" s="136"/>
      <c r="Q33" s="136"/>
      <c r="R33" s="136"/>
      <c r="S33" s="136"/>
      <c r="T33" s="140"/>
      <c r="U33" s="140"/>
      <c r="V33" s="141"/>
      <c r="W33" s="141"/>
      <c r="X33" s="142"/>
      <c r="Y33" s="143"/>
      <c r="Z33" s="144"/>
    </row>
    <row r="34" spans="1:26" s="167" customFormat="1" ht="14">
      <c r="A34" s="167" t="s">
        <v>13</v>
      </c>
      <c r="C34" s="302" t="s">
        <v>204</v>
      </c>
      <c r="D34" s="302"/>
      <c r="E34" s="302"/>
      <c r="F34" s="302"/>
      <c r="G34" s="302"/>
      <c r="H34" s="161" t="s">
        <v>14</v>
      </c>
      <c r="I34" s="145">
        <v>1</v>
      </c>
      <c r="J34" s="302" t="s">
        <v>108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s="167" customFormat="1" ht="14">
      <c r="A35"/>
      <c r="C35" s="303"/>
      <c r="D35" s="303"/>
      <c r="E35" s="303"/>
      <c r="F35" s="303"/>
      <c r="G35" s="303"/>
      <c r="H35" s="162"/>
      <c r="I35" s="145">
        <v>2</v>
      </c>
      <c r="J35" s="302" t="s">
        <v>109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s="167" customFormat="1" ht="14">
      <c r="A36" s="167" t="s">
        <v>49</v>
      </c>
      <c r="C36" s="302"/>
      <c r="D36" s="302"/>
      <c r="E36" s="302"/>
      <c r="F36" s="302"/>
      <c r="G36" s="302"/>
      <c r="H36" s="161"/>
      <c r="I36" s="167">
        <v>3</v>
      </c>
      <c r="J36" s="302" t="s">
        <v>206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s="4" customFormat="1" ht="14">
      <c r="A37"/>
      <c r="B37" s="166"/>
      <c r="C37" s="302"/>
      <c r="D37" s="302"/>
      <c r="E37" s="302"/>
      <c r="F37" s="302"/>
      <c r="G37" s="302"/>
      <c r="H37" s="161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</row>
    <row r="38" spans="1:26" s="4" customFormat="1" ht="14">
      <c r="A38"/>
      <c r="B38" s="167"/>
      <c r="C38" s="302"/>
      <c r="D38" s="302"/>
      <c r="E38" s="302"/>
      <c r="F38" s="302"/>
      <c r="G38" s="302"/>
      <c r="H38" s="147" t="s">
        <v>50</v>
      </c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spans="1:26" s="4" customFormat="1" ht="14">
      <c r="A39" s="1"/>
      <c r="B39" s="1"/>
      <c r="C39" s="146"/>
      <c r="D39" s="3"/>
      <c r="E39" s="3"/>
      <c r="F39" s="3"/>
      <c r="H39" s="147" t="s">
        <v>51</v>
      </c>
      <c r="I39" s="315" t="s">
        <v>110</v>
      </c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 spans="1:26" s="4" customFormat="1" ht="14">
      <c r="A40" s="167" t="s">
        <v>15</v>
      </c>
      <c r="B40" s="167"/>
      <c r="C40" s="302" t="s">
        <v>101</v>
      </c>
      <c r="D40" s="302"/>
      <c r="E40" s="302"/>
      <c r="F40" s="302"/>
      <c r="G40" s="302"/>
      <c r="H40" s="147" t="s">
        <v>52</v>
      </c>
      <c r="I40" s="315" t="s">
        <v>107</v>
      </c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spans="1:26" s="4" customFormat="1" ht="14">
      <c r="A41" s="1"/>
      <c r="B41" s="1"/>
      <c r="C41" s="302" t="s">
        <v>106</v>
      </c>
      <c r="D41" s="302"/>
      <c r="E41" s="302"/>
      <c r="F41" s="302"/>
      <c r="G41" s="302"/>
      <c r="H41" s="161"/>
      <c r="I41" s="147"/>
      <c r="J41" s="167"/>
      <c r="K41" s="148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4">
      <c r="A42" s="167" t="s">
        <v>53</v>
      </c>
      <c r="B42" s="167"/>
      <c r="C42" s="302" t="s">
        <v>100</v>
      </c>
      <c r="D42" s="302"/>
      <c r="E42" s="302"/>
      <c r="F42" s="302"/>
      <c r="G42" s="302"/>
      <c r="H42" s="147" t="s">
        <v>18</v>
      </c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spans="1:26" s="4" customFormat="1" ht="14">
      <c r="A43" s="1"/>
      <c r="B43" s="1"/>
      <c r="C43" s="302"/>
      <c r="D43" s="302"/>
      <c r="E43" s="302"/>
      <c r="F43" s="302"/>
      <c r="G43" s="302"/>
      <c r="H43" s="161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spans="1:26" s="4" customFormat="1">
      <c r="A44" s="149" t="s">
        <v>17</v>
      </c>
      <c r="B44" s="150" t="s">
        <v>63</v>
      </c>
      <c r="C44" s="150"/>
      <c r="D44" s="151"/>
      <c r="E44" s="151"/>
      <c r="F44" s="151"/>
      <c r="G44" s="152"/>
      <c r="H44" s="152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</row>
    <row r="45" spans="1:26" s="4" customFormat="1">
      <c r="A45" s="1"/>
      <c r="B45" s="1"/>
      <c r="C45" s="150"/>
      <c r="D45" s="3"/>
      <c r="E45" s="3"/>
      <c r="F45" s="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</row>
    <row r="46" spans="1:26" s="4" customFormat="1">
      <c r="A46" s="1"/>
      <c r="B46" s="1"/>
      <c r="C46" s="2"/>
      <c r="D46" s="3"/>
      <c r="E46" s="3"/>
      <c r="F46" s="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</row>
    <row r="47" spans="1:26">
      <c r="K47" s="153"/>
    </row>
    <row r="48" spans="1:26">
      <c r="K48" s="1"/>
    </row>
    <row r="49" spans="11:11">
      <c r="K49" s="1"/>
    </row>
    <row r="50" spans="11:11">
      <c r="K50" s="1"/>
    </row>
  </sheetData>
  <mergeCells count="70">
    <mergeCell ref="S3:Z3"/>
    <mergeCell ref="A5:B5"/>
    <mergeCell ref="C5:G5"/>
    <mergeCell ref="I5:N5"/>
    <mergeCell ref="P5:T5"/>
    <mergeCell ref="V5:W5"/>
    <mergeCell ref="I10:K10"/>
    <mergeCell ref="L10:N10"/>
    <mergeCell ref="Q10:R10"/>
    <mergeCell ref="G2:R2"/>
    <mergeCell ref="G3:R3"/>
    <mergeCell ref="I7:K7"/>
    <mergeCell ref="L7:N7"/>
    <mergeCell ref="O7:R7"/>
    <mergeCell ref="I8:K8"/>
    <mergeCell ref="L8:N8"/>
    <mergeCell ref="I12:K12"/>
    <mergeCell ref="L12:N12"/>
    <mergeCell ref="Q12:R12"/>
    <mergeCell ref="I14:K14"/>
    <mergeCell ref="L14:N14"/>
    <mergeCell ref="Q14:R14"/>
    <mergeCell ref="I16:K16"/>
    <mergeCell ref="L16:N16"/>
    <mergeCell ref="Q16:R16"/>
    <mergeCell ref="I18:K18"/>
    <mergeCell ref="L18:N18"/>
    <mergeCell ref="Q18:R18"/>
    <mergeCell ref="I20:K20"/>
    <mergeCell ref="L20:N20"/>
    <mergeCell ref="Q20:R20"/>
    <mergeCell ref="I22:K22"/>
    <mergeCell ref="L22:N22"/>
    <mergeCell ref="Q22:R22"/>
    <mergeCell ref="I24:K24"/>
    <mergeCell ref="L24:N24"/>
    <mergeCell ref="Q24:R24"/>
    <mergeCell ref="I26:K26"/>
    <mergeCell ref="L26:N26"/>
    <mergeCell ref="Q26:R26"/>
    <mergeCell ref="I32:K32"/>
    <mergeCell ref="L32:N32"/>
    <mergeCell ref="Q32:R32"/>
    <mergeCell ref="C34:G34"/>
    <mergeCell ref="J34:Z34"/>
    <mergeCell ref="I28:K28"/>
    <mergeCell ref="L28:N28"/>
    <mergeCell ref="Q28:R28"/>
    <mergeCell ref="I30:K30"/>
    <mergeCell ref="L30:N30"/>
    <mergeCell ref="Q30:R30"/>
    <mergeCell ref="I46:Z46"/>
    <mergeCell ref="I39:Z39"/>
    <mergeCell ref="C40:G40"/>
    <mergeCell ref="I40:Z40"/>
    <mergeCell ref="C41:G41"/>
    <mergeCell ref="C42:G42"/>
    <mergeCell ref="I42:Z42"/>
    <mergeCell ref="C43:G43"/>
    <mergeCell ref="I43:Z43"/>
    <mergeCell ref="C38:G38"/>
    <mergeCell ref="I38:Z38"/>
    <mergeCell ref="J37:Z37"/>
    <mergeCell ref="I44:Z44"/>
    <mergeCell ref="I45:Z45"/>
    <mergeCell ref="C35:G35"/>
    <mergeCell ref="J35:Z35"/>
    <mergeCell ref="C36:G36"/>
    <mergeCell ref="J36:Z36"/>
    <mergeCell ref="C37:G37"/>
  </mergeCells>
  <conditionalFormatting sqref="I25:N25">
    <cfRule type="cellIs" dxfId="195" priority="43" stopIfTrue="1" operator="between">
      <formula>1</formula>
      <formula>300</formula>
    </cfRule>
    <cfRule type="cellIs" dxfId="194" priority="44" stopIfTrue="1" operator="lessThanOrEqual">
      <formula>0</formula>
    </cfRule>
  </conditionalFormatting>
  <conditionalFormatting sqref="I27:N27">
    <cfRule type="cellIs" dxfId="193" priority="41" stopIfTrue="1" operator="between">
      <formula>1</formula>
      <formula>300</formula>
    </cfRule>
    <cfRule type="cellIs" dxfId="192" priority="42" stopIfTrue="1" operator="lessThanOrEqual">
      <formula>0</formula>
    </cfRule>
  </conditionalFormatting>
  <conditionalFormatting sqref="I29:N29">
    <cfRule type="cellIs" dxfId="191" priority="39" stopIfTrue="1" operator="between">
      <formula>1</formula>
      <formula>300</formula>
    </cfRule>
    <cfRule type="cellIs" dxfId="190" priority="40" stopIfTrue="1" operator="lessThanOrEqual">
      <formula>0</formula>
    </cfRule>
  </conditionalFormatting>
  <conditionalFormatting sqref="I31:N31">
    <cfRule type="cellIs" dxfId="189" priority="37" stopIfTrue="1" operator="between">
      <formula>1</formula>
      <formula>300</formula>
    </cfRule>
    <cfRule type="cellIs" dxfId="188" priority="38" stopIfTrue="1" operator="lessThanOrEqual">
      <formula>0</formula>
    </cfRule>
  </conditionalFormatting>
  <conditionalFormatting sqref="I21:N21">
    <cfRule type="cellIs" dxfId="187" priority="15" stopIfTrue="1" operator="between">
      <formula>1</formula>
      <formula>300</formula>
    </cfRule>
    <cfRule type="cellIs" dxfId="186" priority="16" stopIfTrue="1" operator="lessThanOrEqual">
      <formula>0</formula>
    </cfRule>
  </conditionalFormatting>
  <conditionalFormatting sqref="I17:N17">
    <cfRule type="cellIs" dxfId="185" priority="13" stopIfTrue="1" operator="between">
      <formula>1</formula>
      <formula>300</formula>
    </cfRule>
    <cfRule type="cellIs" dxfId="184" priority="14" stopIfTrue="1" operator="lessThanOrEqual">
      <formula>0</formula>
    </cfRule>
  </conditionalFormatting>
  <conditionalFormatting sqref="I23:N23">
    <cfRule type="cellIs" dxfId="183" priority="11" stopIfTrue="1" operator="between">
      <formula>1</formula>
      <formula>300</formula>
    </cfRule>
    <cfRule type="cellIs" dxfId="182" priority="12" stopIfTrue="1" operator="lessThanOrEqual">
      <formula>0</formula>
    </cfRule>
  </conditionalFormatting>
  <conditionalFormatting sqref="I13:N13">
    <cfRule type="cellIs" dxfId="181" priority="9" stopIfTrue="1" operator="between">
      <formula>1</formula>
      <formula>300</formula>
    </cfRule>
    <cfRule type="cellIs" dxfId="180" priority="10" stopIfTrue="1" operator="lessThanOrEqual">
      <formula>0</formula>
    </cfRule>
  </conditionalFormatting>
  <conditionalFormatting sqref="I9:N9">
    <cfRule type="cellIs" dxfId="179" priority="7" stopIfTrue="1" operator="between">
      <formula>1</formula>
      <formula>300</formula>
    </cfRule>
    <cfRule type="cellIs" dxfId="178" priority="8" stopIfTrue="1" operator="lessThanOrEqual">
      <formula>0</formula>
    </cfRule>
  </conditionalFormatting>
  <conditionalFormatting sqref="I11:N11">
    <cfRule type="cellIs" dxfId="177" priority="5" stopIfTrue="1" operator="between">
      <formula>1</formula>
      <formula>300</formula>
    </cfRule>
    <cfRule type="cellIs" dxfId="176" priority="6" stopIfTrue="1" operator="lessThanOrEqual">
      <formula>0</formula>
    </cfRule>
  </conditionalFormatting>
  <conditionalFormatting sqref="I15:N15">
    <cfRule type="cellIs" dxfId="175" priority="3" stopIfTrue="1" operator="between">
      <formula>1</formula>
      <formula>300</formula>
    </cfRule>
    <cfRule type="cellIs" dxfId="174" priority="4" stopIfTrue="1" operator="lessThanOrEqual">
      <formula>0</formula>
    </cfRule>
  </conditionalFormatting>
  <conditionalFormatting sqref="I19:N19">
    <cfRule type="cellIs" dxfId="173" priority="1" stopIfTrue="1" operator="between">
      <formula>1</formula>
      <formula>300</formula>
    </cfRule>
    <cfRule type="cellIs" dxfId="172" priority="2" stopIfTrue="1" operator="lessThanOrEqual">
      <formula>0</formula>
    </cfRule>
  </conditionalFormatting>
  <dataValidations count="3">
    <dataValidation type="list" allowBlank="1" showInputMessage="1" showErrorMessage="1" errorTitle="Feil_i_kat.v.løft" error="Feil verdi i kategori vektløfting" sqref="C9 C29 C27 C19 C13 C17 C25 C21 C23 C11 C15 C31" xr:uid="{B3FDF14E-D0A3-E245-8037-571FA7DC2392}">
      <formula1>"UM,JM,SM,UK,JK,SK,M1,M2,M3,M4,M5,M6,M7,M8,M9,M10,K1,K2,K3,K4,K5,K6,K7,K8,K9,K10"</formula1>
    </dataValidation>
    <dataValidation type="list" allowBlank="1" showInputMessage="1" showErrorMessage="1" errorTitle="Feil_i_vektklasse" error="Feil verddi i vektklasse" sqref="A9 A11 A25 A15 A17 A19 A29 A23 A21 A27 A31 A13" xr:uid="{B700C764-BCD0-2044-996F-DE891DE0D57C}">
      <formula1>"40,45,49,55,59,64,71,76,81,+81,81+,87,+87,87+,49,55,61,67,73,81,89,96,102,+102,102+,109,+109,109+"</formula1>
    </dataValidation>
    <dataValidation type="list" allowBlank="1" showInputMessage="1" showErrorMessage="1" errorTitle="Feil_i_kat. 5-kamp" error="Feil verdi i kategori 5-kamp" sqref="D9 D11 D13 D15 D17 D19 D21 D23 D25 D27 D29 D31" xr:uid="{474B421B-CA36-FE47-825E-D95E4B8EB2BA}">
      <formula1>"13-14,15-16,17-18,19-23,+23,24-34,+35,35+"</formula1>
    </dataValidation>
  </dataValidations>
  <pageMargins left="0.27559055118110198" right="0.27559055118110198" top="0.27559055118110198" bottom="0.27559055118110198" header="0.511811023622047" footer="0.511811023622047"/>
  <pageSetup paperSize="9" scale="60" orientation="landscape" horizontalDpi="300" verticalDpi="300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P30"/>
  <sheetViews>
    <sheetView showGridLines="0" showRowColHeaders="0" showZeros="0" topLeftCell="A2" workbookViewId="0">
      <selection activeCell="K29" sqref="K29"/>
    </sheetView>
  </sheetViews>
  <sheetFormatPr baseColWidth="10" defaultColWidth="8.83203125" defaultRowHeight="13"/>
  <cols>
    <col min="1" max="1" width="5.6640625" customWidth="1"/>
    <col min="2" max="2" width="7.6640625" customWidth="1"/>
    <col min="3" max="3" width="27.6640625" customWidth="1"/>
    <col min="4" max="14" width="7.33203125" customWidth="1"/>
    <col min="15" max="15" width="9.33203125" customWidth="1"/>
    <col min="16" max="16" width="4.6640625" style="7" customWidth="1"/>
  </cols>
  <sheetData>
    <row r="1" spans="1:16" ht="23">
      <c r="A1" s="346" t="s">
        <v>56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81"/>
      <c r="P1" s="81"/>
    </row>
    <row r="2" spans="1:16" ht="15" customHeight="1">
      <c r="B2" s="16" t="s">
        <v>46</v>
      </c>
      <c r="C2" s="82" t="str">
        <f>IF('P1'!C5&gt;0,'P1'!C5,"")</f>
        <v>NM 5-kamp og NC4 (U/J)</v>
      </c>
      <c r="D2" s="82"/>
      <c r="E2" s="8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6">
      <c r="A3" s="352" t="s">
        <v>0</v>
      </c>
      <c r="B3" s="352"/>
      <c r="C3" s="348" t="str">
        <f>IF('P1'!I5&gt;0,'P1'!I5,"")</f>
        <v>Larvik AK</v>
      </c>
      <c r="D3" s="348"/>
      <c r="E3" s="18" t="s">
        <v>1</v>
      </c>
      <c r="F3" s="350" t="str">
        <f>IF('P1'!P5&gt;0,'P1'!P5,"")</f>
        <v>Stavernhallen</v>
      </c>
      <c r="G3" s="350"/>
      <c r="H3" s="350"/>
      <c r="I3" s="350"/>
      <c r="J3" s="158" t="s">
        <v>2</v>
      </c>
      <c r="K3" s="351">
        <v>44451</v>
      </c>
      <c r="L3" s="351"/>
      <c r="M3" s="19" t="s">
        <v>20</v>
      </c>
      <c r="N3" s="64">
        <v>7</v>
      </c>
      <c r="O3" s="63"/>
      <c r="P3" s="20"/>
    </row>
    <row r="4" spans="1:16" ht="15" thickBot="1">
      <c r="B4" s="342" t="s">
        <v>73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19"/>
      <c r="P4" s="20"/>
    </row>
    <row r="5" spans="1:16" s="21" customFormat="1" ht="14">
      <c r="B5" s="22" t="s">
        <v>23</v>
      </c>
      <c r="C5" s="23" t="s">
        <v>6</v>
      </c>
      <c r="D5" s="343" t="s">
        <v>26</v>
      </c>
      <c r="E5" s="343"/>
      <c r="F5" s="343"/>
      <c r="G5" s="343"/>
      <c r="H5" s="344" t="s">
        <v>27</v>
      </c>
      <c r="I5" s="344"/>
      <c r="J5" s="344"/>
      <c r="K5" s="344"/>
      <c r="L5" s="345" t="s">
        <v>47</v>
      </c>
      <c r="M5" s="345"/>
      <c r="N5" s="345"/>
      <c r="O5" s="24"/>
      <c r="P5" s="25"/>
    </row>
    <row r="6" spans="1:16" ht="14" thickBot="1">
      <c r="B6" s="210" t="s">
        <v>29</v>
      </c>
      <c r="C6" s="26" t="s">
        <v>33</v>
      </c>
      <c r="D6" s="27">
        <v>1</v>
      </c>
      <c r="E6" s="27">
        <v>2</v>
      </c>
      <c r="F6" s="28">
        <v>3</v>
      </c>
      <c r="G6" s="29" t="s">
        <v>48</v>
      </c>
      <c r="H6" s="30">
        <v>1</v>
      </c>
      <c r="I6" s="27">
        <v>2</v>
      </c>
      <c r="J6" s="28">
        <v>3</v>
      </c>
      <c r="K6" s="29" t="s">
        <v>48</v>
      </c>
      <c r="L6" s="30">
        <v>1</v>
      </c>
      <c r="M6" s="28">
        <v>2</v>
      </c>
      <c r="N6" s="31" t="s">
        <v>48</v>
      </c>
      <c r="O6" s="32"/>
      <c r="P6" s="33"/>
    </row>
    <row r="7" spans="1:16" ht="16.5" customHeight="1">
      <c r="B7" s="217" t="str">
        <f>IF('P7'!D9="","",'P7'!D9)</f>
        <v>24-34</v>
      </c>
      <c r="C7" s="212" t="str">
        <f>IF('P7'!G9="","",'P7'!G9)</f>
        <v>Sarah Hovden Øvsthus</v>
      </c>
      <c r="D7" s="359" t="s">
        <v>207</v>
      </c>
      <c r="E7" s="51">
        <v>7.97</v>
      </c>
      <c r="F7" s="52">
        <v>8.1999999999999993</v>
      </c>
      <c r="G7" s="34">
        <f>IF(MAX(D7,E7,F7)&gt;0,MAX(D7,E7,F7),"")</f>
        <v>8.1999999999999993</v>
      </c>
      <c r="H7" s="55">
        <v>13.1</v>
      </c>
      <c r="I7" s="51">
        <v>13.14</v>
      </c>
      <c r="J7" s="51">
        <v>13.3</v>
      </c>
      <c r="K7" s="34">
        <f>IF(MAX(H7,I7,J7)&gt;0,MAX(H7,I7,J7),"")</f>
        <v>13.3</v>
      </c>
      <c r="L7" s="57">
        <v>6.52</v>
      </c>
      <c r="M7" s="52">
        <v>6.44</v>
      </c>
      <c r="N7" s="34">
        <f>IF(MIN(L7,M7)&gt;0,MIN(L7,M7),"")</f>
        <v>6.44</v>
      </c>
      <c r="O7" s="35"/>
      <c r="P7" s="36"/>
    </row>
    <row r="8" spans="1:16" ht="16.5" customHeight="1">
      <c r="B8" s="37"/>
      <c r="C8" s="213" t="str">
        <f>IF('P7'!H9="","",'P7'!H9)</f>
        <v>AK Bjørgvin</v>
      </c>
      <c r="D8" s="44"/>
      <c r="E8" s="44"/>
      <c r="F8" s="45"/>
      <c r="G8" s="38"/>
      <c r="H8" s="47"/>
      <c r="I8" s="44"/>
      <c r="J8" s="45"/>
      <c r="K8" s="39"/>
      <c r="L8" s="47"/>
      <c r="M8" s="45"/>
      <c r="N8" s="40"/>
      <c r="O8" s="41" t="str">
        <f>IF(SUM(L8:N8)&gt;0,SUM(L8:N8),"")</f>
        <v/>
      </c>
      <c r="P8" s="14"/>
    </row>
    <row r="9" spans="1:16" ht="16.5" customHeight="1">
      <c r="B9" s="215" t="str">
        <f>IF('P7'!D11="","",'P7'!D11)</f>
        <v>24-34</v>
      </c>
      <c r="C9" s="214" t="str">
        <f>IF('P7'!G11="","",'P7'!G11)</f>
        <v>Rebekka Tao Jacobsen</v>
      </c>
      <c r="D9" s="53">
        <v>7.22</v>
      </c>
      <c r="E9" s="53">
        <v>7.37</v>
      </c>
      <c r="F9" s="54">
        <v>7.37</v>
      </c>
      <c r="G9" s="42">
        <f>IF(MAX(D9,E9,F9)&gt;0,MAX(D9,E9,F9),"")</f>
        <v>7.37</v>
      </c>
      <c r="H9" s="56">
        <v>10.89</v>
      </c>
      <c r="I9" s="53">
        <v>11.42</v>
      </c>
      <c r="J9" s="53">
        <v>11.42</v>
      </c>
      <c r="K9" s="43">
        <f>IF(MAX(H9,I9,J9)&gt;0,MAX(H9,I9,J9),"")</f>
        <v>11.42</v>
      </c>
      <c r="L9" s="58">
        <v>6.75</v>
      </c>
      <c r="M9" s="54">
        <v>6.72</v>
      </c>
      <c r="N9" s="43">
        <f>IF(MIN(L9,M9)&gt;0,MIN(L9,M9),"")</f>
        <v>6.72</v>
      </c>
      <c r="O9" s="35"/>
      <c r="P9" s="36"/>
    </row>
    <row r="10" spans="1:16" ht="16.5" customHeight="1">
      <c r="B10" s="37"/>
      <c r="C10" s="213" t="str">
        <f>IF('P7'!H11="","",'P7'!H11)</f>
        <v>Larvik AK</v>
      </c>
      <c r="D10" s="44"/>
      <c r="E10" s="44"/>
      <c r="F10" s="45"/>
      <c r="G10" s="38"/>
      <c r="H10" s="47"/>
      <c r="I10" s="44"/>
      <c r="J10" s="45"/>
      <c r="K10" s="39"/>
      <c r="L10" s="47"/>
      <c r="M10" s="45"/>
      <c r="N10" s="40"/>
      <c r="O10" s="41" t="str">
        <f>IF(SUM(L10:N10)&gt;0,SUM(L10:N10),"")</f>
        <v/>
      </c>
      <c r="P10" s="14"/>
    </row>
    <row r="11" spans="1:16" ht="16.5" customHeight="1">
      <c r="B11" s="215" t="str">
        <f>IF('P7'!D13="","",'P7'!D13)</f>
        <v>24-34</v>
      </c>
      <c r="C11" s="214" t="str">
        <f>IF('P7'!G13="","",'P7'!G13)</f>
        <v>Isabell Thorberg</v>
      </c>
      <c r="D11" s="53">
        <v>6.63</v>
      </c>
      <c r="E11" s="53">
        <v>6.61</v>
      </c>
      <c r="F11" s="54">
        <v>6.2</v>
      </c>
      <c r="G11" s="42">
        <f>IF(MAX(D11,E11,F11)&gt;0,MAX(D11,E11,F11),"")</f>
        <v>6.63</v>
      </c>
      <c r="H11" s="56">
        <v>9.32</v>
      </c>
      <c r="I11" s="53">
        <v>8.07</v>
      </c>
      <c r="J11" s="53">
        <v>8.65</v>
      </c>
      <c r="K11" s="43">
        <f>IF(MAX(H11,I11,J11)&gt;0,MAX(H11,I11,J11),"")</f>
        <v>9.32</v>
      </c>
      <c r="L11" s="58">
        <v>7.64</v>
      </c>
      <c r="M11" s="54">
        <v>7.69</v>
      </c>
      <c r="N11" s="43">
        <f>IF(MIN(L11,M11)&gt;0,MIN(L11,M11),"")</f>
        <v>7.64</v>
      </c>
      <c r="O11" s="35"/>
      <c r="P11" s="36"/>
    </row>
    <row r="12" spans="1:16" ht="16.5" customHeight="1">
      <c r="B12" s="37"/>
      <c r="C12" s="213" t="str">
        <f>IF('P7'!H13="","",'P7'!H13)</f>
        <v>Tønsberg-Kam.</v>
      </c>
      <c r="D12" s="44"/>
      <c r="E12" s="44"/>
      <c r="F12" s="45"/>
      <c r="G12" s="38"/>
      <c r="H12" s="47"/>
      <c r="I12" s="44"/>
      <c r="J12" s="45"/>
      <c r="K12" s="39"/>
      <c r="L12" s="47"/>
      <c r="M12" s="45"/>
      <c r="N12" s="40"/>
      <c r="O12" s="41" t="str">
        <f>IF(SUM(L12:N12)&gt;0,SUM(L12:N12),"")</f>
        <v/>
      </c>
      <c r="P12" s="14"/>
    </row>
    <row r="13" spans="1:16" ht="16.5" customHeight="1">
      <c r="B13" s="215" t="str">
        <f>IF('P7'!D15="","",'P7'!D15)</f>
        <v>24-34</v>
      </c>
      <c r="C13" s="214" t="str">
        <f>IF('P7'!G15="","",'P7'!G15)</f>
        <v>Sara Broe Østvold</v>
      </c>
      <c r="D13" s="53">
        <v>6.53</v>
      </c>
      <c r="E13" s="53">
        <v>6.53</v>
      </c>
      <c r="F13" s="54">
        <v>6.86</v>
      </c>
      <c r="G13" s="42">
        <f>IF(MAX(D13,E13,F13)&gt;0,MAX(D13,E13,F13),"")</f>
        <v>6.86</v>
      </c>
      <c r="H13" s="56">
        <v>7.07</v>
      </c>
      <c r="I13" s="53">
        <v>5.8</v>
      </c>
      <c r="J13" s="53">
        <v>7.68</v>
      </c>
      <c r="K13" s="43">
        <f>IF(MAX(H13,I13,J13)&gt;0,MAX(H13,I13,J13),"")</f>
        <v>7.68</v>
      </c>
      <c r="L13" s="58">
        <v>7.41</v>
      </c>
      <c r="M13" s="54">
        <v>7.44</v>
      </c>
      <c r="N13" s="43">
        <f>IF(MIN(L13,M13)&gt;0,MIN(L13,M13),"")</f>
        <v>7.41</v>
      </c>
      <c r="O13" s="35"/>
      <c r="P13" s="36"/>
    </row>
    <row r="14" spans="1:16" ht="16.5" customHeight="1">
      <c r="B14" s="37"/>
      <c r="C14" s="213" t="str">
        <f>IF('P7'!H15="","",'P7'!H15)</f>
        <v>Spydeberg Atletene</v>
      </c>
      <c r="D14" s="44"/>
      <c r="E14" s="44"/>
      <c r="F14" s="45"/>
      <c r="G14" s="38"/>
      <c r="H14" s="47"/>
      <c r="I14" s="44"/>
      <c r="J14" s="45"/>
      <c r="K14" s="39"/>
      <c r="L14" s="47"/>
      <c r="M14" s="45"/>
      <c r="N14" s="40"/>
      <c r="O14" s="41" t="str">
        <f>IF(SUM(L14:N14)&gt;0,SUM(L14:N14),"")</f>
        <v/>
      </c>
      <c r="P14" s="14"/>
    </row>
    <row r="15" spans="1:16" ht="16.5" customHeight="1">
      <c r="B15" s="215" t="str">
        <f>IF('P7'!D17="","",'P7'!D17)</f>
        <v>24-34</v>
      </c>
      <c r="C15" s="214" t="str">
        <f>IF('P7'!G17="","",'P7'!G17)</f>
        <v>Kamilla Storstein Grønnestad</v>
      </c>
      <c r="D15" s="53">
        <v>7.06</v>
      </c>
      <c r="E15" s="53">
        <v>6.96</v>
      </c>
      <c r="F15" s="54">
        <v>7.25</v>
      </c>
      <c r="G15" s="42">
        <f>IF(MAX(D15,E15,F15)&gt;0,MAX(D15,E15,F15),"")</f>
        <v>7.25</v>
      </c>
      <c r="H15" s="56">
        <v>9.7799999999999994</v>
      </c>
      <c r="I15" s="53">
        <v>10.71</v>
      </c>
      <c r="J15" s="53">
        <v>10.220000000000001</v>
      </c>
      <c r="K15" s="43">
        <f>IF(MAX(H15,I15,J15)&gt;0,MAX(H15,I15,J15),"")</f>
        <v>10.71</v>
      </c>
      <c r="L15" s="58">
        <v>7.09</v>
      </c>
      <c r="M15" s="54">
        <v>6.89</v>
      </c>
      <c r="N15" s="43">
        <f>IF(MIN(L15,M15)&gt;0,MIN(L15,M15),"")</f>
        <v>6.89</v>
      </c>
      <c r="O15" s="35"/>
      <c r="P15" s="36"/>
    </row>
    <row r="16" spans="1:16" ht="16.5" customHeight="1">
      <c r="B16" s="37"/>
      <c r="C16" s="213" t="str">
        <f>IF('P7'!H17="","",'P7'!H17)</f>
        <v>Tysvær VK</v>
      </c>
      <c r="D16" s="44"/>
      <c r="E16" s="44"/>
      <c r="F16" s="45"/>
      <c r="G16" s="38"/>
      <c r="H16" s="47"/>
      <c r="I16" s="44"/>
      <c r="J16" s="45"/>
      <c r="K16" s="39"/>
      <c r="L16" s="47"/>
      <c r="M16" s="45"/>
      <c r="N16" s="40"/>
      <c r="O16" s="41" t="str">
        <f>IF(SUM(L16:N16)&gt;0,SUM(L16:N16),"")</f>
        <v/>
      </c>
      <c r="P16" s="14"/>
    </row>
    <row r="17" spans="2:16" ht="16.5" customHeight="1">
      <c r="B17" s="355" t="str">
        <f>IF('P7'!D19="","",'P7'!D19)</f>
        <v>24-34</v>
      </c>
      <c r="C17" s="356" t="str">
        <f>IF('P7'!G19="","",'P7'!G19)</f>
        <v>Sol Anette Waaler</v>
      </c>
      <c r="D17" s="53"/>
      <c r="E17" s="53"/>
      <c r="F17" s="54"/>
      <c r="G17" s="42" t="str">
        <f>IF(MAX(D17,E17,F17)&gt;0,MAX(D17,E17,F17),"")</f>
        <v/>
      </c>
      <c r="H17" s="56"/>
      <c r="I17" s="53"/>
      <c r="J17" s="53"/>
      <c r="K17" s="43" t="str">
        <f>IF(MAX(H17,I17,J17)&gt;0,MAX(H17,I17,J17),"")</f>
        <v/>
      </c>
      <c r="L17" s="58"/>
      <c r="M17" s="54"/>
      <c r="N17" s="43" t="str">
        <f>IF(MIN(L17,M17)&gt;0,MIN(L17,M17),"")</f>
        <v/>
      </c>
      <c r="O17" s="35"/>
      <c r="P17" s="36"/>
    </row>
    <row r="18" spans="2:16" ht="16.5" customHeight="1">
      <c r="B18" s="357"/>
      <c r="C18" s="358" t="str">
        <f>IF('P7'!H19="","",'P7'!H19)</f>
        <v>Trondheim AK</v>
      </c>
      <c r="D18" s="44"/>
      <c r="E18" s="44"/>
      <c r="F18" s="45"/>
      <c r="G18" s="38"/>
      <c r="H18" s="47"/>
      <c r="I18" s="44"/>
      <c r="J18" s="45"/>
      <c r="K18" s="39"/>
      <c r="L18" s="47"/>
      <c r="M18" s="45"/>
      <c r="N18" s="40"/>
      <c r="O18" s="41" t="str">
        <f>IF(SUM(L18:N18)&gt;0,SUM(L18:N18),"")</f>
        <v/>
      </c>
      <c r="P18" s="14"/>
    </row>
    <row r="19" spans="2:16" ht="16.5" customHeight="1">
      <c r="B19" s="215" t="str">
        <f>IF('P7'!D21="","",'P7'!D21)</f>
        <v>24-34</v>
      </c>
      <c r="C19" s="214" t="str">
        <f>IF('P7'!G21="","",'P7'!G21)</f>
        <v>Ine Andersson</v>
      </c>
      <c r="D19" s="53">
        <v>7.78</v>
      </c>
      <c r="E19" s="53">
        <v>7.86</v>
      </c>
      <c r="F19" s="54">
        <v>8.0500000000000007</v>
      </c>
      <c r="G19" s="42">
        <f>IF(MAX(D19,E19,F19)&gt;0,MAX(D19,E19,F19),"")</f>
        <v>8.0500000000000007</v>
      </c>
      <c r="H19" s="56">
        <v>13.44</v>
      </c>
      <c r="I19" s="53">
        <v>14.11</v>
      </c>
      <c r="J19" s="53">
        <v>14.1</v>
      </c>
      <c r="K19" s="43">
        <f>IF(MAX(H19,I19,J19)&gt;0,MAX(H19,I19,J19),"")</f>
        <v>14.11</v>
      </c>
      <c r="L19" s="58">
        <v>6.66</v>
      </c>
      <c r="M19" s="54">
        <v>6.66</v>
      </c>
      <c r="N19" s="43">
        <f>IF(MIN(L19,M19)&gt;0,MIN(L19,M19),"")</f>
        <v>6.66</v>
      </c>
      <c r="O19" s="35"/>
      <c r="P19" s="36"/>
    </row>
    <row r="20" spans="2:16" ht="16.5" customHeight="1">
      <c r="B20" s="37"/>
      <c r="C20" s="213" t="str">
        <f>IF('P7'!H21="","",'P7'!H21)</f>
        <v>Tambarskjelvar IL</v>
      </c>
      <c r="D20" s="44"/>
      <c r="E20" s="44"/>
      <c r="F20" s="45"/>
      <c r="G20" s="38"/>
      <c r="H20" s="47"/>
      <c r="I20" s="44"/>
      <c r="J20" s="45"/>
      <c r="K20" s="39"/>
      <c r="L20" s="47"/>
      <c r="M20" s="45"/>
      <c r="N20" s="40"/>
      <c r="O20" s="41" t="str">
        <f>IF(SUM(L20:N20)&gt;0,SUM(L20:N20),"")</f>
        <v/>
      </c>
      <c r="P20" s="14"/>
    </row>
    <row r="21" spans="2:16" ht="16.5" customHeight="1">
      <c r="B21" s="215" t="str">
        <f>IF('P7'!D23="","",'P7'!D23)</f>
        <v>24-34</v>
      </c>
      <c r="C21" s="214" t="str">
        <f>IF('P7'!G23="","",'P7'!G23)</f>
        <v>Melissa Schanche</v>
      </c>
      <c r="D21" s="53">
        <v>6.85</v>
      </c>
      <c r="E21" s="53">
        <v>7.12</v>
      </c>
      <c r="F21" s="54">
        <v>7.32</v>
      </c>
      <c r="G21" s="42">
        <f>IF(MAX(D21,E21,F21)&gt;0,MAX(D21,E21,F21),"")</f>
        <v>7.32</v>
      </c>
      <c r="H21" s="56">
        <v>9.8800000000000008</v>
      </c>
      <c r="I21" s="53">
        <v>8.94</v>
      </c>
      <c r="J21" s="53">
        <v>6.33</v>
      </c>
      <c r="K21" s="43">
        <f>IF(MAX(H21,I21,J21)&gt;0,MAX(H21,I21,J21),"")</f>
        <v>9.8800000000000008</v>
      </c>
      <c r="L21" s="58">
        <v>7.54</v>
      </c>
      <c r="M21" s="54">
        <v>7.52</v>
      </c>
      <c r="N21" s="43">
        <f>IF(MIN(L21,M21)&gt;0,MIN(L21,M21),"")</f>
        <v>7.52</v>
      </c>
      <c r="O21" s="35"/>
      <c r="P21" s="36"/>
    </row>
    <row r="22" spans="2:16" ht="16.5" customHeight="1">
      <c r="B22" s="37"/>
      <c r="C22" s="213" t="str">
        <f>IF('P7'!H23="","",'P7'!H23)</f>
        <v>Spydeberg Atletene</v>
      </c>
      <c r="D22" s="44"/>
      <c r="E22" s="44"/>
      <c r="F22" s="45"/>
      <c r="G22" s="46"/>
      <c r="H22" s="47"/>
      <c r="I22" s="44"/>
      <c r="J22" s="45"/>
      <c r="K22" s="48"/>
      <c r="L22" s="47"/>
      <c r="M22" s="45"/>
      <c r="N22" s="40"/>
      <c r="O22" s="41" t="str">
        <f>IF(SUM(L22:N22)&gt;0,SUM(L22:N22),"")</f>
        <v/>
      </c>
      <c r="P22" s="14"/>
    </row>
    <row r="23" spans="2:16" ht="16.5" customHeight="1">
      <c r="B23" s="215" t="str">
        <f>IF('P7'!D25="","",'P7'!D25)</f>
        <v/>
      </c>
      <c r="C23" s="214" t="str">
        <f>IF('P7'!G25="","",'P7'!G25)</f>
        <v/>
      </c>
      <c r="D23" s="53"/>
      <c r="E23" s="53"/>
      <c r="F23" s="54"/>
      <c r="G23" s="42" t="str">
        <f>IF(MAX(D23,E23,F23)&gt;0,MAX(D23,E23,F23),"")</f>
        <v/>
      </c>
      <c r="H23" s="56"/>
      <c r="I23" s="53"/>
      <c r="J23" s="53"/>
      <c r="K23" s="43" t="str">
        <f>IF(MAX(H23,I23,J23)&gt;0,MAX(H23,I23,J23),"")</f>
        <v/>
      </c>
      <c r="L23" s="58"/>
      <c r="M23" s="54"/>
      <c r="N23" s="43" t="str">
        <f>IF(MIN(L23,M23)&gt;0,MIN(L23,M23),"")</f>
        <v/>
      </c>
      <c r="O23" s="35"/>
      <c r="P23" s="36"/>
    </row>
    <row r="24" spans="2:16" ht="16.5" customHeight="1">
      <c r="B24" s="37"/>
      <c r="C24" s="213" t="str">
        <f>IF('P7'!H25="","",'P7'!H25)</f>
        <v/>
      </c>
      <c r="D24" s="44"/>
      <c r="E24" s="44"/>
      <c r="F24" s="45"/>
      <c r="G24" s="38"/>
      <c r="H24" s="47"/>
      <c r="I24" s="44"/>
      <c r="J24" s="45"/>
      <c r="K24" s="39"/>
      <c r="L24" s="47"/>
      <c r="M24" s="45"/>
      <c r="N24" s="40"/>
      <c r="O24" s="41" t="str">
        <f>IF(SUM(L24:N24)&gt;0,SUM(L24:N24),"")</f>
        <v/>
      </c>
      <c r="P24" s="14"/>
    </row>
    <row r="25" spans="2:16" ht="16.5" customHeight="1">
      <c r="B25" s="215" t="str">
        <f>IF('P7'!D27="","",'P7'!D27)</f>
        <v/>
      </c>
      <c r="C25" s="214" t="str">
        <f>IF('P7'!G27="","",'P7'!G27)</f>
        <v/>
      </c>
      <c r="D25" s="53"/>
      <c r="E25" s="53"/>
      <c r="F25" s="54"/>
      <c r="G25" s="42" t="str">
        <f>IF(MAX(D25,E25,F25)&gt;0,MAX(D25,E25,F25),"")</f>
        <v/>
      </c>
      <c r="H25" s="56"/>
      <c r="I25" s="53"/>
      <c r="J25" s="53"/>
      <c r="K25" s="43" t="str">
        <f>IF(MAX(H25,I25,J25)&gt;0,MAX(H25,I25,J25),"")</f>
        <v/>
      </c>
      <c r="L25" s="58"/>
      <c r="M25" s="54"/>
      <c r="N25" s="43" t="str">
        <f>IF(MIN(L25,M25)&gt;0,MIN(L25,M25),"")</f>
        <v/>
      </c>
      <c r="O25" s="35"/>
      <c r="P25" s="36"/>
    </row>
    <row r="26" spans="2:16" ht="16.5" customHeight="1">
      <c r="B26" s="37"/>
      <c r="C26" s="213" t="str">
        <f>IF('P7'!H27="","",'P7'!H27)</f>
        <v/>
      </c>
      <c r="D26" s="44"/>
      <c r="E26" s="44"/>
      <c r="F26" s="45"/>
      <c r="G26" s="38"/>
      <c r="H26" s="47"/>
      <c r="I26" s="44"/>
      <c r="J26" s="45"/>
      <c r="K26" s="39"/>
      <c r="L26" s="47"/>
      <c r="M26" s="45"/>
      <c r="N26" s="40"/>
      <c r="O26" s="41" t="str">
        <f>IF(SUM(L26:N26)&gt;0,SUM(L26:N26),"")</f>
        <v/>
      </c>
      <c r="P26" s="14"/>
    </row>
    <row r="27" spans="2:16" ht="16.5" customHeight="1">
      <c r="B27" s="215" t="str">
        <f>IF('P7'!D29="","",'P7'!D29)</f>
        <v>24-34</v>
      </c>
      <c r="C27" s="214" t="str">
        <f>IF('P7'!G29="","",'P7'!G29)</f>
        <v>Rebekka Tao Jacobsen</v>
      </c>
      <c r="D27" s="53">
        <v>7.22</v>
      </c>
      <c r="E27" s="53">
        <v>7.37</v>
      </c>
      <c r="F27" s="54">
        <v>7.37</v>
      </c>
      <c r="G27" s="42">
        <f>IF(MAX(D27,E27,F27)&gt;0,MAX(D27,E27,F27),"")</f>
        <v>7.37</v>
      </c>
      <c r="H27" s="56">
        <v>8.25</v>
      </c>
      <c r="I27" s="53">
        <v>8.4</v>
      </c>
      <c r="J27" s="53">
        <v>8.2799999999999994</v>
      </c>
      <c r="K27" s="43">
        <f>IF(MAX(H27,I27,J27)&gt;0,MAX(H27,I27,J27),"")</f>
        <v>8.4</v>
      </c>
      <c r="L27" s="58">
        <v>6.75</v>
      </c>
      <c r="M27" s="54">
        <v>6.72</v>
      </c>
      <c r="N27" s="43">
        <f>IF(MIN(L27,M27)&gt;0,MIN(L27,M27),"")</f>
        <v>6.72</v>
      </c>
      <c r="O27" s="35"/>
      <c r="P27" s="36"/>
    </row>
    <row r="28" spans="2:16" ht="16.5" customHeight="1">
      <c r="B28" s="37"/>
      <c r="C28" s="213" t="str">
        <f>IF('P7'!H29="","",'P7'!H29)</f>
        <v>Larvik AK</v>
      </c>
      <c r="D28" s="44"/>
      <c r="E28" s="44"/>
      <c r="F28" s="45"/>
      <c r="G28" s="38"/>
      <c r="H28" s="47"/>
      <c r="I28" s="44"/>
      <c r="J28" s="45"/>
      <c r="K28" s="39"/>
      <c r="L28" s="59"/>
      <c r="M28" s="45"/>
      <c r="N28" s="40"/>
      <c r="O28" s="41" t="str">
        <f>IF(SUM(L28:N28)&gt;0,SUM(L28:N28),"")</f>
        <v/>
      </c>
      <c r="P28" s="14"/>
    </row>
    <row r="29" spans="2:16" ht="16.5" customHeight="1">
      <c r="B29" s="215" t="str">
        <f>IF('P7'!D31="","",'P7'!D31)</f>
        <v>24-34</v>
      </c>
      <c r="C29" s="214" t="str">
        <f>IF('P7'!G31="","",'P7'!G31)</f>
        <v>Ine Andersson</v>
      </c>
      <c r="D29" s="53">
        <v>7.78</v>
      </c>
      <c r="E29" s="53">
        <v>7.86</v>
      </c>
      <c r="F29" s="54">
        <v>8.0500000000000007</v>
      </c>
      <c r="G29" s="42">
        <f>IF(MAX(D29,E29,F29)&gt;0,MAX(D29,E29,F29),"")</f>
        <v>8.0500000000000007</v>
      </c>
      <c r="H29" s="56">
        <v>10.3</v>
      </c>
      <c r="I29" s="53" t="s">
        <v>207</v>
      </c>
      <c r="J29" s="53">
        <v>10.119999999999999</v>
      </c>
      <c r="K29" s="43">
        <f>IF(MAX(H29,I29,J29)&gt;0,MAX(H29,I29,J29),"")</f>
        <v>10.3</v>
      </c>
      <c r="L29" s="58">
        <v>6.66</v>
      </c>
      <c r="M29" s="54">
        <v>6.66</v>
      </c>
      <c r="N29" s="43">
        <f>IF(MIN(L29,M29)&gt;0,MIN(L29,M29),"")</f>
        <v>6.66</v>
      </c>
      <c r="O29" s="35"/>
      <c r="P29" s="36"/>
    </row>
    <row r="30" spans="2:16" ht="16.5" customHeight="1">
      <c r="B30" s="62"/>
      <c r="C30" s="213" t="str">
        <f>IF('P7'!H31="","",'P7'!H31)</f>
        <v>Tambarskjelvar IL</v>
      </c>
      <c r="D30" s="44"/>
      <c r="E30" s="44"/>
      <c r="F30" s="45"/>
      <c r="G30" s="49"/>
      <c r="H30" s="47"/>
      <c r="I30" s="44"/>
      <c r="J30" s="45"/>
      <c r="K30" s="46"/>
      <c r="L30" s="47"/>
      <c r="M30" s="45"/>
      <c r="N30" s="50"/>
      <c r="O30" s="41" t="str">
        <f>IF(SUM(L30:N30)&gt;0,SUM(L30:N30),"")</f>
        <v/>
      </c>
      <c r="P30" s="14"/>
    </row>
  </sheetData>
  <mergeCells count="9">
    <mergeCell ref="B4:N4"/>
    <mergeCell ref="D5:G5"/>
    <mergeCell ref="H5:K5"/>
    <mergeCell ref="L5:N5"/>
    <mergeCell ref="A1:N1"/>
    <mergeCell ref="A3:B3"/>
    <mergeCell ref="C3:D3"/>
    <mergeCell ref="F3:I3"/>
    <mergeCell ref="K3:L3"/>
  </mergeCells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 copies="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30"/>
  <sheetViews>
    <sheetView showGridLines="0" showRowColHeaders="0" showZeros="0" workbookViewId="0">
      <selection activeCell="K21" sqref="K21"/>
    </sheetView>
  </sheetViews>
  <sheetFormatPr baseColWidth="10" defaultColWidth="8.83203125" defaultRowHeight="13"/>
  <cols>
    <col min="1" max="1" width="5.6640625" customWidth="1"/>
    <col min="2" max="2" width="7.6640625" customWidth="1"/>
    <col min="3" max="3" width="27.6640625" customWidth="1"/>
    <col min="4" max="14" width="7.33203125" customWidth="1"/>
    <col min="15" max="15" width="9.33203125" customWidth="1"/>
    <col min="16" max="16" width="4.6640625" style="7" customWidth="1"/>
  </cols>
  <sheetData>
    <row r="1" spans="1:16" ht="23">
      <c r="A1" s="346" t="s">
        <v>56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83"/>
      <c r="P1" s="83"/>
    </row>
    <row r="2" spans="1:16" ht="15" customHeight="1">
      <c r="B2" s="16" t="s">
        <v>46</v>
      </c>
      <c r="C2" s="82" t="str">
        <f>IF('P1'!C5&gt;0,'P1'!C5,"")</f>
        <v>NM 5-kamp og NC4 (U/J)</v>
      </c>
      <c r="D2" s="82"/>
      <c r="E2" s="8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6">
      <c r="A3" s="352" t="s">
        <v>0</v>
      </c>
      <c r="B3" s="352"/>
      <c r="C3" s="348" t="str">
        <f>IF('P1'!I5&gt;0,'P1'!I5,"")</f>
        <v>Larvik AK</v>
      </c>
      <c r="D3" s="348"/>
      <c r="E3" s="18" t="s">
        <v>1</v>
      </c>
      <c r="F3" s="350" t="str">
        <f>IF('P1'!P5&gt;0,'P1'!P5,"")</f>
        <v>Stavernhallen</v>
      </c>
      <c r="G3" s="350"/>
      <c r="H3" s="350"/>
      <c r="I3" s="350"/>
      <c r="J3" s="158" t="s">
        <v>2</v>
      </c>
      <c r="K3" s="351">
        <v>44451</v>
      </c>
      <c r="L3" s="351"/>
      <c r="M3" s="19" t="s">
        <v>20</v>
      </c>
      <c r="N3" s="64">
        <v>8</v>
      </c>
      <c r="O3" s="63"/>
      <c r="P3" s="20"/>
    </row>
    <row r="4" spans="1:16" ht="15" thickBot="1">
      <c r="B4" s="342" t="s">
        <v>73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19"/>
      <c r="P4" s="20"/>
    </row>
    <row r="5" spans="1:16" s="21" customFormat="1" ht="14">
      <c r="B5" s="22" t="s">
        <v>23</v>
      </c>
      <c r="C5" s="23" t="s">
        <v>6</v>
      </c>
      <c r="D5" s="343" t="s">
        <v>26</v>
      </c>
      <c r="E5" s="343"/>
      <c r="F5" s="343"/>
      <c r="G5" s="343"/>
      <c r="H5" s="344" t="s">
        <v>27</v>
      </c>
      <c r="I5" s="344"/>
      <c r="J5" s="344"/>
      <c r="K5" s="344"/>
      <c r="L5" s="345" t="s">
        <v>47</v>
      </c>
      <c r="M5" s="345"/>
      <c r="N5" s="345"/>
      <c r="O5" s="24"/>
      <c r="P5" s="25"/>
    </row>
    <row r="6" spans="1:16" ht="14" thickBot="1">
      <c r="B6" s="210" t="s">
        <v>29</v>
      </c>
      <c r="C6" s="26" t="s">
        <v>33</v>
      </c>
      <c r="D6" s="27">
        <v>1</v>
      </c>
      <c r="E6" s="27">
        <v>2</v>
      </c>
      <c r="F6" s="28">
        <v>3</v>
      </c>
      <c r="G6" s="29" t="s">
        <v>48</v>
      </c>
      <c r="H6" s="30">
        <v>1</v>
      </c>
      <c r="I6" s="27">
        <v>2</v>
      </c>
      <c r="J6" s="28">
        <v>3</v>
      </c>
      <c r="K6" s="29" t="s">
        <v>48</v>
      </c>
      <c r="L6" s="30">
        <v>1</v>
      </c>
      <c r="M6" s="28">
        <v>2</v>
      </c>
      <c r="N6" s="31" t="s">
        <v>48</v>
      </c>
      <c r="O6" s="32"/>
      <c r="P6" s="33"/>
    </row>
    <row r="7" spans="1:16" ht="16.5" customHeight="1">
      <c r="B7" s="217" t="str">
        <f>IF('P8'!D9="","",'P8'!D9)</f>
        <v>24-34</v>
      </c>
      <c r="C7" s="212" t="str">
        <f>IF('P8'!G9="","",'P8'!G9)</f>
        <v>Michael Rosenberg</v>
      </c>
      <c r="D7" s="51">
        <v>9.5299999999999994</v>
      </c>
      <c r="E7" s="51">
        <v>9.15</v>
      </c>
      <c r="F7" s="359" t="s">
        <v>207</v>
      </c>
      <c r="G7" s="34">
        <f>IF(MAX(D7,E7,F7)&gt;0,MAX(D7,E7,F7),"")</f>
        <v>9.5299999999999994</v>
      </c>
      <c r="H7" s="55">
        <v>12.98</v>
      </c>
      <c r="I7" s="51">
        <v>12.01</v>
      </c>
      <c r="J7" s="51">
        <v>12.51</v>
      </c>
      <c r="K7" s="34">
        <f>IF(MAX(H7,I7,J7)&gt;0,MAX(H7,I7,J7),"")</f>
        <v>12.98</v>
      </c>
      <c r="L7" s="57">
        <v>5.77</v>
      </c>
      <c r="M7" s="52">
        <v>5.71</v>
      </c>
      <c r="N7" s="34">
        <f>IF(MIN(L7,M7)&gt;0,MIN(L7,M7),"")</f>
        <v>5.71</v>
      </c>
      <c r="O7" s="35"/>
      <c r="P7" s="36"/>
    </row>
    <row r="8" spans="1:16" ht="16.5" customHeight="1">
      <c r="B8" s="37"/>
      <c r="C8" s="213" t="str">
        <f>IF('P8'!H9="","",'P8'!H9)</f>
        <v>Elverum AK</v>
      </c>
      <c r="D8" s="44"/>
      <c r="E8" s="44"/>
      <c r="F8" s="45"/>
      <c r="G8" s="38"/>
      <c r="H8" s="47"/>
      <c r="I8" s="44"/>
      <c r="J8" s="45"/>
      <c r="K8" s="39"/>
      <c r="L8" s="47"/>
      <c r="M8" s="45"/>
      <c r="N8" s="40"/>
      <c r="O8" s="41" t="str">
        <f>IF(SUM(L8:N8)&gt;0,SUM(L8:N8),"")</f>
        <v/>
      </c>
      <c r="P8" s="14"/>
    </row>
    <row r="9" spans="1:16" ht="16.5" customHeight="1">
      <c r="B9" s="215" t="str">
        <f>IF('P8'!D11="","",'P8'!D11)</f>
        <v>24-34</v>
      </c>
      <c r="C9" s="214" t="str">
        <f>IF('P8'!G11="","",'P8'!G11)</f>
        <v>Daniel Roness</v>
      </c>
      <c r="D9" s="53"/>
      <c r="E9" s="53"/>
      <c r="F9" s="54"/>
      <c r="G9" s="42" t="str">
        <f>IF(MAX(D9,E9,F9)&gt;0,MAX(D9,E9,F9),"")</f>
        <v/>
      </c>
      <c r="H9" s="56"/>
      <c r="I9" s="53"/>
      <c r="J9" s="53"/>
      <c r="K9" s="43" t="str">
        <f>IF(MAX(H9,I9,J9)&gt;0,MAX(H9,I9,J9),"")</f>
        <v/>
      </c>
      <c r="L9" s="58"/>
      <c r="M9" s="54"/>
      <c r="N9" s="43" t="str">
        <f>IF(MIN(L9,M9)&gt;0,MIN(L9,M9),"")</f>
        <v/>
      </c>
      <c r="O9" s="35"/>
      <c r="P9" s="36"/>
    </row>
    <row r="10" spans="1:16" ht="16.5" customHeight="1">
      <c r="B10" s="37"/>
      <c r="C10" s="213" t="str">
        <f>IF('P8'!H11="","",'P8'!H11)</f>
        <v>Spydeberg Atletene</v>
      </c>
      <c r="D10" s="44"/>
      <c r="E10" s="44"/>
      <c r="F10" s="45"/>
      <c r="G10" s="38"/>
      <c r="H10" s="47"/>
      <c r="I10" s="44"/>
      <c r="J10" s="45"/>
      <c r="K10" s="39"/>
      <c r="L10" s="47"/>
      <c r="M10" s="45"/>
      <c r="N10" s="40"/>
      <c r="O10" s="41" t="str">
        <f>IF(SUM(L10:N10)&gt;0,SUM(L10:N10),"")</f>
        <v/>
      </c>
      <c r="P10" s="14"/>
    </row>
    <row r="11" spans="1:16" ht="16.5" customHeight="1">
      <c r="B11" s="215" t="str">
        <f>IF('P8'!D13="","",'P8'!D13)</f>
        <v>24-34</v>
      </c>
      <c r="C11" s="214" t="str">
        <f>IF('P8'!G13="","",'P8'!G13)</f>
        <v>Jonas Grønstad</v>
      </c>
      <c r="D11" s="53"/>
      <c r="E11" s="53"/>
      <c r="F11" s="54"/>
      <c r="G11" s="42" t="str">
        <f>IF(MAX(D11,E11,F11)&gt;0,MAX(D11,E11,F11),"")</f>
        <v/>
      </c>
      <c r="H11" s="56"/>
      <c r="I11" s="53"/>
      <c r="J11" s="53"/>
      <c r="K11" s="43" t="str">
        <f>IF(MAX(H11,I11,J11)&gt;0,MAX(H11,I11,J11),"")</f>
        <v/>
      </c>
      <c r="L11" s="58"/>
      <c r="M11" s="54"/>
      <c r="N11" s="43" t="str">
        <f>IF(MIN(L11,M11)&gt;0,MIN(L11,M11),"")</f>
        <v/>
      </c>
      <c r="O11" s="35"/>
      <c r="P11" s="36"/>
    </row>
    <row r="12" spans="1:16" ht="16.5" customHeight="1">
      <c r="B12" s="37"/>
      <c r="C12" s="213" t="str">
        <f>IF('P8'!H13="","",'P8'!H13)</f>
        <v>Spydeberg Atletene</v>
      </c>
      <c r="D12" s="44"/>
      <c r="E12" s="44"/>
      <c r="F12" s="45"/>
      <c r="G12" s="38"/>
      <c r="H12" s="47"/>
      <c r="I12" s="44"/>
      <c r="J12" s="45"/>
      <c r="K12" s="39"/>
      <c r="L12" s="47"/>
      <c r="M12" s="45"/>
      <c r="N12" s="40"/>
      <c r="O12" s="41" t="str">
        <f>IF(SUM(L12:N12)&gt;0,SUM(L12:N12),"")</f>
        <v/>
      </c>
      <c r="P12" s="14"/>
    </row>
    <row r="13" spans="1:16" ht="16.5" customHeight="1">
      <c r="B13" s="215" t="str">
        <f>IF('P8'!D15="","",'P8'!D15)</f>
        <v>24-34</v>
      </c>
      <c r="C13" s="214" t="str">
        <f>IF('P8'!G15="","",'P8'!G15)</f>
        <v>Jonas Hetland Mong</v>
      </c>
      <c r="D13" s="53">
        <v>8.7799999999999994</v>
      </c>
      <c r="E13" s="53">
        <v>8.8000000000000007</v>
      </c>
      <c r="F13" s="54">
        <v>8.3699999999999992</v>
      </c>
      <c r="G13" s="42">
        <f>IF(MAX(D13,E13,F13)&gt;0,MAX(D13,E13,F13),"")</f>
        <v>8.8000000000000007</v>
      </c>
      <c r="H13" s="56">
        <v>13.69</v>
      </c>
      <c r="I13" s="53">
        <v>13.9</v>
      </c>
      <c r="J13" s="53">
        <v>13.73</v>
      </c>
      <c r="K13" s="43">
        <f>IF(MAX(H13,I13,J13)&gt;0,MAX(H13,I13,J13),"")</f>
        <v>13.9</v>
      </c>
      <c r="L13" s="58">
        <v>6.61</v>
      </c>
      <c r="M13" s="54">
        <v>6.47</v>
      </c>
      <c r="N13" s="43">
        <f>IF(MIN(L13,M13)&gt;0,MIN(L13,M13),"")</f>
        <v>6.47</v>
      </c>
      <c r="O13" s="35"/>
      <c r="P13" s="36"/>
    </row>
    <row r="14" spans="1:16" ht="16.5" customHeight="1">
      <c r="B14" s="37"/>
      <c r="C14" s="213" t="str">
        <f>IF('P8'!H15="","",'P8'!H15)</f>
        <v>Vigrestad IK</v>
      </c>
      <c r="D14" s="44"/>
      <c r="E14" s="44"/>
      <c r="F14" s="45"/>
      <c r="G14" s="38"/>
      <c r="H14" s="47"/>
      <c r="I14" s="44"/>
      <c r="J14" s="45"/>
      <c r="K14" s="39"/>
      <c r="L14" s="47"/>
      <c r="M14" s="45"/>
      <c r="N14" s="40"/>
      <c r="O14" s="41" t="str">
        <f>IF(SUM(L14:N14)&gt;0,SUM(L14:N14),"")</f>
        <v/>
      </c>
      <c r="P14" s="14"/>
    </row>
    <row r="15" spans="1:16" ht="16.5" customHeight="1">
      <c r="B15" s="215" t="str">
        <f>IF('P8'!D17="","",'P8'!D17)</f>
        <v>24-34</v>
      </c>
      <c r="C15" s="214" t="str">
        <f>IF('P8'!G17="","",'P8'!G17)</f>
        <v>Bjarne Bergheim</v>
      </c>
      <c r="D15" s="53">
        <v>8.2899999999999991</v>
      </c>
      <c r="E15" s="53">
        <v>8.31</v>
      </c>
      <c r="F15" s="283" t="s">
        <v>207</v>
      </c>
      <c r="G15" s="42">
        <f>IF(MAX(D15,E15,F15)&gt;0,MAX(D15,E15,F15),"")</f>
        <v>8.31</v>
      </c>
      <c r="H15" s="56">
        <v>11.8</v>
      </c>
      <c r="I15" s="53">
        <v>13.07</v>
      </c>
      <c r="J15" s="53">
        <v>13.16</v>
      </c>
      <c r="K15" s="43">
        <f>IF(MAX(H15,I15,J15)&gt;0,MAX(H15,I15,J15),"")</f>
        <v>13.16</v>
      </c>
      <c r="L15" s="58">
        <v>6.67</v>
      </c>
      <c r="M15" s="283" t="s">
        <v>207</v>
      </c>
      <c r="N15" s="43">
        <f>IF(MIN(L15,M15)&gt;0,MIN(L15,M15),"")</f>
        <v>6.67</v>
      </c>
      <c r="O15" s="35"/>
      <c r="P15" s="36"/>
    </row>
    <row r="16" spans="1:16" ht="16.5" customHeight="1">
      <c r="B16" s="37"/>
      <c r="C16" s="213" t="str">
        <f>IF('P8'!H17="","",'P8'!H17)</f>
        <v>Breimsbygda IL</v>
      </c>
      <c r="D16" s="44"/>
      <c r="E16" s="44"/>
      <c r="F16" s="45"/>
      <c r="G16" s="38"/>
      <c r="H16" s="47"/>
      <c r="I16" s="44"/>
      <c r="J16" s="45"/>
      <c r="K16" s="39"/>
      <c r="L16" s="47"/>
      <c r="M16" s="45"/>
      <c r="N16" s="40"/>
      <c r="O16" s="41" t="str">
        <f>IF(SUM(L16:N16)&gt;0,SUM(L16:N16),"")</f>
        <v/>
      </c>
      <c r="P16" s="14"/>
    </row>
    <row r="17" spans="2:16" ht="16.5" customHeight="1">
      <c r="B17" s="215" t="str">
        <f>IF('P8'!D19="","",'P8'!D19)</f>
        <v>+35</v>
      </c>
      <c r="C17" s="214" t="str">
        <f>IF('P8'!G19="","",'P8'!G19)</f>
        <v>Aaron Gem Donerciler</v>
      </c>
      <c r="D17" s="53">
        <v>7.95</v>
      </c>
      <c r="E17" s="53">
        <v>8.17</v>
      </c>
      <c r="F17" s="283" t="s">
        <v>207</v>
      </c>
      <c r="G17" s="42">
        <f>IF(MAX(D17,E17,F17)&gt;0,MAX(D17,E17,F17),"")</f>
        <v>8.17</v>
      </c>
      <c r="H17" s="56">
        <v>10.34</v>
      </c>
      <c r="I17" s="53">
        <v>11</v>
      </c>
      <c r="J17" s="53">
        <v>10.15</v>
      </c>
      <c r="K17" s="43">
        <f>IF(MAX(H17,I17,J17)&gt;0,MAX(H17,I17,J17),"")</f>
        <v>11</v>
      </c>
      <c r="L17" s="58">
        <v>7.03</v>
      </c>
      <c r="M17" s="54">
        <v>7</v>
      </c>
      <c r="N17" s="43">
        <f>IF(MIN(L17,M17)&gt;0,MIN(L17,M17),"")</f>
        <v>7</v>
      </c>
      <c r="O17" s="35"/>
      <c r="P17" s="36"/>
    </row>
    <row r="18" spans="2:16" ht="16.5" customHeight="1">
      <c r="B18" s="37"/>
      <c r="C18" s="213" t="str">
        <f>IF('P8'!H19="","",'P8'!H19)</f>
        <v>Tysvær VK</v>
      </c>
      <c r="D18" s="44"/>
      <c r="E18" s="44"/>
      <c r="F18" s="45"/>
      <c r="G18" s="38"/>
      <c r="H18" s="47"/>
      <c r="I18" s="44"/>
      <c r="J18" s="45"/>
      <c r="K18" s="39"/>
      <c r="L18" s="47"/>
      <c r="M18" s="45"/>
      <c r="N18" s="40"/>
      <c r="O18" s="41" t="str">
        <f>IF(SUM(L18:N18)&gt;0,SUM(L18:N18),"")</f>
        <v/>
      </c>
      <c r="P18" s="14"/>
    </row>
    <row r="19" spans="2:16" ht="16.5" customHeight="1">
      <c r="B19" s="215" t="str">
        <f>IF('P8'!D21="","",'P8'!D21)</f>
        <v>+35</v>
      </c>
      <c r="C19" s="214" t="str">
        <f>IF('P8'!G21="","",'P8'!G21)</f>
        <v>Børge Aadland</v>
      </c>
      <c r="D19" s="53">
        <v>7.57</v>
      </c>
      <c r="E19" s="53">
        <v>7.78</v>
      </c>
      <c r="F19" s="54">
        <v>7.68</v>
      </c>
      <c r="G19" s="42">
        <f>IF(MAX(D19,E19,F19)&gt;0,MAX(D19,E19,F19),"")</f>
        <v>7.78</v>
      </c>
      <c r="H19" s="56">
        <v>11.74</v>
      </c>
      <c r="I19" s="53">
        <v>12.03</v>
      </c>
      <c r="J19" s="53">
        <v>12.18</v>
      </c>
      <c r="K19" s="43">
        <f>IF(MAX(H19,I19,J19)&gt;0,MAX(H19,I19,J19),"")</f>
        <v>12.18</v>
      </c>
      <c r="L19" s="58">
        <v>7.17</v>
      </c>
      <c r="M19" s="54">
        <v>7.05</v>
      </c>
      <c r="N19" s="43">
        <f>IF(MIN(L19,M19)&gt;0,MIN(L19,M19),"")</f>
        <v>7.05</v>
      </c>
      <c r="O19" s="35"/>
      <c r="P19" s="36"/>
    </row>
    <row r="20" spans="2:16" ht="16.5" customHeight="1">
      <c r="B20" s="37"/>
      <c r="C20" s="213" t="str">
        <f>IF('P8'!H21="","",'P8'!H21)</f>
        <v>AK Bjørgvin</v>
      </c>
      <c r="D20" s="44"/>
      <c r="E20" s="44"/>
      <c r="F20" s="45"/>
      <c r="G20" s="38"/>
      <c r="H20" s="47"/>
      <c r="I20" s="44"/>
      <c r="J20" s="45"/>
      <c r="K20" s="39"/>
      <c r="L20" s="47"/>
      <c r="M20" s="45"/>
      <c r="N20" s="40"/>
      <c r="O20" s="41" t="str">
        <f>IF(SUM(L20:N20)&gt;0,SUM(L20:N20),"")</f>
        <v/>
      </c>
      <c r="P20" s="14"/>
    </row>
    <row r="21" spans="2:16" ht="16.5" customHeight="1">
      <c r="B21" s="215" t="str">
        <f>IF('P8'!D23="","",'P8'!D23)</f>
        <v>+35</v>
      </c>
      <c r="C21" s="214" t="str">
        <f>IF('P8'!G23="","",'P8'!G23)</f>
        <v>Dag Rønnevik</v>
      </c>
      <c r="D21" s="53">
        <v>6.26</v>
      </c>
      <c r="E21" s="283" t="s">
        <v>207</v>
      </c>
      <c r="F21" s="283" t="s">
        <v>207</v>
      </c>
      <c r="G21" s="42">
        <f>IF(MAX(D21,E21,F21)&gt;0,MAX(D21,E21,F21),"")</f>
        <v>6.26</v>
      </c>
      <c r="H21" s="56">
        <v>11.28</v>
      </c>
      <c r="I21" s="53">
        <v>11.75</v>
      </c>
      <c r="J21" s="53">
        <v>11.91</v>
      </c>
      <c r="K21" s="43">
        <f>IF(MAX(H21,I21,J21)&gt;0,MAX(H21,I21,J21),"")</f>
        <v>11.91</v>
      </c>
      <c r="L21" s="58">
        <v>9.17</v>
      </c>
      <c r="M21" s="283" t="s">
        <v>207</v>
      </c>
      <c r="N21" s="43">
        <f>IF(MIN(L21,M21)&gt;0,MIN(L21,M21),"")</f>
        <v>9.17</v>
      </c>
      <c r="O21" s="35"/>
      <c r="P21" s="36"/>
    </row>
    <row r="22" spans="2:16" ht="16.5" customHeight="1">
      <c r="B22" s="37"/>
      <c r="C22" s="213" t="str">
        <f>IF('P8'!H23="","",'P8'!H23)</f>
        <v>Tysvær VK</v>
      </c>
      <c r="D22" s="44"/>
      <c r="E22" s="44"/>
      <c r="F22" s="45"/>
      <c r="G22" s="46"/>
      <c r="H22" s="47"/>
      <c r="I22" s="44"/>
      <c r="J22" s="45"/>
      <c r="K22" s="48"/>
      <c r="L22" s="47"/>
      <c r="M22" s="45"/>
      <c r="N22" s="40"/>
      <c r="O22" s="41" t="str">
        <f>IF(SUM(L22:N22)&gt;0,SUM(L22:N22),"")</f>
        <v/>
      </c>
      <c r="P22" s="14"/>
    </row>
    <row r="23" spans="2:16" ht="16.5" customHeight="1">
      <c r="B23" s="215" t="str">
        <f>IF('P8'!D25="","",'P8'!D25)</f>
        <v/>
      </c>
      <c r="C23" s="214" t="str">
        <f>IF('P8'!G25="","",'P8'!G25)</f>
        <v/>
      </c>
      <c r="D23" s="53"/>
      <c r="E23" s="53"/>
      <c r="F23" s="54"/>
      <c r="G23" s="42" t="str">
        <f>IF(MAX(D23,E23,F23)&gt;0,MAX(D23,E23,F23),"")</f>
        <v/>
      </c>
      <c r="H23" s="56"/>
      <c r="I23" s="53"/>
      <c r="J23" s="53"/>
      <c r="K23" s="43" t="str">
        <f>IF(MAX(H23,I23,J23)&gt;0,MAX(H23,I23,J23),"")</f>
        <v/>
      </c>
      <c r="L23" s="58"/>
      <c r="M23" s="54"/>
      <c r="N23" s="43" t="str">
        <f>IF(MIN(L23,M23)&gt;0,MIN(L23,M23),"")</f>
        <v/>
      </c>
      <c r="O23" s="35"/>
      <c r="P23" s="36"/>
    </row>
    <row r="24" spans="2:16" ht="16.5" customHeight="1">
      <c r="B24" s="37"/>
      <c r="C24" s="213" t="str">
        <f>IF('P8'!H25="","",'P8'!H25)</f>
        <v/>
      </c>
      <c r="D24" s="44"/>
      <c r="E24" s="44"/>
      <c r="F24" s="45"/>
      <c r="G24" s="38"/>
      <c r="H24" s="47"/>
      <c r="I24" s="44"/>
      <c r="J24" s="45"/>
      <c r="K24" s="39"/>
      <c r="L24" s="47"/>
      <c r="M24" s="45"/>
      <c r="N24" s="40"/>
      <c r="O24" s="41" t="str">
        <f>IF(SUM(L24:N24)&gt;0,SUM(L24:N24),"")</f>
        <v/>
      </c>
      <c r="P24" s="14"/>
    </row>
    <row r="25" spans="2:16" ht="16.5" customHeight="1">
      <c r="B25" s="215" t="str">
        <f>IF('P8'!D27="","",'P8'!D27)</f>
        <v/>
      </c>
      <c r="C25" s="214" t="str">
        <f>IF('P8'!G27="","",'P8'!G27)</f>
        <v/>
      </c>
      <c r="D25" s="53"/>
      <c r="E25" s="53"/>
      <c r="F25" s="54"/>
      <c r="G25" s="42" t="str">
        <f>IF(MAX(D25,E25,F25)&gt;0,MAX(D25,E25,F25),"")</f>
        <v/>
      </c>
      <c r="H25" s="56"/>
      <c r="I25" s="53"/>
      <c r="J25" s="53"/>
      <c r="K25" s="43" t="str">
        <f>IF(MAX(H25,I25,J25)&gt;0,MAX(H25,I25,J25),"")</f>
        <v/>
      </c>
      <c r="L25" s="58"/>
      <c r="M25" s="54"/>
      <c r="N25" s="43" t="str">
        <f>IF(MIN(L25,M25)&gt;0,MIN(L25,M25),"")</f>
        <v/>
      </c>
      <c r="O25" s="35"/>
      <c r="P25" s="36"/>
    </row>
    <row r="26" spans="2:16" ht="16.5" customHeight="1">
      <c r="B26" s="37"/>
      <c r="C26" s="213" t="str">
        <f>IF('P8'!H27="","",'P8'!H27)</f>
        <v/>
      </c>
      <c r="D26" s="44"/>
      <c r="E26" s="44"/>
      <c r="F26" s="45"/>
      <c r="G26" s="38"/>
      <c r="H26" s="47"/>
      <c r="I26" s="44"/>
      <c r="J26" s="45"/>
      <c r="K26" s="39"/>
      <c r="L26" s="47"/>
      <c r="M26" s="45"/>
      <c r="N26" s="40"/>
      <c r="O26" s="41" t="str">
        <f>IF(SUM(L26:N26)&gt;0,SUM(L26:N26),"")</f>
        <v/>
      </c>
      <c r="P26" s="14"/>
    </row>
    <row r="27" spans="2:16" ht="16.5" customHeight="1">
      <c r="B27" s="215" t="str">
        <f>IF('P8'!D29="","",'P8'!D29)</f>
        <v/>
      </c>
      <c r="C27" s="214" t="str">
        <f>IF('P8'!G29="","",'P8'!G29)</f>
        <v/>
      </c>
      <c r="D27" s="53"/>
      <c r="E27" s="53"/>
      <c r="F27" s="54"/>
      <c r="G27" s="42" t="str">
        <f>IF(MAX(D27,E27,F27)&gt;0,MAX(D27,E27,F27),"")</f>
        <v/>
      </c>
      <c r="H27" s="56"/>
      <c r="I27" s="53"/>
      <c r="J27" s="53"/>
      <c r="K27" s="43" t="str">
        <f>IF(MAX(H27,I27,J27)&gt;0,MAX(H27,I27,J27),"")</f>
        <v/>
      </c>
      <c r="L27" s="58"/>
      <c r="M27" s="54"/>
      <c r="N27" s="43" t="str">
        <f>IF(MIN(L27,M27)&gt;0,MIN(L27,M27),"")</f>
        <v/>
      </c>
      <c r="O27" s="35"/>
      <c r="P27" s="36"/>
    </row>
    <row r="28" spans="2:16" ht="16.5" customHeight="1">
      <c r="B28" s="37"/>
      <c r="C28" s="213" t="str">
        <f>IF('P8'!H29="","",'P8'!H29)</f>
        <v/>
      </c>
      <c r="D28" s="44"/>
      <c r="E28" s="44"/>
      <c r="F28" s="45"/>
      <c r="G28" s="38"/>
      <c r="H28" s="47"/>
      <c r="I28" s="44"/>
      <c r="J28" s="45"/>
      <c r="K28" s="39"/>
      <c r="L28" s="59"/>
      <c r="M28" s="45"/>
      <c r="N28" s="40"/>
      <c r="O28" s="41" t="str">
        <f>IF(SUM(L28:N28)&gt;0,SUM(L28:N28),"")</f>
        <v/>
      </c>
      <c r="P28" s="14"/>
    </row>
    <row r="29" spans="2:16" ht="16.5" customHeight="1">
      <c r="B29" s="215" t="str">
        <f>IF('P8'!D31="","",'P8'!D31)</f>
        <v/>
      </c>
      <c r="C29" s="214" t="str">
        <f>IF('P8'!G31="","",'P8'!G31)</f>
        <v/>
      </c>
      <c r="D29" s="53"/>
      <c r="E29" s="53"/>
      <c r="F29" s="54"/>
      <c r="G29" s="42" t="str">
        <f>IF(MAX(D29,E29,F29)&gt;0,MAX(D29,E29,F29),"")</f>
        <v/>
      </c>
      <c r="H29" s="56"/>
      <c r="I29" s="53"/>
      <c r="J29" s="53"/>
      <c r="K29" s="43" t="str">
        <f>IF(MAX(H29,I29,J29)&gt;0,MAX(H29,I29,J29),"")</f>
        <v/>
      </c>
      <c r="L29" s="60"/>
      <c r="M29" s="54"/>
      <c r="N29" s="43" t="str">
        <f>IF(MIN(L29,M29)&gt;0,MIN(L29,M29),"")</f>
        <v/>
      </c>
      <c r="O29" s="35"/>
      <c r="P29" s="36"/>
    </row>
    <row r="30" spans="2:16" ht="16.5" customHeight="1">
      <c r="B30" s="62"/>
      <c r="C30" s="213" t="str">
        <f>IF('P8'!H31="","",'P8'!H31)</f>
        <v/>
      </c>
      <c r="D30" s="44"/>
      <c r="E30" s="44"/>
      <c r="F30" s="45"/>
      <c r="G30" s="49"/>
      <c r="H30" s="47"/>
      <c r="I30" s="44"/>
      <c r="J30" s="45"/>
      <c r="K30" s="46"/>
      <c r="L30" s="47"/>
      <c r="M30" s="45"/>
      <c r="N30" s="50"/>
      <c r="O30" s="41" t="str">
        <f>IF(SUM(L30:N30)&gt;0,SUM(L30:N30),"")</f>
        <v/>
      </c>
      <c r="P30" s="14"/>
    </row>
  </sheetData>
  <mergeCells count="9">
    <mergeCell ref="D5:G5"/>
    <mergeCell ref="H5:K5"/>
    <mergeCell ref="L5:N5"/>
    <mergeCell ref="A1:N1"/>
    <mergeCell ref="A3:B3"/>
    <mergeCell ref="C3:D3"/>
    <mergeCell ref="F3:I3"/>
    <mergeCell ref="K3:L3"/>
    <mergeCell ref="B4:N4"/>
  </mergeCells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 copies="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P30"/>
  <sheetViews>
    <sheetView showGridLines="0" showRowColHeaders="0" showZeros="0" zoomScaleNormal="100" workbookViewId="0">
      <selection activeCell="K17" sqref="K17"/>
    </sheetView>
  </sheetViews>
  <sheetFormatPr baseColWidth="10" defaultColWidth="8.83203125" defaultRowHeight="13"/>
  <cols>
    <col min="1" max="1" width="5.6640625" customWidth="1"/>
    <col min="2" max="2" width="7.6640625" customWidth="1"/>
    <col min="3" max="3" width="27.6640625" customWidth="1"/>
    <col min="4" max="14" width="7.33203125" customWidth="1"/>
    <col min="15" max="15" width="9.33203125" customWidth="1"/>
    <col min="16" max="16" width="4.6640625" style="7" customWidth="1"/>
  </cols>
  <sheetData>
    <row r="1" spans="1:16" ht="23">
      <c r="A1" s="346" t="s">
        <v>56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83"/>
      <c r="P1" s="83"/>
    </row>
    <row r="2" spans="1:16" ht="15" customHeight="1">
      <c r="B2" s="16" t="s">
        <v>46</v>
      </c>
      <c r="C2" s="82" t="str">
        <f>IF('P1'!C5&gt;0,'P1'!C5,"")</f>
        <v>NM 5-kamp og NC4 (U/J)</v>
      </c>
      <c r="D2" s="82"/>
      <c r="E2" s="8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6">
      <c r="A3" s="352" t="s">
        <v>0</v>
      </c>
      <c r="B3" s="352"/>
      <c r="C3" s="348" t="str">
        <f>IF('P1'!I5&gt;0,'P1'!I5,"")</f>
        <v>Larvik AK</v>
      </c>
      <c r="D3" s="348"/>
      <c r="E3" s="18" t="s">
        <v>1</v>
      </c>
      <c r="F3" s="350" t="str">
        <f>IF('P1'!P5&gt;0,'P1'!P5,"")</f>
        <v>Stavernhallen</v>
      </c>
      <c r="G3" s="350"/>
      <c r="H3" s="350"/>
      <c r="I3" s="350"/>
      <c r="J3" s="158" t="s">
        <v>2</v>
      </c>
      <c r="K3" s="351">
        <v>44451</v>
      </c>
      <c r="L3" s="351"/>
      <c r="M3" s="19" t="s">
        <v>20</v>
      </c>
      <c r="N3" s="64">
        <v>9</v>
      </c>
      <c r="O3" s="63"/>
      <c r="P3" s="20"/>
    </row>
    <row r="4" spans="1:16" ht="15" thickBot="1">
      <c r="B4" s="342" t="s">
        <v>73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19"/>
      <c r="P4" s="20"/>
    </row>
    <row r="5" spans="1:16" s="21" customFormat="1" ht="14">
      <c r="B5" s="22" t="s">
        <v>23</v>
      </c>
      <c r="C5" s="23" t="s">
        <v>6</v>
      </c>
      <c r="D5" s="343" t="s">
        <v>26</v>
      </c>
      <c r="E5" s="343"/>
      <c r="F5" s="343"/>
      <c r="G5" s="343"/>
      <c r="H5" s="344" t="s">
        <v>27</v>
      </c>
      <c r="I5" s="344"/>
      <c r="J5" s="344"/>
      <c r="K5" s="344"/>
      <c r="L5" s="345" t="s">
        <v>47</v>
      </c>
      <c r="M5" s="345"/>
      <c r="N5" s="345"/>
      <c r="O5" s="24"/>
      <c r="P5" s="25"/>
    </row>
    <row r="6" spans="1:16" ht="14" thickBot="1">
      <c r="B6" s="210" t="s">
        <v>29</v>
      </c>
      <c r="C6" s="26" t="s">
        <v>33</v>
      </c>
      <c r="D6" s="27">
        <v>1</v>
      </c>
      <c r="E6" s="27">
        <v>2</v>
      </c>
      <c r="F6" s="28">
        <v>3</v>
      </c>
      <c r="G6" s="29" t="s">
        <v>48</v>
      </c>
      <c r="H6" s="30">
        <v>1</v>
      </c>
      <c r="I6" s="27">
        <v>2</v>
      </c>
      <c r="J6" s="28">
        <v>3</v>
      </c>
      <c r="K6" s="29" t="s">
        <v>48</v>
      </c>
      <c r="L6" s="30">
        <v>1</v>
      </c>
      <c r="M6" s="28">
        <v>2</v>
      </c>
      <c r="N6" s="31" t="s">
        <v>48</v>
      </c>
      <c r="O6" s="32"/>
      <c r="P6" s="33"/>
    </row>
    <row r="7" spans="1:16" ht="16.5" customHeight="1">
      <c r="B7" s="217" t="str">
        <f>IF('P9'!D9="","",'P9'!D9)</f>
        <v>24-34</v>
      </c>
      <c r="C7" s="212" t="str">
        <f>IF('P9'!G9="","",'P9'!G9)</f>
        <v>Lars Espedal</v>
      </c>
      <c r="D7" s="51">
        <v>8.0399999999999991</v>
      </c>
      <c r="E7" s="51">
        <v>8.1199999999999992</v>
      </c>
      <c r="F7" s="52">
        <v>8.02</v>
      </c>
      <c r="G7" s="34">
        <f>IF(MAX(D7,E7,F7)&gt;0,MAX(D7,E7,F7),"")</f>
        <v>8.1199999999999992</v>
      </c>
      <c r="H7" s="55">
        <v>13.65</v>
      </c>
      <c r="I7" s="51">
        <v>14.1</v>
      </c>
      <c r="J7" s="51">
        <v>14.02</v>
      </c>
      <c r="K7" s="34">
        <f>IF(MAX(H7,I7,J7)&gt;0,MAX(H7,I7,J7),"")</f>
        <v>14.1</v>
      </c>
      <c r="L7" s="57">
        <v>6.65</v>
      </c>
      <c r="M7" s="52">
        <v>6.5</v>
      </c>
      <c r="N7" s="34">
        <f>IF(MIN(L7,M7)&gt;0,MIN(L7,M7),"")</f>
        <v>6.5</v>
      </c>
      <c r="O7" s="35"/>
      <c r="P7" s="36"/>
    </row>
    <row r="8" spans="1:16" ht="16.5" customHeight="1">
      <c r="B8" s="37"/>
      <c r="C8" s="234" t="str">
        <f>IF('P9'!H9="","",'P9'!H9)</f>
        <v>Vigrestad IK</v>
      </c>
      <c r="D8" s="44"/>
      <c r="E8" s="44"/>
      <c r="F8" s="45"/>
      <c r="G8" s="38"/>
      <c r="H8" s="47"/>
      <c r="I8" s="44"/>
      <c r="J8" s="45"/>
      <c r="K8" s="39"/>
      <c r="L8" s="47"/>
      <c r="M8" s="45"/>
      <c r="N8" s="40"/>
      <c r="O8" s="41" t="str">
        <f>IF(SUM(L8:N8)&gt;0,SUM(L8:N8),"")</f>
        <v/>
      </c>
      <c r="P8" s="14"/>
    </row>
    <row r="9" spans="1:16" ht="16.5" customHeight="1">
      <c r="B9" s="216" t="str">
        <f>IF('P9'!D11="","",'P9'!D11)</f>
        <v>24-34</v>
      </c>
      <c r="C9" s="235" t="str">
        <f>IF('P9'!G11="","",'P9'!G11)</f>
        <v>Roy Sømme Ommedal</v>
      </c>
      <c r="D9" s="53">
        <v>8.76</v>
      </c>
      <c r="E9" s="53">
        <v>8.69</v>
      </c>
      <c r="F9" s="54"/>
      <c r="G9" s="42">
        <f>IF(MAX(D9,E9,F9)&gt;0,MAX(D9,E9,F9),"")</f>
        <v>8.76</v>
      </c>
      <c r="H9" s="56">
        <v>14.51</v>
      </c>
      <c r="I9" s="53">
        <v>14.11</v>
      </c>
      <c r="J9" s="53">
        <v>15.04</v>
      </c>
      <c r="K9" s="43">
        <f>IF(MAX(H9,I9,J9)&gt;0,MAX(H9,I9,J9),"")</f>
        <v>15.04</v>
      </c>
      <c r="L9" s="58">
        <v>6.42</v>
      </c>
      <c r="M9" s="283" t="s">
        <v>207</v>
      </c>
      <c r="N9" s="43">
        <f>IF(MIN(L9,M9)&gt;0,MIN(L9,M9),"")</f>
        <v>6.42</v>
      </c>
      <c r="O9" s="35"/>
      <c r="P9" s="36"/>
    </row>
    <row r="10" spans="1:16" ht="16.5" customHeight="1">
      <c r="B10" s="37"/>
      <c r="C10" s="234" t="str">
        <f>IF('P9'!H11="","",'P9'!H11)</f>
        <v>Vigrestad IK</v>
      </c>
      <c r="D10" s="44"/>
      <c r="E10" s="44"/>
      <c r="F10" s="45"/>
      <c r="G10" s="38"/>
      <c r="H10" s="47"/>
      <c r="I10" s="44"/>
      <c r="J10" s="45"/>
      <c r="K10" s="39"/>
      <c r="L10" s="47"/>
      <c r="M10" s="45"/>
      <c r="N10" s="40"/>
      <c r="O10" s="41" t="str">
        <f>IF(SUM(L10:N10)&gt;0,SUM(L10:N10),"")</f>
        <v/>
      </c>
      <c r="P10" s="14"/>
    </row>
    <row r="11" spans="1:16" ht="16.5" customHeight="1">
      <c r="B11" s="216" t="str">
        <f>IF('P9'!D13="","",'P9'!D13)</f>
        <v>24-34</v>
      </c>
      <c r="C11" s="235" t="str">
        <f>IF('P9'!G13="","",'P9'!G13)</f>
        <v>Edvin Øygard</v>
      </c>
      <c r="D11" s="53">
        <v>8.58</v>
      </c>
      <c r="E11" s="53">
        <v>8.7799999999999994</v>
      </c>
      <c r="F11" s="54">
        <v>8.7899999999999991</v>
      </c>
      <c r="G11" s="42">
        <f>IF(MAX(D11,E11,F11)&gt;0,MAX(D11,E11,F11),"")</f>
        <v>8.7899999999999991</v>
      </c>
      <c r="H11" s="56">
        <v>14.28</v>
      </c>
      <c r="I11" s="53">
        <v>15.51</v>
      </c>
      <c r="J11" s="53">
        <v>16.2</v>
      </c>
      <c r="K11" s="43">
        <f>IF(MAX(H11,I11,J11)&gt;0,MAX(H11,I11,J11),"")</f>
        <v>16.2</v>
      </c>
      <c r="L11" s="58">
        <v>6.26</v>
      </c>
      <c r="M11" s="54">
        <v>6.22</v>
      </c>
      <c r="N11" s="43">
        <f>IF(MIN(L11,M11)&gt;0,MIN(L11,M11),"")</f>
        <v>6.22</v>
      </c>
      <c r="O11" s="35"/>
      <c r="P11" s="36"/>
    </row>
    <row r="12" spans="1:16" ht="16.5" customHeight="1">
      <c r="B12" s="37"/>
      <c r="C12" s="234" t="str">
        <f>IF('P9'!H13="","",'P9'!H13)</f>
        <v>Breimsbygda IL</v>
      </c>
      <c r="D12" s="44"/>
      <c r="E12" s="44"/>
      <c r="F12" s="45"/>
      <c r="G12" s="38"/>
      <c r="H12" s="47"/>
      <c r="I12" s="44"/>
      <c r="J12" s="45"/>
      <c r="K12" s="39"/>
      <c r="L12" s="47"/>
      <c r="M12" s="45"/>
      <c r="N12" s="40"/>
      <c r="O12" s="41" t="str">
        <f>IF(SUM(L12:N12)&gt;0,SUM(L12:N12),"")</f>
        <v/>
      </c>
      <c r="P12" s="14"/>
    </row>
    <row r="13" spans="1:16" ht="16.5" customHeight="1">
      <c r="B13" s="216" t="str">
        <f>IF('P9'!D15="","",'P9'!D15)</f>
        <v>24-34</v>
      </c>
      <c r="C13" s="235" t="str">
        <f>IF('P9'!G15="","",'P9'!G15)</f>
        <v>Victor Boquetale Gomez</v>
      </c>
      <c r="D13" s="53">
        <v>8.8800000000000008</v>
      </c>
      <c r="E13" s="53">
        <v>9.27</v>
      </c>
      <c r="F13" s="54"/>
      <c r="G13" s="42">
        <f>IF(MAX(D13,E13,F13)&gt;0,MAX(D13,E13,F13),"")</f>
        <v>9.27</v>
      </c>
      <c r="H13" s="56">
        <v>11.43</v>
      </c>
      <c r="I13" s="53">
        <v>12.51</v>
      </c>
      <c r="J13" s="53">
        <v>11.08</v>
      </c>
      <c r="K13" s="43">
        <f>IF(MAX(H13,I13,J13)&gt;0,MAX(H13,I13,J13),"")</f>
        <v>12.51</v>
      </c>
      <c r="L13" s="58">
        <v>6.16</v>
      </c>
      <c r="M13" s="54">
        <v>6.21</v>
      </c>
      <c r="N13" s="43">
        <f>IF(MIN(L13,M13)&gt;0,MIN(L13,M13),"")</f>
        <v>6.16</v>
      </c>
      <c r="O13" s="35"/>
      <c r="P13" s="36"/>
    </row>
    <row r="14" spans="1:16" ht="16.5" customHeight="1">
      <c r="B14" s="37"/>
      <c r="C14" s="234" t="str">
        <f>IF('P9'!H15="","",'P9'!H15)</f>
        <v>Larvik AK</v>
      </c>
      <c r="D14" s="44"/>
      <c r="E14" s="44"/>
      <c r="F14" s="45"/>
      <c r="G14" s="38"/>
      <c r="H14" s="47"/>
      <c r="I14" s="44"/>
      <c r="J14" s="45"/>
      <c r="K14" s="39"/>
      <c r="L14" s="47"/>
      <c r="M14" s="45"/>
      <c r="N14" s="40"/>
      <c r="O14" s="41" t="str">
        <f>IF(SUM(L14:N14)&gt;0,SUM(L14:N14),"")</f>
        <v/>
      </c>
      <c r="P14" s="14"/>
    </row>
    <row r="15" spans="1:16" ht="16.5" customHeight="1">
      <c r="B15" s="216" t="str">
        <f>IF('P9'!D17="","",'P9'!D17)</f>
        <v>24-34</v>
      </c>
      <c r="C15" s="235" t="str">
        <f>IF('P9'!G17="","",'P9'!G17)</f>
        <v>Jørgen Kjellevand</v>
      </c>
      <c r="D15" s="53">
        <v>8.7799999999999994</v>
      </c>
      <c r="E15" s="53">
        <v>9.08</v>
      </c>
      <c r="F15" s="54">
        <v>9.2899999999999991</v>
      </c>
      <c r="G15" s="42">
        <f>IF(MAX(D15,E15,F15)&gt;0,MAX(D15,E15,F15),"")</f>
        <v>9.2899999999999991</v>
      </c>
      <c r="H15" s="56">
        <v>14.8</v>
      </c>
      <c r="I15" s="53">
        <v>15.62</v>
      </c>
      <c r="J15" s="53">
        <v>15.99</v>
      </c>
      <c r="K15" s="43">
        <f>IF(MAX(H15,I15,J15)&gt;0,MAX(H15,I15,J15),"")</f>
        <v>15.99</v>
      </c>
      <c r="L15" s="58">
        <v>6.37</v>
      </c>
      <c r="M15" s="54">
        <v>6.46</v>
      </c>
      <c r="N15" s="43">
        <f>IF(MIN(L15,M15)&gt;0,MIN(L15,M15),"")</f>
        <v>6.37</v>
      </c>
      <c r="O15" s="35"/>
      <c r="P15" s="36"/>
    </row>
    <row r="16" spans="1:16" ht="16.5" customHeight="1">
      <c r="B16" s="37"/>
      <c r="C16" s="234" t="str">
        <f>IF('P9'!H17="","",'P9'!H17)</f>
        <v>Spydeberg Atletene</v>
      </c>
      <c r="D16" s="44"/>
      <c r="E16" s="44"/>
      <c r="F16" s="45"/>
      <c r="G16" s="38"/>
      <c r="H16" s="47"/>
      <c r="I16" s="44"/>
      <c r="J16" s="45"/>
      <c r="K16" s="39"/>
      <c r="L16" s="47"/>
      <c r="M16" s="45"/>
      <c r="N16" s="40"/>
      <c r="O16" s="41" t="str">
        <f>IF(SUM(L16:N16)&gt;0,SUM(L16:N16),"")</f>
        <v/>
      </c>
      <c r="P16" s="14"/>
    </row>
    <row r="17" spans="2:16" ht="16.5" customHeight="1">
      <c r="B17" s="216" t="str">
        <f>IF('P9'!D19="","",'P9'!D19)</f>
        <v>24-34</v>
      </c>
      <c r="C17" s="235" t="str">
        <f>IF('P9'!G19="","",'P9'!G19)</f>
        <v>Tord Gravdal</v>
      </c>
      <c r="D17" s="53">
        <v>7.52</v>
      </c>
      <c r="E17" s="53"/>
      <c r="F17" s="54"/>
      <c r="G17" s="42">
        <f>IF(MAX(D17,E17,F17)&gt;0,MAX(D17,E17,F17),"")</f>
        <v>7.52</v>
      </c>
      <c r="H17" s="56">
        <v>11.08</v>
      </c>
      <c r="I17" s="53">
        <v>11.25</v>
      </c>
      <c r="J17" s="53">
        <v>11.89</v>
      </c>
      <c r="K17" s="43">
        <f>IF(MAX(H17,I17,J17)&gt;0,MAX(H17,I17,J17),"")</f>
        <v>11.89</v>
      </c>
      <c r="L17" s="58">
        <v>8.9700000000000006</v>
      </c>
      <c r="M17" s="283" t="s">
        <v>207</v>
      </c>
      <c r="N17" s="43">
        <f>IF(MIN(L17,M17)&gt;0,MIN(L17,M17),"")</f>
        <v>8.9700000000000006</v>
      </c>
      <c r="O17" s="35"/>
      <c r="P17" s="36"/>
    </row>
    <row r="18" spans="2:16" ht="16.5" customHeight="1">
      <c r="B18" s="37"/>
      <c r="C18" s="234" t="str">
        <f>IF('P9'!H19="","",'P9'!H19)</f>
        <v>Vigrestad IK</v>
      </c>
      <c r="D18" s="44"/>
      <c r="E18" s="44"/>
      <c r="F18" s="45"/>
      <c r="G18" s="38"/>
      <c r="H18" s="47"/>
      <c r="I18" s="44"/>
      <c r="J18" s="45"/>
      <c r="K18" s="39"/>
      <c r="L18" s="47"/>
      <c r="M18" s="45"/>
      <c r="N18" s="40"/>
      <c r="O18" s="41" t="str">
        <f>IF(SUM(L18:N18)&gt;0,SUM(L18:N18),"")</f>
        <v/>
      </c>
      <c r="P18" s="14"/>
    </row>
    <row r="19" spans="2:16" ht="16.5" customHeight="1">
      <c r="B19" s="216" t="str">
        <f>IF('P9'!D21="","",'P9'!D21)</f>
        <v>24-34</v>
      </c>
      <c r="C19" s="235" t="str">
        <f>IF('P9'!G21="","",'P9'!G21)</f>
        <v>Kim Eirik Tollefsen</v>
      </c>
      <c r="D19" s="53"/>
      <c r="E19" s="53"/>
      <c r="F19" s="54"/>
      <c r="G19" s="42" t="str">
        <f>IF(MAX(D19,E19,F19)&gt;0,MAX(D19,E19,F19),"")</f>
        <v/>
      </c>
      <c r="H19" s="56"/>
      <c r="I19" s="53"/>
      <c r="J19" s="53"/>
      <c r="K19" s="43" t="str">
        <f>IF(MAX(H19,I19,J19)&gt;0,MAX(H19,I19,J19),"")</f>
        <v/>
      </c>
      <c r="L19" s="58"/>
      <c r="M19" s="54"/>
      <c r="N19" s="43" t="str">
        <f>IF(MIN(L19,M19)&gt;0,MIN(L19,M19),"")</f>
        <v/>
      </c>
      <c r="O19" s="35"/>
      <c r="P19" s="36"/>
    </row>
    <row r="20" spans="2:16" ht="16.5" customHeight="1">
      <c r="B20" s="37"/>
      <c r="C20" s="234" t="str">
        <f>IF('P9'!H21="","",'P9'!H21)</f>
        <v>Tønsberg-Kam.</v>
      </c>
      <c r="D20" s="44"/>
      <c r="E20" s="44"/>
      <c r="F20" s="45"/>
      <c r="G20" s="38"/>
      <c r="H20" s="47"/>
      <c r="I20" s="44"/>
      <c r="J20" s="45"/>
      <c r="K20" s="39"/>
      <c r="L20" s="47"/>
      <c r="M20" s="45"/>
      <c r="N20" s="40"/>
      <c r="O20" s="41" t="str">
        <f>IF(SUM(L20:N20)&gt;0,SUM(L20:N20),"")</f>
        <v/>
      </c>
      <c r="P20" s="14"/>
    </row>
    <row r="21" spans="2:16" ht="16.5" customHeight="1">
      <c r="B21" s="216" t="str">
        <f>IF('P9'!D23="","",'P9'!D23)</f>
        <v/>
      </c>
      <c r="C21" s="235" t="str">
        <f>IF('P9'!G23="","",'P9'!G23)</f>
        <v/>
      </c>
      <c r="D21" s="53"/>
      <c r="E21" s="53"/>
      <c r="F21" s="54"/>
      <c r="G21" s="42" t="str">
        <f>IF(MAX(D21,E21,F21)&gt;0,MAX(D21,E21,F21),"")</f>
        <v/>
      </c>
      <c r="H21" s="56"/>
      <c r="I21" s="53"/>
      <c r="J21" s="53"/>
      <c r="K21" s="43" t="str">
        <f>IF(MAX(H21,I21,J21)&gt;0,MAX(H21,I21,J21),"")</f>
        <v/>
      </c>
      <c r="L21" s="58"/>
      <c r="M21" s="54"/>
      <c r="N21" s="43" t="str">
        <f>IF(MIN(L21,M21)&gt;0,MIN(L21,M21),"")</f>
        <v/>
      </c>
      <c r="O21" s="35"/>
      <c r="P21" s="36"/>
    </row>
    <row r="22" spans="2:16" ht="16.5" customHeight="1">
      <c r="B22" s="37"/>
      <c r="C22" s="234" t="str">
        <f>IF('P9'!H23="","",'P9'!H23)</f>
        <v/>
      </c>
      <c r="D22" s="44"/>
      <c r="E22" s="44"/>
      <c r="F22" s="45"/>
      <c r="G22" s="46"/>
      <c r="H22" s="47"/>
      <c r="I22" s="44"/>
      <c r="J22" s="45"/>
      <c r="K22" s="48"/>
      <c r="L22" s="47"/>
      <c r="M22" s="45"/>
      <c r="N22" s="40"/>
      <c r="O22" s="41" t="str">
        <f>IF(SUM(L22:N22)&gt;0,SUM(L22:N22),"")</f>
        <v/>
      </c>
      <c r="P22" s="14"/>
    </row>
    <row r="23" spans="2:16" ht="16.5" customHeight="1">
      <c r="B23" s="216" t="str">
        <f>IF('P9'!D25="","",'P9'!D25)</f>
        <v/>
      </c>
      <c r="C23" s="235" t="str">
        <f>IF('P9'!G25="","",'P9'!G25)</f>
        <v/>
      </c>
      <c r="D23" s="53"/>
      <c r="E23" s="53"/>
      <c r="F23" s="54"/>
      <c r="G23" s="42" t="str">
        <f>IF(MAX(D23,E23,F23)&gt;0,MAX(D23,E23,F23),"")</f>
        <v/>
      </c>
      <c r="H23" s="56"/>
      <c r="I23" s="53"/>
      <c r="J23" s="53"/>
      <c r="K23" s="43" t="str">
        <f>IF(MAX(H23,I23,J23)&gt;0,MAX(H23,I23,J23),"")</f>
        <v/>
      </c>
      <c r="L23" s="58"/>
      <c r="M23" s="54"/>
      <c r="N23" s="43" t="str">
        <f>IF(MIN(L23,M23)&gt;0,MIN(L23,M23),"")</f>
        <v/>
      </c>
      <c r="O23" s="35"/>
      <c r="P23" s="36"/>
    </row>
    <row r="24" spans="2:16" ht="16.5" customHeight="1">
      <c r="B24" s="37"/>
      <c r="C24" s="234" t="str">
        <f>IF('P9'!H25="","",'P9'!H25)</f>
        <v/>
      </c>
      <c r="D24" s="44"/>
      <c r="E24" s="44"/>
      <c r="F24" s="45"/>
      <c r="G24" s="38"/>
      <c r="H24" s="47"/>
      <c r="I24" s="44"/>
      <c r="J24" s="45"/>
      <c r="K24" s="39"/>
      <c r="L24" s="47"/>
      <c r="M24" s="45"/>
      <c r="N24" s="40"/>
      <c r="O24" s="41" t="str">
        <f>IF(SUM(L24:N24)&gt;0,SUM(L24:N24),"")</f>
        <v/>
      </c>
      <c r="P24" s="14"/>
    </row>
    <row r="25" spans="2:16" ht="16.5" customHeight="1">
      <c r="B25" s="216" t="str">
        <f>IF('P9'!D27="","",'P9'!D27)</f>
        <v/>
      </c>
      <c r="C25" s="235" t="str">
        <f>IF('P9'!G27="","",'P9'!G27)</f>
        <v/>
      </c>
      <c r="D25" s="53"/>
      <c r="E25" s="53"/>
      <c r="F25" s="54"/>
      <c r="G25" s="42" t="str">
        <f>IF(MAX(D25,E25,F25)&gt;0,MAX(D25,E25,F25),"")</f>
        <v/>
      </c>
      <c r="H25" s="56"/>
      <c r="I25" s="53"/>
      <c r="J25" s="53"/>
      <c r="K25" s="43" t="str">
        <f>IF(MAX(H25,I25,J25)&gt;0,MAX(H25,I25,J25),"")</f>
        <v/>
      </c>
      <c r="L25" s="58"/>
      <c r="M25" s="54"/>
      <c r="N25" s="43" t="str">
        <f>IF(MIN(L25,M25)&gt;0,MIN(L25,M25),"")</f>
        <v/>
      </c>
      <c r="O25" s="35"/>
      <c r="P25" s="36"/>
    </row>
    <row r="26" spans="2:16" ht="16.5" customHeight="1">
      <c r="B26" s="37"/>
      <c r="C26" s="234" t="str">
        <f>IF('P9'!H27="","",'P9'!H27)</f>
        <v/>
      </c>
      <c r="D26" s="44"/>
      <c r="E26" s="44"/>
      <c r="F26" s="45"/>
      <c r="G26" s="38"/>
      <c r="H26" s="47"/>
      <c r="I26" s="44"/>
      <c r="J26" s="45"/>
      <c r="K26" s="39"/>
      <c r="L26" s="47"/>
      <c r="M26" s="45"/>
      <c r="N26" s="40"/>
      <c r="O26" s="41" t="str">
        <f>IF(SUM(L26:N26)&gt;0,SUM(L26:N26),"")</f>
        <v/>
      </c>
      <c r="P26" s="14"/>
    </row>
    <row r="27" spans="2:16" ht="16.5" customHeight="1">
      <c r="B27" s="216" t="str">
        <f>IF('P9'!D29="","",'P9'!D29)</f>
        <v/>
      </c>
      <c r="C27" s="235" t="str">
        <f>IF('P9'!G29="","",'P9'!G29)</f>
        <v/>
      </c>
      <c r="D27" s="53"/>
      <c r="E27" s="53"/>
      <c r="F27" s="54"/>
      <c r="G27" s="42" t="str">
        <f>IF(MAX(D27,E27,F27)&gt;0,MAX(D27,E27,F27),"")</f>
        <v/>
      </c>
      <c r="H27" s="56"/>
      <c r="I27" s="53"/>
      <c r="J27" s="53"/>
      <c r="K27" s="43" t="str">
        <f>IF(MAX(H27,I27,J27)&gt;0,MAX(H27,I27,J27),"")</f>
        <v/>
      </c>
      <c r="L27" s="58"/>
      <c r="M27" s="54"/>
      <c r="N27" s="43" t="str">
        <f>IF(MIN(L27,M27)&gt;0,MIN(L27,M27),"")</f>
        <v/>
      </c>
      <c r="O27" s="35"/>
      <c r="P27" s="36"/>
    </row>
    <row r="28" spans="2:16" ht="16.5" customHeight="1">
      <c r="B28" s="37"/>
      <c r="C28" s="234" t="str">
        <f>IF('P9'!H29="","",'P9'!H29)</f>
        <v/>
      </c>
      <c r="D28" s="44"/>
      <c r="E28" s="44"/>
      <c r="F28" s="45"/>
      <c r="G28" s="38"/>
      <c r="H28" s="47"/>
      <c r="I28" s="44"/>
      <c r="J28" s="45"/>
      <c r="K28" s="39"/>
      <c r="L28" s="59"/>
      <c r="M28" s="45"/>
      <c r="N28" s="40"/>
      <c r="O28" s="41" t="str">
        <f>IF(SUM(L28:N28)&gt;0,SUM(L28:N28),"")</f>
        <v/>
      </c>
      <c r="P28" s="14"/>
    </row>
    <row r="29" spans="2:16" ht="16.5" customHeight="1">
      <c r="B29" s="216" t="str">
        <f>IF('P9'!D31="","",'P9'!D31)</f>
        <v/>
      </c>
      <c r="C29" s="235" t="str">
        <f>IF('P9'!G31="","",'P9'!G31)</f>
        <v/>
      </c>
      <c r="D29" s="53"/>
      <c r="E29" s="53"/>
      <c r="F29" s="54"/>
      <c r="G29" s="42" t="str">
        <f>IF(MAX(D29,E29,F29)&gt;0,MAX(D29,E29,F29),"")</f>
        <v/>
      </c>
      <c r="H29" s="56"/>
      <c r="I29" s="53"/>
      <c r="J29" s="53"/>
      <c r="K29" s="43" t="str">
        <f>IF(MAX(H29,I29,J29)&gt;0,MAX(H29,I29,J29),"")</f>
        <v/>
      </c>
      <c r="L29" s="60"/>
      <c r="M29" s="54"/>
      <c r="N29" s="43" t="str">
        <f>IF(MIN(L29,M29)&gt;0,MIN(L29,M29),"")</f>
        <v/>
      </c>
      <c r="O29" s="35"/>
      <c r="P29" s="36"/>
    </row>
    <row r="30" spans="2:16" ht="16.5" customHeight="1">
      <c r="B30" s="62"/>
      <c r="C30" s="234" t="str">
        <f>IF('P9'!H31="","",'P9'!H31)</f>
        <v/>
      </c>
      <c r="D30" s="44"/>
      <c r="E30" s="44"/>
      <c r="F30" s="45"/>
      <c r="G30" s="49"/>
      <c r="H30" s="47"/>
      <c r="I30" s="44"/>
      <c r="J30" s="45"/>
      <c r="K30" s="46"/>
      <c r="L30" s="47"/>
      <c r="M30" s="45"/>
      <c r="N30" s="50"/>
      <c r="O30" s="41" t="str">
        <f>IF(SUM(L30:N30)&gt;0,SUM(L30:N30),"")</f>
        <v/>
      </c>
      <c r="P30" s="14"/>
    </row>
  </sheetData>
  <mergeCells count="9">
    <mergeCell ref="D5:G5"/>
    <mergeCell ref="H5:K5"/>
    <mergeCell ref="L5:N5"/>
    <mergeCell ref="A1:N1"/>
    <mergeCell ref="A3:B3"/>
    <mergeCell ref="C3:D3"/>
    <mergeCell ref="F3:I3"/>
    <mergeCell ref="K3:L3"/>
    <mergeCell ref="B4:N4"/>
  </mergeCells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 copies="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/>
  <dimension ref="A1:C63"/>
  <sheetViews>
    <sheetView workbookViewId="0">
      <selection activeCell="E5" sqref="E5"/>
    </sheetView>
  </sheetViews>
  <sheetFormatPr baseColWidth="10" defaultColWidth="9.1640625" defaultRowHeight="13"/>
  <cols>
    <col min="1" max="1" width="11.33203125" customWidth="1"/>
    <col min="2" max="2" width="11.6640625" style="76" customWidth="1"/>
    <col min="3" max="3" width="12.33203125" bestFit="1" customWidth="1"/>
  </cols>
  <sheetData>
    <row r="1" spans="1:3">
      <c r="A1" s="354" t="s">
        <v>64</v>
      </c>
      <c r="B1" s="354"/>
      <c r="C1" s="354"/>
    </row>
    <row r="2" spans="1:3">
      <c r="A2" s="21" t="s">
        <v>58</v>
      </c>
      <c r="B2" s="182" t="s">
        <v>65</v>
      </c>
      <c r="C2" t="s">
        <v>66</v>
      </c>
    </row>
    <row r="3" spans="1:3">
      <c r="A3" s="183">
        <v>30</v>
      </c>
      <c r="B3" s="182">
        <v>1</v>
      </c>
      <c r="C3" s="182">
        <v>1</v>
      </c>
    </row>
    <row r="4" spans="1:3">
      <c r="A4" s="183">
        <v>31</v>
      </c>
      <c r="B4" s="182">
        <v>1.016</v>
      </c>
      <c r="C4" s="182">
        <v>1.016</v>
      </c>
    </row>
    <row r="5" spans="1:3">
      <c r="A5" s="183">
        <v>32</v>
      </c>
      <c r="B5" s="182">
        <v>1.0309999999999999</v>
      </c>
      <c r="C5" s="182">
        <v>1.0169999999999999</v>
      </c>
    </row>
    <row r="6" spans="1:3">
      <c r="A6" s="183">
        <v>33</v>
      </c>
      <c r="B6" s="182">
        <v>1.046</v>
      </c>
      <c r="C6" s="182">
        <v>1.046</v>
      </c>
    </row>
    <row r="7" spans="1:3">
      <c r="A7" s="183">
        <v>34</v>
      </c>
      <c r="B7" s="182">
        <v>1.0589999999999999</v>
      </c>
      <c r="C7" s="182">
        <v>1.0589999999999999</v>
      </c>
    </row>
    <row r="8" spans="1:3">
      <c r="A8" s="183">
        <v>35</v>
      </c>
      <c r="B8" s="182">
        <v>1.0720000000000001</v>
      </c>
      <c r="C8" s="182">
        <v>1.0720000000000001</v>
      </c>
    </row>
    <row r="9" spans="1:3">
      <c r="A9" s="183">
        <v>36</v>
      </c>
      <c r="B9" s="182">
        <v>1.083</v>
      </c>
      <c r="C9" s="182">
        <v>1.0840000000000001</v>
      </c>
    </row>
    <row r="10" spans="1:3">
      <c r="A10" s="183">
        <v>37</v>
      </c>
      <c r="B10" s="182">
        <v>1.0960000000000001</v>
      </c>
      <c r="C10" s="182">
        <v>1.097</v>
      </c>
    </row>
    <row r="11" spans="1:3">
      <c r="A11" s="183">
        <v>38</v>
      </c>
      <c r="B11" s="182">
        <v>1.109</v>
      </c>
      <c r="C11" s="182">
        <v>1.1100000000000001</v>
      </c>
    </row>
    <row r="12" spans="1:3">
      <c r="A12" s="183">
        <v>39</v>
      </c>
      <c r="B12" s="182">
        <v>1.1220000000000001</v>
      </c>
      <c r="C12" s="182">
        <v>1.1240000000000001</v>
      </c>
    </row>
    <row r="13" spans="1:3">
      <c r="A13" s="183">
        <v>40</v>
      </c>
      <c r="B13" s="182">
        <v>1.135</v>
      </c>
      <c r="C13" s="182">
        <v>1.1379999999999999</v>
      </c>
    </row>
    <row r="14" spans="1:3">
      <c r="A14" s="183">
        <v>41</v>
      </c>
      <c r="B14" s="182">
        <v>1.149</v>
      </c>
      <c r="C14" s="182">
        <v>1.153</v>
      </c>
    </row>
    <row r="15" spans="1:3">
      <c r="A15" s="183">
        <v>42</v>
      </c>
      <c r="B15" s="182">
        <v>1.1619999999999999</v>
      </c>
      <c r="C15" s="182">
        <v>1.17</v>
      </c>
    </row>
    <row r="16" spans="1:3">
      <c r="A16" s="183">
        <v>43</v>
      </c>
      <c r="B16" s="182">
        <v>1.1759999999999999</v>
      </c>
      <c r="C16" s="182">
        <v>1.1870000000000001</v>
      </c>
    </row>
    <row r="17" spans="1:3">
      <c r="A17" s="183">
        <v>44</v>
      </c>
      <c r="B17" s="182">
        <v>1.1890000000000001</v>
      </c>
      <c r="C17" s="182">
        <v>1.2050000000000001</v>
      </c>
    </row>
    <row r="18" spans="1:3">
      <c r="A18" s="183">
        <v>45</v>
      </c>
      <c r="B18" s="182">
        <v>1.2030000000000001</v>
      </c>
      <c r="C18" s="182">
        <v>1.2230000000000001</v>
      </c>
    </row>
    <row r="19" spans="1:3">
      <c r="A19" s="183">
        <v>46</v>
      </c>
      <c r="B19" s="182">
        <v>1.218</v>
      </c>
      <c r="C19" s="182">
        <v>1.244</v>
      </c>
    </row>
    <row r="20" spans="1:3">
      <c r="A20" s="183">
        <v>47</v>
      </c>
      <c r="B20" s="182">
        <v>1.2330000000000001</v>
      </c>
      <c r="C20" s="182">
        <v>1.2649999999999999</v>
      </c>
    </row>
    <row r="21" spans="1:3">
      <c r="A21" s="183">
        <v>48</v>
      </c>
      <c r="B21" s="182">
        <v>1.248</v>
      </c>
      <c r="C21" s="182">
        <v>1.288</v>
      </c>
    </row>
    <row r="22" spans="1:3">
      <c r="A22" s="183">
        <v>49</v>
      </c>
      <c r="B22" s="182">
        <v>1.2629999999999999</v>
      </c>
      <c r="C22" s="182">
        <v>1.3129999999999999</v>
      </c>
    </row>
    <row r="23" spans="1:3">
      <c r="A23" s="183">
        <v>50</v>
      </c>
      <c r="B23" s="182">
        <v>1.2789999999999999</v>
      </c>
      <c r="C23" s="182">
        <v>1.34</v>
      </c>
    </row>
    <row r="24" spans="1:3">
      <c r="A24" s="183">
        <v>51</v>
      </c>
      <c r="B24" s="182">
        <v>1.2969999999999999</v>
      </c>
      <c r="C24" s="182">
        <v>1.369</v>
      </c>
    </row>
    <row r="25" spans="1:3">
      <c r="A25" s="183">
        <v>52</v>
      </c>
      <c r="B25" s="182">
        <v>1.3160000000000001</v>
      </c>
      <c r="C25" s="182">
        <v>1.401</v>
      </c>
    </row>
    <row r="26" spans="1:3">
      <c r="A26" s="183">
        <v>53</v>
      </c>
      <c r="B26" s="182">
        <v>1.3380000000000001</v>
      </c>
      <c r="C26" s="182">
        <v>1.4350000000000001</v>
      </c>
    </row>
    <row r="27" spans="1:3">
      <c r="A27" s="183">
        <v>54</v>
      </c>
      <c r="B27" s="182">
        <v>1.361</v>
      </c>
      <c r="C27" s="182">
        <v>1.47</v>
      </c>
    </row>
    <row r="28" spans="1:3">
      <c r="A28" s="183">
        <v>55</v>
      </c>
      <c r="B28" s="182">
        <v>1.385</v>
      </c>
      <c r="C28" s="182">
        <v>1.5069999999999999</v>
      </c>
    </row>
    <row r="29" spans="1:3" ht="14">
      <c r="A29" s="183">
        <v>56</v>
      </c>
      <c r="B29" s="182">
        <v>1.411</v>
      </c>
      <c r="C29" s="184">
        <v>1.5449999999999999</v>
      </c>
    </row>
    <row r="30" spans="1:3" ht="14">
      <c r="A30" s="183">
        <v>57</v>
      </c>
      <c r="B30" s="182">
        <v>1.4370000000000001</v>
      </c>
      <c r="C30" s="185">
        <v>1.585</v>
      </c>
    </row>
    <row r="31" spans="1:3" ht="14">
      <c r="A31" s="183">
        <v>58</v>
      </c>
      <c r="B31" s="182">
        <v>1.462</v>
      </c>
      <c r="C31" s="184">
        <v>1.625</v>
      </c>
    </row>
    <row r="32" spans="1:3" ht="14">
      <c r="A32" s="183">
        <v>59</v>
      </c>
      <c r="B32" s="182">
        <v>1.488</v>
      </c>
      <c r="C32" s="185">
        <v>1.665</v>
      </c>
    </row>
    <row r="33" spans="1:3" ht="14">
      <c r="A33" s="183">
        <v>60</v>
      </c>
      <c r="B33" s="182">
        <v>1.514</v>
      </c>
      <c r="C33" s="184">
        <v>1.7050000000000001</v>
      </c>
    </row>
    <row r="34" spans="1:3" ht="14">
      <c r="A34" s="183">
        <v>61</v>
      </c>
      <c r="B34" s="182">
        <v>1.5409999999999999</v>
      </c>
      <c r="C34" s="185">
        <v>1.744</v>
      </c>
    </row>
    <row r="35" spans="1:3" ht="14">
      <c r="A35" s="183">
        <v>62</v>
      </c>
      <c r="B35" s="182">
        <v>1.5680000000000001</v>
      </c>
      <c r="C35" s="184">
        <v>1.778</v>
      </c>
    </row>
    <row r="36" spans="1:3" ht="14">
      <c r="A36" s="183">
        <v>63</v>
      </c>
      <c r="B36" s="182">
        <v>1.5980000000000001</v>
      </c>
      <c r="C36" s="185">
        <v>1.8080000000000001</v>
      </c>
    </row>
    <row r="37" spans="1:3" ht="14">
      <c r="A37" s="183">
        <v>64</v>
      </c>
      <c r="B37" s="182">
        <v>1.629</v>
      </c>
      <c r="C37" s="184">
        <v>1.839</v>
      </c>
    </row>
    <row r="38" spans="1:3" ht="14">
      <c r="A38" s="183">
        <v>65</v>
      </c>
      <c r="B38" s="182">
        <v>1.663</v>
      </c>
      <c r="C38" s="185">
        <v>1.873</v>
      </c>
    </row>
    <row r="39" spans="1:3" ht="14">
      <c r="A39" s="183">
        <v>66</v>
      </c>
      <c r="B39" s="182">
        <v>1.6990000000000001</v>
      </c>
      <c r="C39" s="184">
        <v>1.909</v>
      </c>
    </row>
    <row r="40" spans="1:3" ht="14">
      <c r="A40" s="183">
        <v>67</v>
      </c>
      <c r="B40" s="182">
        <v>1.738</v>
      </c>
      <c r="C40" s="185">
        <v>1.948</v>
      </c>
    </row>
    <row r="41" spans="1:3" ht="14">
      <c r="A41" s="183">
        <v>68</v>
      </c>
      <c r="B41" s="182">
        <v>1.7789999999999999</v>
      </c>
      <c r="C41" s="184">
        <v>1.9890000000000001</v>
      </c>
    </row>
    <row r="42" spans="1:3" ht="14">
      <c r="A42" s="183">
        <v>69</v>
      </c>
      <c r="B42" s="182">
        <v>1.823</v>
      </c>
      <c r="C42" s="185">
        <v>2.0329999999999999</v>
      </c>
    </row>
    <row r="43" spans="1:3" ht="14">
      <c r="A43" s="183">
        <v>70</v>
      </c>
      <c r="B43" s="182">
        <v>1.867</v>
      </c>
      <c r="C43" s="184">
        <v>2.077</v>
      </c>
    </row>
    <row r="44" spans="1:3" ht="14">
      <c r="A44" s="183">
        <v>71</v>
      </c>
      <c r="B44" s="182">
        <v>1.91</v>
      </c>
      <c r="C44" s="185">
        <v>2.12</v>
      </c>
    </row>
    <row r="45" spans="1:3" ht="14">
      <c r="A45" s="183">
        <v>72</v>
      </c>
      <c r="B45" s="182">
        <v>1.9530000000000001</v>
      </c>
      <c r="C45" s="184">
        <v>2.1629999999999998</v>
      </c>
    </row>
    <row r="46" spans="1:3" ht="14">
      <c r="A46" s="183">
        <v>73</v>
      </c>
      <c r="B46" s="182">
        <v>2.004</v>
      </c>
      <c r="C46" s="185">
        <v>2.214</v>
      </c>
    </row>
    <row r="47" spans="1:3" ht="14">
      <c r="A47" s="183">
        <v>74</v>
      </c>
      <c r="B47" s="182">
        <v>2.06</v>
      </c>
      <c r="C47" s="184">
        <v>2.27</v>
      </c>
    </row>
    <row r="48" spans="1:3" ht="14">
      <c r="A48" s="183">
        <v>75</v>
      </c>
      <c r="B48" s="182">
        <v>2.117</v>
      </c>
      <c r="C48" s="185">
        <v>2.327</v>
      </c>
    </row>
    <row r="49" spans="1:3" ht="14">
      <c r="A49" s="183">
        <v>76</v>
      </c>
      <c r="B49" s="182">
        <v>2.181</v>
      </c>
      <c r="C49" s="184">
        <v>2.391</v>
      </c>
    </row>
    <row r="50" spans="1:3" ht="14">
      <c r="A50" s="183">
        <v>77</v>
      </c>
      <c r="B50" s="182">
        <v>2.2549999999999999</v>
      </c>
      <c r="C50" s="185">
        <v>2.4649999999999999</v>
      </c>
    </row>
    <row r="51" spans="1:3" ht="14">
      <c r="A51" s="183">
        <v>78</v>
      </c>
      <c r="B51" s="182">
        <v>2.3359999999999999</v>
      </c>
      <c r="C51" s="184">
        <v>2.5459999999999998</v>
      </c>
    </row>
    <row r="52" spans="1:3" ht="14">
      <c r="A52" s="183">
        <v>79</v>
      </c>
      <c r="B52" s="182">
        <v>2.419</v>
      </c>
      <c r="C52" s="185">
        <v>2.629</v>
      </c>
    </row>
    <row r="53" spans="1:3" ht="14">
      <c r="A53" s="183">
        <v>80</v>
      </c>
      <c r="B53" s="182">
        <v>2.504</v>
      </c>
      <c r="C53" s="184">
        <v>2.714</v>
      </c>
    </row>
    <row r="54" spans="1:3" ht="14">
      <c r="A54" s="183">
        <v>81</v>
      </c>
      <c r="B54" s="182">
        <v>2.597</v>
      </c>
      <c r="C54" s="186"/>
    </row>
    <row r="55" spans="1:3" ht="14">
      <c r="A55" s="183">
        <v>82</v>
      </c>
      <c r="B55" s="182">
        <v>2.702</v>
      </c>
      <c r="C55" s="186"/>
    </row>
    <row r="56" spans="1:3" ht="14">
      <c r="A56" s="183">
        <v>83</v>
      </c>
      <c r="B56" s="182">
        <v>2.831</v>
      </c>
      <c r="C56" s="186"/>
    </row>
    <row r="57" spans="1:3" ht="14">
      <c r="A57" s="183">
        <v>84</v>
      </c>
      <c r="B57" s="182">
        <v>2.9809999999999999</v>
      </c>
      <c r="C57" s="186"/>
    </row>
    <row r="58" spans="1:3" ht="14">
      <c r="A58" s="183">
        <v>85</v>
      </c>
      <c r="B58" s="182">
        <v>3.153</v>
      </c>
      <c r="C58" s="186"/>
    </row>
    <row r="59" spans="1:3" ht="14">
      <c r="A59" s="183">
        <v>86</v>
      </c>
      <c r="B59" s="182">
        <v>3.3519999999999999</v>
      </c>
      <c r="C59" s="186"/>
    </row>
    <row r="60" spans="1:3" ht="14">
      <c r="A60" s="183">
        <v>87</v>
      </c>
      <c r="B60" s="182">
        <v>3.58</v>
      </c>
      <c r="C60" s="186"/>
    </row>
    <row r="61" spans="1:3" ht="14">
      <c r="A61" s="183">
        <v>88</v>
      </c>
      <c r="B61" s="182">
        <v>3.8420000000000001</v>
      </c>
      <c r="C61" s="186"/>
    </row>
    <row r="62" spans="1:3" ht="14">
      <c r="A62" s="183">
        <v>89</v>
      </c>
      <c r="B62" s="182">
        <v>4.1449999999999996</v>
      </c>
      <c r="C62" s="186"/>
    </row>
    <row r="63" spans="1:3" ht="14">
      <c r="A63" s="183">
        <v>90</v>
      </c>
      <c r="B63" s="182">
        <v>4.4930000000000003</v>
      </c>
      <c r="C63" s="186"/>
    </row>
  </sheetData>
  <mergeCells count="1">
    <mergeCell ref="A1:C1"/>
  </mergeCells>
  <phoneticPr fontId="19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5665-7558-5540-9310-BE3E9A3BD696}">
  <sheetPr>
    <pageSetUpPr fitToPage="1"/>
  </sheetPr>
  <dimension ref="A1:AG50"/>
  <sheetViews>
    <sheetView showGridLines="0" showRowColHeaders="0" showZeros="0" topLeftCell="A17" zoomScale="90" zoomScaleNormal="90" workbookViewId="0">
      <selection activeCell="I43" sqref="I43:Z43"/>
    </sheetView>
  </sheetViews>
  <sheetFormatPr baseColWidth="10" defaultColWidth="9.1640625" defaultRowHeight="13"/>
  <cols>
    <col min="1" max="1" width="7" style="7" customWidth="1"/>
    <col min="2" max="2" width="8" style="7" customWidth="1"/>
    <col min="3" max="3" width="5.83203125" style="7" customWidth="1"/>
    <col min="4" max="4" width="7.6640625" style="7" customWidth="1"/>
    <col min="5" max="5" width="10.6640625" style="7" customWidth="1"/>
    <col min="6" max="6" width="4.33203125" style="7" customWidth="1"/>
    <col min="7" max="7" width="27.83203125" customWidth="1"/>
    <col min="8" max="8" width="20.6640625" customWidth="1"/>
    <col min="9" max="17" width="6.83203125" style="7" customWidth="1"/>
    <col min="18" max="21" width="8" style="7" customWidth="1"/>
    <col min="22" max="22" width="9" style="7" customWidth="1"/>
    <col min="23" max="24" width="8" style="7" customWidth="1"/>
    <col min="25" max="25" width="4.6640625" style="7" customWidth="1"/>
    <col min="26" max="26" width="5" style="7" customWidth="1"/>
    <col min="27" max="27" width="9.33203125" hidden="1" customWidth="1"/>
    <col min="28" max="33" width="9.1640625" hidden="1" customWidth="1"/>
  </cols>
  <sheetData>
    <row r="1" spans="1:33" ht="13" customHeight="1">
      <c r="H1" s="7"/>
      <c r="Z1"/>
    </row>
    <row r="2" spans="1:33" ht="72.75" customHeight="1">
      <c r="G2" s="293" t="s">
        <v>54</v>
      </c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U2" s="87" t="s">
        <v>59</v>
      </c>
      <c r="Z2"/>
    </row>
    <row r="3" spans="1:33" ht="29">
      <c r="E3" s="88"/>
      <c r="G3" s="294" t="s">
        <v>22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304" t="s">
        <v>60</v>
      </c>
      <c r="T3" s="304"/>
      <c r="U3" s="304"/>
      <c r="V3" s="304"/>
      <c r="W3" s="304"/>
      <c r="X3" s="304"/>
      <c r="Y3" s="304"/>
      <c r="Z3" s="304"/>
    </row>
    <row r="4" spans="1:33">
      <c r="H4" s="7"/>
      <c r="Z4"/>
    </row>
    <row r="5" spans="1:33" ht="15" customHeight="1">
      <c r="A5" s="300" t="s">
        <v>21</v>
      </c>
      <c r="B5" s="300"/>
      <c r="C5" s="301" t="s">
        <v>127</v>
      </c>
      <c r="D5" s="301"/>
      <c r="E5" s="301"/>
      <c r="F5" s="301"/>
      <c r="G5" s="301"/>
      <c r="H5" s="175" t="s">
        <v>0</v>
      </c>
      <c r="I5" s="305" t="s">
        <v>94</v>
      </c>
      <c r="J5" s="305"/>
      <c r="K5" s="305"/>
      <c r="L5" s="305"/>
      <c r="M5" s="305"/>
      <c r="N5" s="305"/>
      <c r="O5" s="175" t="s">
        <v>1</v>
      </c>
      <c r="P5" s="306" t="s">
        <v>117</v>
      </c>
      <c r="Q5" s="306"/>
      <c r="R5" s="306"/>
      <c r="S5" s="306"/>
      <c r="T5" s="306"/>
      <c r="U5" s="90" t="s">
        <v>2</v>
      </c>
      <c r="V5" s="307">
        <v>44450</v>
      </c>
      <c r="W5" s="307"/>
      <c r="X5" s="91" t="s">
        <v>20</v>
      </c>
      <c r="Y5" s="92">
        <v>3</v>
      </c>
      <c r="Z5"/>
    </row>
    <row r="6" spans="1:33" ht="13.75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3"/>
      <c r="X6" s="9"/>
      <c r="Y6" s="9"/>
      <c r="Z6"/>
      <c r="AB6" s="4"/>
      <c r="AC6" s="4"/>
      <c r="AD6" s="4"/>
      <c r="AE6" s="187" t="s">
        <v>67</v>
      </c>
      <c r="AF6" s="187" t="s">
        <v>67</v>
      </c>
      <c r="AG6" s="187" t="s">
        <v>67</v>
      </c>
    </row>
    <row r="7" spans="1:33" s="21" customFormat="1" ht="15" customHeight="1">
      <c r="A7" s="94" t="s">
        <v>3</v>
      </c>
      <c r="B7" s="173" t="s">
        <v>4</v>
      </c>
      <c r="C7" s="172" t="s">
        <v>23</v>
      </c>
      <c r="D7" s="97" t="s">
        <v>23</v>
      </c>
      <c r="E7" s="171" t="s">
        <v>5</v>
      </c>
      <c r="F7" s="171" t="s">
        <v>24</v>
      </c>
      <c r="G7" s="171" t="s">
        <v>6</v>
      </c>
      <c r="H7" s="171" t="s">
        <v>7</v>
      </c>
      <c r="I7" s="308" t="s">
        <v>8</v>
      </c>
      <c r="J7" s="309"/>
      <c r="K7" s="310"/>
      <c r="L7" s="308" t="s">
        <v>9</v>
      </c>
      <c r="M7" s="309"/>
      <c r="N7" s="310"/>
      <c r="O7" s="311" t="s">
        <v>25</v>
      </c>
      <c r="P7" s="312"/>
      <c r="Q7" s="312"/>
      <c r="R7" s="312"/>
      <c r="S7" s="99" t="s">
        <v>10</v>
      </c>
      <c r="T7" s="100" t="s">
        <v>61</v>
      </c>
      <c r="U7" s="100" t="s">
        <v>27</v>
      </c>
      <c r="V7" s="100" t="s">
        <v>28</v>
      </c>
      <c r="W7" s="171" t="s">
        <v>56</v>
      </c>
      <c r="X7" s="101" t="s">
        <v>29</v>
      </c>
      <c r="Y7" s="101" t="s">
        <v>30</v>
      </c>
      <c r="Z7" s="11" t="s">
        <v>31</v>
      </c>
      <c r="AB7" s="1"/>
      <c r="AC7" s="1"/>
      <c r="AD7" s="1"/>
      <c r="AE7" s="188" t="s">
        <v>68</v>
      </c>
      <c r="AF7" s="188" t="s">
        <v>68</v>
      </c>
      <c r="AG7" s="188" t="s">
        <v>68</v>
      </c>
    </row>
    <row r="8" spans="1:33" s="21" customFormat="1" ht="15" customHeight="1" thickBot="1">
      <c r="A8" s="102" t="s">
        <v>11</v>
      </c>
      <c r="B8" s="103" t="s">
        <v>12</v>
      </c>
      <c r="C8" s="104" t="s">
        <v>32</v>
      </c>
      <c r="D8" s="105" t="s">
        <v>29</v>
      </c>
      <c r="E8" s="106" t="s">
        <v>19</v>
      </c>
      <c r="F8" s="106" t="s">
        <v>62</v>
      </c>
      <c r="G8" s="176"/>
      <c r="H8" s="176"/>
      <c r="I8" s="295" t="s">
        <v>34</v>
      </c>
      <c r="J8" s="296"/>
      <c r="K8" s="297"/>
      <c r="L8" s="295" t="s">
        <v>34</v>
      </c>
      <c r="M8" s="296"/>
      <c r="N8" s="297"/>
      <c r="O8" s="108" t="s">
        <v>8</v>
      </c>
      <c r="P8" s="103" t="s">
        <v>9</v>
      </c>
      <c r="Q8" s="109" t="s">
        <v>35</v>
      </c>
      <c r="R8" s="104" t="s">
        <v>10</v>
      </c>
      <c r="S8" s="108" t="s">
        <v>55</v>
      </c>
      <c r="T8" s="110" t="s">
        <v>10</v>
      </c>
      <c r="U8" s="110" t="s">
        <v>10</v>
      </c>
      <c r="V8" s="110" t="s">
        <v>10</v>
      </c>
      <c r="W8" s="106" t="s">
        <v>57</v>
      </c>
      <c r="X8" s="111" t="s">
        <v>36</v>
      </c>
      <c r="Y8" s="111"/>
      <c r="Z8" s="12"/>
      <c r="AB8" s="1" t="s">
        <v>69</v>
      </c>
      <c r="AC8" s="1" t="s">
        <v>58</v>
      </c>
      <c r="AD8" s="3" t="s">
        <v>55</v>
      </c>
      <c r="AE8" s="188" t="s">
        <v>70</v>
      </c>
      <c r="AF8" s="188" t="s">
        <v>71</v>
      </c>
      <c r="AG8" s="188" t="s">
        <v>72</v>
      </c>
    </row>
    <row r="9" spans="1:33" s="21" customFormat="1" ht="18" customHeight="1">
      <c r="A9" s="252" t="s">
        <v>159</v>
      </c>
      <c r="B9" s="224">
        <v>55</v>
      </c>
      <c r="C9" s="225" t="s">
        <v>160</v>
      </c>
      <c r="D9" s="253" t="s">
        <v>142</v>
      </c>
      <c r="E9" s="254">
        <v>38084</v>
      </c>
      <c r="F9" s="255"/>
      <c r="G9" s="256" t="s">
        <v>161</v>
      </c>
      <c r="H9" s="223" t="s">
        <v>92</v>
      </c>
      <c r="I9" s="258">
        <v>-70</v>
      </c>
      <c r="J9" s="259">
        <v>70</v>
      </c>
      <c r="K9" s="259">
        <v>73</v>
      </c>
      <c r="L9" s="258">
        <v>81</v>
      </c>
      <c r="M9" s="259">
        <v>85</v>
      </c>
      <c r="N9" s="259" t="s">
        <v>207</v>
      </c>
      <c r="O9" s="115">
        <f>IF(MAX(I9:K9)&gt;0,IF(MAX(I9:K9)&lt;0,0,TRUNC(MAX(I9:K9)/1)*1),"")</f>
        <v>73</v>
      </c>
      <c r="P9" s="116">
        <f>IF(MAX(L9:N9)&gt;0,IF(MAX(L9:N9)&lt;0,0,TRUNC(MAX(L9:N9)/1)*1),"")</f>
        <v>85</v>
      </c>
      <c r="Q9" s="117">
        <f>IF(O9="","",IF(P9="","",IF(SUM(O9:P9)=0,"",SUM(O9:P9))))</f>
        <v>158</v>
      </c>
      <c r="R9" s="118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226.27464723912419</v>
      </c>
      <c r="S9" s="119" t="str">
        <f>IF(AD9=1,R9*AG9,"")</f>
        <v/>
      </c>
      <c r="T9" s="73">
        <f>IF('K3'!G7="","",'K3'!G7)</f>
        <v>7.23</v>
      </c>
      <c r="U9" s="73">
        <f>IF('K3'!K7="","",'K3'!K7)</f>
        <v>10.35</v>
      </c>
      <c r="V9" s="73">
        <f>IF('K3'!N7="","",'K3'!N7)</f>
        <v>6.89</v>
      </c>
      <c r="W9" s="120"/>
      <c r="X9" s="121"/>
      <c r="Y9" s="122"/>
      <c r="Z9" s="77"/>
      <c r="AA9" s="123">
        <f>V5</f>
        <v>44450</v>
      </c>
      <c r="AB9" s="177" t="str">
        <f>IF(ISNUMBER(FIND("M",C9)),"m",IF(ISNUMBER(FIND("K",C9)),"k"))</f>
        <v>k</v>
      </c>
      <c r="AC9" s="178">
        <f>IF(OR(E9="",AA9=""),0,(YEAR(AA9)-YEAR(E9)))</f>
        <v>17</v>
      </c>
      <c r="AD9" s="179" t="str">
        <f>IF(AC9&gt;34,1,"")</f>
        <v/>
      </c>
      <c r="AE9" s="180" t="b">
        <f>IF(AD9=1,LOOKUP(AC9,'Meltzer-Faber'!A3:A63,'Meltzer-Faber'!B3:B63))</f>
        <v>0</v>
      </c>
      <c r="AF9" s="180" t="b">
        <f>IF(AD9=1,LOOKUP(AC9,'Meltzer-Faber'!A3:A63,'Meltzer-Faber'!C3:C63))</f>
        <v>0</v>
      </c>
      <c r="AG9" s="180" t="b">
        <f>IF(AB9="m",AE9,IF(AB9="k",AF9,""))</f>
        <v>0</v>
      </c>
    </row>
    <row r="10" spans="1:33" s="21" customFormat="1" ht="18" customHeight="1">
      <c r="A10" s="124"/>
      <c r="B10" s="125"/>
      <c r="C10" s="126"/>
      <c r="D10" s="127"/>
      <c r="E10" s="128"/>
      <c r="F10" s="260"/>
      <c r="G10" s="74"/>
      <c r="H10" s="74"/>
      <c r="I10" s="298"/>
      <c r="J10" s="289"/>
      <c r="K10" s="299"/>
      <c r="L10" s="286"/>
      <c r="M10" s="287"/>
      <c r="N10" s="288"/>
      <c r="O10" s="126"/>
      <c r="P10" s="130"/>
      <c r="Q10" s="289">
        <f>IF(R9="","",R9*1.2)</f>
        <v>271.52957668694904</v>
      </c>
      <c r="R10" s="289"/>
      <c r="S10" s="131"/>
      <c r="T10" s="132">
        <f>IF(T9="","",T9*20)</f>
        <v>144.60000000000002</v>
      </c>
      <c r="U10" s="132">
        <f>IF(U9="","",U9*13)</f>
        <v>134.54999999999998</v>
      </c>
      <c r="V10" s="78">
        <f>IF(V9="","",IF((80+(8-ROUNDUP(V9,1))*40)&lt;0,0,80+(8-ROUNDUP(V9,1))*40))</f>
        <v>124.00000000000003</v>
      </c>
      <c r="W10" s="78">
        <f>IF(SUM(T10,U10,V10)&gt;0,SUM(T10,U10,V10),"")</f>
        <v>403.15</v>
      </c>
      <c r="X10" s="133">
        <f>IF(OR(Q10="",T10="",U10="",V10=""),"",SUM(Q10,T10,U10,V10))</f>
        <v>674.67957668694908</v>
      </c>
      <c r="Y10" s="79">
        <v>1</v>
      </c>
      <c r="Z10" s="80"/>
      <c r="AA10" s="123"/>
      <c r="AB10" s="177"/>
      <c r="AC10" s="178"/>
      <c r="AD10" s="179"/>
      <c r="AE10" s="180"/>
      <c r="AF10" s="180"/>
      <c r="AG10" s="180"/>
    </row>
    <row r="11" spans="1:33" s="21" customFormat="1" ht="18" customHeight="1">
      <c r="A11" s="252" t="s">
        <v>162</v>
      </c>
      <c r="B11" s="224">
        <v>56.64</v>
      </c>
      <c r="C11" s="225" t="s">
        <v>160</v>
      </c>
      <c r="D11" s="253" t="s">
        <v>142</v>
      </c>
      <c r="E11" s="254">
        <v>38030</v>
      </c>
      <c r="F11" s="255"/>
      <c r="G11" s="256" t="s">
        <v>163</v>
      </c>
      <c r="H11" s="223" t="s">
        <v>87</v>
      </c>
      <c r="I11" s="258">
        <v>35</v>
      </c>
      <c r="J11" s="259">
        <v>40</v>
      </c>
      <c r="K11" s="259">
        <v>-42</v>
      </c>
      <c r="L11" s="258">
        <v>38</v>
      </c>
      <c r="M11" s="259">
        <v>42</v>
      </c>
      <c r="N11" s="259">
        <v>-46</v>
      </c>
      <c r="O11" s="115">
        <f>IF(MAX(I11:K11)&gt;0,IF(MAX(I11:K11)&lt;0,0,TRUNC(MAX(I11:K11)/1)*1),"")</f>
        <v>40</v>
      </c>
      <c r="P11" s="116">
        <f>IF(MAX(L11:N11)&gt;0,IF(MAX(L11:N11)&lt;0,0,TRUNC(MAX(L11:N11)/1)*1),"")</f>
        <v>42</v>
      </c>
      <c r="Q11" s="117">
        <f>IF(O11="","",IF(P11="","",IF(SUM(O11:P11)=0,"",SUM(O11:P11))))</f>
        <v>82</v>
      </c>
      <c r="R11" s="118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115.07963274457336</v>
      </c>
      <c r="S11" s="119" t="str">
        <f>IF(AD11=1,R11*AG11,"")</f>
        <v/>
      </c>
      <c r="T11" s="73">
        <f>IF('K3'!G9="","",'K3'!G9)</f>
        <v>6.09</v>
      </c>
      <c r="U11" s="73">
        <f>IF('K3'!K9="","",'K3'!K9)</f>
        <v>6.57</v>
      </c>
      <c r="V11" s="73">
        <f>IF('K3'!N9="","",'K3'!N9)</f>
        <v>7.89</v>
      </c>
      <c r="W11" s="120"/>
      <c r="X11" s="121"/>
      <c r="Y11" s="134"/>
      <c r="Z11" s="75"/>
      <c r="AA11" s="123">
        <f>V5</f>
        <v>44450</v>
      </c>
      <c r="AB11" s="177" t="str">
        <f t="shared" ref="AB11" si="0">IF(ISNUMBER(FIND("M",C11)),"m",IF(ISNUMBER(FIND("K",C11)),"k"))</f>
        <v>k</v>
      </c>
      <c r="AC11" s="178">
        <f t="shared" ref="AC11" si="1">IF(OR(E11="",AA11=""),0,(YEAR(AA11)-YEAR(E11)))</f>
        <v>17</v>
      </c>
      <c r="AD11" s="179" t="str">
        <f t="shared" ref="AD11:AD31" si="2">IF(AC11&gt;34,1,"")</f>
        <v/>
      </c>
      <c r="AE11" s="180" t="b">
        <f>IF(AD11=1,LOOKUP(AC11,'Meltzer-Faber'!A3:A63,'Meltzer-Faber'!B3:B63))</f>
        <v>0</v>
      </c>
      <c r="AF11" s="180" t="b">
        <f>IF(AD11=1,LOOKUP(AC11,'Meltzer-Faber'!A3:A63,'Meltzer-Faber'!C3:C63))</f>
        <v>0</v>
      </c>
      <c r="AG11" s="180" t="b">
        <f t="shared" ref="AG11" si="3">IF(AB11="m",AE11,IF(AB11="k",AF11,""))</f>
        <v>0</v>
      </c>
    </row>
    <row r="12" spans="1:33" s="21" customFormat="1" ht="18" customHeight="1">
      <c r="A12" s="124"/>
      <c r="B12" s="125"/>
      <c r="C12" s="126"/>
      <c r="D12" s="127"/>
      <c r="E12" s="128"/>
      <c r="F12" s="260"/>
      <c r="G12" s="74"/>
      <c r="H12" s="74"/>
      <c r="I12" s="298"/>
      <c r="J12" s="289"/>
      <c r="K12" s="299"/>
      <c r="L12" s="286"/>
      <c r="M12" s="287"/>
      <c r="N12" s="288"/>
      <c r="O12" s="126"/>
      <c r="P12" s="130"/>
      <c r="Q12" s="289">
        <f>IF(R11="","",R11*1.2)</f>
        <v>138.09555929348804</v>
      </c>
      <c r="R12" s="289"/>
      <c r="S12" s="131"/>
      <c r="T12" s="132">
        <f>IF(T11="","",T11*20)</f>
        <v>121.8</v>
      </c>
      <c r="U12" s="132">
        <f>IF(U11="","",U11*13)</f>
        <v>85.41</v>
      </c>
      <c r="V12" s="78">
        <f>IF(V11="","",IF((80+(8-ROUNDUP(V11,1))*40)&lt;0,0,80+(8-ROUNDUP(V11,1))*40))</f>
        <v>84.000000000000028</v>
      </c>
      <c r="W12" s="78">
        <f>IF(SUM(T12,U12,V12)&gt;0,SUM(T12,U12,V12),"")</f>
        <v>291.21000000000004</v>
      </c>
      <c r="X12" s="133">
        <f>IF(OR(Q12="",W12=""),"",Q12+W12)</f>
        <v>429.30555929348805</v>
      </c>
      <c r="Y12" s="79">
        <v>5</v>
      </c>
      <c r="Z12" s="80"/>
      <c r="AA12" s="123"/>
    </row>
    <row r="13" spans="1:33" s="21" customFormat="1" ht="18" customHeight="1">
      <c r="A13" s="252" t="s">
        <v>162</v>
      </c>
      <c r="B13" s="224">
        <v>57.32</v>
      </c>
      <c r="C13" s="225" t="s">
        <v>160</v>
      </c>
      <c r="D13" s="253" t="s">
        <v>142</v>
      </c>
      <c r="E13" s="254">
        <v>38256</v>
      </c>
      <c r="F13" s="255"/>
      <c r="G13" s="256" t="s">
        <v>164</v>
      </c>
      <c r="H13" s="223" t="s">
        <v>92</v>
      </c>
      <c r="I13" s="258">
        <v>59</v>
      </c>
      <c r="J13" s="259">
        <v>62</v>
      </c>
      <c r="K13" s="259">
        <v>64</v>
      </c>
      <c r="L13" s="258">
        <v>76</v>
      </c>
      <c r="M13" s="259">
        <v>80</v>
      </c>
      <c r="N13" s="259">
        <v>83</v>
      </c>
      <c r="O13" s="115">
        <f>IF(MAX(I13:K13)&gt;0,IF(MAX(I13:K13)&lt;0,0,TRUNC(MAX(I13:K13)/1)*1),"")</f>
        <v>64</v>
      </c>
      <c r="P13" s="116">
        <f>IF(MAX(L13:N13)&gt;0,IF(MAX(L13:N13)&lt;0,0,TRUNC(MAX(L13:N13)/1)*1),"")</f>
        <v>83</v>
      </c>
      <c r="Q13" s="117">
        <f>IF(O13="","",IF(P13="","",IF(SUM(O13:P13)=0,"",SUM(O13:P13))))</f>
        <v>147</v>
      </c>
      <c r="R13" s="118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204.64582499974156</v>
      </c>
      <c r="S13" s="119" t="str">
        <f>IF(AD13=1,R13*AG13,"")</f>
        <v/>
      </c>
      <c r="T13" s="73">
        <f>IF('K3'!G11="","",'K3'!G11)</f>
        <v>6.91</v>
      </c>
      <c r="U13" s="73">
        <f>IF('K3'!K11="","",'K3'!K11)</f>
        <v>10.26</v>
      </c>
      <c r="V13" s="73">
        <f>IF('K3'!N11="","",'K3'!N11)</f>
        <v>6.92</v>
      </c>
      <c r="W13" s="120"/>
      <c r="X13" s="121"/>
      <c r="Y13" s="134"/>
      <c r="Z13" s="75"/>
      <c r="AA13" s="123">
        <f>V5</f>
        <v>44450</v>
      </c>
      <c r="AB13" s="177" t="str">
        <f t="shared" ref="AB13" si="4">IF(ISNUMBER(FIND("M",C13)),"m",IF(ISNUMBER(FIND("K",C13)),"k"))</f>
        <v>k</v>
      </c>
      <c r="AC13" s="178">
        <f t="shared" ref="AC13" si="5">IF(OR(E13="",AA13=""),0,(YEAR(AA13)-YEAR(E13)))</f>
        <v>17</v>
      </c>
      <c r="AD13" s="179" t="str">
        <f t="shared" si="2"/>
        <v/>
      </c>
      <c r="AE13" s="180" t="b">
        <f>IF(AD13=1,LOOKUP(AC13,'Meltzer-Faber'!A3:A63,'Meltzer-Faber'!B3:B63))</f>
        <v>0</v>
      </c>
      <c r="AF13" s="180" t="b">
        <f>IF(AD13=1,LOOKUP(AC13,'Meltzer-Faber'!A3:A63,'Meltzer-Faber'!C3:C63))</f>
        <v>0</v>
      </c>
      <c r="AG13" s="180" t="b">
        <f t="shared" ref="AG13" si="6">IF(AB13="m",AE13,IF(AB13="k",AF13,""))</f>
        <v>0</v>
      </c>
    </row>
    <row r="14" spans="1:33" s="21" customFormat="1" ht="18" customHeight="1">
      <c r="A14" s="124"/>
      <c r="B14" s="125"/>
      <c r="C14" s="126"/>
      <c r="D14" s="127"/>
      <c r="E14" s="128"/>
      <c r="F14" s="260"/>
      <c r="G14" s="74"/>
      <c r="H14" s="74"/>
      <c r="I14" s="298"/>
      <c r="J14" s="289"/>
      <c r="K14" s="299"/>
      <c r="L14" s="286"/>
      <c r="M14" s="287"/>
      <c r="N14" s="288"/>
      <c r="O14" s="126"/>
      <c r="P14" s="130"/>
      <c r="Q14" s="289">
        <f>IF(R13="","",R13*1.2)</f>
        <v>245.57498999968988</v>
      </c>
      <c r="R14" s="289"/>
      <c r="S14" s="131"/>
      <c r="T14" s="132">
        <f>IF(T13="","",T13*20)</f>
        <v>138.19999999999999</v>
      </c>
      <c r="U14" s="132">
        <f>IF(U13="","",U13*13)</f>
        <v>133.38</v>
      </c>
      <c r="V14" s="78">
        <f>IF(V13="","",IF((80+(8-ROUNDUP(V13,1))*40)&lt;0,0,80+(8-ROUNDUP(V13,1))*40))</f>
        <v>120</v>
      </c>
      <c r="W14" s="78">
        <f>IF(SUM(T14,U14,V14)&gt;0,SUM(T14,U14,V14),"")</f>
        <v>391.58</v>
      </c>
      <c r="X14" s="133">
        <f>IF(OR(Q14="",T14="",U14="",V14=""),"",SUM(Q14,T14,U14,V14))</f>
        <v>637.15498999968986</v>
      </c>
      <c r="Y14" s="79">
        <v>2</v>
      </c>
      <c r="Z14" s="80"/>
      <c r="AA14" s="123"/>
    </row>
    <row r="15" spans="1:33" s="21" customFormat="1" ht="18" customHeight="1">
      <c r="A15" s="252" t="s">
        <v>165</v>
      </c>
      <c r="B15" s="224">
        <v>69.94</v>
      </c>
      <c r="C15" s="225" t="s">
        <v>160</v>
      </c>
      <c r="D15" s="253" t="s">
        <v>142</v>
      </c>
      <c r="E15" s="254">
        <v>38072</v>
      </c>
      <c r="F15" s="255"/>
      <c r="G15" s="256" t="s">
        <v>166</v>
      </c>
      <c r="H15" s="223" t="s">
        <v>91</v>
      </c>
      <c r="I15" s="258">
        <v>50</v>
      </c>
      <c r="J15" s="259">
        <v>53</v>
      </c>
      <c r="K15" s="259">
        <v>55</v>
      </c>
      <c r="L15" s="258">
        <v>65</v>
      </c>
      <c r="M15" s="259">
        <v>70</v>
      </c>
      <c r="N15" s="259">
        <v>-72</v>
      </c>
      <c r="O15" s="115">
        <f>IF(MAX(I15:K15)&gt;0,IF(MAX(I15:K15)&lt;0,0,TRUNC(MAX(I15:K15)/1)*1),"")</f>
        <v>55</v>
      </c>
      <c r="P15" s="116">
        <f>IF(MAX(L15:N15)&gt;0,IF(MAX(L15:N15)&lt;0,0,TRUNC(MAX(L15:N15)/1)*1),"")</f>
        <v>70</v>
      </c>
      <c r="Q15" s="117">
        <f>IF(O15="","",IF(P15="","",IF(SUM(O15:P15)=0,"",SUM(O15:P15))))</f>
        <v>125</v>
      </c>
      <c r="R15" s="118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154.33170194611782</v>
      </c>
      <c r="S15" s="119" t="str">
        <f>IF(AD15=1,R15*AG15,"")</f>
        <v/>
      </c>
      <c r="T15" s="73">
        <f>IF('K3'!G13="","",'K3'!G13)</f>
        <v>6.53</v>
      </c>
      <c r="U15" s="73">
        <f>IF('K3'!K13="","",'K3'!K13)</f>
        <v>8.2799999999999994</v>
      </c>
      <c r="V15" s="73">
        <f>IF('K3'!N13="","",'K3'!N13)</f>
        <v>7.59</v>
      </c>
      <c r="W15" s="120"/>
      <c r="X15" s="121"/>
      <c r="Y15" s="134"/>
      <c r="Z15" s="75"/>
      <c r="AA15" s="123">
        <f>V5</f>
        <v>44450</v>
      </c>
      <c r="AB15" s="177" t="str">
        <f t="shared" ref="AB15" si="7">IF(ISNUMBER(FIND("M",C15)),"m",IF(ISNUMBER(FIND("K",C15)),"k"))</f>
        <v>k</v>
      </c>
      <c r="AC15" s="178">
        <f t="shared" ref="AC15" si="8">IF(OR(E15="",AA15=""),0,(YEAR(AA15)-YEAR(E15)))</f>
        <v>17</v>
      </c>
      <c r="AD15" s="179" t="str">
        <f t="shared" si="2"/>
        <v/>
      </c>
      <c r="AE15" s="180" t="b">
        <f>IF(AD15=1,LOOKUP(AC15,'Meltzer-Faber'!A3:A63,'Meltzer-Faber'!B3:B63))</f>
        <v>0</v>
      </c>
      <c r="AF15" s="180" t="b">
        <f>IF(AD15=1,LOOKUP(AC15,'Meltzer-Faber'!A3:A63,'Meltzer-Faber'!C3:C63))</f>
        <v>0</v>
      </c>
      <c r="AG15" s="180" t="b">
        <f t="shared" ref="AG15" si="9">IF(AB15="m",AE15,IF(AB15="k",AF15,""))</f>
        <v>0</v>
      </c>
    </row>
    <row r="16" spans="1:33" s="21" customFormat="1" ht="18" customHeight="1">
      <c r="A16" s="124"/>
      <c r="B16" s="125"/>
      <c r="C16" s="126"/>
      <c r="D16" s="127"/>
      <c r="E16" s="128"/>
      <c r="F16" s="260"/>
      <c r="G16" s="74"/>
      <c r="H16" s="74"/>
      <c r="I16" s="298"/>
      <c r="J16" s="289"/>
      <c r="K16" s="299"/>
      <c r="L16" s="286"/>
      <c r="M16" s="287"/>
      <c r="N16" s="288"/>
      <c r="O16" s="126"/>
      <c r="P16" s="130"/>
      <c r="Q16" s="289">
        <f>IF(R15="","",R15*1.2)</f>
        <v>185.19804233534137</v>
      </c>
      <c r="R16" s="289"/>
      <c r="S16" s="131"/>
      <c r="T16" s="132">
        <f>IF(T15="","",T15*20)</f>
        <v>130.6</v>
      </c>
      <c r="U16" s="132">
        <f>IF(U15="","",U15*13)</f>
        <v>107.63999999999999</v>
      </c>
      <c r="V16" s="78">
        <f>IF(V15="","",IF((80+(8-ROUNDUP(V15,1))*40)&lt;0,0,80+(8-ROUNDUP(V15,1))*40))</f>
        <v>96.000000000000014</v>
      </c>
      <c r="W16" s="78">
        <f>IF(SUM(T16,U16,V16)&gt;0,SUM(T16,U16,V16),"")</f>
        <v>334.24</v>
      </c>
      <c r="X16" s="133">
        <f>IF(OR(Q16="",T16="",U16="",V16=""),"",SUM(Q16,T16,U16,V16))</f>
        <v>519.43804233534138</v>
      </c>
      <c r="Y16" s="79">
        <v>4</v>
      </c>
      <c r="Z16" s="80"/>
      <c r="AA16" s="123"/>
    </row>
    <row r="17" spans="1:33" s="21" customFormat="1" ht="18" customHeight="1">
      <c r="A17" s="252" t="s">
        <v>167</v>
      </c>
      <c r="B17" s="224" t="s">
        <v>168</v>
      </c>
      <c r="C17" s="225" t="s">
        <v>169</v>
      </c>
      <c r="D17" s="253" t="s">
        <v>142</v>
      </c>
      <c r="E17" s="254">
        <v>37721</v>
      </c>
      <c r="F17" s="255"/>
      <c r="G17" s="256" t="s">
        <v>170</v>
      </c>
      <c r="H17" s="223" t="s">
        <v>88</v>
      </c>
      <c r="I17" s="258">
        <v>62</v>
      </c>
      <c r="J17" s="259">
        <v>67</v>
      </c>
      <c r="K17" s="259">
        <v>-70</v>
      </c>
      <c r="L17" s="258">
        <v>78</v>
      </c>
      <c r="M17" s="259">
        <v>83</v>
      </c>
      <c r="N17" s="259">
        <v>-87</v>
      </c>
      <c r="O17" s="115">
        <f>IF(MAX(I17:K17)&gt;0,IF(MAX(I17:K17)&lt;0,0,TRUNC(MAX(I17:K17)/1)*1),"")</f>
        <v>67</v>
      </c>
      <c r="P17" s="116">
        <f>IF(MAX(L17:N17)&gt;0,IF(MAX(L17:N17)&lt;0,0,TRUNC(MAX(L17:N17)/1)*1),"")</f>
        <v>83</v>
      </c>
      <c r="Q17" s="117">
        <f>IF(O17="","",IF(P17="","",IF(SUM(O17:P17)=0,"",SUM(O17:P17))))</f>
        <v>150</v>
      </c>
      <c r="R17" s="118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>150</v>
      </c>
      <c r="S17" s="119" t="str">
        <f>IF(AD17=1,R17*AG17,"")</f>
        <v/>
      </c>
      <c r="T17" s="73">
        <f>IF('K3'!G15="","",'K3'!G15)</f>
        <v>7.14</v>
      </c>
      <c r="U17" s="73">
        <f>IF('K3'!K15="","",'K3'!K15)</f>
        <v>11.23</v>
      </c>
      <c r="V17" s="73">
        <f>IF('K3'!N15="","",'K3'!N15)</f>
        <v>7.01</v>
      </c>
      <c r="W17" s="120"/>
      <c r="X17" s="121"/>
      <c r="Y17" s="134"/>
      <c r="Z17" s="75"/>
      <c r="AA17" s="123">
        <f>V5</f>
        <v>44450</v>
      </c>
      <c r="AB17" s="177" t="str">
        <f t="shared" ref="AB17" si="10">IF(ISNUMBER(FIND("M",C17)),"m",IF(ISNUMBER(FIND("K",C17)),"k"))</f>
        <v>k</v>
      </c>
      <c r="AC17" s="178">
        <f t="shared" ref="AC17" si="11">IF(OR(E17="",AA17=""),0,(YEAR(AA17)-YEAR(E17)))</f>
        <v>18</v>
      </c>
      <c r="AD17" s="179" t="str">
        <f t="shared" si="2"/>
        <v/>
      </c>
      <c r="AE17" s="180" t="b">
        <f>IF(AD17=1,LOOKUP(AC17,'Meltzer-Faber'!A3:A63,'Meltzer-Faber'!B3:B63))</f>
        <v>0</v>
      </c>
      <c r="AF17" s="180" t="b">
        <f>IF(AD17=1,LOOKUP(AC17,'Meltzer-Faber'!A3:A63,'Meltzer-Faber'!C3:C63))</f>
        <v>0</v>
      </c>
      <c r="AG17" s="180" t="b">
        <f t="shared" ref="AG17" si="12">IF(AB17="m",AE17,IF(AB17="k",AF17,""))</f>
        <v>0</v>
      </c>
    </row>
    <row r="18" spans="1:33" s="21" customFormat="1" ht="18" customHeight="1">
      <c r="A18" s="124"/>
      <c r="B18" s="125"/>
      <c r="C18" s="126"/>
      <c r="D18" s="127"/>
      <c r="E18" s="128"/>
      <c r="F18" s="260"/>
      <c r="G18" s="74"/>
      <c r="H18" s="74"/>
      <c r="I18" s="298"/>
      <c r="J18" s="289"/>
      <c r="K18" s="299"/>
      <c r="L18" s="286"/>
      <c r="M18" s="287"/>
      <c r="N18" s="288"/>
      <c r="O18" s="126"/>
      <c r="P18" s="130"/>
      <c r="Q18" s="289">
        <f>IF(R17="","",R17*1.2)</f>
        <v>180</v>
      </c>
      <c r="R18" s="289"/>
      <c r="S18" s="131"/>
      <c r="T18" s="132">
        <f>IF(T17="","",T17*20)</f>
        <v>142.79999999999998</v>
      </c>
      <c r="U18" s="132">
        <f>IF(U17="","",U17*13)</f>
        <v>145.99</v>
      </c>
      <c r="V18" s="78">
        <f>IF(V17="","",IF((80+(8-ROUNDUP(V17,1))*40)&lt;0,0,80+(8-ROUNDUP(V17,1))*40))</f>
        <v>116.00000000000001</v>
      </c>
      <c r="W18" s="78">
        <f>IF(SUM(T18,U18,V18)&gt;0,SUM(T18,U18,V18),"")</f>
        <v>404.78999999999996</v>
      </c>
      <c r="X18" s="133">
        <f>IF(OR(Q18="",T18="",U18="",V18=""),"",SUM(Q18,T18,U18,V18))</f>
        <v>584.79</v>
      </c>
      <c r="Y18" s="79">
        <v>3</v>
      </c>
      <c r="Z18" s="80"/>
      <c r="AA18" s="123"/>
    </row>
    <row r="19" spans="1:33" s="21" customFormat="1" ht="18" customHeight="1">
      <c r="A19" s="252" t="s">
        <v>171</v>
      </c>
      <c r="B19" s="224">
        <v>59.04</v>
      </c>
      <c r="C19" s="225" t="s">
        <v>172</v>
      </c>
      <c r="D19" s="261" t="s">
        <v>173</v>
      </c>
      <c r="E19" s="254">
        <v>31091</v>
      </c>
      <c r="F19" s="255"/>
      <c r="G19" s="262" t="s">
        <v>174</v>
      </c>
      <c r="H19" s="257" t="s">
        <v>87</v>
      </c>
      <c r="I19" s="258">
        <v>46</v>
      </c>
      <c r="J19" s="259">
        <v>50</v>
      </c>
      <c r="K19" s="259">
        <v>53</v>
      </c>
      <c r="L19" s="258">
        <v>60</v>
      </c>
      <c r="M19" s="259">
        <v>65</v>
      </c>
      <c r="N19" s="259">
        <v>68</v>
      </c>
      <c r="O19" s="115">
        <f>IF(MAX(I19:K19)&gt;0,IF(MAX(I19:K19)&lt;0,0,TRUNC(MAX(I19:K19)/1)*1),"")</f>
        <v>53</v>
      </c>
      <c r="P19" s="116">
        <f>IF(MAX(L19:N19)&gt;0,IF(MAX(L19:N19)&lt;0,0,TRUNC(MAX(L19:N19)/1)*1),"")</f>
        <v>68</v>
      </c>
      <c r="Q19" s="117">
        <f>IF(O19="","",IF(P19="","",IF(SUM(O19:P19)=0,"",SUM(O19:P19))))</f>
        <v>121</v>
      </c>
      <c r="R19" s="118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>165.18997834917445</v>
      </c>
      <c r="S19" s="119">
        <f>IF(AD19=1,R19*AG19,"")</f>
        <v>179.06593653050513</v>
      </c>
      <c r="T19" s="73">
        <f>IF('K3'!G17="","",'K3'!G17)</f>
        <v>6.98</v>
      </c>
      <c r="U19" s="73">
        <f>IF('K3'!K17="","",'K3'!K17)</f>
        <v>9.6300000000000008</v>
      </c>
      <c r="V19" s="73">
        <f>IF('K3'!N17="","",'K3'!N17)</f>
        <v>7.22</v>
      </c>
      <c r="W19" s="120"/>
      <c r="X19" s="121"/>
      <c r="Y19" s="134"/>
      <c r="Z19" s="75"/>
      <c r="AA19" s="123">
        <f>V5</f>
        <v>44450</v>
      </c>
      <c r="AB19" s="177" t="str">
        <f t="shared" ref="AB19" si="13">IF(ISNUMBER(FIND("M",C19)),"m",IF(ISNUMBER(FIND("K",C19)),"k"))</f>
        <v>k</v>
      </c>
      <c r="AC19" s="178">
        <f t="shared" ref="AC19" si="14">IF(OR(E19="",AA19=""),0,(YEAR(AA19)-YEAR(E19)))</f>
        <v>36</v>
      </c>
      <c r="AD19" s="179">
        <f t="shared" si="2"/>
        <v>1</v>
      </c>
      <c r="AE19" s="180">
        <f>IF(AD19=1,LOOKUP(AC19,'Meltzer-Faber'!A3:A63,'Meltzer-Faber'!B3:B63))</f>
        <v>1.083</v>
      </c>
      <c r="AF19" s="180">
        <f>IF(AD19=1,LOOKUP(AC19,'Meltzer-Faber'!A3:A63,'Meltzer-Faber'!C3:C63))</f>
        <v>1.0840000000000001</v>
      </c>
      <c r="AG19" s="180">
        <f t="shared" ref="AG19" si="15">IF(AB19="m",AE19,IF(AB19="k",AF19,""))</f>
        <v>1.0840000000000001</v>
      </c>
    </row>
    <row r="20" spans="1:33" s="21" customFormat="1" ht="18" customHeight="1">
      <c r="A20" s="124"/>
      <c r="B20" s="125"/>
      <c r="C20" s="126"/>
      <c r="D20" s="127"/>
      <c r="E20" s="128"/>
      <c r="F20" s="260"/>
      <c r="G20" s="74"/>
      <c r="H20" s="74"/>
      <c r="I20" s="298"/>
      <c r="J20" s="289"/>
      <c r="K20" s="299"/>
      <c r="L20" s="286"/>
      <c r="M20" s="287"/>
      <c r="N20" s="288"/>
      <c r="O20" s="126"/>
      <c r="P20" s="130"/>
      <c r="Q20" s="289">
        <f>IF(R19="","",R19*1.2)</f>
        <v>198.22797401900934</v>
      </c>
      <c r="R20" s="289"/>
      <c r="S20" s="131"/>
      <c r="T20" s="132">
        <f>IF(T19="","",T19*20)</f>
        <v>139.60000000000002</v>
      </c>
      <c r="U20" s="132">
        <f>IF(U19="","",U19*13)</f>
        <v>125.19000000000001</v>
      </c>
      <c r="V20" s="78">
        <f>IF(V19="","",IF((80+(8-ROUNDUP(V19,1))*40)&lt;0,0,80+(8-ROUNDUP(V19,1))*40))</f>
        <v>108</v>
      </c>
      <c r="W20" s="78">
        <f>IF(SUM(T20,U20,V20)&gt;0,SUM(T20,U20,V20),"")</f>
        <v>372.79</v>
      </c>
      <c r="X20" s="133">
        <f>IF(OR(Q20="",T20="",U20="",V20=""),"",SUM(Q20,T20,U20,V20))</f>
        <v>571.01797401900944</v>
      </c>
      <c r="Y20" s="79">
        <v>1</v>
      </c>
      <c r="Z20" s="80"/>
      <c r="AA20" s="123"/>
    </row>
    <row r="21" spans="1:33" s="21" customFormat="1" ht="18" customHeight="1">
      <c r="A21" s="252" t="s">
        <v>167</v>
      </c>
      <c r="B21" s="224">
        <v>75.61</v>
      </c>
      <c r="C21" s="225" t="s">
        <v>175</v>
      </c>
      <c r="D21" s="261" t="s">
        <v>173</v>
      </c>
      <c r="E21" s="254">
        <v>29367</v>
      </c>
      <c r="F21" s="255"/>
      <c r="G21" s="256" t="s">
        <v>176</v>
      </c>
      <c r="H21" s="257" t="s">
        <v>88</v>
      </c>
      <c r="I21" s="258">
        <v>60</v>
      </c>
      <c r="J21" s="259">
        <v>64</v>
      </c>
      <c r="K21" s="259">
        <v>67</v>
      </c>
      <c r="L21" s="258">
        <v>74</v>
      </c>
      <c r="M21" s="259">
        <v>78</v>
      </c>
      <c r="N21" s="259">
        <v>-82</v>
      </c>
      <c r="O21" s="115">
        <f>IF(MAX(I21:K21)&gt;0,IF(MAX(I21:K21)&lt;0,0,TRUNC(MAX(I21:K21)/1)*1),"")</f>
        <v>67</v>
      </c>
      <c r="P21" s="116">
        <f>IF(MAX(L21:N21)&gt;0,IF(MAX(L21:N21)&lt;0,0,TRUNC(MAX(L21:N21)/1)*1),"")</f>
        <v>78</v>
      </c>
      <c r="Q21" s="117">
        <f>IF(O21="","",IF(P21="","",IF(SUM(O21:P21)=0,"",SUM(O21:P21))))</f>
        <v>145</v>
      </c>
      <c r="R21" s="118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>172.05924075801016</v>
      </c>
      <c r="S21" s="119">
        <f>IF(AD21=1,R21*AG21,"")</f>
        <v>198.38430459398572</v>
      </c>
      <c r="T21" s="73">
        <f>IF('K3'!G19="","",'K3'!G19)</f>
        <v>6.3</v>
      </c>
      <c r="U21" s="73">
        <f>IF('K3'!K19="","",'K3'!K19)</f>
        <v>8.4499999999999993</v>
      </c>
      <c r="V21" s="73">
        <f>IF('K3'!N19="","",'K3'!N19)</f>
        <v>7.71</v>
      </c>
      <c r="W21" s="120"/>
      <c r="X21" s="121"/>
      <c r="Y21" s="134"/>
      <c r="Z21" s="75" t="s">
        <v>209</v>
      </c>
      <c r="AA21" s="123">
        <f>V5</f>
        <v>44450</v>
      </c>
      <c r="AB21" s="177" t="str">
        <f t="shared" ref="AB21" si="16">IF(ISNUMBER(FIND("M",C21)),"m",IF(ISNUMBER(FIND("K",C21)),"k"))</f>
        <v>k</v>
      </c>
      <c r="AC21" s="178">
        <f t="shared" ref="AC21" si="17">IF(OR(E21="",AA21=""),0,(YEAR(AA21)-YEAR(E21)))</f>
        <v>41</v>
      </c>
      <c r="AD21" s="179">
        <f t="shared" si="2"/>
        <v>1</v>
      </c>
      <c r="AE21" s="180">
        <f>IF(AD21=1,LOOKUP(AC21,'Meltzer-Faber'!A3:A63,'Meltzer-Faber'!B3:B63))</f>
        <v>1.149</v>
      </c>
      <c r="AF21" s="180">
        <f>IF(AD21=1,LOOKUP(AC21,'Meltzer-Faber'!A3:A63,'Meltzer-Faber'!C3:C63))</f>
        <v>1.153</v>
      </c>
      <c r="AG21" s="180">
        <f t="shared" ref="AG21" si="18">IF(AB21="m",AE21,IF(AB21="k",AF21,""))</f>
        <v>1.153</v>
      </c>
    </row>
    <row r="22" spans="1:33" s="21" customFormat="1" ht="18" customHeight="1">
      <c r="A22" s="124"/>
      <c r="B22" s="125"/>
      <c r="C22" s="126"/>
      <c r="D22" s="127"/>
      <c r="E22" s="128"/>
      <c r="F22" s="260"/>
      <c r="G22" s="74"/>
      <c r="H22" s="74"/>
      <c r="I22" s="298"/>
      <c r="J22" s="289"/>
      <c r="K22" s="299"/>
      <c r="L22" s="286"/>
      <c r="M22" s="287"/>
      <c r="N22" s="288"/>
      <c r="O22" s="126"/>
      <c r="P22" s="130"/>
      <c r="Q22" s="289">
        <f>IF(R21="","",R21*1.2)</f>
        <v>206.47108890961218</v>
      </c>
      <c r="R22" s="289"/>
      <c r="S22" s="131"/>
      <c r="T22" s="132">
        <f>IF(T21="","",T21*20)</f>
        <v>126</v>
      </c>
      <c r="U22" s="132">
        <f>IF(U21="","",U21*13)</f>
        <v>109.85</v>
      </c>
      <c r="V22" s="78">
        <f>IF(V21="","",IF((80+(8-ROUNDUP(V21,1))*40)&lt;0,0,80+(8-ROUNDUP(V21,1))*40))</f>
        <v>88</v>
      </c>
      <c r="W22" s="78">
        <f>IF(SUM(T22,U22,V22)&gt;0,SUM(T22,U22,V22),"")</f>
        <v>323.85000000000002</v>
      </c>
      <c r="X22" s="133">
        <f>IF(OR(Q22="",T22="",U22="",V22=""),"",SUM(Q22,T22,U22,V22))</f>
        <v>530.32108890961217</v>
      </c>
      <c r="Y22" s="79">
        <v>2</v>
      </c>
      <c r="Z22" s="80"/>
      <c r="AA22" s="123"/>
    </row>
    <row r="23" spans="1:33" s="21" customFormat="1" ht="18" customHeight="1">
      <c r="A23" s="252" t="s">
        <v>177</v>
      </c>
      <c r="B23" s="224">
        <v>83.61</v>
      </c>
      <c r="C23" s="225" t="s">
        <v>178</v>
      </c>
      <c r="D23" s="261" t="s">
        <v>173</v>
      </c>
      <c r="E23" s="254">
        <v>27503</v>
      </c>
      <c r="F23" s="255"/>
      <c r="G23" s="256" t="s">
        <v>179</v>
      </c>
      <c r="H23" s="257" t="s">
        <v>87</v>
      </c>
      <c r="I23" s="258">
        <v>38</v>
      </c>
      <c r="J23" s="259">
        <v>42</v>
      </c>
      <c r="K23" s="259">
        <v>-45</v>
      </c>
      <c r="L23" s="258">
        <v>50</v>
      </c>
      <c r="M23" s="259">
        <v>55</v>
      </c>
      <c r="N23" s="259">
        <v>59</v>
      </c>
      <c r="O23" s="115">
        <f>IF(MAX(I23:K23)&gt;0,IF(MAX(I23:K23)&lt;0,0,TRUNC(MAX(I23:K23)/1)*1),"")</f>
        <v>42</v>
      </c>
      <c r="P23" s="116">
        <f>IF(MAX(L23:N23)&gt;0,IF(MAX(L23:N23)&lt;0,0,TRUNC(MAX(L23:N23)/1)*1),"")</f>
        <v>59</v>
      </c>
      <c r="Q23" s="117">
        <f>IF(O23="","",IF(P23="","",IF(SUM(O23:P23)=0,"",SUM(O23:P23))))</f>
        <v>101</v>
      </c>
      <c r="R23" s="118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>114.56380165565176</v>
      </c>
      <c r="S23" s="119">
        <f>IF(AD23=1,R23*AG23,"")</f>
        <v>142.51736925963078</v>
      </c>
      <c r="T23" s="73">
        <f>IF('K3'!G21="","",'K3'!G21)</f>
        <v>5.36</v>
      </c>
      <c r="U23" s="73">
        <f>IF('K3'!K21="","",'K3'!K21)</f>
        <v>8.81</v>
      </c>
      <c r="V23" s="73">
        <f>IF('K3'!N21="","",'K3'!N21)</f>
        <v>10.220000000000001</v>
      </c>
      <c r="W23" s="120"/>
      <c r="X23" s="121"/>
      <c r="Y23" s="134"/>
      <c r="Z23" s="75" t="s">
        <v>208</v>
      </c>
      <c r="AA23" s="123">
        <f>V5</f>
        <v>44450</v>
      </c>
      <c r="AB23" s="177" t="str">
        <f t="shared" ref="AB23" si="19">IF(ISNUMBER(FIND("M",C23)),"m",IF(ISNUMBER(FIND("K",C23)),"k"))</f>
        <v>k</v>
      </c>
      <c r="AC23" s="178">
        <f t="shared" ref="AC23" si="20">IF(OR(E23="",AA23=""),0,(YEAR(AA23)-YEAR(E23)))</f>
        <v>46</v>
      </c>
      <c r="AD23" s="179">
        <f t="shared" si="2"/>
        <v>1</v>
      </c>
      <c r="AE23" s="180">
        <f>IF(AD23=1,LOOKUP(AC23,'Meltzer-Faber'!A3:A63,'Meltzer-Faber'!B3:B63))</f>
        <v>1.218</v>
      </c>
      <c r="AF23" s="180">
        <f>IF(AD23=1,LOOKUP(AC23,'Meltzer-Faber'!A3:A63,'Meltzer-Faber'!C3:C63))</f>
        <v>1.244</v>
      </c>
      <c r="AG23" s="180">
        <f t="shared" ref="AG23" si="21">IF(AB23="m",AE23,IF(AB23="k",AF23,""))</f>
        <v>1.244</v>
      </c>
    </row>
    <row r="24" spans="1:33" s="21" customFormat="1" ht="18" customHeight="1">
      <c r="A24" s="124"/>
      <c r="B24" s="125"/>
      <c r="C24" s="126"/>
      <c r="D24" s="127"/>
      <c r="E24" s="128"/>
      <c r="F24" s="260"/>
      <c r="G24" s="74"/>
      <c r="H24" s="74"/>
      <c r="I24" s="298"/>
      <c r="J24" s="289"/>
      <c r="K24" s="299"/>
      <c r="L24" s="286"/>
      <c r="M24" s="287"/>
      <c r="N24" s="288"/>
      <c r="O24" s="126"/>
      <c r="P24" s="130"/>
      <c r="Q24" s="289">
        <f>IF(R23="","",R23*1.2)</f>
        <v>137.47656198678212</v>
      </c>
      <c r="R24" s="289"/>
      <c r="S24" s="131"/>
      <c r="T24" s="132">
        <f>IF(T23="","",T23*20)</f>
        <v>107.2</v>
      </c>
      <c r="U24" s="132">
        <f>IF(U23="","",U23*13)</f>
        <v>114.53</v>
      </c>
      <c r="V24" s="284" t="s">
        <v>212</v>
      </c>
      <c r="W24" s="78">
        <f>IF(SUM(T24,U24,V24)&gt;0,SUM(T24,U24,V24),"")</f>
        <v>221.73000000000002</v>
      </c>
      <c r="X24" s="133">
        <f>IF(OR(Q24="",T24="",U24="",V24=""),"",SUM(Q24,T24,U24,V24))</f>
        <v>359.20656198678216</v>
      </c>
      <c r="Y24" s="79">
        <v>3</v>
      </c>
      <c r="Z24" s="80"/>
      <c r="AA24" s="123"/>
    </row>
    <row r="25" spans="1:33" s="21" customFormat="1" ht="18" customHeight="1">
      <c r="A25" s="252"/>
      <c r="B25" s="224"/>
      <c r="C25" s="225"/>
      <c r="D25" s="261"/>
      <c r="E25" s="254"/>
      <c r="F25" s="255"/>
      <c r="G25" s="256"/>
      <c r="H25" s="257"/>
      <c r="I25" s="258"/>
      <c r="J25" s="259"/>
      <c r="K25" s="259"/>
      <c r="L25" s="258"/>
      <c r="M25" s="259"/>
      <c r="N25" s="259"/>
      <c r="O25" s="115" t="str">
        <f>IF(MAX(I25:K25)&gt;0,IF(MAX(I25:K25)&lt;0,0,TRUNC(MAX(I25:K25)/1)*1),"")</f>
        <v/>
      </c>
      <c r="P25" s="116" t="str">
        <f>IF(MAX(L25:N25)&gt;0,IF(MAX(L25:N25)&lt;0,0,TRUNC(MAX(L25:N25)/1)*1),"")</f>
        <v/>
      </c>
      <c r="Q25" s="117" t="str">
        <f>IF(O25="","",IF(P25="","",IF(SUM(O25:P25)=0,"",SUM(O25:P25))))</f>
        <v/>
      </c>
      <c r="R25" s="118" t="str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119" t="str">
        <f>IF(AD25=1,R25*AG25,"")</f>
        <v/>
      </c>
      <c r="T25" s="73" t="str">
        <f>IF('K3'!G23="","",'K3'!G23)</f>
        <v/>
      </c>
      <c r="U25" s="73" t="str">
        <f>IF('K3'!K23="","",'K3'!K23)</f>
        <v/>
      </c>
      <c r="V25" s="73" t="str">
        <f>IF('K3'!N23="","",'K3'!N23)</f>
        <v/>
      </c>
      <c r="W25" s="120"/>
      <c r="X25" s="121"/>
      <c r="Y25" s="134"/>
      <c r="Z25" s="75"/>
      <c r="AA25" s="123">
        <f>V5</f>
        <v>44450</v>
      </c>
      <c r="AB25" s="177" t="b">
        <f t="shared" ref="AB25" si="22">IF(ISNUMBER(FIND("M",C25)),"m",IF(ISNUMBER(FIND("K",C25)),"k"))</f>
        <v>0</v>
      </c>
      <c r="AC25" s="178">
        <f t="shared" ref="AC25" si="23">IF(OR(E25="",AA25=""),0,(YEAR(AA25)-YEAR(E25)))</f>
        <v>0</v>
      </c>
      <c r="AD25" s="179" t="str">
        <f t="shared" si="2"/>
        <v/>
      </c>
      <c r="AE25" s="180" t="b">
        <f>IF(AD25=1,LOOKUP(AC25,'Meltzer-Faber'!A3:A63,'Meltzer-Faber'!B3:B63))</f>
        <v>0</v>
      </c>
      <c r="AF25" s="180" t="b">
        <f>IF(AD25=1,LOOKUP(AC25,'Meltzer-Faber'!A3:A63,'Meltzer-Faber'!C3:C63))</f>
        <v>0</v>
      </c>
      <c r="AG25" s="180" t="str">
        <f t="shared" ref="AG25" si="24">IF(AB25="m",AE25,IF(AB25="k",AF25,""))</f>
        <v/>
      </c>
    </row>
    <row r="26" spans="1:33" s="21" customFormat="1" ht="18" customHeight="1">
      <c r="A26" s="124"/>
      <c r="B26" s="125"/>
      <c r="C26" s="126"/>
      <c r="D26" s="127"/>
      <c r="E26" s="128"/>
      <c r="F26" s="260"/>
      <c r="G26" s="74"/>
      <c r="H26" s="74"/>
      <c r="I26" s="298"/>
      <c r="J26" s="289"/>
      <c r="K26" s="299"/>
      <c r="L26" s="286"/>
      <c r="M26" s="287"/>
      <c r="N26" s="288"/>
      <c r="O26" s="126"/>
      <c r="P26" s="130"/>
      <c r="Q26" s="289" t="str">
        <f>IF(R25="","",R25*1.2)</f>
        <v/>
      </c>
      <c r="R26" s="289"/>
      <c r="S26" s="131"/>
      <c r="T26" s="132" t="str">
        <f>IF(T25="","",T25*20)</f>
        <v/>
      </c>
      <c r="U26" s="132" t="str">
        <f>IF(U25="","",U25*13)</f>
        <v/>
      </c>
      <c r="V26" s="78" t="str">
        <f>IF(V25="","",IF((80+(8-ROUNDUP(V25,1))*40)&lt;0,0,80+(8-ROUNDUP(V25,1))*40))</f>
        <v/>
      </c>
      <c r="W26" s="78" t="str">
        <f>IF(SUM(T26,U26,V26)&gt;0,SUM(T26,U26,V26),"")</f>
        <v/>
      </c>
      <c r="X26" s="133" t="str">
        <f>IF(OR(Q26="",T26="",U26="",V26=""),"",SUM(Q26,T26,U26,V26))</f>
        <v/>
      </c>
      <c r="Y26" s="79"/>
      <c r="Z26" s="80"/>
      <c r="AA26" s="123"/>
    </row>
    <row r="27" spans="1:33" s="21" customFormat="1" ht="18" customHeight="1">
      <c r="A27" s="112"/>
      <c r="B27" s="113"/>
      <c r="C27" s="71"/>
      <c r="D27" s="114"/>
      <c r="E27" s="71"/>
      <c r="F27" s="71"/>
      <c r="G27" s="72"/>
      <c r="H27" s="72"/>
      <c r="I27" s="156"/>
      <c r="J27" s="157"/>
      <c r="K27" s="157"/>
      <c r="L27" s="157"/>
      <c r="M27" s="157"/>
      <c r="N27" s="157"/>
      <c r="O27" s="115" t="str">
        <f>IF(MAX(I27:K27)&gt;0,IF(MAX(I27:K27)&lt;0,0,TRUNC(MAX(I27:K27)/1)*1),"")</f>
        <v/>
      </c>
      <c r="P27" s="116" t="str">
        <f>IF(MAX(L27:N27)&gt;0,IF(MAX(L27:N27)&lt;0,0,TRUNC(MAX(L27:N27)/1)*1),"")</f>
        <v/>
      </c>
      <c r="Q27" s="117" t="str">
        <f>IF(O27="","",IF(P27="","",IF(SUM(O27:P27)=0,"",SUM(O27:P27))))</f>
        <v/>
      </c>
      <c r="R27" s="118" t="str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119" t="str">
        <f>IF(AD27=1,R27*AG27,"")</f>
        <v/>
      </c>
      <c r="T27" s="73" t="str">
        <f>IF('K3'!G25="","",'K3'!G25)</f>
        <v/>
      </c>
      <c r="U27" s="73" t="str">
        <f>IF('K3'!K25="","",'K3'!K25)</f>
        <v/>
      </c>
      <c r="V27" s="73" t="str">
        <f>IF('K3'!N25="","",'K3'!N25)</f>
        <v/>
      </c>
      <c r="W27" s="120"/>
      <c r="X27" s="121"/>
      <c r="Y27" s="134"/>
      <c r="Z27" s="75"/>
      <c r="AA27" s="123">
        <f>V5</f>
        <v>44450</v>
      </c>
      <c r="AB27" s="177" t="b">
        <f t="shared" ref="AB27" si="25">IF(ISNUMBER(FIND("M",C27)),"m",IF(ISNUMBER(FIND("K",C27)),"k"))</f>
        <v>0</v>
      </c>
      <c r="AC27" s="178">
        <f t="shared" ref="AC27" si="26">IF(OR(E27="",AA27=""),0,(YEAR(AA27)-YEAR(E27)))</f>
        <v>0</v>
      </c>
      <c r="AD27" s="179" t="str">
        <f t="shared" si="2"/>
        <v/>
      </c>
      <c r="AE27" s="180" t="b">
        <f>IF(AD27=1,LOOKUP(AC27,'Meltzer-Faber'!A3:A63,'Meltzer-Faber'!B3:B63))</f>
        <v>0</v>
      </c>
      <c r="AF27" s="180" t="b">
        <f>IF(AD27=1,LOOKUP(AC27,'Meltzer-Faber'!A3:A63,'Meltzer-Faber'!C3:C63))</f>
        <v>0</v>
      </c>
      <c r="AG27" s="180" t="str">
        <f t="shared" ref="AG27" si="27">IF(AB27="m",AE27,IF(AB27="k",AF27,""))</f>
        <v/>
      </c>
    </row>
    <row r="28" spans="1:33" s="21" customFormat="1" ht="18" customHeight="1">
      <c r="A28" s="124"/>
      <c r="B28" s="125"/>
      <c r="C28" s="126"/>
      <c r="D28" s="127"/>
      <c r="E28" s="128"/>
      <c r="F28" s="128"/>
      <c r="G28" s="74"/>
      <c r="H28" s="129"/>
      <c r="I28" s="286"/>
      <c r="J28" s="287"/>
      <c r="K28" s="288"/>
      <c r="L28" s="286"/>
      <c r="M28" s="287"/>
      <c r="N28" s="288"/>
      <c r="O28" s="126"/>
      <c r="P28" s="130"/>
      <c r="Q28" s="289" t="str">
        <f>IF(R27="","",R27*1.2)</f>
        <v/>
      </c>
      <c r="R28" s="289"/>
      <c r="S28" s="131"/>
      <c r="T28" s="132" t="str">
        <f>IF(T27="","",T27*20)</f>
        <v/>
      </c>
      <c r="U28" s="132" t="str">
        <f>IF(U27="","",U27*13)</f>
        <v/>
      </c>
      <c r="V28" s="78" t="str">
        <f>IF(V27="","",IF((80+(8-ROUNDUP(V27,1))*40)&lt;0,0,80+(8-ROUNDUP(V27,1))*40))</f>
        <v/>
      </c>
      <c r="W28" s="78" t="str">
        <f>IF(SUM(T28,U28,V28)&gt;0,SUM(T28,U28,V28),"")</f>
        <v/>
      </c>
      <c r="X28" s="133" t="str">
        <f>IF(OR(Q28="",T28="",U28="",V28=""),"",SUM(Q28,T28,U28,V28))</f>
        <v/>
      </c>
      <c r="Y28" s="79"/>
      <c r="Z28" s="80"/>
      <c r="AA28" s="123"/>
    </row>
    <row r="29" spans="1:33" s="21" customFormat="1" ht="18" customHeight="1">
      <c r="A29" s="112"/>
      <c r="B29" s="113"/>
      <c r="C29" s="71"/>
      <c r="D29" s="114"/>
      <c r="E29" s="71"/>
      <c r="F29" s="71"/>
      <c r="G29" s="72"/>
      <c r="H29" s="72"/>
      <c r="I29" s="156"/>
      <c r="J29" s="157"/>
      <c r="K29" s="157"/>
      <c r="L29" s="157"/>
      <c r="M29" s="157"/>
      <c r="N29" s="157"/>
      <c r="O29" s="115" t="str">
        <f>IF(MAX(I29:K29)&gt;0,IF(MAX(I29:K29)&lt;0,0,TRUNC(MAX(I29:K29)/1)*1),"")</f>
        <v/>
      </c>
      <c r="P29" s="116" t="str">
        <f>IF(MAX(L29:N29)&gt;0,IF(MAX(L29:N29)&lt;0,0,TRUNC(MAX(L29:N29)/1)*1),"")</f>
        <v/>
      </c>
      <c r="Q29" s="117" t="str">
        <f>IF(O29="","",IF(P29="","",IF(SUM(O29:P29)=0,"",SUM(O29:P29))))</f>
        <v/>
      </c>
      <c r="R29" s="118" t="str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119" t="str">
        <f>IF(AD29=1,R29*AG29,"")</f>
        <v/>
      </c>
      <c r="T29" s="73" t="str">
        <f>IF('K3'!G27="","",'K3'!G27)</f>
        <v/>
      </c>
      <c r="U29" s="73" t="str">
        <f>IF('K3'!K27="","",'K3'!K27)</f>
        <v/>
      </c>
      <c r="V29" s="73" t="str">
        <f>IF('K3'!N27="","",'K3'!N27)</f>
        <v/>
      </c>
      <c r="W29" s="120"/>
      <c r="X29" s="121"/>
      <c r="Y29" s="134"/>
      <c r="Z29" s="75"/>
      <c r="AA29" s="123">
        <f>V5</f>
        <v>44450</v>
      </c>
      <c r="AB29" s="177" t="b">
        <f t="shared" ref="AB29" si="28">IF(ISNUMBER(FIND("M",C29)),"m",IF(ISNUMBER(FIND("K",C29)),"k"))</f>
        <v>0</v>
      </c>
      <c r="AC29" s="178">
        <f t="shared" ref="AC29" si="29">IF(OR(E29="",AA29=""),0,(YEAR(AA29)-YEAR(E29)))</f>
        <v>0</v>
      </c>
      <c r="AD29" s="179" t="str">
        <f t="shared" si="2"/>
        <v/>
      </c>
      <c r="AE29" s="180" t="b">
        <f>IF(AD29=1,LOOKUP(AC29,'Meltzer-Faber'!A3:A63,'Meltzer-Faber'!B3:B63))</f>
        <v>0</v>
      </c>
      <c r="AF29" s="180" t="b">
        <f>IF(AD29=1,LOOKUP(AC29,'Meltzer-Faber'!A3:A63,'Meltzer-Faber'!C3:C63))</f>
        <v>0</v>
      </c>
      <c r="AG29" s="180" t="str">
        <f t="shared" ref="AG29" si="30">IF(AB29="m",AE29,IF(AB29="k",AF29,""))</f>
        <v/>
      </c>
    </row>
    <row r="30" spans="1:33" s="21" customFormat="1" ht="18" customHeight="1">
      <c r="A30" s="124"/>
      <c r="B30" s="125"/>
      <c r="C30" s="126"/>
      <c r="D30" s="127"/>
      <c r="E30" s="128"/>
      <c r="F30" s="264"/>
      <c r="G30" s="74"/>
      <c r="H30" s="129"/>
      <c r="I30" s="286"/>
      <c r="J30" s="287"/>
      <c r="K30" s="288"/>
      <c r="L30" s="286"/>
      <c r="M30" s="287"/>
      <c r="N30" s="288"/>
      <c r="O30" s="126"/>
      <c r="P30" s="130"/>
      <c r="Q30" s="289" t="str">
        <f>IF(R29="","",R29*1.2)</f>
        <v/>
      </c>
      <c r="R30" s="289"/>
      <c r="S30" s="131"/>
      <c r="T30" s="132" t="str">
        <f>IF(T29="","",T29*20)</f>
        <v/>
      </c>
      <c r="U30" s="132" t="str">
        <f>IF(U29="","",U29*13)</f>
        <v/>
      </c>
      <c r="V30" s="78" t="str">
        <f>IF(V29="","",IF((80+(8-ROUNDUP(V29,1))*40)&lt;0,0,80+(8-ROUNDUP(V29,1))*40))</f>
        <v/>
      </c>
      <c r="W30" s="78" t="str">
        <f>IF(SUM(T30,U30,V30)&gt;0,SUM(T30,U30,V30),"")</f>
        <v/>
      </c>
      <c r="X30" s="133" t="str">
        <f>IF(OR(Q30="",T30="",U30="",V30=""),"",SUM(Q30,T30,U30,V30))</f>
        <v/>
      </c>
      <c r="Y30" s="79"/>
      <c r="Z30" s="80"/>
      <c r="AA30" s="123"/>
    </row>
    <row r="31" spans="1:33" s="21" customFormat="1" ht="18" customHeight="1">
      <c r="A31" s="112"/>
      <c r="B31" s="113"/>
      <c r="C31" s="71"/>
      <c r="D31" s="114"/>
      <c r="E31" s="71"/>
      <c r="F31" s="71"/>
      <c r="G31" s="72"/>
      <c r="H31" s="72" t="s">
        <v>16</v>
      </c>
      <c r="I31" s="156"/>
      <c r="J31" s="157"/>
      <c r="K31" s="157"/>
      <c r="L31" s="157"/>
      <c r="M31" s="157"/>
      <c r="N31" s="157"/>
      <c r="O31" s="269" t="str">
        <f>IF(MAX(I31:K31)&gt;0,IF(MAX(I31:K31)&lt;0,0,TRUNC(MAX(I31:K31)/1)*1),"")</f>
        <v/>
      </c>
      <c r="P31" s="270" t="str">
        <f>IF(MAX(L31:N31)&gt;0,IF(MAX(L31:N31)&lt;0,0,TRUNC(MAX(L31:N31)/1)*1),"")</f>
        <v/>
      </c>
      <c r="Q31" s="271" t="str">
        <f>IF(O31="","",IF(P31="","",IF(SUM(O31:P31)=0,"",SUM(O31:P31))))</f>
        <v/>
      </c>
      <c r="R31" s="27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21" t="str">
        <f>IF(AD31=1,R31*AG31,"")</f>
        <v/>
      </c>
      <c r="T31" s="73" t="str">
        <f>IF('K3'!G29="","",'K3'!G29)</f>
        <v/>
      </c>
      <c r="U31" s="73" t="str">
        <f>IF('K3'!K29="","",'K3'!K29)</f>
        <v/>
      </c>
      <c r="V31" s="73" t="str">
        <f>IF('K3'!N29="","",'K3'!N29)</f>
        <v/>
      </c>
      <c r="W31" s="120" t="s">
        <v>16</v>
      </c>
      <c r="X31" s="121"/>
      <c r="Y31" s="134"/>
      <c r="Z31" s="75"/>
      <c r="AA31" s="123">
        <f>V5</f>
        <v>44450</v>
      </c>
      <c r="AB31" s="177" t="b">
        <f t="shared" ref="AB31" si="31">IF(ISNUMBER(FIND("M",C31)),"m",IF(ISNUMBER(FIND("K",C31)),"k"))</f>
        <v>0</v>
      </c>
      <c r="AC31" s="178">
        <f t="shared" ref="AC31" si="32">IF(OR(E31="",AA31=""),0,(YEAR(AA31)-YEAR(E31)))</f>
        <v>0</v>
      </c>
      <c r="AD31" s="179" t="str">
        <f t="shared" si="2"/>
        <v/>
      </c>
      <c r="AE31" s="180" t="b">
        <f>IF(AD31=1,LOOKUP(AC31,'Meltzer-Faber'!A3:A63,'Meltzer-Faber'!B3:B63))</f>
        <v>0</v>
      </c>
      <c r="AF31" s="180" t="b">
        <f>IF(AD31=1,LOOKUP(AC31,'Meltzer-Faber'!A3:A63,'Meltzer-Faber'!C3:C63))</f>
        <v>0</v>
      </c>
      <c r="AG31" s="180" t="str">
        <f t="shared" ref="AG31" si="33">IF(AB31="m",AE31,IF(AB31="k",AF31,""))</f>
        <v/>
      </c>
    </row>
    <row r="32" spans="1:33" s="21" customFormat="1" ht="18" customHeight="1">
      <c r="A32" s="124"/>
      <c r="B32" s="125"/>
      <c r="C32" s="126"/>
      <c r="D32" s="127"/>
      <c r="E32" s="128"/>
      <c r="F32" s="264"/>
      <c r="G32" s="274"/>
      <c r="H32" s="275"/>
      <c r="I32" s="290"/>
      <c r="J32" s="291"/>
      <c r="K32" s="292"/>
      <c r="L32" s="290"/>
      <c r="M32" s="291"/>
      <c r="N32" s="292"/>
      <c r="O32" s="273"/>
      <c r="P32" s="276"/>
      <c r="Q32" s="314" t="str">
        <f>IF(R31="","",R31*1.2)</f>
        <v/>
      </c>
      <c r="R32" s="314"/>
      <c r="S32" s="277"/>
      <c r="T32" s="278" t="str">
        <f>IF(T31="","",T31*20)</f>
        <v/>
      </c>
      <c r="U32" s="278" t="str">
        <f>IF(U31="","",U31*13)</f>
        <v/>
      </c>
      <c r="V32" s="279" t="str">
        <f>IF(V31="","",IF((80+(8-ROUNDUP(V31,1))*40)&lt;0,0,80+(8-ROUNDUP(V31,1))*40))</f>
        <v/>
      </c>
      <c r="W32" s="279" t="str">
        <f>IF(SUM(T32,U32,V32)&gt;0,SUM(T32,U32,V32),"")</f>
        <v/>
      </c>
      <c r="X32" s="280" t="str">
        <f>IF(OR(Q32="",T32="",U32="",V32=""),"",SUM(Q32,T32,U32,V32))</f>
        <v/>
      </c>
      <c r="Y32" s="281"/>
      <c r="Z32" s="282"/>
      <c r="AA32" s="123"/>
    </row>
    <row r="33" spans="1:26" s="21" customFormat="1" ht="14">
      <c r="A33" s="136"/>
      <c r="B33" s="136"/>
      <c r="C33" s="136"/>
      <c r="D33" s="137"/>
      <c r="E33" s="138"/>
      <c r="F33" s="138"/>
      <c r="G33" s="139"/>
      <c r="H33" s="139"/>
      <c r="I33" s="140"/>
      <c r="J33" s="140"/>
      <c r="K33" s="140"/>
      <c r="L33" s="140"/>
      <c r="M33" s="140"/>
      <c r="N33" s="140"/>
      <c r="O33" s="136"/>
      <c r="P33" s="136"/>
      <c r="Q33" s="136"/>
      <c r="R33" s="136"/>
      <c r="S33" s="136"/>
      <c r="T33" s="140"/>
      <c r="U33" s="140"/>
      <c r="V33" s="141"/>
      <c r="W33" s="141"/>
      <c r="X33" s="142"/>
      <c r="Y33" s="143"/>
      <c r="Z33" s="181"/>
    </row>
    <row r="34" spans="1:26" s="170" customFormat="1" ht="14">
      <c r="A34" s="170" t="s">
        <v>13</v>
      </c>
      <c r="C34" s="302" t="s">
        <v>204</v>
      </c>
      <c r="D34" s="302"/>
      <c r="E34" s="302"/>
      <c r="F34" s="302"/>
      <c r="G34" s="302"/>
      <c r="H34" s="169" t="s">
        <v>14</v>
      </c>
      <c r="I34" s="145">
        <v>1</v>
      </c>
      <c r="J34" s="302" t="s">
        <v>112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s="170" customFormat="1" ht="14">
      <c r="A35"/>
      <c r="C35" s="303"/>
      <c r="D35" s="303"/>
      <c r="E35" s="303"/>
      <c r="F35" s="303"/>
      <c r="G35" s="303"/>
      <c r="H35" s="174"/>
      <c r="I35" s="145">
        <v>2</v>
      </c>
      <c r="J35" s="302" t="s">
        <v>122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s="170" customFormat="1" ht="14">
      <c r="A36" s="170" t="s">
        <v>49</v>
      </c>
      <c r="C36" s="302"/>
      <c r="D36" s="302"/>
      <c r="E36" s="302"/>
      <c r="F36" s="302"/>
      <c r="G36" s="302"/>
      <c r="H36" s="169"/>
      <c r="I36" s="170">
        <v>3</v>
      </c>
      <c r="J36" s="302" t="s">
        <v>206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s="4" customFormat="1" ht="14">
      <c r="A37"/>
      <c r="B37" s="168"/>
      <c r="C37" s="302"/>
      <c r="D37" s="302"/>
      <c r="E37" s="302"/>
      <c r="F37" s="302"/>
      <c r="G37" s="302"/>
      <c r="H37" s="169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</row>
    <row r="38" spans="1:26" s="4" customFormat="1" ht="14">
      <c r="A38"/>
      <c r="B38" s="170"/>
      <c r="C38" s="302"/>
      <c r="D38" s="302"/>
      <c r="E38" s="302"/>
      <c r="F38" s="302"/>
      <c r="G38" s="302"/>
      <c r="H38" s="147" t="s">
        <v>50</v>
      </c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spans="1:26" s="4" customFormat="1" ht="14">
      <c r="A39" s="1"/>
      <c r="B39" s="1"/>
      <c r="C39" s="146"/>
      <c r="D39" s="3"/>
      <c r="E39" s="3"/>
      <c r="F39" s="3"/>
      <c r="H39" s="147" t="s">
        <v>51</v>
      </c>
      <c r="I39" s="315" t="s">
        <v>110</v>
      </c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 spans="1:26" s="4" customFormat="1" ht="14">
      <c r="A40" s="170" t="s">
        <v>15</v>
      </c>
      <c r="B40" s="170"/>
      <c r="C40" s="302" t="s">
        <v>101</v>
      </c>
      <c r="D40" s="302"/>
      <c r="E40" s="302"/>
      <c r="F40" s="302"/>
      <c r="G40" s="302"/>
      <c r="H40" s="147" t="s">
        <v>52</v>
      </c>
      <c r="I40" s="315" t="s">
        <v>107</v>
      </c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spans="1:26" s="4" customFormat="1" ht="14">
      <c r="A41" s="1"/>
      <c r="B41" s="1"/>
      <c r="C41" s="302" t="s">
        <v>106</v>
      </c>
      <c r="D41" s="302"/>
      <c r="E41" s="302"/>
      <c r="F41" s="302"/>
      <c r="G41" s="302"/>
      <c r="H41" s="169"/>
      <c r="I41" s="147"/>
      <c r="J41" s="170"/>
      <c r="K41" s="148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4">
      <c r="A42" s="170" t="s">
        <v>53</v>
      </c>
      <c r="B42" s="170"/>
      <c r="C42" s="302" t="s">
        <v>100</v>
      </c>
      <c r="D42" s="302"/>
      <c r="E42" s="302"/>
      <c r="F42" s="302"/>
      <c r="G42" s="302"/>
      <c r="H42" s="147" t="s">
        <v>18</v>
      </c>
      <c r="I42" s="315" t="s">
        <v>210</v>
      </c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spans="1:26" s="4" customFormat="1" ht="14">
      <c r="A43" s="1"/>
      <c r="B43" s="1"/>
      <c r="C43" s="302"/>
      <c r="D43" s="302"/>
      <c r="E43" s="302"/>
      <c r="F43" s="302"/>
      <c r="G43" s="302"/>
      <c r="H43" s="169"/>
      <c r="I43" s="315" t="s">
        <v>215</v>
      </c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spans="1:26" s="4" customFormat="1">
      <c r="A44" s="149" t="s">
        <v>17</v>
      </c>
      <c r="B44" s="150" t="s">
        <v>63</v>
      </c>
      <c r="C44" s="150"/>
      <c r="D44" s="151"/>
      <c r="E44" s="151"/>
      <c r="F44" s="151"/>
      <c r="G44" s="152"/>
      <c r="H44" s="152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</row>
    <row r="45" spans="1:26" s="4" customFormat="1">
      <c r="A45" s="1"/>
      <c r="B45" s="1"/>
      <c r="C45" s="150"/>
      <c r="D45" s="3"/>
      <c r="E45" s="3"/>
      <c r="F45" s="3"/>
      <c r="I45" s="313" t="s">
        <v>16</v>
      </c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</row>
    <row r="46" spans="1:26" s="4" customFormat="1">
      <c r="A46" s="1"/>
      <c r="B46" s="1"/>
      <c r="C46" s="2"/>
      <c r="D46" s="3"/>
      <c r="E46" s="3"/>
      <c r="F46" s="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</row>
    <row r="47" spans="1:26">
      <c r="K47" s="153"/>
    </row>
    <row r="48" spans="1:26">
      <c r="K48" s="1"/>
    </row>
    <row r="49" spans="11:11">
      <c r="K49" s="1"/>
    </row>
    <row r="50" spans="11:11">
      <c r="K50" s="1"/>
    </row>
  </sheetData>
  <mergeCells count="70">
    <mergeCell ref="C43:G43"/>
    <mergeCell ref="I43:Z43"/>
    <mergeCell ref="I44:Z44"/>
    <mergeCell ref="I45:Z45"/>
    <mergeCell ref="I46:Z46"/>
    <mergeCell ref="C40:G40"/>
    <mergeCell ref="I40:Z40"/>
    <mergeCell ref="C41:G41"/>
    <mergeCell ref="C42:G42"/>
    <mergeCell ref="I42:Z42"/>
    <mergeCell ref="C37:G37"/>
    <mergeCell ref="C38:G38"/>
    <mergeCell ref="I38:Z38"/>
    <mergeCell ref="J37:Z37"/>
    <mergeCell ref="I39:Z39"/>
    <mergeCell ref="C36:G36"/>
    <mergeCell ref="J36:Z36"/>
    <mergeCell ref="I26:K26"/>
    <mergeCell ref="L26:N26"/>
    <mergeCell ref="Q26:R26"/>
    <mergeCell ref="C35:G35"/>
    <mergeCell ref="J35:Z35"/>
    <mergeCell ref="I28:K28"/>
    <mergeCell ref="L28:N28"/>
    <mergeCell ref="Q28:R28"/>
    <mergeCell ref="I30:K30"/>
    <mergeCell ref="L30:N30"/>
    <mergeCell ref="Q30:R30"/>
    <mergeCell ref="I32:K32"/>
    <mergeCell ref="L32:N32"/>
    <mergeCell ref="Q32:R32"/>
    <mergeCell ref="C34:G34"/>
    <mergeCell ref="J34:Z34"/>
    <mergeCell ref="I22:K22"/>
    <mergeCell ref="L22:N22"/>
    <mergeCell ref="Q22:R22"/>
    <mergeCell ref="I24:K24"/>
    <mergeCell ref="L24:N24"/>
    <mergeCell ref="Q24:R24"/>
    <mergeCell ref="I18:K18"/>
    <mergeCell ref="L18:N18"/>
    <mergeCell ref="Q18:R18"/>
    <mergeCell ref="I20:K20"/>
    <mergeCell ref="L20:N20"/>
    <mergeCell ref="Q20:R20"/>
    <mergeCell ref="Q12:R12"/>
    <mergeCell ref="I14:K14"/>
    <mergeCell ref="L14:N14"/>
    <mergeCell ref="Q14:R14"/>
    <mergeCell ref="I16:K16"/>
    <mergeCell ref="L16:N16"/>
    <mergeCell ref="Q16:R16"/>
    <mergeCell ref="I12:K12"/>
    <mergeCell ref="L12:N12"/>
    <mergeCell ref="G2:R2"/>
    <mergeCell ref="G3:R3"/>
    <mergeCell ref="I7:K7"/>
    <mergeCell ref="L7:N7"/>
    <mergeCell ref="O7:R7"/>
    <mergeCell ref="S3:Z3"/>
    <mergeCell ref="A5:B5"/>
    <mergeCell ref="C5:G5"/>
    <mergeCell ref="I5:N5"/>
    <mergeCell ref="P5:T5"/>
    <mergeCell ref="V5:W5"/>
    <mergeCell ref="I10:K10"/>
    <mergeCell ref="L10:N10"/>
    <mergeCell ref="Q10:R10"/>
    <mergeCell ref="I8:K8"/>
    <mergeCell ref="L8:N8"/>
  </mergeCells>
  <conditionalFormatting sqref="I27:N27">
    <cfRule type="cellIs" dxfId="171" priority="59" stopIfTrue="1" operator="between">
      <formula>1</formula>
      <formula>300</formula>
    </cfRule>
    <cfRule type="cellIs" dxfId="170" priority="60" stopIfTrue="1" operator="lessThanOrEqual">
      <formula>0</formula>
    </cfRule>
  </conditionalFormatting>
  <conditionalFormatting sqref="I29:N29">
    <cfRule type="cellIs" dxfId="169" priority="57" stopIfTrue="1" operator="between">
      <formula>1</formula>
      <formula>300</formula>
    </cfRule>
    <cfRule type="cellIs" dxfId="168" priority="58" stopIfTrue="1" operator="lessThanOrEqual">
      <formula>0</formula>
    </cfRule>
  </conditionalFormatting>
  <conditionalFormatting sqref="I31:N31">
    <cfRule type="cellIs" dxfId="167" priority="55" stopIfTrue="1" operator="between">
      <formula>1</formula>
      <formula>300</formula>
    </cfRule>
    <cfRule type="cellIs" dxfId="166" priority="56" stopIfTrue="1" operator="lessThanOrEqual">
      <formula>0</formula>
    </cfRule>
  </conditionalFormatting>
  <conditionalFormatting sqref="I13:N13">
    <cfRule type="cellIs" dxfId="165" priority="15" stopIfTrue="1" operator="between">
      <formula>1</formula>
      <formula>300</formula>
    </cfRule>
    <cfRule type="cellIs" dxfId="164" priority="16" stopIfTrue="1" operator="lessThanOrEqual">
      <formula>0</formula>
    </cfRule>
  </conditionalFormatting>
  <conditionalFormatting sqref="I9:N9">
    <cfRule type="cellIs" dxfId="163" priority="13" stopIfTrue="1" operator="between">
      <formula>1</formula>
      <formula>300</formula>
    </cfRule>
    <cfRule type="cellIs" dxfId="162" priority="14" stopIfTrue="1" operator="lessThanOrEqual">
      <formula>0</formula>
    </cfRule>
  </conditionalFormatting>
  <conditionalFormatting sqref="I17:N17">
    <cfRule type="cellIs" dxfId="161" priority="11" stopIfTrue="1" operator="between">
      <formula>1</formula>
      <formula>300</formula>
    </cfRule>
    <cfRule type="cellIs" dxfId="160" priority="12" stopIfTrue="1" operator="lessThanOrEqual">
      <formula>0</formula>
    </cfRule>
  </conditionalFormatting>
  <conditionalFormatting sqref="I21:N21">
    <cfRule type="cellIs" dxfId="159" priority="9" stopIfTrue="1" operator="between">
      <formula>1</formula>
      <formula>300</formula>
    </cfRule>
    <cfRule type="cellIs" dxfId="158" priority="10" stopIfTrue="1" operator="lessThanOrEqual">
      <formula>0</formula>
    </cfRule>
  </conditionalFormatting>
  <conditionalFormatting sqref="I11:N11">
    <cfRule type="cellIs" dxfId="157" priority="7" stopIfTrue="1" operator="between">
      <formula>1</formula>
      <formula>300</formula>
    </cfRule>
    <cfRule type="cellIs" dxfId="156" priority="8" stopIfTrue="1" operator="lessThanOrEqual">
      <formula>0</formula>
    </cfRule>
  </conditionalFormatting>
  <conditionalFormatting sqref="I19:N19">
    <cfRule type="cellIs" dxfId="155" priority="5" stopIfTrue="1" operator="between">
      <formula>1</formula>
      <formula>300</formula>
    </cfRule>
    <cfRule type="cellIs" dxfId="154" priority="6" stopIfTrue="1" operator="lessThanOrEqual">
      <formula>0</formula>
    </cfRule>
  </conditionalFormatting>
  <conditionalFormatting sqref="I25:N25">
    <cfRule type="cellIs" dxfId="153" priority="35" stopIfTrue="1" operator="between">
      <formula>1</formula>
      <formula>300</formula>
    </cfRule>
    <cfRule type="cellIs" dxfId="152" priority="36" stopIfTrue="1" operator="lessThanOrEqual">
      <formula>0</formula>
    </cfRule>
  </conditionalFormatting>
  <conditionalFormatting sqref="I15:N15">
    <cfRule type="cellIs" dxfId="151" priority="1" stopIfTrue="1" operator="between">
      <formula>1</formula>
      <formula>300</formula>
    </cfRule>
    <cfRule type="cellIs" dxfId="150" priority="2" stopIfTrue="1" operator="lessThanOrEqual">
      <formula>0</formula>
    </cfRule>
  </conditionalFormatting>
  <conditionalFormatting sqref="I23:N23">
    <cfRule type="cellIs" dxfId="149" priority="3" stopIfTrue="1" operator="between">
      <formula>1</formula>
      <formula>300</formula>
    </cfRule>
    <cfRule type="cellIs" dxfId="148" priority="4" stopIfTrue="1" operator="lessThanOrEqual">
      <formula>0</formula>
    </cfRule>
  </conditionalFormatting>
  <dataValidations count="3">
    <dataValidation type="list" allowBlank="1" showInputMessage="1" showErrorMessage="1" errorTitle="Feil_i_vektklasse" error="Feil verddi i vektklasse" sqref="A9 A11 A25 A15 A17 A19 A29 A23 A21 A27 A31 A13" xr:uid="{83910347-D998-D748-AA21-7583C0D0702A}">
      <formula1>"40,45,49,55,59,64,71,76,81,+81,81+,87,+87,87+,49,55,61,67,73,81,89,96,102,+102,102+,109,+109,109+"</formula1>
    </dataValidation>
    <dataValidation type="list" allowBlank="1" showInputMessage="1" showErrorMessage="1" errorTitle="Feil_i_kat.v.løft" error="Feil verdi i kategori vektløfting" sqref="C9 C29 C27 C19 C13 C17 C25 C21 C23 C11 C15 C31" xr:uid="{0A088243-E2F5-BB4F-B359-2C1C37C4AC4A}">
      <formula1>"UM,JM,SM,UK,JK,SK,M1,M2,M3,M4,M5,M6,M7,M8,M9,M10,K1,K2,K3,K4,K5,K6,K7,K8,K9,K10"</formula1>
    </dataValidation>
    <dataValidation type="list" allowBlank="1" showInputMessage="1" showErrorMessage="1" errorTitle="Feil_i_kat. 5-kamp" error="Feil verdi i kategori 5-kamp" sqref="D9 D29 D11 D13 D15 D17 D19 D21 D23 D25 D27 D31" xr:uid="{7DDF7BE2-9D68-A443-B921-73A2F12CA256}">
      <formula1>"13-14,15-16,17-18,19-23,24-34,+35,35+"</formula1>
    </dataValidation>
  </dataValidations>
  <pageMargins left="0.27559055118110198" right="0.27559055118110198" top="0.27559055118110198" bottom="0.27559055118110198" header="0.511811023622047" footer="0.511811023622047"/>
  <pageSetup paperSize="9" scale="60" orientation="landscape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4F0F-5F63-F846-9F63-407AA3C98563}">
  <sheetPr>
    <pageSetUpPr fitToPage="1"/>
  </sheetPr>
  <dimension ref="A1:AG50"/>
  <sheetViews>
    <sheetView showGridLines="0" showRowColHeaders="0" showZeros="0" topLeftCell="A17" zoomScale="90" zoomScaleNormal="90" workbookViewId="0">
      <selection activeCell="Y28" sqref="Y28"/>
    </sheetView>
  </sheetViews>
  <sheetFormatPr baseColWidth="10" defaultColWidth="9.1640625" defaultRowHeight="13"/>
  <cols>
    <col min="1" max="1" width="7" style="7" customWidth="1"/>
    <col min="2" max="2" width="8" style="7" customWidth="1"/>
    <col min="3" max="3" width="5.83203125" style="7" customWidth="1"/>
    <col min="4" max="4" width="7.6640625" style="7" customWidth="1"/>
    <col min="5" max="5" width="10.6640625" style="7" customWidth="1"/>
    <col min="6" max="6" width="4.33203125" style="7" customWidth="1"/>
    <col min="7" max="7" width="27.83203125" customWidth="1"/>
    <col min="8" max="8" width="20.6640625" customWidth="1"/>
    <col min="9" max="17" width="6.83203125" style="7" customWidth="1"/>
    <col min="18" max="21" width="8" style="7" customWidth="1"/>
    <col min="22" max="22" width="9" style="7" customWidth="1"/>
    <col min="23" max="24" width="8" style="7" customWidth="1"/>
    <col min="25" max="25" width="4.6640625" style="7" customWidth="1"/>
    <col min="26" max="26" width="5" style="7" customWidth="1"/>
    <col min="27" max="27" width="9.33203125" hidden="1" customWidth="1"/>
    <col min="28" max="33" width="9.1640625" hidden="1" customWidth="1"/>
  </cols>
  <sheetData>
    <row r="1" spans="1:33" ht="13" customHeight="1">
      <c r="H1" s="7"/>
      <c r="Z1"/>
    </row>
    <row r="2" spans="1:33" ht="72.75" customHeight="1">
      <c r="G2" s="293" t="s">
        <v>54</v>
      </c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U2" s="87" t="s">
        <v>59</v>
      </c>
      <c r="Z2"/>
    </row>
    <row r="3" spans="1:33" ht="29">
      <c r="E3" s="88"/>
      <c r="G3" s="294" t="s">
        <v>22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304" t="s">
        <v>60</v>
      </c>
      <c r="T3" s="304"/>
      <c r="U3" s="304"/>
      <c r="V3" s="304"/>
      <c r="W3" s="304"/>
      <c r="X3" s="304"/>
      <c r="Y3" s="304"/>
      <c r="Z3" s="304"/>
    </row>
    <row r="4" spans="1:33">
      <c r="H4" s="7"/>
      <c r="Z4"/>
    </row>
    <row r="5" spans="1:33" ht="15" customHeight="1">
      <c r="A5" s="300" t="s">
        <v>21</v>
      </c>
      <c r="B5" s="300"/>
      <c r="C5" s="301" t="s">
        <v>127</v>
      </c>
      <c r="D5" s="301"/>
      <c r="E5" s="301"/>
      <c r="F5" s="301"/>
      <c r="G5" s="301"/>
      <c r="H5" s="175" t="s">
        <v>0</v>
      </c>
      <c r="I5" s="305" t="s">
        <v>94</v>
      </c>
      <c r="J5" s="305"/>
      <c r="K5" s="305"/>
      <c r="L5" s="305"/>
      <c r="M5" s="305"/>
      <c r="N5" s="305"/>
      <c r="O5" s="175" t="s">
        <v>1</v>
      </c>
      <c r="P5" s="306" t="s">
        <v>117</v>
      </c>
      <c r="Q5" s="306"/>
      <c r="R5" s="306"/>
      <c r="S5" s="306"/>
      <c r="T5" s="306"/>
      <c r="U5" s="90" t="s">
        <v>2</v>
      </c>
      <c r="V5" s="307">
        <v>44450</v>
      </c>
      <c r="W5" s="307"/>
      <c r="X5" s="91" t="s">
        <v>20</v>
      </c>
      <c r="Y5" s="92">
        <v>4</v>
      </c>
      <c r="Z5"/>
    </row>
    <row r="6" spans="1:33" ht="13.75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3"/>
      <c r="X6" s="9"/>
      <c r="Y6" s="9"/>
      <c r="Z6"/>
      <c r="AB6" s="4"/>
      <c r="AC6" s="4"/>
      <c r="AD6" s="4"/>
      <c r="AE6" s="187" t="s">
        <v>67</v>
      </c>
      <c r="AF6" s="187" t="s">
        <v>67</v>
      </c>
      <c r="AG6" s="187" t="s">
        <v>67</v>
      </c>
    </row>
    <row r="7" spans="1:33" s="21" customFormat="1" ht="15" customHeight="1">
      <c r="A7" s="94" t="s">
        <v>3</v>
      </c>
      <c r="B7" s="173" t="s">
        <v>4</v>
      </c>
      <c r="C7" s="172" t="s">
        <v>23</v>
      </c>
      <c r="D7" s="97" t="s">
        <v>23</v>
      </c>
      <c r="E7" s="171" t="s">
        <v>5</v>
      </c>
      <c r="F7" s="171" t="s">
        <v>24</v>
      </c>
      <c r="G7" s="171" t="s">
        <v>6</v>
      </c>
      <c r="H7" s="171" t="s">
        <v>7</v>
      </c>
      <c r="I7" s="308" t="s">
        <v>8</v>
      </c>
      <c r="J7" s="309"/>
      <c r="K7" s="310"/>
      <c r="L7" s="308" t="s">
        <v>9</v>
      </c>
      <c r="M7" s="309"/>
      <c r="N7" s="310"/>
      <c r="O7" s="311" t="s">
        <v>25</v>
      </c>
      <c r="P7" s="312"/>
      <c r="Q7" s="312"/>
      <c r="R7" s="312"/>
      <c r="S7" s="99" t="s">
        <v>10</v>
      </c>
      <c r="T7" s="100" t="s">
        <v>61</v>
      </c>
      <c r="U7" s="100" t="s">
        <v>27</v>
      </c>
      <c r="V7" s="100" t="s">
        <v>28</v>
      </c>
      <c r="W7" s="171" t="s">
        <v>56</v>
      </c>
      <c r="X7" s="101" t="s">
        <v>29</v>
      </c>
      <c r="Y7" s="101" t="s">
        <v>30</v>
      </c>
      <c r="Z7" s="11" t="s">
        <v>31</v>
      </c>
      <c r="AB7" s="1"/>
      <c r="AC7" s="1"/>
      <c r="AD7" s="1"/>
      <c r="AE7" s="188" t="s">
        <v>68</v>
      </c>
      <c r="AF7" s="188" t="s">
        <v>68</v>
      </c>
      <c r="AG7" s="188" t="s">
        <v>68</v>
      </c>
    </row>
    <row r="8" spans="1:33" s="21" customFormat="1" ht="15" customHeight="1" thickBot="1">
      <c r="A8" s="102" t="s">
        <v>11</v>
      </c>
      <c r="B8" s="103" t="s">
        <v>12</v>
      </c>
      <c r="C8" s="104" t="s">
        <v>32</v>
      </c>
      <c r="D8" s="105" t="s">
        <v>29</v>
      </c>
      <c r="E8" s="106" t="s">
        <v>19</v>
      </c>
      <c r="F8" s="106" t="s">
        <v>62</v>
      </c>
      <c r="G8" s="176"/>
      <c r="H8" s="176"/>
      <c r="I8" s="295" t="s">
        <v>34</v>
      </c>
      <c r="J8" s="296"/>
      <c r="K8" s="297"/>
      <c r="L8" s="295" t="s">
        <v>34</v>
      </c>
      <c r="M8" s="296"/>
      <c r="N8" s="297"/>
      <c r="O8" s="108" t="s">
        <v>8</v>
      </c>
      <c r="P8" s="103" t="s">
        <v>9</v>
      </c>
      <c r="Q8" s="109" t="s">
        <v>35</v>
      </c>
      <c r="R8" s="104" t="s">
        <v>10</v>
      </c>
      <c r="S8" s="108" t="s">
        <v>55</v>
      </c>
      <c r="T8" s="110" t="s">
        <v>10</v>
      </c>
      <c r="U8" s="110" t="s">
        <v>10</v>
      </c>
      <c r="V8" s="110" t="s">
        <v>10</v>
      </c>
      <c r="W8" s="106" t="s">
        <v>57</v>
      </c>
      <c r="X8" s="111" t="s">
        <v>36</v>
      </c>
      <c r="Y8" s="111"/>
      <c r="Z8" s="12"/>
      <c r="AB8" s="1" t="s">
        <v>69</v>
      </c>
      <c r="AC8" s="1" t="s">
        <v>58</v>
      </c>
      <c r="AD8" s="3" t="s">
        <v>55</v>
      </c>
      <c r="AE8" s="188" t="s">
        <v>70</v>
      </c>
      <c r="AF8" s="188" t="s">
        <v>71</v>
      </c>
      <c r="AG8" s="188" t="s">
        <v>72</v>
      </c>
    </row>
    <row r="9" spans="1:33" s="21" customFormat="1" ht="18" customHeight="1">
      <c r="A9" s="252" t="s">
        <v>93</v>
      </c>
      <c r="B9" s="224">
        <v>61.24</v>
      </c>
      <c r="C9" s="225" t="s">
        <v>128</v>
      </c>
      <c r="D9" s="253" t="s">
        <v>129</v>
      </c>
      <c r="E9" s="254">
        <v>38776</v>
      </c>
      <c r="F9" s="255"/>
      <c r="G9" s="256" t="s">
        <v>130</v>
      </c>
      <c r="H9" s="256" t="s">
        <v>94</v>
      </c>
      <c r="I9" s="258">
        <v>47</v>
      </c>
      <c r="J9" s="259">
        <v>50</v>
      </c>
      <c r="K9" s="259">
        <v>53</v>
      </c>
      <c r="L9" s="258">
        <v>66</v>
      </c>
      <c r="M9" s="259">
        <v>71</v>
      </c>
      <c r="N9" s="259">
        <v>-75</v>
      </c>
      <c r="O9" s="115">
        <f>IF(MAX(I9:K9)&gt;0,IF(MAX(I9:K9)&lt;0,0,TRUNC(MAX(I9:K9)/1)*1),"")</f>
        <v>53</v>
      </c>
      <c r="P9" s="116">
        <f>IF(MAX(L9:N9)&gt;0,IF(MAX(L9:N9)&lt;0,0,TRUNC(MAX(L9:N9)/1)*1),"")</f>
        <v>71</v>
      </c>
      <c r="Q9" s="117">
        <f>IF(O9="","",IF(P9="","",IF(SUM(O9:P9)=0,"",SUM(O9:P9))))</f>
        <v>124</v>
      </c>
      <c r="R9" s="118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178.09207295640738</v>
      </c>
      <c r="S9" s="119" t="str">
        <f>IF(AD9=1,R9*AG9,"")</f>
        <v/>
      </c>
      <c r="T9" s="73">
        <f>IF('K4'!G7="","",'K4'!G7)</f>
        <v>8.31</v>
      </c>
      <c r="U9" s="73">
        <f>IF('K4'!K7="","",'K4'!K7)</f>
        <v>10.11</v>
      </c>
      <c r="V9" s="73">
        <f>IF('K4'!N7="","",'K4'!N7)</f>
        <v>6.26</v>
      </c>
      <c r="W9" s="120"/>
      <c r="X9" s="121"/>
      <c r="Y9" s="122"/>
      <c r="Z9" s="77"/>
      <c r="AA9" s="123">
        <f>V5</f>
        <v>44450</v>
      </c>
      <c r="AB9" s="177" t="str">
        <f>IF(ISNUMBER(FIND("M",C9)),"m",IF(ISNUMBER(FIND("K",C9)),"k"))</f>
        <v>m</v>
      </c>
      <c r="AC9" s="178">
        <f>IF(OR(E9="",AA9=""),0,(YEAR(AA9)-YEAR(E9)))</f>
        <v>15</v>
      </c>
      <c r="AD9" s="179" t="str">
        <f>IF(AC9&gt;34,1,"")</f>
        <v/>
      </c>
      <c r="AE9" s="180" t="b">
        <f>IF(AD9=1,LOOKUP(AC9,'Meltzer-Faber'!A3:A63,'Meltzer-Faber'!B3:B63))</f>
        <v>0</v>
      </c>
      <c r="AF9" s="180" t="b">
        <f>IF(AD9=1,LOOKUP(AC9,'Meltzer-Faber'!A3:A63,'Meltzer-Faber'!C3:C63))</f>
        <v>0</v>
      </c>
      <c r="AG9" s="180" t="b">
        <f>IF(AB9="m",AE9,IF(AB9="k",AF9,""))</f>
        <v>0</v>
      </c>
    </row>
    <row r="10" spans="1:33" s="21" customFormat="1" ht="18" customHeight="1">
      <c r="A10" s="124"/>
      <c r="B10" s="125"/>
      <c r="C10" s="126"/>
      <c r="D10" s="127"/>
      <c r="E10" s="128"/>
      <c r="F10" s="260"/>
      <c r="G10" s="74"/>
      <c r="H10" s="74"/>
      <c r="I10" s="298"/>
      <c r="J10" s="289"/>
      <c r="K10" s="299"/>
      <c r="L10" s="286"/>
      <c r="M10" s="287"/>
      <c r="N10" s="288"/>
      <c r="O10" s="126"/>
      <c r="P10" s="130"/>
      <c r="Q10" s="289">
        <f>IF(R9="","",R9*1.2)</f>
        <v>213.71048754768884</v>
      </c>
      <c r="R10" s="289"/>
      <c r="S10" s="131"/>
      <c r="T10" s="132">
        <f>IF(T9="","",T9*20)</f>
        <v>166.20000000000002</v>
      </c>
      <c r="U10" s="132">
        <f>IF(U9="","",U9*13)</f>
        <v>131.43</v>
      </c>
      <c r="V10" s="78">
        <f>IF(V9="","",IF((80+(8-ROUNDUP(V9,1))*40)&lt;0,0,80+(8-ROUNDUP(V9,1))*40))</f>
        <v>148</v>
      </c>
      <c r="W10" s="78">
        <f>IF(SUM(T10,U10,V10)&gt;0,SUM(T10,U10,V10),"")</f>
        <v>445.63</v>
      </c>
      <c r="X10" s="133">
        <f>IF(OR(Q10="",T10="",U10="",V10=""),"",SUM(Q10,T10,U10,V10))</f>
        <v>659.34048754768878</v>
      </c>
      <c r="Y10" s="79">
        <v>10</v>
      </c>
      <c r="Z10" s="80"/>
      <c r="AA10" s="123"/>
      <c r="AB10" s="177"/>
      <c r="AC10" s="178"/>
      <c r="AD10" s="179"/>
      <c r="AE10" s="180"/>
      <c r="AF10" s="180"/>
      <c r="AG10" s="180"/>
    </row>
    <row r="11" spans="1:33" s="21" customFormat="1" ht="18" customHeight="1">
      <c r="A11" s="252" t="s">
        <v>93</v>
      </c>
      <c r="B11" s="224">
        <v>65.92</v>
      </c>
      <c r="C11" s="225" t="s">
        <v>128</v>
      </c>
      <c r="D11" s="253" t="s">
        <v>129</v>
      </c>
      <c r="E11" s="254">
        <v>38859</v>
      </c>
      <c r="F11" s="255"/>
      <c r="G11" s="256" t="s">
        <v>131</v>
      </c>
      <c r="H11" s="256" t="s">
        <v>85</v>
      </c>
      <c r="I11" s="258">
        <v>66</v>
      </c>
      <c r="J11" s="259">
        <v>69</v>
      </c>
      <c r="K11" s="259">
        <v>-71</v>
      </c>
      <c r="L11" s="258">
        <v>77</v>
      </c>
      <c r="M11" s="259">
        <v>80</v>
      </c>
      <c r="N11" s="259">
        <v>83</v>
      </c>
      <c r="O11" s="115">
        <f>IF(MAX(I11:K11)&gt;0,IF(MAX(I11:K11)&lt;0,0,TRUNC(MAX(I11:K11)/1)*1),"")</f>
        <v>69</v>
      </c>
      <c r="P11" s="116">
        <f>IF(MAX(L11:N11)&gt;0,IF(MAX(L11:N11)&lt;0,0,TRUNC(MAX(L11:N11)/1)*1),"")</f>
        <v>83</v>
      </c>
      <c r="Q11" s="117">
        <f>IF(O11="","",IF(P11="","",IF(SUM(O11:P11)=0,"",SUM(O11:P11))))</f>
        <v>152</v>
      </c>
      <c r="R11" s="118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207.89426110731182</v>
      </c>
      <c r="S11" s="119" t="str">
        <f>IF(AD11=1,R11*AG11,"")</f>
        <v/>
      </c>
      <c r="T11" s="73">
        <f>IF('K4'!G9="","",'K4'!G9)</f>
        <v>8.11</v>
      </c>
      <c r="U11" s="73">
        <f>IF('K4'!K9="","",'K4'!K9)</f>
        <v>9.52</v>
      </c>
      <c r="V11" s="73">
        <f>IF('K4'!N9="","",'K4'!N9)</f>
        <v>6.56</v>
      </c>
      <c r="W11" s="120"/>
      <c r="X11" s="121"/>
      <c r="Y11" s="134"/>
      <c r="Z11" s="75"/>
      <c r="AA11" s="123">
        <f>V5</f>
        <v>44450</v>
      </c>
      <c r="AB11" s="177" t="str">
        <f t="shared" ref="AB11" si="0">IF(ISNUMBER(FIND("M",C11)),"m",IF(ISNUMBER(FIND("K",C11)),"k"))</f>
        <v>m</v>
      </c>
      <c r="AC11" s="178">
        <f t="shared" ref="AC11" si="1">IF(OR(E11="",AA11=""),0,(YEAR(AA11)-YEAR(E11)))</f>
        <v>15</v>
      </c>
      <c r="AD11" s="179" t="str">
        <f t="shared" ref="AD11:AD31" si="2">IF(AC11&gt;34,1,"")</f>
        <v/>
      </c>
      <c r="AE11" s="180" t="b">
        <f>IF(AD11=1,LOOKUP(AC11,'Meltzer-Faber'!A3:A63,'Meltzer-Faber'!B3:B63))</f>
        <v>0</v>
      </c>
      <c r="AF11" s="180" t="b">
        <f>IF(AD11=1,LOOKUP(AC11,'Meltzer-Faber'!A3:A63,'Meltzer-Faber'!C3:C63))</f>
        <v>0</v>
      </c>
      <c r="AG11" s="180" t="b">
        <f t="shared" ref="AG11" si="3">IF(AB11="m",AE11,IF(AB11="k",AF11,""))</f>
        <v>0</v>
      </c>
    </row>
    <row r="12" spans="1:33" s="21" customFormat="1" ht="18" customHeight="1">
      <c r="A12" s="124"/>
      <c r="B12" s="125"/>
      <c r="C12" s="126"/>
      <c r="D12" s="127"/>
      <c r="E12" s="128"/>
      <c r="F12" s="260"/>
      <c r="G12" s="74"/>
      <c r="H12" s="74"/>
      <c r="I12" s="298"/>
      <c r="J12" s="289"/>
      <c r="K12" s="299"/>
      <c r="L12" s="286"/>
      <c r="M12" s="287"/>
      <c r="N12" s="288"/>
      <c r="O12" s="126"/>
      <c r="P12" s="130"/>
      <c r="Q12" s="289">
        <f>IF(R11="","",R11*1.2)</f>
        <v>249.47311332877416</v>
      </c>
      <c r="R12" s="289"/>
      <c r="S12" s="131"/>
      <c r="T12" s="132">
        <f>IF(T11="","",T11*20)</f>
        <v>162.19999999999999</v>
      </c>
      <c r="U12" s="132">
        <f>IF(U11="","",U11*13)</f>
        <v>123.75999999999999</v>
      </c>
      <c r="V12" s="78">
        <f>IF(V11="","",IF((80+(8-ROUNDUP(V11,1))*40)&lt;0,0,80+(8-ROUNDUP(V11,1))*40))</f>
        <v>136</v>
      </c>
      <c r="W12" s="78">
        <f>IF(SUM(T12,U12,V12)&gt;0,SUM(T12,U12,V12),"")</f>
        <v>421.96</v>
      </c>
      <c r="X12" s="133">
        <f>IF(OR(Q12="",W12=""),"",Q12+W12)</f>
        <v>671.4331133287742</v>
      </c>
      <c r="Y12" s="79">
        <v>9</v>
      </c>
      <c r="Z12" s="80"/>
      <c r="AA12" s="123"/>
    </row>
    <row r="13" spans="1:33" s="21" customFormat="1" ht="18" customHeight="1">
      <c r="A13" s="252" t="s">
        <v>93</v>
      </c>
      <c r="B13" s="224">
        <v>65.83</v>
      </c>
      <c r="C13" s="225" t="s">
        <v>128</v>
      </c>
      <c r="D13" s="253" t="s">
        <v>129</v>
      </c>
      <c r="E13" s="254">
        <v>38896</v>
      </c>
      <c r="F13" s="255"/>
      <c r="G13" s="256" t="s">
        <v>132</v>
      </c>
      <c r="H13" s="256" t="s">
        <v>85</v>
      </c>
      <c r="I13" s="258">
        <v>73</v>
      </c>
      <c r="J13" s="259">
        <v>76</v>
      </c>
      <c r="K13" s="259">
        <v>78</v>
      </c>
      <c r="L13" s="258">
        <v>93</v>
      </c>
      <c r="M13" s="259">
        <v>97</v>
      </c>
      <c r="N13" s="259">
        <v>-100</v>
      </c>
      <c r="O13" s="115">
        <f>IF(MAX(I13:K13)&gt;0,IF(MAX(I13:K13)&lt;0,0,TRUNC(MAX(I13:K13)/1)*1),"")</f>
        <v>78</v>
      </c>
      <c r="P13" s="116">
        <f>IF(MAX(L13:N13)&gt;0,IF(MAX(L13:N13)&lt;0,0,TRUNC(MAX(L13:N13)/1)*1),"")</f>
        <v>97</v>
      </c>
      <c r="Q13" s="117">
        <f>IF(O13="","",IF(P13="","",IF(SUM(O13:P13)=0,"",SUM(O13:P13))))</f>
        <v>175</v>
      </c>
      <c r="R13" s="118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239.56132883479955</v>
      </c>
      <c r="S13" s="119" t="str">
        <f>IF(AD13=1,R13*AG13,"")</f>
        <v/>
      </c>
      <c r="T13" s="73">
        <f>IF('K4'!G11="","",'K4'!G11)</f>
        <v>8.36</v>
      </c>
      <c r="U13" s="73">
        <f>IF('K4'!K11="","",'K4'!K11)</f>
        <v>11.18</v>
      </c>
      <c r="V13" s="73">
        <f>IF('K4'!N11="","",'K4'!N11)</f>
        <v>6.51</v>
      </c>
      <c r="W13" s="120"/>
      <c r="X13" s="121"/>
      <c r="Y13" s="134"/>
      <c r="Z13" s="75"/>
      <c r="AA13" s="123">
        <f>V5</f>
        <v>44450</v>
      </c>
      <c r="AB13" s="177" t="str">
        <f t="shared" ref="AB13" si="4">IF(ISNUMBER(FIND("M",C13)),"m",IF(ISNUMBER(FIND("K",C13)),"k"))</f>
        <v>m</v>
      </c>
      <c r="AC13" s="178">
        <f t="shared" ref="AC13" si="5">IF(OR(E13="",AA13=""),0,(YEAR(AA13)-YEAR(E13)))</f>
        <v>15</v>
      </c>
      <c r="AD13" s="179" t="str">
        <f t="shared" si="2"/>
        <v/>
      </c>
      <c r="AE13" s="180" t="b">
        <f>IF(AD13=1,LOOKUP(AC13,'Meltzer-Faber'!A3:A63,'Meltzer-Faber'!B3:B63))</f>
        <v>0</v>
      </c>
      <c r="AF13" s="180" t="b">
        <f>IF(AD13=1,LOOKUP(AC13,'Meltzer-Faber'!A3:A63,'Meltzer-Faber'!C3:C63))</f>
        <v>0</v>
      </c>
      <c r="AG13" s="180" t="b">
        <f t="shared" ref="AG13" si="6">IF(AB13="m",AE13,IF(AB13="k",AF13,""))</f>
        <v>0</v>
      </c>
    </row>
    <row r="14" spans="1:33" s="21" customFormat="1" ht="18" customHeight="1">
      <c r="A14" s="124"/>
      <c r="B14" s="125"/>
      <c r="C14" s="126"/>
      <c r="D14" s="127"/>
      <c r="E14" s="128"/>
      <c r="F14" s="260"/>
      <c r="G14" s="74"/>
      <c r="H14" s="74"/>
      <c r="I14" s="298"/>
      <c r="J14" s="289"/>
      <c r="K14" s="299"/>
      <c r="L14" s="286"/>
      <c r="M14" s="287"/>
      <c r="N14" s="288"/>
      <c r="O14" s="126"/>
      <c r="P14" s="130"/>
      <c r="Q14" s="289">
        <f>IF(R13="","",R13*1.2)</f>
        <v>287.47359460175943</v>
      </c>
      <c r="R14" s="289"/>
      <c r="S14" s="131"/>
      <c r="T14" s="132">
        <f>IF(T13="","",T13*20)</f>
        <v>167.2</v>
      </c>
      <c r="U14" s="132">
        <f>IF(U13="","",U13*13)</f>
        <v>145.34</v>
      </c>
      <c r="V14" s="78">
        <f>IF(V13="","",IF((80+(8-ROUNDUP(V13,1))*40)&lt;0,0,80+(8-ROUNDUP(V13,1))*40))</f>
        <v>136</v>
      </c>
      <c r="W14" s="78">
        <f>IF(SUM(T14,U14,V14)&gt;0,SUM(T14,U14,V14),"")</f>
        <v>448.53999999999996</v>
      </c>
      <c r="X14" s="133">
        <f>IF(OR(Q14="",T14="",U14="",V14=""),"",SUM(Q14,T14,U14,V14))</f>
        <v>736.01359460175945</v>
      </c>
      <c r="Y14" s="79">
        <v>3</v>
      </c>
      <c r="Z14" s="80"/>
      <c r="AA14" s="123"/>
    </row>
    <row r="15" spans="1:33" s="21" customFormat="1" ht="18" customHeight="1">
      <c r="A15" s="252" t="s">
        <v>93</v>
      </c>
      <c r="B15" s="224">
        <v>65.23</v>
      </c>
      <c r="C15" s="225" t="s">
        <v>128</v>
      </c>
      <c r="D15" s="253" t="s">
        <v>129</v>
      </c>
      <c r="E15" s="254">
        <v>38400</v>
      </c>
      <c r="F15" s="255"/>
      <c r="G15" s="256" t="s">
        <v>133</v>
      </c>
      <c r="H15" s="256" t="s">
        <v>94</v>
      </c>
      <c r="I15" s="258">
        <v>74</v>
      </c>
      <c r="J15" s="259">
        <v>-77</v>
      </c>
      <c r="K15" s="259">
        <v>78</v>
      </c>
      <c r="L15" s="258">
        <v>93</v>
      </c>
      <c r="M15" s="259">
        <v>97</v>
      </c>
      <c r="N15" s="259">
        <v>100</v>
      </c>
      <c r="O15" s="115">
        <f>IF(MAX(I15:K15)&gt;0,IF(MAX(I15:K15)&lt;0,0,TRUNC(MAX(I15:K15)/1)*1),"")</f>
        <v>78</v>
      </c>
      <c r="P15" s="116">
        <f>IF(MAX(L15:N15)&gt;0,IF(MAX(L15:N15)&lt;0,0,TRUNC(MAX(L15:N15)/1)*1),"")</f>
        <v>100</v>
      </c>
      <c r="Q15" s="117">
        <f>IF(O15="","",IF(P15="","",IF(SUM(O15:P15)=0,"",SUM(O15:P15))))</f>
        <v>178</v>
      </c>
      <c r="R15" s="118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245.10792657306376</v>
      </c>
      <c r="S15" s="119" t="str">
        <f>IF(AD15=1,R15*AG15,"")</f>
        <v/>
      </c>
      <c r="T15" s="73">
        <f>IF('K4'!G13="","",'K4'!G13)</f>
        <v>8.2200000000000006</v>
      </c>
      <c r="U15" s="73">
        <f>IF('K4'!K13="","",'K4'!K13)</f>
        <v>12.6</v>
      </c>
      <c r="V15" s="73">
        <f>IF('K4'!N13="","",'K4'!N13)</f>
        <v>6.32</v>
      </c>
      <c r="W15" s="120"/>
      <c r="X15" s="121"/>
      <c r="Y15" s="134"/>
      <c r="Z15" s="75"/>
      <c r="AA15" s="123">
        <f>V5</f>
        <v>44450</v>
      </c>
      <c r="AB15" s="177" t="str">
        <f t="shared" ref="AB15" si="7">IF(ISNUMBER(FIND("M",C15)),"m",IF(ISNUMBER(FIND("K",C15)),"k"))</f>
        <v>m</v>
      </c>
      <c r="AC15" s="178">
        <f t="shared" ref="AC15" si="8">IF(OR(E15="",AA15=""),0,(YEAR(AA15)-YEAR(E15)))</f>
        <v>16</v>
      </c>
      <c r="AD15" s="179" t="str">
        <f t="shared" si="2"/>
        <v/>
      </c>
      <c r="AE15" s="180" t="b">
        <f>IF(AD15=1,LOOKUP(AC15,'Meltzer-Faber'!A3:A63,'Meltzer-Faber'!B3:B63))</f>
        <v>0</v>
      </c>
      <c r="AF15" s="180" t="b">
        <f>IF(AD15=1,LOOKUP(AC15,'Meltzer-Faber'!A3:A63,'Meltzer-Faber'!C3:C63))</f>
        <v>0</v>
      </c>
      <c r="AG15" s="180" t="b">
        <f t="shared" ref="AG15" si="9">IF(AB15="m",AE15,IF(AB15="k",AF15,""))</f>
        <v>0</v>
      </c>
    </row>
    <row r="16" spans="1:33" s="21" customFormat="1" ht="18" customHeight="1">
      <c r="A16" s="124"/>
      <c r="B16" s="125"/>
      <c r="C16" s="126"/>
      <c r="D16" s="127"/>
      <c r="E16" s="128"/>
      <c r="F16" s="260"/>
      <c r="G16" s="74"/>
      <c r="H16" s="74"/>
      <c r="I16" s="298"/>
      <c r="J16" s="289"/>
      <c r="K16" s="299"/>
      <c r="L16" s="286"/>
      <c r="M16" s="287"/>
      <c r="N16" s="288"/>
      <c r="O16" s="126"/>
      <c r="P16" s="130"/>
      <c r="Q16" s="289">
        <f>IF(R15="","",R15*1.2)</f>
        <v>294.12951188767653</v>
      </c>
      <c r="R16" s="289"/>
      <c r="S16" s="131"/>
      <c r="T16" s="132">
        <f>IF(T15="","",T15*20)</f>
        <v>164.4</v>
      </c>
      <c r="U16" s="132">
        <f>IF(U15="","",U15*13)</f>
        <v>163.79999999999998</v>
      </c>
      <c r="V16" s="78">
        <f>IF(V15="","",IF((80+(8-ROUNDUP(V15,1))*40)&lt;0,0,80+(8-ROUNDUP(V15,1))*40))</f>
        <v>144.00000000000003</v>
      </c>
      <c r="W16" s="78">
        <f>IF(SUM(T16,U16,V16)&gt;0,SUM(T16,U16,V16),"")</f>
        <v>472.20000000000005</v>
      </c>
      <c r="X16" s="133">
        <f>IF(OR(Q16="",T16="",U16="",V16=""),"",SUM(Q16,T16,U16,V16))</f>
        <v>766.32951188767652</v>
      </c>
      <c r="Y16" s="79">
        <v>1</v>
      </c>
      <c r="Z16" s="80"/>
      <c r="AA16" s="123"/>
    </row>
    <row r="17" spans="1:33" s="21" customFormat="1" ht="18" customHeight="1">
      <c r="A17" s="252" t="s">
        <v>134</v>
      </c>
      <c r="B17" s="224">
        <v>60.6</v>
      </c>
      <c r="C17" s="225" t="s">
        <v>128</v>
      </c>
      <c r="D17" s="253" t="s">
        <v>129</v>
      </c>
      <c r="E17" s="254">
        <v>39076</v>
      </c>
      <c r="F17" s="255"/>
      <c r="G17" s="256" t="s">
        <v>135</v>
      </c>
      <c r="H17" s="256" t="s">
        <v>85</v>
      </c>
      <c r="I17" s="258">
        <v>48</v>
      </c>
      <c r="J17" s="259">
        <v>51</v>
      </c>
      <c r="K17" s="259">
        <v>53</v>
      </c>
      <c r="L17" s="258">
        <v>64</v>
      </c>
      <c r="M17" s="259">
        <v>68</v>
      </c>
      <c r="N17" s="259">
        <v>-71</v>
      </c>
      <c r="O17" s="115">
        <f>IF(MAX(I17:K17)&gt;0,IF(MAX(I17:K17)&lt;0,0,TRUNC(MAX(I17:K17)/1)*1),"")</f>
        <v>53</v>
      </c>
      <c r="P17" s="116">
        <f>IF(MAX(L17:N17)&gt;0,IF(MAX(L17:N17)&lt;0,0,TRUNC(MAX(L17:N17)/1)*1),"")</f>
        <v>68</v>
      </c>
      <c r="Q17" s="117">
        <f>IF(O17="","",IF(P17="","",IF(SUM(O17:P17)=0,"",SUM(O17:P17))))</f>
        <v>121</v>
      </c>
      <c r="R17" s="118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>175.04973911019437</v>
      </c>
      <c r="S17" s="119" t="str">
        <f>IF(AD17=1,R17*AG17,"")</f>
        <v/>
      </c>
      <c r="T17" s="73">
        <f>IF('K4'!G15="","",'K4'!G15)</f>
        <v>7.41</v>
      </c>
      <c r="U17" s="73">
        <f>IF('K4'!K15="","",'K4'!K15)</f>
        <v>9.32</v>
      </c>
      <c r="V17" s="73">
        <f>IF('K4'!N15="","",'K4'!N15)</f>
        <v>7.03</v>
      </c>
      <c r="W17" s="120"/>
      <c r="X17" s="121"/>
      <c r="Y17" s="134"/>
      <c r="Z17" s="75"/>
      <c r="AA17" s="123">
        <f>V5</f>
        <v>44450</v>
      </c>
      <c r="AB17" s="177" t="str">
        <f t="shared" ref="AB17" si="10">IF(ISNUMBER(FIND("M",C17)),"m",IF(ISNUMBER(FIND("K",C17)),"k"))</f>
        <v>m</v>
      </c>
      <c r="AC17" s="178">
        <f t="shared" ref="AC17" si="11">IF(OR(E17="",AA17=""),0,(YEAR(AA17)-YEAR(E17)))</f>
        <v>15</v>
      </c>
      <c r="AD17" s="179" t="str">
        <f t="shared" si="2"/>
        <v/>
      </c>
      <c r="AE17" s="180" t="b">
        <f>IF(AD17=1,LOOKUP(AC17,'Meltzer-Faber'!A3:A63,'Meltzer-Faber'!B3:B63))</f>
        <v>0</v>
      </c>
      <c r="AF17" s="180" t="b">
        <f>IF(AD17=1,LOOKUP(AC17,'Meltzer-Faber'!A3:A63,'Meltzer-Faber'!C3:C63))</f>
        <v>0</v>
      </c>
      <c r="AG17" s="180" t="b">
        <f t="shared" ref="AG17" si="12">IF(AB17="m",AE17,IF(AB17="k",AF17,""))</f>
        <v>0</v>
      </c>
    </row>
    <row r="18" spans="1:33" s="21" customFormat="1" ht="18" customHeight="1">
      <c r="A18" s="124"/>
      <c r="B18" s="125"/>
      <c r="C18" s="126"/>
      <c r="D18" s="127"/>
      <c r="E18" s="128"/>
      <c r="F18" s="260"/>
      <c r="G18" s="74"/>
      <c r="H18" s="74"/>
      <c r="I18" s="298"/>
      <c r="J18" s="289"/>
      <c r="K18" s="299"/>
      <c r="L18" s="286"/>
      <c r="M18" s="287"/>
      <c r="N18" s="288"/>
      <c r="O18" s="126"/>
      <c r="P18" s="130"/>
      <c r="Q18" s="289">
        <f>IF(R17="","",R17*1.2)</f>
        <v>210.05968693223323</v>
      </c>
      <c r="R18" s="289"/>
      <c r="S18" s="131"/>
      <c r="T18" s="132">
        <f>IF(T17="","",T17*20)</f>
        <v>148.19999999999999</v>
      </c>
      <c r="U18" s="132">
        <f>IF(U17="","",U17*13)</f>
        <v>121.16</v>
      </c>
      <c r="V18" s="78">
        <f>IF(V17="","",IF((80+(8-ROUNDUP(V17,1))*40)&lt;0,0,80+(8-ROUNDUP(V17,1))*40))</f>
        <v>116.00000000000001</v>
      </c>
      <c r="W18" s="78">
        <f>IF(SUM(T18,U18,V18)&gt;0,SUM(T18,U18,V18),"")</f>
        <v>385.36</v>
      </c>
      <c r="X18" s="133">
        <f>IF(OR(Q18="",T18="",U18="",V18=""),"",SUM(Q18,T18,U18,V18))</f>
        <v>595.41968693223316</v>
      </c>
      <c r="Y18" s="79">
        <v>12</v>
      </c>
      <c r="Z18" s="80"/>
      <c r="AA18" s="123"/>
    </row>
    <row r="19" spans="1:33" s="21" customFormat="1" ht="18" customHeight="1">
      <c r="A19" s="252" t="s">
        <v>93</v>
      </c>
      <c r="B19" s="224">
        <v>65.48</v>
      </c>
      <c r="C19" s="225" t="s">
        <v>128</v>
      </c>
      <c r="D19" s="253" t="s">
        <v>129</v>
      </c>
      <c r="E19" s="254">
        <v>38405</v>
      </c>
      <c r="F19" s="255"/>
      <c r="G19" s="256" t="s">
        <v>136</v>
      </c>
      <c r="H19" s="223" t="s">
        <v>91</v>
      </c>
      <c r="I19" s="258">
        <v>75</v>
      </c>
      <c r="J19" s="259">
        <v>77</v>
      </c>
      <c r="K19" s="259">
        <v>-80</v>
      </c>
      <c r="L19" s="258">
        <v>93</v>
      </c>
      <c r="M19" s="259">
        <v>-96</v>
      </c>
      <c r="N19" s="259">
        <v>96</v>
      </c>
      <c r="O19" s="115">
        <f>IF(MAX(I19:K19)&gt;0,IF(MAX(I19:K19)&lt;0,0,TRUNC(MAX(I19:K19)/1)*1),"")</f>
        <v>77</v>
      </c>
      <c r="P19" s="116">
        <f>IF(MAX(L19:N19)&gt;0,IF(MAX(L19:N19)&lt;0,0,TRUNC(MAX(L19:N19)/1)*1),"")</f>
        <v>96</v>
      </c>
      <c r="Q19" s="117">
        <f>IF(O19="","",IF(P19="","",IF(SUM(O19:P19)=0,"",SUM(O19:P19))))</f>
        <v>173</v>
      </c>
      <c r="R19" s="118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>237.63565107181063</v>
      </c>
      <c r="S19" s="119" t="str">
        <f>IF(AD19=1,R19*AG19,"")</f>
        <v/>
      </c>
      <c r="T19" s="73">
        <f>IF('K4'!G17="","",'K4'!G17)</f>
        <v>8.18</v>
      </c>
      <c r="U19" s="73">
        <f>IF('K4'!K17="","",'K4'!K17)</f>
        <v>13.13</v>
      </c>
      <c r="V19" s="73">
        <f>IF('K4'!N17="","",'K4'!N17)</f>
        <v>6.75</v>
      </c>
      <c r="W19" s="120"/>
      <c r="X19" s="121"/>
      <c r="Y19" s="134"/>
      <c r="Z19" s="75"/>
      <c r="AA19" s="123">
        <f>V5</f>
        <v>44450</v>
      </c>
      <c r="AB19" s="177" t="str">
        <f t="shared" ref="AB19" si="13">IF(ISNUMBER(FIND("M",C19)),"m",IF(ISNUMBER(FIND("K",C19)),"k"))</f>
        <v>m</v>
      </c>
      <c r="AC19" s="178">
        <f t="shared" ref="AC19" si="14">IF(OR(E19="",AA19=""),0,(YEAR(AA19)-YEAR(E19)))</f>
        <v>16</v>
      </c>
      <c r="AD19" s="179" t="str">
        <f t="shared" si="2"/>
        <v/>
      </c>
      <c r="AE19" s="180" t="b">
        <f>IF(AD19=1,LOOKUP(AC19,'Meltzer-Faber'!A3:A63,'Meltzer-Faber'!B3:B63))</f>
        <v>0</v>
      </c>
      <c r="AF19" s="180" t="b">
        <f>IF(AD19=1,LOOKUP(AC19,'Meltzer-Faber'!A3:A63,'Meltzer-Faber'!C3:C63))</f>
        <v>0</v>
      </c>
      <c r="AG19" s="180" t="b">
        <f t="shared" ref="AG19" si="15">IF(AB19="m",AE19,IF(AB19="k",AF19,""))</f>
        <v>0</v>
      </c>
    </row>
    <row r="20" spans="1:33" s="21" customFormat="1" ht="18" customHeight="1">
      <c r="A20" s="124"/>
      <c r="B20" s="125"/>
      <c r="C20" s="126"/>
      <c r="D20" s="127"/>
      <c r="E20" s="128"/>
      <c r="F20" s="260"/>
      <c r="G20" s="74"/>
      <c r="H20" s="74"/>
      <c r="I20" s="298"/>
      <c r="J20" s="289"/>
      <c r="K20" s="299"/>
      <c r="L20" s="286"/>
      <c r="M20" s="287"/>
      <c r="N20" s="288"/>
      <c r="O20" s="126"/>
      <c r="P20" s="130"/>
      <c r="Q20" s="289">
        <f>IF(R19="","",R19*1.2)</f>
        <v>285.16278128617273</v>
      </c>
      <c r="R20" s="289"/>
      <c r="S20" s="131"/>
      <c r="T20" s="132">
        <f>IF(T19="","",T19*20)</f>
        <v>163.6</v>
      </c>
      <c r="U20" s="132">
        <f>IF(U19="","",U19*13)</f>
        <v>170.69</v>
      </c>
      <c r="V20" s="78">
        <f>IF(V19="","",IF((80+(8-ROUNDUP(V19,1))*40)&lt;0,0,80+(8-ROUNDUP(V19,1))*40))</f>
        <v>128</v>
      </c>
      <c r="W20" s="78">
        <f>IF(SUM(T20,U20,V20)&gt;0,SUM(T20,U20,V20),"")</f>
        <v>462.28999999999996</v>
      </c>
      <c r="X20" s="133">
        <f>IF(OR(Q20="",T20="",U20="",V20=""),"",SUM(Q20,T20,U20,V20))</f>
        <v>747.45278128617269</v>
      </c>
      <c r="Y20" s="79">
        <v>2</v>
      </c>
      <c r="Z20" s="80"/>
      <c r="AA20" s="123"/>
    </row>
    <row r="21" spans="1:33" s="21" customFormat="1" ht="18" customHeight="1">
      <c r="A21" s="252" t="s">
        <v>89</v>
      </c>
      <c r="B21" s="224">
        <v>67.209999999999994</v>
      </c>
      <c r="C21" s="225" t="s">
        <v>128</v>
      </c>
      <c r="D21" s="253" t="s">
        <v>129</v>
      </c>
      <c r="E21" s="254">
        <v>38415</v>
      </c>
      <c r="F21" s="255"/>
      <c r="G21" s="256" t="s">
        <v>137</v>
      </c>
      <c r="H21" s="223" t="s">
        <v>87</v>
      </c>
      <c r="I21" s="258">
        <v>60</v>
      </c>
      <c r="J21" s="259">
        <v>65</v>
      </c>
      <c r="K21" s="259">
        <v>70</v>
      </c>
      <c r="L21" s="258">
        <v>90</v>
      </c>
      <c r="M21" s="259">
        <v>95</v>
      </c>
      <c r="N21" s="259">
        <v>-100</v>
      </c>
      <c r="O21" s="115">
        <f>IF(MAX(I21:K21)&gt;0,IF(MAX(I21:K21)&lt;0,0,TRUNC(MAX(I21:K21)/1)*1),"")</f>
        <v>70</v>
      </c>
      <c r="P21" s="116">
        <f>IF(MAX(L21:N21)&gt;0,IF(MAX(L21:N21)&lt;0,0,TRUNC(MAX(L21:N21)/1)*1),"")</f>
        <v>95</v>
      </c>
      <c r="Q21" s="117">
        <f>IF(O21="","",IF(P21="","",IF(SUM(O21:P21)=0,"",SUM(O21:P21))))</f>
        <v>165</v>
      </c>
      <c r="R21" s="118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>222.9220486754418</v>
      </c>
      <c r="S21" s="119" t="str">
        <f>IF(AD21=1,R21*AG21,"")</f>
        <v/>
      </c>
      <c r="T21" s="73">
        <f>IF('K4'!G19="","",'K4'!G19)</f>
        <v>8.48</v>
      </c>
      <c r="U21" s="73">
        <f>IF('K4'!K19="","",'K4'!K19)</f>
        <v>9.39</v>
      </c>
      <c r="V21" s="73">
        <f>IF('K4'!N19="","",'K4'!N19)</f>
        <v>6.21</v>
      </c>
      <c r="W21" s="120"/>
      <c r="X21" s="121"/>
      <c r="Y21" s="134"/>
      <c r="Z21" s="75"/>
      <c r="AA21" s="123">
        <f>V5</f>
        <v>44450</v>
      </c>
      <c r="AB21" s="177" t="str">
        <f t="shared" ref="AB21" si="16">IF(ISNUMBER(FIND("M",C21)),"m",IF(ISNUMBER(FIND("K",C21)),"k"))</f>
        <v>m</v>
      </c>
      <c r="AC21" s="178">
        <f t="shared" ref="AC21" si="17">IF(OR(E21="",AA21=""),0,(YEAR(AA21)-YEAR(E21)))</f>
        <v>16</v>
      </c>
      <c r="AD21" s="179" t="str">
        <f t="shared" si="2"/>
        <v/>
      </c>
      <c r="AE21" s="180" t="b">
        <f>IF(AD21=1,LOOKUP(AC21,'Meltzer-Faber'!A3:A63,'Meltzer-Faber'!B3:B63))</f>
        <v>0</v>
      </c>
      <c r="AF21" s="180" t="b">
        <f>IF(AD21=1,LOOKUP(AC21,'Meltzer-Faber'!A3:A63,'Meltzer-Faber'!C3:C63))</f>
        <v>0</v>
      </c>
      <c r="AG21" s="180" t="b">
        <f t="shared" ref="AG21" si="18">IF(AB21="m",AE21,IF(AB21="k",AF21,""))</f>
        <v>0</v>
      </c>
    </row>
    <row r="22" spans="1:33" s="21" customFormat="1" ht="18" customHeight="1">
      <c r="A22" s="124"/>
      <c r="B22" s="125"/>
      <c r="C22" s="126"/>
      <c r="D22" s="127"/>
      <c r="E22" s="128"/>
      <c r="F22" s="260"/>
      <c r="G22" s="74"/>
      <c r="H22" s="74"/>
      <c r="I22" s="298"/>
      <c r="J22" s="289"/>
      <c r="K22" s="299"/>
      <c r="L22" s="286"/>
      <c r="M22" s="287"/>
      <c r="N22" s="288"/>
      <c r="O22" s="126"/>
      <c r="P22" s="130"/>
      <c r="Q22" s="289">
        <f>IF(R21="","",R21*1.2)</f>
        <v>267.50645841053017</v>
      </c>
      <c r="R22" s="289"/>
      <c r="S22" s="131"/>
      <c r="T22" s="132">
        <f>IF(T21="","",T21*20)</f>
        <v>169.60000000000002</v>
      </c>
      <c r="U22" s="132">
        <f>IF(U21="","",U21*13)</f>
        <v>122.07000000000001</v>
      </c>
      <c r="V22" s="78">
        <f>IF(V21="","",IF((80+(8-ROUNDUP(V21,1))*40)&lt;0,0,80+(8-ROUNDUP(V21,1))*40))</f>
        <v>148</v>
      </c>
      <c r="W22" s="78">
        <f>IF(SUM(T22,U22,V22)&gt;0,SUM(T22,U22,V22),"")</f>
        <v>439.67</v>
      </c>
      <c r="X22" s="133">
        <f>IF(OR(Q22="",T22="",U22="",V22=""),"",SUM(Q22,T22,U22,V22))</f>
        <v>707.17645841053024</v>
      </c>
      <c r="Y22" s="79">
        <v>6</v>
      </c>
      <c r="Z22" s="80"/>
      <c r="AA22" s="123"/>
    </row>
    <row r="23" spans="1:33" s="21" customFormat="1" ht="18" customHeight="1">
      <c r="A23" s="252" t="s">
        <v>95</v>
      </c>
      <c r="B23" s="224">
        <v>78.989999999999995</v>
      </c>
      <c r="C23" s="225" t="s">
        <v>128</v>
      </c>
      <c r="D23" s="253" t="s">
        <v>129</v>
      </c>
      <c r="E23" s="254">
        <v>38870</v>
      </c>
      <c r="F23" s="255"/>
      <c r="G23" s="256" t="s">
        <v>138</v>
      </c>
      <c r="H23" s="256" t="s">
        <v>91</v>
      </c>
      <c r="I23" s="258">
        <v>69</v>
      </c>
      <c r="J23" s="259">
        <v>-72</v>
      </c>
      <c r="K23" s="259">
        <v>74</v>
      </c>
      <c r="L23" s="258">
        <v>82</v>
      </c>
      <c r="M23" s="259">
        <v>-86</v>
      </c>
      <c r="N23" s="259">
        <v>86</v>
      </c>
      <c r="O23" s="115">
        <f>IF(MAX(I23:K23)&gt;0,IF(MAX(I23:K23)&lt;0,0,TRUNC(MAX(I23:K23)/1)*1),"")</f>
        <v>74</v>
      </c>
      <c r="P23" s="116">
        <f>IF(MAX(L23:N23)&gt;0,IF(MAX(L23:N23)&lt;0,0,TRUNC(MAX(L23:N23)/1)*1),"")</f>
        <v>86</v>
      </c>
      <c r="Q23" s="117">
        <f>IF(O23="","",IF(P23="","",IF(SUM(O23:P23)=0,"",SUM(O23:P23))))</f>
        <v>160</v>
      </c>
      <c r="R23" s="118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>197.02320405492867</v>
      </c>
      <c r="S23" s="119" t="str">
        <f>IF(AD23=1,R23*AG23,"")</f>
        <v/>
      </c>
      <c r="T23" s="73">
        <f>IF('K4'!G21="","",'K4'!G21)</f>
        <v>7.98</v>
      </c>
      <c r="U23" s="73">
        <f>IF('K4'!K21="","",'K4'!K21)</f>
        <v>12.28</v>
      </c>
      <c r="V23" s="73">
        <f>IF('K4'!N21="","",'K4'!N21)</f>
        <v>7.05</v>
      </c>
      <c r="W23" s="120"/>
      <c r="X23" s="121"/>
      <c r="Y23" s="134"/>
      <c r="Z23" s="75"/>
      <c r="AA23" s="123">
        <f>V5</f>
        <v>44450</v>
      </c>
      <c r="AB23" s="177" t="str">
        <f t="shared" ref="AB23" si="19">IF(ISNUMBER(FIND("M",C23)),"m",IF(ISNUMBER(FIND("K",C23)),"k"))</f>
        <v>m</v>
      </c>
      <c r="AC23" s="178">
        <f t="shared" ref="AC23" si="20">IF(OR(E23="",AA23=""),0,(YEAR(AA23)-YEAR(E23)))</f>
        <v>15</v>
      </c>
      <c r="AD23" s="179" t="str">
        <f t="shared" si="2"/>
        <v/>
      </c>
      <c r="AE23" s="180" t="b">
        <f>IF(AD23=1,LOOKUP(AC23,'Meltzer-Faber'!A3:A63,'Meltzer-Faber'!B3:B63))</f>
        <v>0</v>
      </c>
      <c r="AF23" s="180" t="b">
        <f>IF(AD23=1,LOOKUP(AC23,'Meltzer-Faber'!A3:A63,'Meltzer-Faber'!C3:C63))</f>
        <v>0</v>
      </c>
      <c r="AG23" s="180" t="b">
        <f t="shared" ref="AG23" si="21">IF(AB23="m",AE23,IF(AB23="k",AF23,""))</f>
        <v>0</v>
      </c>
    </row>
    <row r="24" spans="1:33" s="21" customFormat="1" ht="18" customHeight="1">
      <c r="A24" s="124"/>
      <c r="B24" s="125"/>
      <c r="C24" s="126"/>
      <c r="D24" s="127"/>
      <c r="E24" s="128"/>
      <c r="F24" s="260"/>
      <c r="G24" s="74"/>
      <c r="H24" s="74"/>
      <c r="I24" s="298"/>
      <c r="J24" s="289"/>
      <c r="K24" s="299"/>
      <c r="L24" s="286"/>
      <c r="M24" s="287"/>
      <c r="N24" s="288"/>
      <c r="O24" s="126"/>
      <c r="P24" s="130"/>
      <c r="Q24" s="289">
        <f>IF(R23="","",R23*1.2)</f>
        <v>236.42784486591438</v>
      </c>
      <c r="R24" s="289"/>
      <c r="S24" s="131"/>
      <c r="T24" s="132">
        <f>IF(T23="","",T23*20)</f>
        <v>159.60000000000002</v>
      </c>
      <c r="U24" s="132">
        <f>IF(U23="","",U23*13)</f>
        <v>159.63999999999999</v>
      </c>
      <c r="V24" s="78">
        <f>IF(V23="","",IF((80+(8-ROUNDUP(V23,1))*40)&lt;0,0,80+(8-ROUNDUP(V23,1))*40))</f>
        <v>116.00000000000001</v>
      </c>
      <c r="W24" s="78">
        <f>IF(SUM(T24,U24,V24)&gt;0,SUM(T24,U24,V24),"")</f>
        <v>435.24</v>
      </c>
      <c r="X24" s="133">
        <f>IF(OR(Q24="",T24="",U24="",V24=""),"",SUM(Q24,T24,U24,V24))</f>
        <v>671.66784486591439</v>
      </c>
      <c r="Y24" s="79">
        <v>8</v>
      </c>
      <c r="Z24" s="80"/>
      <c r="AA24" s="123"/>
    </row>
    <row r="25" spans="1:33" s="21" customFormat="1" ht="18" customHeight="1">
      <c r="A25" s="252" t="s">
        <v>139</v>
      </c>
      <c r="B25" s="224">
        <v>89.16</v>
      </c>
      <c r="C25" s="225" t="s">
        <v>128</v>
      </c>
      <c r="D25" s="253" t="s">
        <v>129</v>
      </c>
      <c r="E25" s="254">
        <v>38980</v>
      </c>
      <c r="F25" s="255"/>
      <c r="G25" s="256" t="s">
        <v>140</v>
      </c>
      <c r="H25" s="256" t="s">
        <v>94</v>
      </c>
      <c r="I25" s="258">
        <v>58</v>
      </c>
      <c r="J25" s="259">
        <v>62</v>
      </c>
      <c r="K25" s="259">
        <v>64</v>
      </c>
      <c r="L25" s="258">
        <v>75</v>
      </c>
      <c r="M25" s="259">
        <v>80</v>
      </c>
      <c r="N25" s="259">
        <v>85</v>
      </c>
      <c r="O25" s="115">
        <f>IF(MAX(I25:K25)&gt;0,IF(MAX(I25:K25)&lt;0,0,TRUNC(MAX(I25:K25)/1)*1),"")</f>
        <v>64</v>
      </c>
      <c r="P25" s="116">
        <f>IF(MAX(L25:N25)&gt;0,IF(MAX(L25:N25)&lt;0,0,TRUNC(MAX(L25:N25)/1)*1),"")</f>
        <v>85</v>
      </c>
      <c r="Q25" s="117">
        <f>IF(O25="","",IF(P25="","",IF(SUM(O25:P25)=0,"",SUM(O25:P25))))</f>
        <v>149</v>
      </c>
      <c r="R25" s="118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>173.07625536567366</v>
      </c>
      <c r="S25" s="119" t="str">
        <f>IF(AD25=1,R25*AG25,"")</f>
        <v/>
      </c>
      <c r="T25" s="73">
        <f>IF('K4'!G23="","",'K4'!G23)</f>
        <v>6.18</v>
      </c>
      <c r="U25" s="73">
        <f>IF('K4'!K23="","",'K4'!K23)</f>
        <v>10.84</v>
      </c>
      <c r="V25" s="73">
        <f>IF('K4'!N23="","",'K4'!N23)</f>
        <v>7.67</v>
      </c>
      <c r="W25" s="120"/>
      <c r="X25" s="121"/>
      <c r="Y25" s="134"/>
      <c r="Z25" s="75"/>
      <c r="AA25" s="123">
        <f>V5</f>
        <v>44450</v>
      </c>
      <c r="AB25" s="177" t="str">
        <f t="shared" ref="AB25" si="22">IF(ISNUMBER(FIND("M",C25)),"m",IF(ISNUMBER(FIND("K",C25)),"k"))</f>
        <v>m</v>
      </c>
      <c r="AC25" s="178">
        <f t="shared" ref="AC25" si="23">IF(OR(E25="",AA25=""),0,(YEAR(AA25)-YEAR(E25)))</f>
        <v>15</v>
      </c>
      <c r="AD25" s="179" t="str">
        <f t="shared" si="2"/>
        <v/>
      </c>
      <c r="AE25" s="180" t="b">
        <f>IF(AD25=1,LOOKUP(AC25,'Meltzer-Faber'!A3:A63,'Meltzer-Faber'!B3:B63))</f>
        <v>0</v>
      </c>
      <c r="AF25" s="180" t="b">
        <f>IF(AD25=1,LOOKUP(AC25,'Meltzer-Faber'!A3:A63,'Meltzer-Faber'!C3:C63))</f>
        <v>0</v>
      </c>
      <c r="AG25" s="180" t="b">
        <f t="shared" ref="AG25" si="24">IF(AB25="m",AE25,IF(AB25="k",AF25,""))</f>
        <v>0</v>
      </c>
    </row>
    <row r="26" spans="1:33" s="21" customFormat="1" ht="18" customHeight="1">
      <c r="A26" s="124"/>
      <c r="B26" s="125"/>
      <c r="C26" s="126"/>
      <c r="D26" s="127"/>
      <c r="E26" s="128"/>
      <c r="F26" s="260"/>
      <c r="G26" s="74"/>
      <c r="H26" s="74"/>
      <c r="I26" s="298"/>
      <c r="J26" s="289"/>
      <c r="K26" s="299"/>
      <c r="L26" s="286"/>
      <c r="M26" s="287"/>
      <c r="N26" s="288"/>
      <c r="O26" s="126"/>
      <c r="P26" s="130"/>
      <c r="Q26" s="289">
        <f>IF(R25="","",R25*1.2)</f>
        <v>207.69150643880837</v>
      </c>
      <c r="R26" s="289"/>
      <c r="S26" s="131"/>
      <c r="T26" s="132">
        <f>IF(T25="","",T25*20)</f>
        <v>123.6</v>
      </c>
      <c r="U26" s="132">
        <f>IF(U25="","",U25*13)</f>
        <v>140.91999999999999</v>
      </c>
      <c r="V26" s="78">
        <f>IF(V25="","",IF((80+(8-ROUNDUP(V25,1))*40)&lt;0,0,80+(8-ROUNDUP(V25,1))*40))</f>
        <v>92.000000000000028</v>
      </c>
      <c r="W26" s="78">
        <f>IF(SUM(T26,U26,V26)&gt;0,SUM(T26,U26,V26),"")</f>
        <v>356.52</v>
      </c>
      <c r="X26" s="133">
        <f>IF(OR(Q26="",T26="",U26="",V26=""),"",SUM(Q26,T26,U26,V26))</f>
        <v>564.21150643880833</v>
      </c>
      <c r="Y26" s="79">
        <v>13</v>
      </c>
      <c r="Z26" s="80"/>
      <c r="AA26" s="123"/>
    </row>
    <row r="27" spans="1:33" s="21" customFormat="1" ht="18" customHeight="1">
      <c r="A27" s="252" t="s">
        <v>96</v>
      </c>
      <c r="B27" s="224">
        <v>84.45</v>
      </c>
      <c r="C27" s="225" t="s">
        <v>128</v>
      </c>
      <c r="D27" s="253" t="s">
        <v>129</v>
      </c>
      <c r="E27" s="254">
        <v>38800</v>
      </c>
      <c r="F27" s="255"/>
      <c r="G27" s="256" t="s">
        <v>141</v>
      </c>
      <c r="H27" s="256" t="s">
        <v>97</v>
      </c>
      <c r="I27" s="258">
        <v>55</v>
      </c>
      <c r="J27" s="259">
        <v>-60</v>
      </c>
      <c r="K27" s="259">
        <v>60</v>
      </c>
      <c r="L27" s="258">
        <v>63</v>
      </c>
      <c r="M27" s="259">
        <v>67</v>
      </c>
      <c r="N27" s="259">
        <v>71</v>
      </c>
      <c r="O27" s="115">
        <f>IF(MAX(I27:K27)&gt;0,IF(MAX(I27:K27)&lt;0,0,TRUNC(MAX(I27:K27)/1)*1),"")</f>
        <v>60</v>
      </c>
      <c r="P27" s="116">
        <f>IF(MAX(L27:N27)&gt;0,IF(MAX(L27:N27)&lt;0,0,TRUNC(MAX(L27:N27)/1)*1),"")</f>
        <v>71</v>
      </c>
      <c r="Q27" s="117">
        <f>IF(O27="","",IF(P27="","",IF(SUM(O27:P27)=0,"",SUM(O27:P27))))</f>
        <v>131</v>
      </c>
      <c r="R27" s="118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>156.0149707115917</v>
      </c>
      <c r="S27" s="119" t="str">
        <f>IF(AD27=1,R27*AG27,"")</f>
        <v/>
      </c>
      <c r="T27" s="73">
        <f>IF('K4'!G25="","",'K4'!G25)</f>
        <v>7.01</v>
      </c>
      <c r="U27" s="73">
        <f>IF('K4'!K25="","",'K4'!K25)</f>
        <v>7.45</v>
      </c>
      <c r="V27" s="73">
        <f>IF('K4'!N25="","",'K4'!N25)</f>
        <v>7.22</v>
      </c>
      <c r="W27" s="120"/>
      <c r="X27" s="121"/>
      <c r="Y27" s="134"/>
      <c r="Z27" s="75"/>
      <c r="AA27" s="123">
        <f>V5</f>
        <v>44450</v>
      </c>
      <c r="AB27" s="177" t="str">
        <f t="shared" ref="AB27" si="25">IF(ISNUMBER(FIND("M",C27)),"m",IF(ISNUMBER(FIND("K",C27)),"k"))</f>
        <v>m</v>
      </c>
      <c r="AC27" s="178">
        <f t="shared" ref="AC27" si="26">IF(OR(E27="",AA27=""),0,(YEAR(AA27)-YEAR(E27)))</f>
        <v>15</v>
      </c>
      <c r="AD27" s="179" t="str">
        <f t="shared" si="2"/>
        <v/>
      </c>
      <c r="AE27" s="180" t="b">
        <f>IF(AD27=1,LOOKUP(AC27,'Meltzer-Faber'!A3:A63,'Meltzer-Faber'!B3:B63))</f>
        <v>0</v>
      </c>
      <c r="AF27" s="180" t="b">
        <f>IF(AD27=1,LOOKUP(AC27,'Meltzer-Faber'!A3:A63,'Meltzer-Faber'!C3:C63))</f>
        <v>0</v>
      </c>
      <c r="AG27" s="180" t="b">
        <f t="shared" ref="AG27" si="27">IF(AB27="m",AE27,IF(AB27="k",AF27,""))</f>
        <v>0</v>
      </c>
    </row>
    <row r="28" spans="1:33" s="21" customFormat="1" ht="18" customHeight="1">
      <c r="A28" s="124"/>
      <c r="B28" s="125"/>
      <c r="C28" s="126"/>
      <c r="D28" s="127"/>
      <c r="E28" s="128"/>
      <c r="F28" s="260"/>
      <c r="G28" s="74"/>
      <c r="H28" s="74"/>
      <c r="I28" s="298"/>
      <c r="J28" s="289"/>
      <c r="K28" s="299"/>
      <c r="L28" s="286"/>
      <c r="M28" s="287"/>
      <c r="N28" s="288"/>
      <c r="O28" s="126"/>
      <c r="P28" s="130"/>
      <c r="Q28" s="289">
        <f>IF(R27="","",R27*1.2)</f>
        <v>187.21796485391005</v>
      </c>
      <c r="R28" s="289"/>
      <c r="S28" s="131"/>
      <c r="T28" s="132">
        <f>IF(T27="","",T27*20)</f>
        <v>140.19999999999999</v>
      </c>
      <c r="U28" s="132">
        <f>IF(U27="","",U27*13)</f>
        <v>96.850000000000009</v>
      </c>
      <c r="V28" s="78">
        <f>IF(V27="","",IF((80+(8-ROUNDUP(V27,1))*40)&lt;0,0,80+(8-ROUNDUP(V27,1))*40))</f>
        <v>108</v>
      </c>
      <c r="W28" s="78">
        <f>IF(SUM(T28,U28,V28)&gt;0,SUM(T28,U28,V28),"")</f>
        <v>345.05</v>
      </c>
      <c r="X28" s="133">
        <f>IF(OR(Q28="",T28="",U28="",V28=""),"",SUM(Q28,T28,U28,V28))</f>
        <v>532.26796485391003</v>
      </c>
      <c r="Y28" s="79">
        <v>14</v>
      </c>
      <c r="Z28" s="80"/>
      <c r="AA28" s="123"/>
    </row>
    <row r="29" spans="1:33" s="21" customFormat="1" ht="18" customHeight="1">
      <c r="A29" s="112"/>
      <c r="B29" s="113"/>
      <c r="C29" s="71"/>
      <c r="D29" s="114"/>
      <c r="E29" s="71"/>
      <c r="F29" s="71"/>
      <c r="G29" s="72"/>
      <c r="H29" s="72"/>
      <c r="I29" s="156"/>
      <c r="J29" s="157"/>
      <c r="K29" s="157"/>
      <c r="L29" s="157"/>
      <c r="M29" s="157"/>
      <c r="N29" s="157"/>
      <c r="O29" s="115" t="str">
        <f>IF(MAX(I29:K29)&gt;0,IF(MAX(I29:K29)&lt;0,0,TRUNC(MAX(I29:K29)/1)*1),"")</f>
        <v/>
      </c>
      <c r="P29" s="116" t="str">
        <f>IF(MAX(L29:N29)&gt;0,IF(MAX(L29:N29)&lt;0,0,TRUNC(MAX(L29:N29)/1)*1),"")</f>
        <v/>
      </c>
      <c r="Q29" s="117" t="str">
        <f>IF(O29="","",IF(P29="","",IF(SUM(O29:P29)=0,"",SUM(O29:P29))))</f>
        <v/>
      </c>
      <c r="R29" s="118" t="str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119" t="str">
        <f>IF(AD29=1,R29*AG29,"")</f>
        <v/>
      </c>
      <c r="T29" s="73" t="str">
        <f>IF('K4'!G27="","",'K4'!G27)</f>
        <v/>
      </c>
      <c r="U29" s="73" t="str">
        <f>IF('K4'!K27="","",'K4'!K27)</f>
        <v/>
      </c>
      <c r="V29" s="73" t="str">
        <f>IF('K4'!N27="","",'K4'!N27)</f>
        <v/>
      </c>
      <c r="W29" s="120"/>
      <c r="X29" s="121"/>
      <c r="Y29" s="134"/>
      <c r="Z29" s="75"/>
      <c r="AA29" s="123">
        <f>V5</f>
        <v>44450</v>
      </c>
      <c r="AB29" s="177" t="b">
        <f t="shared" ref="AB29" si="28">IF(ISNUMBER(FIND("M",C29)),"m",IF(ISNUMBER(FIND("K",C29)),"k"))</f>
        <v>0</v>
      </c>
      <c r="AC29" s="178">
        <f t="shared" ref="AC29" si="29">IF(OR(E29="",AA29=""),0,(YEAR(AA29)-YEAR(E29)))</f>
        <v>0</v>
      </c>
      <c r="AD29" s="179" t="str">
        <f t="shared" si="2"/>
        <v/>
      </c>
      <c r="AE29" s="180" t="b">
        <f>IF(AD29=1,LOOKUP(AC29,'Meltzer-Faber'!A3:A63,'Meltzer-Faber'!B3:B63))</f>
        <v>0</v>
      </c>
      <c r="AF29" s="180" t="b">
        <f>IF(AD29=1,LOOKUP(AC29,'Meltzer-Faber'!A3:A63,'Meltzer-Faber'!C3:C63))</f>
        <v>0</v>
      </c>
      <c r="AG29" s="180" t="str">
        <f t="shared" ref="AG29" si="30">IF(AB29="m",AE29,IF(AB29="k",AF29,""))</f>
        <v/>
      </c>
    </row>
    <row r="30" spans="1:33" s="21" customFormat="1" ht="18" customHeight="1">
      <c r="A30" s="124"/>
      <c r="B30" s="125"/>
      <c r="C30" s="126"/>
      <c r="D30" s="127"/>
      <c r="E30" s="128"/>
      <c r="F30" s="264"/>
      <c r="G30" s="74"/>
      <c r="H30" s="129"/>
      <c r="I30" s="286"/>
      <c r="J30" s="287"/>
      <c r="K30" s="288"/>
      <c r="L30" s="286"/>
      <c r="M30" s="287"/>
      <c r="N30" s="288"/>
      <c r="O30" s="126"/>
      <c r="P30" s="130"/>
      <c r="Q30" s="289" t="str">
        <f>IF(R29="","",R29*1.2)</f>
        <v/>
      </c>
      <c r="R30" s="289"/>
      <c r="S30" s="131"/>
      <c r="T30" s="132" t="str">
        <f>IF(T29="","",T29*20)</f>
        <v/>
      </c>
      <c r="U30" s="132" t="str">
        <f>IF(U29="","",U29*13)</f>
        <v/>
      </c>
      <c r="V30" s="78" t="str">
        <f>IF(V29="","",IF((80+(8-ROUNDUP(V29,1))*40)&lt;0,0,80+(8-ROUNDUP(V29,1))*40))</f>
        <v/>
      </c>
      <c r="W30" s="78" t="str">
        <f>IF(SUM(T30,U30,V30)&gt;0,SUM(T30,U30,V30),"")</f>
        <v/>
      </c>
      <c r="X30" s="133" t="str">
        <f>IF(OR(Q30="",T30="",U30="",V30=""),"",SUM(Q30,T30,U30,V30))</f>
        <v/>
      </c>
      <c r="Y30" s="79"/>
      <c r="Z30" s="80"/>
      <c r="AA30" s="123"/>
    </row>
    <row r="31" spans="1:33" s="21" customFormat="1" ht="18" customHeight="1">
      <c r="A31" s="112"/>
      <c r="B31" s="113"/>
      <c r="C31" s="71"/>
      <c r="D31" s="114"/>
      <c r="E31" s="71"/>
      <c r="F31" s="71"/>
      <c r="G31" s="72"/>
      <c r="H31" s="72"/>
      <c r="I31" s="156"/>
      <c r="J31" s="157"/>
      <c r="K31" s="157"/>
      <c r="L31" s="157"/>
      <c r="M31" s="157"/>
      <c r="N31" s="157"/>
      <c r="O31" s="269" t="str">
        <f>IF(MAX(I31:K31)&gt;0,IF(MAX(I31:K31)&lt;0,0,TRUNC(MAX(I31:K31)/1)*1),"")</f>
        <v/>
      </c>
      <c r="P31" s="270" t="str">
        <f>IF(MAX(L31:N31)&gt;0,IF(MAX(L31:N31)&lt;0,0,TRUNC(MAX(L31:N31)/1)*1),"")</f>
        <v/>
      </c>
      <c r="Q31" s="271" t="str">
        <f>IF(O31="","",IF(P31="","",IF(SUM(O31:P31)=0,"",SUM(O31:P31))))</f>
        <v/>
      </c>
      <c r="R31" s="27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21" t="str">
        <f>IF(AD31=1,R31*AG31,"")</f>
        <v/>
      </c>
      <c r="T31" s="73" t="str">
        <f>IF('K4'!G29="","",'K4'!G29)</f>
        <v/>
      </c>
      <c r="U31" s="73" t="str">
        <f>IF('K4'!K29="","",'K4'!K29)</f>
        <v/>
      </c>
      <c r="V31" s="73" t="str">
        <f>IF('K4'!N29="","",'K4'!N29)</f>
        <v/>
      </c>
      <c r="W31" s="120" t="s">
        <v>16</v>
      </c>
      <c r="X31" s="121"/>
      <c r="Y31" s="134"/>
      <c r="Z31" s="75"/>
      <c r="AA31" s="123">
        <f>V5</f>
        <v>44450</v>
      </c>
      <c r="AB31" s="177" t="b">
        <f t="shared" ref="AB31" si="31">IF(ISNUMBER(FIND("M",C31)),"m",IF(ISNUMBER(FIND("K",C31)),"k"))</f>
        <v>0</v>
      </c>
      <c r="AC31" s="178">
        <f t="shared" ref="AC31" si="32">IF(OR(E31="",AA31=""),0,(YEAR(AA31)-YEAR(E31)))</f>
        <v>0</v>
      </c>
      <c r="AD31" s="179" t="str">
        <f t="shared" si="2"/>
        <v/>
      </c>
      <c r="AE31" s="180" t="b">
        <f>IF(AD31=1,LOOKUP(AC31,'Meltzer-Faber'!A3:A63,'Meltzer-Faber'!B3:B63))</f>
        <v>0</v>
      </c>
      <c r="AF31" s="180" t="b">
        <f>IF(AD31=1,LOOKUP(AC31,'Meltzer-Faber'!A3:A63,'Meltzer-Faber'!C3:C63))</f>
        <v>0</v>
      </c>
      <c r="AG31" s="180" t="str">
        <f t="shared" ref="AG31" si="33">IF(AB31="m",AE31,IF(AB31="k",AF31,""))</f>
        <v/>
      </c>
    </row>
    <row r="32" spans="1:33" s="21" customFormat="1" ht="18" customHeight="1">
      <c r="A32" s="124"/>
      <c r="B32" s="125"/>
      <c r="C32" s="126"/>
      <c r="D32" s="127"/>
      <c r="E32" s="128"/>
      <c r="F32" s="264"/>
      <c r="G32" s="274"/>
      <c r="H32" s="275"/>
      <c r="I32" s="290"/>
      <c r="J32" s="291"/>
      <c r="K32" s="292"/>
      <c r="L32" s="290"/>
      <c r="M32" s="291"/>
      <c r="N32" s="292"/>
      <c r="O32" s="273"/>
      <c r="P32" s="276"/>
      <c r="Q32" s="314" t="str">
        <f>IF(R31="","",R31*1.2)</f>
        <v/>
      </c>
      <c r="R32" s="314"/>
      <c r="S32" s="277"/>
      <c r="T32" s="278" t="str">
        <f>IF(T31="","",T31*20)</f>
        <v/>
      </c>
      <c r="U32" s="278" t="str">
        <f>IF(U31="","",U31*13)</f>
        <v/>
      </c>
      <c r="V32" s="279" t="str">
        <f>IF(V31="","",IF((80+(8-ROUNDUP(V31,1))*40)&lt;0,0,80+(8-ROUNDUP(V31,1))*40))</f>
        <v/>
      </c>
      <c r="W32" s="279" t="str">
        <f>IF(SUM(T32,U32,V32)&gt;0,SUM(T32,U32,V32),"")</f>
        <v/>
      </c>
      <c r="X32" s="280" t="str">
        <f>IF(OR(Q32="",T32="",U32="",V32=""),"",SUM(Q32,T32,U32,V32))</f>
        <v/>
      </c>
      <c r="Y32" s="281"/>
      <c r="Z32" s="282"/>
      <c r="AA32" s="123"/>
    </row>
    <row r="33" spans="1:26" s="21" customFormat="1" ht="14">
      <c r="A33" s="136"/>
      <c r="B33" s="136"/>
      <c r="C33" s="136"/>
      <c r="D33" s="137"/>
      <c r="E33" s="138"/>
      <c r="F33" s="138"/>
      <c r="G33" s="139"/>
      <c r="H33" s="139"/>
      <c r="I33" s="140"/>
      <c r="J33" s="140"/>
      <c r="K33" s="140"/>
      <c r="L33" s="140"/>
      <c r="M33" s="140"/>
      <c r="N33" s="140"/>
      <c r="O33" s="136"/>
      <c r="P33" s="136"/>
      <c r="Q33" s="136"/>
      <c r="R33" s="136"/>
      <c r="S33" s="136"/>
      <c r="T33" s="140"/>
      <c r="U33" s="140"/>
      <c r="V33" s="141"/>
      <c r="W33" s="141"/>
      <c r="X33" s="142"/>
      <c r="Y33" s="143"/>
      <c r="Z33" s="181"/>
    </row>
    <row r="34" spans="1:26" s="170" customFormat="1" ht="14">
      <c r="A34" s="170" t="s">
        <v>13</v>
      </c>
      <c r="C34" s="302" t="s">
        <v>204</v>
      </c>
      <c r="D34" s="302"/>
      <c r="E34" s="302"/>
      <c r="F34" s="302"/>
      <c r="G34" s="302"/>
      <c r="H34" s="169" t="s">
        <v>14</v>
      </c>
      <c r="I34" s="145">
        <v>1</v>
      </c>
      <c r="J34" s="302" t="s">
        <v>113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s="170" customFormat="1" ht="14">
      <c r="A35"/>
      <c r="C35" s="303"/>
      <c r="D35" s="303"/>
      <c r="E35" s="303"/>
      <c r="F35" s="303"/>
      <c r="G35" s="303"/>
      <c r="H35" s="174"/>
      <c r="I35" s="145">
        <v>2</v>
      </c>
      <c r="J35" s="302" t="s">
        <v>114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s="170" customFormat="1" ht="14">
      <c r="A36" s="170" t="s">
        <v>49</v>
      </c>
      <c r="C36" s="302"/>
      <c r="D36" s="302"/>
      <c r="E36" s="302"/>
      <c r="F36" s="302"/>
      <c r="G36" s="302"/>
      <c r="H36" s="169"/>
      <c r="I36" s="170">
        <v>3</v>
      </c>
      <c r="J36" s="302" t="s">
        <v>115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s="4" customFormat="1" ht="14">
      <c r="A37"/>
      <c r="B37" s="168"/>
      <c r="C37" s="302"/>
      <c r="D37" s="302"/>
      <c r="E37" s="302"/>
      <c r="F37" s="302"/>
      <c r="G37" s="302"/>
      <c r="H37" s="169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</row>
    <row r="38" spans="1:26" s="4" customFormat="1" ht="14">
      <c r="A38"/>
      <c r="B38" s="170"/>
      <c r="C38" s="302"/>
      <c r="D38" s="302"/>
      <c r="E38" s="302"/>
      <c r="F38" s="302"/>
      <c r="G38" s="302"/>
      <c r="H38" s="147" t="s">
        <v>50</v>
      </c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spans="1:26" s="4" customFormat="1" ht="14">
      <c r="A39" s="1"/>
      <c r="B39" s="1"/>
      <c r="C39" s="146"/>
      <c r="D39" s="3"/>
      <c r="E39" s="3"/>
      <c r="F39" s="3"/>
      <c r="H39" s="147" t="s">
        <v>51</v>
      </c>
      <c r="I39" s="313" t="s">
        <v>116</v>
      </c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313"/>
    </row>
    <row r="40" spans="1:26" s="4" customFormat="1" ht="14">
      <c r="A40" s="170" t="s">
        <v>15</v>
      </c>
      <c r="B40" s="170"/>
      <c r="C40" s="302" t="s">
        <v>101</v>
      </c>
      <c r="D40" s="302"/>
      <c r="E40" s="302"/>
      <c r="F40" s="302"/>
      <c r="G40" s="302"/>
      <c r="H40" s="147" t="s">
        <v>52</v>
      </c>
      <c r="I40" s="315" t="s">
        <v>211</v>
      </c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spans="1:26" s="4" customFormat="1" ht="14">
      <c r="A41" s="1"/>
      <c r="B41" s="1"/>
      <c r="C41" s="302" t="s">
        <v>106</v>
      </c>
      <c r="D41" s="302"/>
      <c r="E41" s="302"/>
      <c r="F41" s="302"/>
      <c r="G41" s="302"/>
      <c r="H41" s="169"/>
      <c r="I41" s="147"/>
      <c r="J41" s="170"/>
      <c r="K41" s="148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4">
      <c r="A42" s="170" t="s">
        <v>53</v>
      </c>
      <c r="B42" s="170"/>
      <c r="C42" s="302" t="s">
        <v>100</v>
      </c>
      <c r="D42" s="302"/>
      <c r="E42" s="302"/>
      <c r="F42" s="302"/>
      <c r="G42" s="302"/>
      <c r="H42" s="147" t="s">
        <v>18</v>
      </c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spans="1:26" s="4" customFormat="1" ht="14">
      <c r="A43" s="1"/>
      <c r="B43" s="1"/>
      <c r="C43" s="302"/>
      <c r="D43" s="302"/>
      <c r="E43" s="302"/>
      <c r="F43" s="302"/>
      <c r="G43" s="302"/>
      <c r="H43" s="169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spans="1:26" s="4" customFormat="1">
      <c r="A44" s="149" t="s">
        <v>17</v>
      </c>
      <c r="B44" s="150" t="s">
        <v>63</v>
      </c>
      <c r="C44" s="150"/>
      <c r="D44" s="151"/>
      <c r="E44" s="151"/>
      <c r="F44" s="151"/>
      <c r="G44" s="152"/>
      <c r="H44" s="152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</row>
    <row r="45" spans="1:26" s="4" customFormat="1">
      <c r="A45" s="1"/>
      <c r="B45" s="1"/>
      <c r="C45" s="150"/>
      <c r="D45" s="3"/>
      <c r="E45" s="3"/>
      <c r="F45" s="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</row>
    <row r="46" spans="1:26" s="4" customFormat="1">
      <c r="A46" s="1"/>
      <c r="B46" s="1"/>
      <c r="C46" s="2"/>
      <c r="D46" s="3"/>
      <c r="E46" s="3"/>
      <c r="F46" s="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</row>
    <row r="47" spans="1:26">
      <c r="K47" s="153"/>
    </row>
    <row r="48" spans="1:26">
      <c r="K48" s="1"/>
    </row>
    <row r="49" spans="11:11">
      <c r="K49" s="1"/>
    </row>
    <row r="50" spans="11:11">
      <c r="K50" s="1"/>
    </row>
  </sheetData>
  <mergeCells count="70">
    <mergeCell ref="C43:G43"/>
    <mergeCell ref="I43:Z43"/>
    <mergeCell ref="I44:Z44"/>
    <mergeCell ref="I45:Z45"/>
    <mergeCell ref="I46:Z46"/>
    <mergeCell ref="C40:G40"/>
    <mergeCell ref="I40:Z40"/>
    <mergeCell ref="C41:G41"/>
    <mergeCell ref="C42:G42"/>
    <mergeCell ref="I42:Z42"/>
    <mergeCell ref="C37:G37"/>
    <mergeCell ref="C38:G38"/>
    <mergeCell ref="I38:Z38"/>
    <mergeCell ref="J37:Z37"/>
    <mergeCell ref="I39:Z39"/>
    <mergeCell ref="C36:G36"/>
    <mergeCell ref="J36:Z36"/>
    <mergeCell ref="I26:K26"/>
    <mergeCell ref="L26:N26"/>
    <mergeCell ref="Q26:R26"/>
    <mergeCell ref="C35:G35"/>
    <mergeCell ref="J35:Z35"/>
    <mergeCell ref="I28:K28"/>
    <mergeCell ref="L28:N28"/>
    <mergeCell ref="Q28:R28"/>
    <mergeCell ref="I30:K30"/>
    <mergeCell ref="L30:N30"/>
    <mergeCell ref="Q30:R30"/>
    <mergeCell ref="I32:K32"/>
    <mergeCell ref="L32:N32"/>
    <mergeCell ref="Q32:R32"/>
    <mergeCell ref="C34:G34"/>
    <mergeCell ref="J34:Z34"/>
    <mergeCell ref="I22:K22"/>
    <mergeCell ref="L22:N22"/>
    <mergeCell ref="Q22:R22"/>
    <mergeCell ref="I24:K24"/>
    <mergeCell ref="L24:N24"/>
    <mergeCell ref="Q24:R24"/>
    <mergeCell ref="I18:K18"/>
    <mergeCell ref="L18:N18"/>
    <mergeCell ref="Q18:R18"/>
    <mergeCell ref="I20:K20"/>
    <mergeCell ref="L20:N20"/>
    <mergeCell ref="Q20:R20"/>
    <mergeCell ref="Q12:R12"/>
    <mergeCell ref="I14:K14"/>
    <mergeCell ref="L14:N14"/>
    <mergeCell ref="Q14:R14"/>
    <mergeCell ref="I16:K16"/>
    <mergeCell ref="L16:N16"/>
    <mergeCell ref="Q16:R16"/>
    <mergeCell ref="I12:K12"/>
    <mergeCell ref="L12:N12"/>
    <mergeCell ref="G2:R2"/>
    <mergeCell ref="G3:R3"/>
    <mergeCell ref="I7:K7"/>
    <mergeCell ref="L7:N7"/>
    <mergeCell ref="O7:R7"/>
    <mergeCell ref="S3:Z3"/>
    <mergeCell ref="A5:B5"/>
    <mergeCell ref="C5:G5"/>
    <mergeCell ref="I5:N5"/>
    <mergeCell ref="P5:T5"/>
    <mergeCell ref="V5:W5"/>
    <mergeCell ref="I10:K10"/>
    <mergeCell ref="L10:N10"/>
    <mergeCell ref="Q10:R10"/>
    <mergeCell ref="I8:K8"/>
    <mergeCell ref="L8:N8"/>
  </mergeCells>
  <conditionalFormatting sqref="I29:N29">
    <cfRule type="cellIs" dxfId="147" priority="47" stopIfTrue="1" operator="between">
      <formula>1</formula>
      <formula>300</formula>
    </cfRule>
    <cfRule type="cellIs" dxfId="146" priority="48" stopIfTrue="1" operator="lessThanOrEqual">
      <formula>0</formula>
    </cfRule>
  </conditionalFormatting>
  <conditionalFormatting sqref="I31:N31">
    <cfRule type="cellIs" dxfId="145" priority="45" stopIfTrue="1" operator="between">
      <formula>1</formula>
      <formula>300</formula>
    </cfRule>
    <cfRule type="cellIs" dxfId="144" priority="46" stopIfTrue="1" operator="lessThanOrEqual">
      <formula>0</formula>
    </cfRule>
  </conditionalFormatting>
  <conditionalFormatting sqref="I11:N11">
    <cfRule type="cellIs" dxfId="143" priority="19" stopIfTrue="1" operator="between">
      <formula>1</formula>
      <formula>300</formula>
    </cfRule>
    <cfRule type="cellIs" dxfId="142" priority="20" stopIfTrue="1" operator="lessThanOrEqual">
      <formula>0</formula>
    </cfRule>
  </conditionalFormatting>
  <conditionalFormatting sqref="I13:N13">
    <cfRule type="cellIs" dxfId="141" priority="17" stopIfTrue="1" operator="between">
      <formula>1</formula>
      <formula>300</formula>
    </cfRule>
    <cfRule type="cellIs" dxfId="140" priority="18" stopIfTrue="1" operator="lessThanOrEqual">
      <formula>0</formula>
    </cfRule>
  </conditionalFormatting>
  <conditionalFormatting sqref="I19:N19">
    <cfRule type="cellIs" dxfId="139" priority="15" stopIfTrue="1" operator="between">
      <formula>1</formula>
      <formula>300</formula>
    </cfRule>
    <cfRule type="cellIs" dxfId="138" priority="16" stopIfTrue="1" operator="lessThanOrEqual">
      <formula>0</formula>
    </cfRule>
  </conditionalFormatting>
  <conditionalFormatting sqref="I15:N15">
    <cfRule type="cellIs" dxfId="137" priority="13" stopIfTrue="1" operator="between">
      <formula>1</formula>
      <formula>300</formula>
    </cfRule>
    <cfRule type="cellIs" dxfId="136" priority="14" stopIfTrue="1" operator="lessThanOrEqual">
      <formula>0</formula>
    </cfRule>
  </conditionalFormatting>
  <conditionalFormatting sqref="I17:N17">
    <cfRule type="cellIs" dxfId="135" priority="11" stopIfTrue="1" operator="between">
      <formula>1</formula>
      <formula>300</formula>
    </cfRule>
    <cfRule type="cellIs" dxfId="134" priority="12" stopIfTrue="1" operator="lessThanOrEqual">
      <formula>0</formula>
    </cfRule>
  </conditionalFormatting>
  <conditionalFormatting sqref="I27:N27">
    <cfRule type="cellIs" dxfId="133" priority="9" stopIfTrue="1" operator="between">
      <formula>1</formula>
      <formula>300</formula>
    </cfRule>
    <cfRule type="cellIs" dxfId="132" priority="10" stopIfTrue="1" operator="lessThanOrEqual">
      <formula>0</formula>
    </cfRule>
  </conditionalFormatting>
  <conditionalFormatting sqref="I21:N21">
    <cfRule type="cellIs" dxfId="131" priority="7" stopIfTrue="1" operator="between">
      <formula>1</formula>
      <formula>300</formula>
    </cfRule>
    <cfRule type="cellIs" dxfId="130" priority="8" stopIfTrue="1" operator="lessThanOrEqual">
      <formula>0</formula>
    </cfRule>
  </conditionalFormatting>
  <conditionalFormatting sqref="I23:N23">
    <cfRule type="cellIs" dxfId="129" priority="5" stopIfTrue="1" operator="between">
      <formula>1</formula>
      <formula>300</formula>
    </cfRule>
    <cfRule type="cellIs" dxfId="128" priority="6" stopIfTrue="1" operator="lessThanOrEqual">
      <formula>0</formula>
    </cfRule>
  </conditionalFormatting>
  <conditionalFormatting sqref="I9:N9">
    <cfRule type="cellIs" dxfId="127" priority="3" stopIfTrue="1" operator="between">
      <formula>1</formula>
      <formula>300</formula>
    </cfRule>
    <cfRule type="cellIs" dxfId="126" priority="4" stopIfTrue="1" operator="lessThanOrEqual">
      <formula>0</formula>
    </cfRule>
  </conditionalFormatting>
  <conditionalFormatting sqref="I25:N25">
    <cfRule type="cellIs" dxfId="125" priority="1" stopIfTrue="1" operator="between">
      <formula>1</formula>
      <formula>300</formula>
    </cfRule>
    <cfRule type="cellIs" dxfId="124" priority="2" stopIfTrue="1" operator="lessThanOrEqual">
      <formula>0</formula>
    </cfRule>
  </conditionalFormatting>
  <dataValidations count="3">
    <dataValidation type="list" allowBlank="1" showInputMessage="1" showErrorMessage="1" errorTitle="Feil_i_kat.v.løft" error="Feil verdi i kategori vektløfting" sqref="C9 C29 C27 C19 C13 C17 C25 C21 C23 C11 C15 C31" xr:uid="{D8BD225F-0388-4040-8A8A-0D7FB39A3CC0}">
      <formula1>"UM,JM,SM,UK,JK,SK,M1,M2,M3,M4,M5,M6,M7,M8,M9,M10,K1,K2,K3,K4,K5,K6,K7,K8,K9,K10"</formula1>
    </dataValidation>
    <dataValidation type="list" allowBlank="1" showInputMessage="1" showErrorMessage="1" errorTitle="Feil_i_vektklasse" error="Feil verddi i vektklasse" sqref="A9 A11 A25 A15 A17 A19 A29 A23 A21 A27 A31 A13" xr:uid="{7C34A5E3-DFAB-6A4B-9EC2-2A749FF68D15}">
      <formula1>"40,45,49,55,59,64,71,76,81,+81,81+,87,+87,87+,49,55,61,67,73,81,89,96,102,+102,102+,109,+109,109+"</formula1>
    </dataValidation>
    <dataValidation type="list" allowBlank="1" showInputMessage="1" showErrorMessage="1" errorTitle="Feil_i_kat. 5-kamp" error="Feil verdi i kategori 5-kamp" sqref="D9 D29 D11 D13 D15 D17 D19 D21 D23 D25 D27 D31" xr:uid="{F4CCC57F-7513-914C-BA9F-A17FE79C3CCC}">
      <formula1>"13-14,15-16,17-18,19-23,24-34,+35,35+"</formula1>
    </dataValidation>
  </dataValidations>
  <pageMargins left="0.27559055118110198" right="0.27559055118110198" top="0.27559055118110198" bottom="0.27559055118110198" header="0.511811023622047" footer="0.511811023622047"/>
  <pageSetup paperSize="9" scale="60" orientation="landscape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3D65-A77A-604D-A1FB-E306DD9EA150}">
  <sheetPr>
    <pageSetUpPr fitToPage="1"/>
  </sheetPr>
  <dimension ref="A1:AG50"/>
  <sheetViews>
    <sheetView showGridLines="0" showRowColHeaders="0" showZeros="0" topLeftCell="A8" zoomScaleNormal="100" workbookViewId="0">
      <selection activeCell="I40" sqref="I40:Z40"/>
    </sheetView>
  </sheetViews>
  <sheetFormatPr baseColWidth="10" defaultColWidth="9.1640625" defaultRowHeight="13"/>
  <cols>
    <col min="1" max="1" width="7" style="7" customWidth="1"/>
    <col min="2" max="2" width="8" style="7" customWidth="1"/>
    <col min="3" max="3" width="5.83203125" style="7" customWidth="1"/>
    <col min="4" max="4" width="7.6640625" style="7" customWidth="1"/>
    <col min="5" max="5" width="10.6640625" style="7" customWidth="1"/>
    <col min="6" max="6" width="4.33203125" style="7" customWidth="1"/>
    <col min="7" max="7" width="27.83203125" customWidth="1"/>
    <col min="8" max="8" width="20.6640625" customWidth="1"/>
    <col min="9" max="17" width="6.83203125" style="7" customWidth="1"/>
    <col min="18" max="21" width="8" style="7" customWidth="1"/>
    <col min="22" max="22" width="9" style="7" customWidth="1"/>
    <col min="23" max="24" width="8" style="7" customWidth="1"/>
    <col min="25" max="25" width="4.6640625" style="7" customWidth="1"/>
    <col min="26" max="26" width="5" style="7" customWidth="1"/>
    <col min="27" max="27" width="9.33203125" hidden="1" customWidth="1"/>
    <col min="28" max="33" width="0" hidden="1" customWidth="1"/>
  </cols>
  <sheetData>
    <row r="1" spans="1:33" ht="13" customHeight="1">
      <c r="H1" s="7"/>
      <c r="Z1"/>
    </row>
    <row r="2" spans="1:33" ht="72.75" customHeight="1">
      <c r="G2" s="293" t="s">
        <v>54</v>
      </c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U2" s="87" t="s">
        <v>59</v>
      </c>
      <c r="Z2"/>
    </row>
    <row r="3" spans="1:33" ht="29">
      <c r="E3" s="88"/>
      <c r="G3" s="294" t="s">
        <v>22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304" t="s">
        <v>60</v>
      </c>
      <c r="T3" s="304"/>
      <c r="U3" s="304"/>
      <c r="V3" s="304"/>
      <c r="W3" s="304"/>
      <c r="X3" s="304"/>
      <c r="Y3" s="304"/>
      <c r="Z3" s="304"/>
    </row>
    <row r="4" spans="1:33">
      <c r="H4" s="7"/>
      <c r="Z4"/>
    </row>
    <row r="5" spans="1:33" ht="15" customHeight="1">
      <c r="A5" s="300" t="s">
        <v>21</v>
      </c>
      <c r="B5" s="300"/>
      <c r="C5" s="301" t="s">
        <v>127</v>
      </c>
      <c r="D5" s="301"/>
      <c r="E5" s="301"/>
      <c r="F5" s="301"/>
      <c r="G5" s="301"/>
      <c r="H5" s="175" t="s">
        <v>0</v>
      </c>
      <c r="I5" s="305" t="s">
        <v>94</v>
      </c>
      <c r="J5" s="305"/>
      <c r="K5" s="305"/>
      <c r="L5" s="305"/>
      <c r="M5" s="305"/>
      <c r="N5" s="305"/>
      <c r="O5" s="175" t="s">
        <v>1</v>
      </c>
      <c r="P5" s="306" t="s">
        <v>117</v>
      </c>
      <c r="Q5" s="306"/>
      <c r="R5" s="306"/>
      <c r="S5" s="306"/>
      <c r="T5" s="306"/>
      <c r="U5" s="90" t="s">
        <v>2</v>
      </c>
      <c r="V5" s="307">
        <v>44450</v>
      </c>
      <c r="W5" s="307"/>
      <c r="X5" s="91" t="s">
        <v>20</v>
      </c>
      <c r="Y5" s="92">
        <v>5</v>
      </c>
      <c r="Z5"/>
    </row>
    <row r="6" spans="1:33" ht="13.75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3"/>
      <c r="X6" s="9"/>
      <c r="Y6" s="9"/>
      <c r="Z6"/>
      <c r="AB6" s="4"/>
      <c r="AC6" s="4"/>
      <c r="AD6" s="4"/>
      <c r="AE6" s="187" t="s">
        <v>67</v>
      </c>
      <c r="AF6" s="187" t="s">
        <v>67</v>
      </c>
      <c r="AG6" s="187" t="s">
        <v>67</v>
      </c>
    </row>
    <row r="7" spans="1:33" s="21" customFormat="1" ht="15" customHeight="1">
      <c r="A7" s="94" t="s">
        <v>3</v>
      </c>
      <c r="B7" s="173" t="s">
        <v>4</v>
      </c>
      <c r="C7" s="172" t="s">
        <v>23</v>
      </c>
      <c r="D7" s="97" t="s">
        <v>23</v>
      </c>
      <c r="E7" s="171" t="s">
        <v>5</v>
      </c>
      <c r="F7" s="171" t="s">
        <v>24</v>
      </c>
      <c r="G7" s="171" t="s">
        <v>6</v>
      </c>
      <c r="H7" s="171" t="s">
        <v>7</v>
      </c>
      <c r="I7" s="308" t="s">
        <v>8</v>
      </c>
      <c r="J7" s="309"/>
      <c r="K7" s="310"/>
      <c r="L7" s="308" t="s">
        <v>9</v>
      </c>
      <c r="M7" s="309"/>
      <c r="N7" s="310"/>
      <c r="O7" s="311" t="s">
        <v>25</v>
      </c>
      <c r="P7" s="312"/>
      <c r="Q7" s="312"/>
      <c r="R7" s="312"/>
      <c r="S7" s="99" t="s">
        <v>10</v>
      </c>
      <c r="T7" s="100" t="s">
        <v>61</v>
      </c>
      <c r="U7" s="100" t="s">
        <v>27</v>
      </c>
      <c r="V7" s="100" t="s">
        <v>28</v>
      </c>
      <c r="W7" s="171" t="s">
        <v>56</v>
      </c>
      <c r="X7" s="101" t="s">
        <v>29</v>
      </c>
      <c r="Y7" s="101" t="s">
        <v>30</v>
      </c>
      <c r="Z7" s="11" t="s">
        <v>31</v>
      </c>
      <c r="AB7" s="1"/>
      <c r="AC7" s="1"/>
      <c r="AD7" s="1"/>
      <c r="AE7" s="188" t="s">
        <v>68</v>
      </c>
      <c r="AF7" s="188" t="s">
        <v>68</v>
      </c>
      <c r="AG7" s="188" t="s">
        <v>68</v>
      </c>
    </row>
    <row r="8" spans="1:33" s="21" customFormat="1" ht="15" customHeight="1" thickBot="1">
      <c r="A8" s="102" t="s">
        <v>11</v>
      </c>
      <c r="B8" s="103" t="s">
        <v>12</v>
      </c>
      <c r="C8" s="104" t="s">
        <v>32</v>
      </c>
      <c r="D8" s="105" t="s">
        <v>29</v>
      </c>
      <c r="E8" s="106" t="s">
        <v>19</v>
      </c>
      <c r="F8" s="106" t="s">
        <v>62</v>
      </c>
      <c r="G8" s="176"/>
      <c r="H8" s="176"/>
      <c r="I8" s="295" t="s">
        <v>34</v>
      </c>
      <c r="J8" s="296"/>
      <c r="K8" s="297"/>
      <c r="L8" s="295" t="s">
        <v>34</v>
      </c>
      <c r="M8" s="296"/>
      <c r="N8" s="297"/>
      <c r="O8" s="108" t="s">
        <v>8</v>
      </c>
      <c r="P8" s="103" t="s">
        <v>9</v>
      </c>
      <c r="Q8" s="109" t="s">
        <v>35</v>
      </c>
      <c r="R8" s="104" t="s">
        <v>10</v>
      </c>
      <c r="S8" s="108" t="s">
        <v>55</v>
      </c>
      <c r="T8" s="110" t="s">
        <v>10</v>
      </c>
      <c r="U8" s="110" t="s">
        <v>10</v>
      </c>
      <c r="V8" s="110" t="s">
        <v>10</v>
      </c>
      <c r="W8" s="106" t="s">
        <v>57</v>
      </c>
      <c r="X8" s="111" t="s">
        <v>36</v>
      </c>
      <c r="Y8" s="111"/>
      <c r="Z8" s="12"/>
      <c r="AB8" s="1" t="s">
        <v>69</v>
      </c>
      <c r="AC8" s="1" t="s">
        <v>58</v>
      </c>
      <c r="AD8" s="3" t="s">
        <v>55</v>
      </c>
      <c r="AE8" s="188" t="s">
        <v>70</v>
      </c>
      <c r="AF8" s="188" t="s">
        <v>71</v>
      </c>
      <c r="AG8" s="188" t="s">
        <v>72</v>
      </c>
    </row>
    <row r="9" spans="1:33" s="21" customFormat="1" ht="18" customHeight="1">
      <c r="A9" s="252" t="s">
        <v>171</v>
      </c>
      <c r="B9" s="224">
        <v>63.81</v>
      </c>
      <c r="C9" s="225" t="s">
        <v>169</v>
      </c>
      <c r="D9" s="253" t="s">
        <v>147</v>
      </c>
      <c r="E9" s="254">
        <v>37315</v>
      </c>
      <c r="F9" s="255"/>
      <c r="G9" s="256" t="s">
        <v>198</v>
      </c>
      <c r="H9" s="223" t="s">
        <v>98</v>
      </c>
      <c r="I9" s="258">
        <v>70</v>
      </c>
      <c r="J9" s="259">
        <v>75</v>
      </c>
      <c r="K9" s="259">
        <v>-80</v>
      </c>
      <c r="L9" s="258">
        <v>94</v>
      </c>
      <c r="M9" s="259">
        <v>98</v>
      </c>
      <c r="N9" s="259">
        <v>101</v>
      </c>
      <c r="O9" s="115">
        <f>IF(MAX(I9:K9)&gt;0,IF(MAX(I9:K9)&lt;0,0,TRUNC(MAX(I9:K9)/1)*1),"")</f>
        <v>75</v>
      </c>
      <c r="P9" s="116">
        <f>IF(MAX(L9:N9)&gt;0,IF(MAX(L9:N9)&lt;0,0,TRUNC(MAX(L9:N9)/1)*1),"")</f>
        <v>101</v>
      </c>
      <c r="Q9" s="117">
        <f>IF(O9="","",IF(P9="","",IF(SUM(O9:P9)=0,"",SUM(O9:P9))))</f>
        <v>176</v>
      </c>
      <c r="R9" s="118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228.89647159688428</v>
      </c>
      <c r="S9" s="119" t="str">
        <f>IF(AD9=1,R9*AG9,"")</f>
        <v/>
      </c>
      <c r="T9" s="73">
        <f>IF('K5'!G7="","",'K5'!G7)</f>
        <v>8.02</v>
      </c>
      <c r="U9" s="73">
        <f>IF('K5'!K7="","",'K5'!K7)</f>
        <v>11.93</v>
      </c>
      <c r="V9" s="73">
        <f>IF('K5'!N7="","",'K5'!N7)</f>
        <v>6.61</v>
      </c>
      <c r="W9" s="120"/>
      <c r="X9" s="121"/>
      <c r="Y9" s="122"/>
      <c r="Z9" s="77" t="s">
        <v>208</v>
      </c>
      <c r="AA9" s="123">
        <f>V5</f>
        <v>44450</v>
      </c>
      <c r="AB9" s="177" t="str">
        <f>IF(ISNUMBER(FIND("M",C9)),"m",IF(ISNUMBER(FIND("K",C9)),"k"))</f>
        <v>k</v>
      </c>
      <c r="AC9" s="178">
        <f>IF(OR(E9="",AA9=""),0,(YEAR(AA9)-YEAR(E9)))</f>
        <v>19</v>
      </c>
      <c r="AD9" s="179" t="str">
        <f>IF(AC9&gt;34,1,"")</f>
        <v/>
      </c>
      <c r="AE9" s="180" t="b">
        <f>IF(AD9=1,LOOKUP(AC9,'Meltzer-Faber'!A3:A63,'Meltzer-Faber'!B3:B63))</f>
        <v>0</v>
      </c>
      <c r="AF9" s="180" t="b">
        <f>IF(AD9=1,LOOKUP(AC9,'Meltzer-Faber'!A3:A63,'Meltzer-Faber'!C3:C63))</f>
        <v>0</v>
      </c>
      <c r="AG9" s="180" t="b">
        <f>IF(AB9="m",AE9,IF(AB9="k",AF9,""))</f>
        <v>0</v>
      </c>
    </row>
    <row r="10" spans="1:33" s="21" customFormat="1" ht="18" customHeight="1">
      <c r="A10" s="124"/>
      <c r="B10" s="125"/>
      <c r="C10" s="126"/>
      <c r="D10" s="127"/>
      <c r="E10" s="128"/>
      <c r="F10" s="260"/>
      <c r="G10" s="74"/>
      <c r="H10" s="74"/>
      <c r="I10" s="298"/>
      <c r="J10" s="289"/>
      <c r="K10" s="299"/>
      <c r="L10" s="286"/>
      <c r="M10" s="287"/>
      <c r="N10" s="288"/>
      <c r="O10" s="126"/>
      <c r="P10" s="130"/>
      <c r="Q10" s="289">
        <f>IF(R9="","",R9*1.2)</f>
        <v>274.67576591626113</v>
      </c>
      <c r="R10" s="289"/>
      <c r="S10" s="131"/>
      <c r="T10" s="132">
        <f>IF(T9="","",T9*20)</f>
        <v>160.39999999999998</v>
      </c>
      <c r="U10" s="132">
        <f>IF(U9="","",U9*13)</f>
        <v>155.09</v>
      </c>
      <c r="V10" s="78">
        <f>IF(V9="","",IF((80+(8-ROUNDUP(V9,1))*40)&lt;0,0,80+(8-ROUNDUP(V9,1))*40))</f>
        <v>132.00000000000003</v>
      </c>
      <c r="W10" s="78">
        <f>IF(SUM(T10,U10,V10)&gt;0,SUM(T10,U10,V10),"")</f>
        <v>447.49</v>
      </c>
      <c r="X10" s="133">
        <f>IF(OR(Q10="",T10="",U10="",V10=""),"",SUM(Q10,T10,U10,V10))</f>
        <v>722.16576591626108</v>
      </c>
      <c r="Y10" s="79">
        <v>1</v>
      </c>
      <c r="Z10" s="80"/>
      <c r="AA10" s="123"/>
      <c r="AB10" s="177"/>
      <c r="AC10" s="178"/>
      <c r="AD10" s="179"/>
      <c r="AE10" s="180"/>
      <c r="AF10" s="180"/>
      <c r="AG10" s="180"/>
    </row>
    <row r="11" spans="1:33" s="21" customFormat="1" ht="18" customHeight="1">
      <c r="A11" s="252" t="s">
        <v>165</v>
      </c>
      <c r="B11" s="224">
        <v>64.739999999999995</v>
      </c>
      <c r="C11" s="225" t="s">
        <v>169</v>
      </c>
      <c r="D11" s="253" t="s">
        <v>147</v>
      </c>
      <c r="E11" s="254">
        <v>37362</v>
      </c>
      <c r="F11" s="255"/>
      <c r="G11" s="256" t="s">
        <v>199</v>
      </c>
      <c r="H11" s="223" t="s">
        <v>98</v>
      </c>
      <c r="I11" s="258">
        <v>35</v>
      </c>
      <c r="J11" s="259">
        <v>40</v>
      </c>
      <c r="K11" s="259">
        <v>-44</v>
      </c>
      <c r="L11" s="258">
        <v>45</v>
      </c>
      <c r="M11" s="259">
        <v>50</v>
      </c>
      <c r="N11" s="259">
        <v>54</v>
      </c>
      <c r="O11" s="115">
        <f>IF(MAX(I11:K11)&gt;0,IF(MAX(I11:K11)&lt;0,0,TRUNC(MAX(I11:K11)/1)*1),"")</f>
        <v>40</v>
      </c>
      <c r="P11" s="116">
        <f>IF(MAX(L11:N11)&gt;0,IF(MAX(L11:N11)&lt;0,0,TRUNC(MAX(L11:N11)/1)*1),"")</f>
        <v>54</v>
      </c>
      <c r="Q11" s="117">
        <f>IF(O11="","",IF(P11="","",IF(SUM(O11:P11)=0,"",SUM(O11:P11))))</f>
        <v>94</v>
      </c>
      <c r="R11" s="118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121.20682299749885</v>
      </c>
      <c r="S11" s="119" t="str">
        <f>IF(AD11=1,R11*AG11,"")</f>
        <v/>
      </c>
      <c r="T11" s="73">
        <f>IF('K5'!G9="","",'K5'!G9)</f>
        <v>6.95</v>
      </c>
      <c r="U11" s="73">
        <f>IF('K5'!K9="","",'K5'!K9)</f>
        <v>12.84</v>
      </c>
      <c r="V11" s="73">
        <f>IF('K5'!N9="","",'K5'!N9)</f>
        <v>7.32</v>
      </c>
      <c r="W11" s="120"/>
      <c r="X11" s="121"/>
      <c r="Y11" s="134"/>
      <c r="Z11" s="75"/>
      <c r="AA11" s="123">
        <f>V5</f>
        <v>44450</v>
      </c>
      <c r="AB11" s="177" t="str">
        <f t="shared" ref="AB11" si="0">IF(ISNUMBER(FIND("M",C11)),"m",IF(ISNUMBER(FIND("K",C11)),"k"))</f>
        <v>k</v>
      </c>
      <c r="AC11" s="178">
        <f t="shared" ref="AC11" si="1">IF(OR(E11="",AA11=""),0,(YEAR(AA11)-YEAR(E11)))</f>
        <v>19</v>
      </c>
      <c r="AD11" s="179" t="str">
        <f t="shared" ref="AD11:AD31" si="2">IF(AC11&gt;34,1,"")</f>
        <v/>
      </c>
      <c r="AE11" s="180" t="b">
        <f>IF(AD11=1,LOOKUP(AC11,'Meltzer-Faber'!A3:A63,'Meltzer-Faber'!B3:B63))</f>
        <v>0</v>
      </c>
      <c r="AF11" s="180" t="b">
        <f>IF(AD11=1,LOOKUP(AC11,'Meltzer-Faber'!A3:A63,'Meltzer-Faber'!C3:C63))</f>
        <v>0</v>
      </c>
      <c r="AG11" s="180" t="b">
        <f t="shared" ref="AG11" si="3">IF(AB11="m",AE11,IF(AB11="k",AF11,""))</f>
        <v>0</v>
      </c>
    </row>
    <row r="12" spans="1:33" s="21" customFormat="1" ht="18" customHeight="1">
      <c r="A12" s="124"/>
      <c r="B12" s="125"/>
      <c r="C12" s="126"/>
      <c r="D12" s="127"/>
      <c r="E12" s="128"/>
      <c r="F12" s="260"/>
      <c r="G12" s="74"/>
      <c r="H12" s="74"/>
      <c r="I12" s="298"/>
      <c r="J12" s="289"/>
      <c r="K12" s="299"/>
      <c r="L12" s="286"/>
      <c r="M12" s="287"/>
      <c r="N12" s="288"/>
      <c r="O12" s="126"/>
      <c r="P12" s="130"/>
      <c r="Q12" s="289">
        <f>IF(R11="","",R11*1.2)</f>
        <v>145.44818759699862</v>
      </c>
      <c r="R12" s="289"/>
      <c r="S12" s="131"/>
      <c r="T12" s="132">
        <f>IF(T11="","",T11*20)</f>
        <v>139</v>
      </c>
      <c r="U12" s="132">
        <f>IF(U11="","",U11*13)</f>
        <v>166.92</v>
      </c>
      <c r="V12" s="78">
        <f>IF(V11="","",IF((80+(8-ROUNDUP(V11,1))*40)&lt;0,0,80+(8-ROUNDUP(V11,1))*40))</f>
        <v>104.00000000000003</v>
      </c>
      <c r="W12" s="78">
        <f>IF(SUM(T12,U12,V12)&gt;0,SUM(T12,U12,V12),"")</f>
        <v>409.91999999999996</v>
      </c>
      <c r="X12" s="133">
        <f>IF(OR(Q12="",T12="",U12="",V12=""),"",SUM(Q12,T12,U12,V12))</f>
        <v>555.36818759699861</v>
      </c>
      <c r="Y12" s="79">
        <v>4</v>
      </c>
      <c r="Z12" s="80"/>
      <c r="AA12" s="123"/>
    </row>
    <row r="13" spans="1:33" s="21" customFormat="1" ht="18" customHeight="1">
      <c r="A13" s="252" t="s">
        <v>167</v>
      </c>
      <c r="B13" s="224">
        <v>72.11</v>
      </c>
      <c r="C13" s="225" t="s">
        <v>169</v>
      </c>
      <c r="D13" s="253" t="s">
        <v>147</v>
      </c>
      <c r="E13" s="254">
        <v>37485</v>
      </c>
      <c r="F13" s="255"/>
      <c r="G13" s="256" t="s">
        <v>200</v>
      </c>
      <c r="H13" s="223" t="s">
        <v>90</v>
      </c>
      <c r="I13" s="258">
        <v>60</v>
      </c>
      <c r="J13" s="259">
        <v>64</v>
      </c>
      <c r="K13" s="259">
        <v>-67</v>
      </c>
      <c r="L13" s="258">
        <v>86</v>
      </c>
      <c r="M13" s="259">
        <v>91</v>
      </c>
      <c r="N13" s="259">
        <v>95</v>
      </c>
      <c r="O13" s="115">
        <f>IF(MAX(I13:K13)&gt;0,IF(MAX(I13:K13)&lt;0,0,TRUNC(MAX(I13:K13)/1)*1),"")</f>
        <v>64</v>
      </c>
      <c r="P13" s="116">
        <f>IF(MAX(L13:N13)&gt;0,IF(MAX(L13:N13)&lt;0,0,TRUNC(MAX(L13:N13)/1)*1),"")</f>
        <v>95</v>
      </c>
      <c r="Q13" s="117">
        <f>IF(O13="","",IF(P13="","",IF(SUM(O13:P13)=0,"",SUM(O13:P13))))</f>
        <v>159</v>
      </c>
      <c r="R13" s="118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193.18458005986253</v>
      </c>
      <c r="S13" s="119" t="str">
        <f>IF(AD13=1,R13*AG13,"")</f>
        <v/>
      </c>
      <c r="T13" s="73">
        <f>IF('K5'!G11="","",'K5'!G11)</f>
        <v>5.98</v>
      </c>
      <c r="U13" s="73">
        <f>IF('K5'!K11="","",'K5'!K11)</f>
        <v>8.27</v>
      </c>
      <c r="V13" s="73">
        <f>IF('K5'!N11="","",'K5'!N11)</f>
        <v>7.32</v>
      </c>
      <c r="W13" s="120"/>
      <c r="X13" s="121"/>
      <c r="Y13" s="134"/>
      <c r="Z13" s="75"/>
      <c r="AA13" s="123">
        <f>V5</f>
        <v>44450</v>
      </c>
      <c r="AB13" s="177" t="str">
        <f t="shared" ref="AB13" si="4">IF(ISNUMBER(FIND("M",C13)),"m",IF(ISNUMBER(FIND("K",C13)),"k"))</f>
        <v>k</v>
      </c>
      <c r="AC13" s="178">
        <f t="shared" ref="AC13" si="5">IF(OR(E13="",AA13=""),0,(YEAR(AA13)-YEAR(E13)))</f>
        <v>19</v>
      </c>
      <c r="AD13" s="179" t="str">
        <f t="shared" si="2"/>
        <v/>
      </c>
      <c r="AE13" s="180" t="b">
        <f>IF(AD13=1,LOOKUP(AC13,'Meltzer-Faber'!A3:A63,'Meltzer-Faber'!B3:B63))</f>
        <v>0</v>
      </c>
      <c r="AF13" s="180" t="b">
        <f>IF(AD13=1,LOOKUP(AC13,'Meltzer-Faber'!A3:A63,'Meltzer-Faber'!C3:C63))</f>
        <v>0</v>
      </c>
      <c r="AG13" s="180" t="b">
        <f t="shared" ref="AG13" si="6">IF(AB13="m",AE13,IF(AB13="k",AF13,""))</f>
        <v>0</v>
      </c>
    </row>
    <row r="14" spans="1:33" s="21" customFormat="1" ht="18" customHeight="1">
      <c r="A14" s="124"/>
      <c r="B14" s="125"/>
      <c r="C14" s="126"/>
      <c r="D14" s="127"/>
      <c r="E14" s="128"/>
      <c r="F14" s="260"/>
      <c r="G14" s="74"/>
      <c r="H14" s="74"/>
      <c r="I14" s="298"/>
      <c r="J14" s="289"/>
      <c r="K14" s="299"/>
      <c r="L14" s="286"/>
      <c r="M14" s="287"/>
      <c r="N14" s="288"/>
      <c r="O14" s="126"/>
      <c r="P14" s="130"/>
      <c r="Q14" s="289">
        <f>IF(R13="","",R13*1.2)</f>
        <v>231.82149607183501</v>
      </c>
      <c r="R14" s="289"/>
      <c r="S14" s="131"/>
      <c r="T14" s="132">
        <f>IF(T13="","",T13*20)</f>
        <v>119.60000000000001</v>
      </c>
      <c r="U14" s="132">
        <f>IF(U13="","",U13*13)</f>
        <v>107.50999999999999</v>
      </c>
      <c r="V14" s="78">
        <f>IF(V13="","",IF((80+(8-ROUNDUP(V13,1))*40)&lt;0,0,80+(8-ROUNDUP(V13,1))*40))</f>
        <v>104.00000000000003</v>
      </c>
      <c r="W14" s="78">
        <f>IF(SUM(T14,U14,V14)&gt;0,SUM(T14,U14,V14),"")</f>
        <v>331.11</v>
      </c>
      <c r="X14" s="133">
        <f>IF(OR(Q14="",T14="",U14="",V14=""),"",SUM(Q14,T14,U14,V14))</f>
        <v>562.931496071835</v>
      </c>
      <c r="Y14" s="79">
        <v>3</v>
      </c>
      <c r="Z14" s="80"/>
      <c r="AA14" s="123"/>
    </row>
    <row r="15" spans="1:33" s="21" customFormat="1" ht="18" customHeight="1">
      <c r="A15" s="252" t="s">
        <v>165</v>
      </c>
      <c r="B15" s="224">
        <v>69.72</v>
      </c>
      <c r="C15" s="225" t="s">
        <v>201</v>
      </c>
      <c r="D15" s="253" t="s">
        <v>147</v>
      </c>
      <c r="E15" s="254">
        <v>35975</v>
      </c>
      <c r="F15" s="255"/>
      <c r="G15" s="256" t="s">
        <v>202</v>
      </c>
      <c r="H15" s="223" t="s">
        <v>94</v>
      </c>
      <c r="I15" s="258">
        <v>85</v>
      </c>
      <c r="J15" s="259">
        <v>88</v>
      </c>
      <c r="K15" s="259">
        <v>91</v>
      </c>
      <c r="L15" s="258">
        <v>108</v>
      </c>
      <c r="M15" s="259">
        <v>112</v>
      </c>
      <c r="N15" s="259">
        <v>-115</v>
      </c>
      <c r="O15" s="115">
        <f>IF(MAX(I15:K15)&gt;0,IF(MAX(I15:K15)&lt;0,0,TRUNC(MAX(I15:K15)/1)*1),"")</f>
        <v>91</v>
      </c>
      <c r="P15" s="116">
        <f>IF(MAX(L15:N15)&gt;0,IF(MAX(L15:N15)&lt;0,0,TRUNC(MAX(L15:N15)/1)*1),"")</f>
        <v>112</v>
      </c>
      <c r="Q15" s="117">
        <f>IF(O15="","",IF(P15="","",IF(SUM(O15:P15)=0,"",SUM(O15:P15))))</f>
        <v>203</v>
      </c>
      <c r="R15" s="118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251.05883853141813</v>
      </c>
      <c r="S15" s="119" t="str">
        <f>IF(AD15=1,R15*AG15,"")</f>
        <v/>
      </c>
      <c r="T15" s="73">
        <f>IF('K5'!G13="","",'K5'!G13)</f>
        <v>7.09</v>
      </c>
      <c r="U15" s="73">
        <f>IF('K5'!K13="","",'K5'!K13)</f>
        <v>10.68</v>
      </c>
      <c r="V15" s="73">
        <f>IF('K5'!N13="","",'K5'!N13)</f>
        <v>7.24</v>
      </c>
      <c r="W15" s="120"/>
      <c r="X15" s="121"/>
      <c r="Y15" s="134"/>
      <c r="Z15" s="75"/>
      <c r="AA15" s="123">
        <f>V5</f>
        <v>44450</v>
      </c>
      <c r="AB15" s="177" t="str">
        <f t="shared" ref="AB15" si="7">IF(ISNUMBER(FIND("M",C15)),"m",IF(ISNUMBER(FIND("K",C15)),"k"))</f>
        <v>k</v>
      </c>
      <c r="AC15" s="178">
        <f t="shared" ref="AC15" si="8">IF(OR(E15="",AA15=""),0,(YEAR(AA15)-YEAR(E15)))</f>
        <v>23</v>
      </c>
      <c r="AD15" s="179" t="str">
        <f t="shared" si="2"/>
        <v/>
      </c>
      <c r="AE15" s="180" t="b">
        <f>IF(AD15=1,LOOKUP(AC15,'Meltzer-Faber'!A3:A63,'Meltzer-Faber'!B3:B63))</f>
        <v>0</v>
      </c>
      <c r="AF15" s="180" t="b">
        <f>IF(AD15=1,LOOKUP(AC15,'Meltzer-Faber'!A3:A63,'Meltzer-Faber'!C3:C63))</f>
        <v>0</v>
      </c>
      <c r="AG15" s="180" t="b">
        <f t="shared" ref="AG15" si="9">IF(AB15="m",AE15,IF(AB15="k",AF15,""))</f>
        <v>0</v>
      </c>
    </row>
    <row r="16" spans="1:33" s="21" customFormat="1" ht="18" customHeight="1">
      <c r="A16" s="124"/>
      <c r="B16" s="125"/>
      <c r="C16" s="126"/>
      <c r="D16" s="127"/>
      <c r="E16" s="128"/>
      <c r="F16" s="260"/>
      <c r="G16" s="74"/>
      <c r="H16" s="74"/>
      <c r="I16" s="298"/>
      <c r="J16" s="289"/>
      <c r="K16" s="299"/>
      <c r="L16" s="286"/>
      <c r="M16" s="287"/>
      <c r="N16" s="288"/>
      <c r="O16" s="126"/>
      <c r="P16" s="130"/>
      <c r="Q16" s="289">
        <f>IF(R15="","",R15*1.2)</f>
        <v>301.27060623770177</v>
      </c>
      <c r="R16" s="289"/>
      <c r="S16" s="131"/>
      <c r="T16" s="132">
        <f>IF(T15="","",T15*20)</f>
        <v>141.80000000000001</v>
      </c>
      <c r="U16" s="132">
        <f>IF(U15="","",U15*13)</f>
        <v>138.84</v>
      </c>
      <c r="V16" s="78">
        <f>IF(V15="","",IF((80+(8-ROUNDUP(V15,1))*40)&lt;0,0,80+(8-ROUNDUP(V15,1))*40))</f>
        <v>108</v>
      </c>
      <c r="W16" s="78">
        <f>IF(SUM(T16,U16,V16)&gt;0,SUM(T16,U16,V16),"")</f>
        <v>388.64</v>
      </c>
      <c r="X16" s="133">
        <f>IF(OR(Q16="",T16="",U16="",V16=""),"",SUM(Q16,T16,U16,V16))</f>
        <v>689.91060623770181</v>
      </c>
      <c r="Y16" s="79">
        <v>2</v>
      </c>
      <c r="Z16" s="80"/>
      <c r="AA16" s="123"/>
    </row>
    <row r="17" spans="1:33" s="21" customFormat="1" ht="18" customHeight="1">
      <c r="A17" s="252" t="s">
        <v>95</v>
      </c>
      <c r="B17" s="224">
        <v>76.099999999999994</v>
      </c>
      <c r="C17" s="225" t="s">
        <v>169</v>
      </c>
      <c r="D17" s="253" t="s">
        <v>147</v>
      </c>
      <c r="E17" s="254">
        <v>37069</v>
      </c>
      <c r="F17" s="255"/>
      <c r="G17" s="256" t="s">
        <v>203</v>
      </c>
      <c r="H17" s="223" t="s">
        <v>98</v>
      </c>
      <c r="I17" s="258">
        <v>41</v>
      </c>
      <c r="J17" s="259">
        <v>-46</v>
      </c>
      <c r="K17" s="259">
        <v>46</v>
      </c>
      <c r="L17" s="258">
        <v>58</v>
      </c>
      <c r="M17" s="259">
        <v>62</v>
      </c>
      <c r="N17" s="259">
        <v>65</v>
      </c>
      <c r="O17" s="115">
        <f>IF(MAX(I17:K17)&gt;0,IF(MAX(I17:K17)&lt;0,0,TRUNC(MAX(I17:K17)/1)*1),"")</f>
        <v>46</v>
      </c>
      <c r="P17" s="116">
        <f>IF(MAX(L17:N17)&gt;0,IF(MAX(L17:N17)&lt;0,0,TRUNC(MAX(L17:N17)/1)*1),"")</f>
        <v>65</v>
      </c>
      <c r="Q17" s="117">
        <f>IF(O17="","",IF(P17="","",IF(SUM(O17:P17)=0,"",SUM(O17:P17))))</f>
        <v>111</v>
      </c>
      <c r="R17" s="118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>131.3062191841681</v>
      </c>
      <c r="S17" s="119" t="str">
        <f>IF(AD17=1,R17*AG17,"")</f>
        <v/>
      </c>
      <c r="T17" s="73">
        <f>IF('K5'!G15="","",'K5'!G15)</f>
        <v>6.67</v>
      </c>
      <c r="U17" s="73">
        <f>IF('K5'!K15="","",'K5'!K15)</f>
        <v>10.47</v>
      </c>
      <c r="V17" s="73">
        <f>IF('K5'!N15="","",'K5'!N15)</f>
        <v>7.86</v>
      </c>
      <c r="W17" s="120"/>
      <c r="X17" s="121"/>
      <c r="Y17" s="134"/>
      <c r="Z17" s="75"/>
      <c r="AA17" s="123">
        <f>V5</f>
        <v>44450</v>
      </c>
      <c r="AB17" s="177" t="str">
        <f t="shared" ref="AB17" si="10">IF(ISNUMBER(FIND("M",C17)),"m",IF(ISNUMBER(FIND("K",C17)),"k"))</f>
        <v>k</v>
      </c>
      <c r="AC17" s="178">
        <f t="shared" ref="AC17" si="11">IF(OR(E17="",AA17=""),0,(YEAR(AA17)-YEAR(E17)))</f>
        <v>20</v>
      </c>
      <c r="AD17" s="179" t="str">
        <f t="shared" si="2"/>
        <v/>
      </c>
      <c r="AE17" s="180" t="b">
        <f>IF(AD17=1,LOOKUP(AC17,'Meltzer-Faber'!A3:A63,'Meltzer-Faber'!B3:B63))</f>
        <v>0</v>
      </c>
      <c r="AF17" s="180" t="b">
        <f>IF(AD17=1,LOOKUP(AC17,'Meltzer-Faber'!A3:A63,'Meltzer-Faber'!C3:C63))</f>
        <v>0</v>
      </c>
      <c r="AG17" s="180" t="b">
        <f t="shared" ref="AG17" si="12">IF(AB17="m",AE17,IF(AB17="k",AF17,""))</f>
        <v>0</v>
      </c>
    </row>
    <row r="18" spans="1:33" s="21" customFormat="1" ht="18" customHeight="1">
      <c r="A18" s="124"/>
      <c r="B18" s="125"/>
      <c r="C18" s="126"/>
      <c r="D18" s="127"/>
      <c r="E18" s="128"/>
      <c r="F18" s="260"/>
      <c r="G18" s="74"/>
      <c r="H18" s="74"/>
      <c r="I18" s="298"/>
      <c r="J18" s="289"/>
      <c r="K18" s="299"/>
      <c r="L18" s="286"/>
      <c r="M18" s="287"/>
      <c r="N18" s="288"/>
      <c r="O18" s="126"/>
      <c r="P18" s="130"/>
      <c r="Q18" s="289">
        <f>IF(R17="","",R17*1.2)</f>
        <v>157.56746302100171</v>
      </c>
      <c r="R18" s="289"/>
      <c r="S18" s="131"/>
      <c r="T18" s="132">
        <f>IF(T17="","",T17*20)</f>
        <v>133.4</v>
      </c>
      <c r="U18" s="132">
        <f>IF(U17="","",U17*13)</f>
        <v>136.11000000000001</v>
      </c>
      <c r="V18" s="78">
        <f>IF(V17="","",IF((80+(8-ROUNDUP(V17,1))*40)&lt;0,0,80+(8-ROUNDUP(V17,1))*40))</f>
        <v>84.000000000000028</v>
      </c>
      <c r="W18" s="78">
        <f>IF(SUM(T18,U18,V18)&gt;0,SUM(T18,U18,V18),"")</f>
        <v>353.51</v>
      </c>
      <c r="X18" s="133">
        <f>IF(OR(Q18="",T18="",U18="",V18=""),"",SUM(Q18,T18,U18,V18))</f>
        <v>511.07746302100179</v>
      </c>
      <c r="Y18" s="79">
        <v>5</v>
      </c>
      <c r="Z18" s="80"/>
      <c r="AA18" s="123"/>
    </row>
    <row r="19" spans="1:33" s="21" customFormat="1" ht="18" customHeight="1">
      <c r="A19" s="252"/>
      <c r="B19" s="224"/>
      <c r="C19" s="225"/>
      <c r="D19" s="253"/>
      <c r="E19" s="254"/>
      <c r="F19" s="255"/>
      <c r="G19" s="256"/>
      <c r="H19" s="223"/>
      <c r="I19" s="258"/>
      <c r="J19" s="259"/>
      <c r="K19" s="259"/>
      <c r="L19" s="258"/>
      <c r="M19" s="259"/>
      <c r="N19" s="259"/>
      <c r="O19" s="115" t="str">
        <f>IF(MAX(I19:K19)&gt;0,IF(MAX(I19:K19)&lt;0,0,TRUNC(MAX(I19:K19)/1)*1),"")</f>
        <v/>
      </c>
      <c r="P19" s="116" t="str">
        <f>IF(MAX(L19:N19)&gt;0,IF(MAX(L19:N19)&lt;0,0,TRUNC(MAX(L19:N19)/1)*1),"")</f>
        <v/>
      </c>
      <c r="Q19" s="117" t="str">
        <f>IF(O19="","",IF(P19="","",IF(SUM(O19:P19)=0,"",SUM(O19:P19))))</f>
        <v/>
      </c>
      <c r="R19" s="118" t="str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119" t="str">
        <f>IF(AD19=1,R19*AG19,"")</f>
        <v/>
      </c>
      <c r="T19" s="73" t="str">
        <f>IF('K5'!G17="","",'K5'!G17)</f>
        <v/>
      </c>
      <c r="U19" s="73" t="str">
        <f>IF('K5'!K17="","",'K5'!K17)</f>
        <v/>
      </c>
      <c r="V19" s="73" t="str">
        <f>IF('K5'!N17="","",'K5'!N17)</f>
        <v/>
      </c>
      <c r="W19" s="120"/>
      <c r="X19" s="121"/>
      <c r="Y19" s="134"/>
      <c r="Z19" s="75"/>
      <c r="AA19" s="123">
        <f>V5</f>
        <v>44450</v>
      </c>
      <c r="AB19" s="177" t="b">
        <f t="shared" ref="AB19" si="13">IF(ISNUMBER(FIND("M",C19)),"m",IF(ISNUMBER(FIND("K",C19)),"k"))</f>
        <v>0</v>
      </c>
      <c r="AC19" s="178">
        <f t="shared" ref="AC19" si="14">IF(OR(E19="",AA19=""),0,(YEAR(AA19)-YEAR(E19)))</f>
        <v>0</v>
      </c>
      <c r="AD19" s="179" t="str">
        <f t="shared" si="2"/>
        <v/>
      </c>
      <c r="AE19" s="180" t="b">
        <f>IF(AD19=1,LOOKUP(AC19,'Meltzer-Faber'!A3:A63,'Meltzer-Faber'!B3:B63))</f>
        <v>0</v>
      </c>
      <c r="AF19" s="180" t="b">
        <f>IF(AD19=1,LOOKUP(AC19,'Meltzer-Faber'!A3:A63,'Meltzer-Faber'!C3:C63))</f>
        <v>0</v>
      </c>
      <c r="AG19" s="180" t="str">
        <f t="shared" ref="AG19" si="15">IF(AB19="m",AE19,IF(AB19="k",AF19,""))</f>
        <v/>
      </c>
    </row>
    <row r="20" spans="1:33" s="21" customFormat="1" ht="18" customHeight="1">
      <c r="A20" s="124"/>
      <c r="B20" s="125"/>
      <c r="C20" s="126"/>
      <c r="D20" s="127"/>
      <c r="E20" s="128"/>
      <c r="F20" s="260"/>
      <c r="G20" s="74"/>
      <c r="H20" s="74"/>
      <c r="I20" s="298"/>
      <c r="J20" s="289"/>
      <c r="K20" s="299"/>
      <c r="L20" s="286"/>
      <c r="M20" s="287"/>
      <c r="N20" s="288"/>
      <c r="O20" s="126"/>
      <c r="P20" s="130"/>
      <c r="Q20" s="289" t="str">
        <f>IF(R19="","",R19*1.2)</f>
        <v/>
      </c>
      <c r="R20" s="289"/>
      <c r="S20" s="131"/>
      <c r="T20" s="132" t="str">
        <f>IF(T19="","",T19*20)</f>
        <v/>
      </c>
      <c r="U20" s="132" t="str">
        <f>IF(U19="","",U19*13)</f>
        <v/>
      </c>
      <c r="V20" s="78" t="str">
        <f>IF(V19="","",IF((80+(8-ROUNDUP(V19,1))*40)&lt;0,0,80+(8-ROUNDUP(V19,1))*40))</f>
        <v/>
      </c>
      <c r="W20" s="78" t="str">
        <f>IF(SUM(T20,U20,V20)&gt;0,SUM(T20,U20,V20),"")</f>
        <v/>
      </c>
      <c r="X20" s="133" t="str">
        <f>IF(OR(Q20="",T20="",U20="",V20=""),"",SUM(Q20,T20,U20,V20))</f>
        <v/>
      </c>
      <c r="Y20" s="79" t="s">
        <v>16</v>
      </c>
      <c r="Z20" s="80"/>
      <c r="AA20" s="123"/>
    </row>
    <row r="21" spans="1:33" s="21" customFormat="1" ht="18" customHeight="1">
      <c r="A21" s="112"/>
      <c r="B21" s="218"/>
      <c r="C21" s="71"/>
      <c r="D21" s="114"/>
      <c r="E21" s="219"/>
      <c r="F21" s="220"/>
      <c r="G21" s="221"/>
      <c r="H21" s="221"/>
      <c r="I21" s="222"/>
      <c r="J21" s="222"/>
      <c r="K21" s="222"/>
      <c r="L21" s="222"/>
      <c r="M21" s="157"/>
      <c r="N21" s="157"/>
      <c r="O21" s="115" t="str">
        <f>IF(MAX(I21:K21)&gt;0,IF(MAX(I21:K21)&lt;0,0,TRUNC(MAX(I21:K21)/1)*1),"")</f>
        <v/>
      </c>
      <c r="P21" s="116" t="str">
        <f>IF(MAX(L21:N21)&gt;0,IF(MAX(L21:N21)&lt;0,0,TRUNC(MAX(L21:N21)/1)*1),"")</f>
        <v/>
      </c>
      <c r="Q21" s="117" t="str">
        <f>IF(O21="","",IF(P21="","",IF(SUM(O21:P21)=0,"",SUM(O21:P21))))</f>
        <v/>
      </c>
      <c r="R21" s="118" t="str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119" t="str">
        <f>IF(AD21=1,R21*AG21,"")</f>
        <v/>
      </c>
      <c r="T21" s="73" t="str">
        <f>IF('K5'!G19="","",'K5'!G19)</f>
        <v/>
      </c>
      <c r="U21" s="73" t="str">
        <f>IF('K5'!K19="","",'K5'!K19)</f>
        <v/>
      </c>
      <c r="V21" s="73" t="str">
        <f>IF('K5'!N19="","",'K5'!N19)</f>
        <v/>
      </c>
      <c r="W21" s="120"/>
      <c r="X21" s="121"/>
      <c r="Y21" s="134"/>
      <c r="Z21" s="75"/>
      <c r="AA21" s="123">
        <f>V5</f>
        <v>44450</v>
      </c>
      <c r="AB21" s="177" t="b">
        <f t="shared" ref="AB21" si="16">IF(ISNUMBER(FIND("M",C21)),"m",IF(ISNUMBER(FIND("K",C21)),"k"))</f>
        <v>0</v>
      </c>
      <c r="AC21" s="178">
        <f t="shared" ref="AC21" si="17">IF(OR(E21="",AA21=""),0,(YEAR(AA21)-YEAR(E21)))</f>
        <v>0</v>
      </c>
      <c r="AD21" s="179" t="str">
        <f t="shared" si="2"/>
        <v/>
      </c>
      <c r="AE21" s="180" t="b">
        <f>IF(AD21=1,LOOKUP(AC21,'Meltzer-Faber'!A3:A63,'Meltzer-Faber'!B3:B63))</f>
        <v>0</v>
      </c>
      <c r="AF21" s="180" t="b">
        <f>IF(AD21=1,LOOKUP(AC21,'Meltzer-Faber'!A3:A63,'Meltzer-Faber'!C3:C63))</f>
        <v>0</v>
      </c>
      <c r="AG21" s="180" t="str">
        <f t="shared" ref="AG21" si="18">IF(AB21="m",AE21,IF(AB21="k",AF21,""))</f>
        <v/>
      </c>
    </row>
    <row r="22" spans="1:33" s="21" customFormat="1" ht="18" customHeight="1">
      <c r="A22" s="124"/>
      <c r="B22" s="125"/>
      <c r="C22" s="126"/>
      <c r="D22" s="127"/>
      <c r="E22" s="128"/>
      <c r="F22" s="128"/>
      <c r="G22" s="74"/>
      <c r="H22" s="129"/>
      <c r="I22" s="286"/>
      <c r="J22" s="287"/>
      <c r="K22" s="288"/>
      <c r="L22" s="286"/>
      <c r="M22" s="287"/>
      <c r="N22" s="288"/>
      <c r="O22" s="126"/>
      <c r="P22" s="130"/>
      <c r="Q22" s="289" t="str">
        <f>IF(R21="","",R21*1.2)</f>
        <v/>
      </c>
      <c r="R22" s="289"/>
      <c r="S22" s="131"/>
      <c r="T22" s="132" t="str">
        <f>IF(T21="","",T21*20)</f>
        <v/>
      </c>
      <c r="U22" s="132" t="str">
        <f>IF(U21="","",U21*13)</f>
        <v/>
      </c>
      <c r="V22" s="78" t="str">
        <f>IF(V21="","",IF((80+(8-ROUNDUP(V21,1))*40)&lt;0,0,80+(8-ROUNDUP(V21,1))*40))</f>
        <v/>
      </c>
      <c r="W22" s="78" t="str">
        <f>IF(SUM(T22,U22,V22)&gt;0,SUM(T22,U22,V22),"")</f>
        <v/>
      </c>
      <c r="X22" s="133" t="str">
        <f>IF(OR(Q22="",T22="",U22="",V22=""),"",SUM(Q22,T22,U22,V22))</f>
        <v/>
      </c>
      <c r="Y22" s="79"/>
      <c r="Z22" s="80"/>
      <c r="AA22" s="123"/>
    </row>
    <row r="23" spans="1:33" s="21" customFormat="1" ht="18" customHeight="1">
      <c r="A23" s="112"/>
      <c r="B23" s="113"/>
      <c r="C23" s="71"/>
      <c r="D23" s="114"/>
      <c r="E23" s="71"/>
      <c r="F23" s="71"/>
      <c r="G23" s="72"/>
      <c r="H23" s="72"/>
      <c r="I23" s="156"/>
      <c r="J23" s="157"/>
      <c r="K23" s="157"/>
      <c r="L23" s="157"/>
      <c r="M23" s="157"/>
      <c r="N23" s="157"/>
      <c r="O23" s="115" t="str">
        <f>IF(MAX(I23:K23)&gt;0,IF(MAX(I23:K23)&lt;0,0,TRUNC(MAX(I23:K23)/1)*1),"")</f>
        <v/>
      </c>
      <c r="P23" s="116" t="str">
        <f>IF(MAX(L23:N23)&gt;0,IF(MAX(L23:N23)&lt;0,0,TRUNC(MAX(L23:N23)/1)*1),"")</f>
        <v/>
      </c>
      <c r="Q23" s="117" t="str">
        <f>IF(O23="","",IF(P23="","",IF(SUM(O23:P23)=0,"",SUM(O23:P23))))</f>
        <v/>
      </c>
      <c r="R23" s="118" t="str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119" t="str">
        <f>IF(AD23=1,R23*AG23,"")</f>
        <v/>
      </c>
      <c r="T23" s="73" t="str">
        <f>IF('K5'!G21="","",'K5'!G21)</f>
        <v/>
      </c>
      <c r="U23" s="73" t="str">
        <f>IF('K5'!K21="","",'K5'!K21)</f>
        <v/>
      </c>
      <c r="V23" s="73" t="str">
        <f>IF('K5'!N21="","",'K5'!N21)</f>
        <v/>
      </c>
      <c r="W23" s="120"/>
      <c r="X23" s="121"/>
      <c r="Y23" s="134"/>
      <c r="Z23" s="75"/>
      <c r="AA23" s="123">
        <f>V5</f>
        <v>44450</v>
      </c>
      <c r="AB23" s="177" t="b">
        <f t="shared" ref="AB23" si="19">IF(ISNUMBER(FIND("M",C23)),"m",IF(ISNUMBER(FIND("K",C23)),"k"))</f>
        <v>0</v>
      </c>
      <c r="AC23" s="178">
        <f t="shared" ref="AC23" si="20">IF(OR(E23="",AA23=""),0,(YEAR(AA23)-YEAR(E23)))</f>
        <v>0</v>
      </c>
      <c r="AD23" s="179" t="str">
        <f t="shared" si="2"/>
        <v/>
      </c>
      <c r="AE23" s="180" t="b">
        <f>IF(AD23=1,LOOKUP(AC23,'Meltzer-Faber'!A3:A63,'Meltzer-Faber'!B3:B63))</f>
        <v>0</v>
      </c>
      <c r="AF23" s="180" t="b">
        <f>IF(AD23=1,LOOKUP(AC23,'Meltzer-Faber'!A3:A63,'Meltzer-Faber'!C3:C63))</f>
        <v>0</v>
      </c>
      <c r="AG23" s="180" t="str">
        <f t="shared" ref="AG23" si="21">IF(AB23="m",AE23,IF(AB23="k",AF23,""))</f>
        <v/>
      </c>
    </row>
    <row r="24" spans="1:33" s="21" customFormat="1" ht="18" customHeight="1">
      <c r="A24" s="124"/>
      <c r="B24" s="125"/>
      <c r="C24" s="126"/>
      <c r="D24" s="127"/>
      <c r="E24" s="128"/>
      <c r="F24" s="128"/>
      <c r="G24" s="74"/>
      <c r="H24" s="129"/>
      <c r="I24" s="286"/>
      <c r="J24" s="287"/>
      <c r="K24" s="288"/>
      <c r="L24" s="286"/>
      <c r="M24" s="287"/>
      <c r="N24" s="288"/>
      <c r="O24" s="126"/>
      <c r="P24" s="130"/>
      <c r="Q24" s="289" t="str">
        <f>IF(R23="","",R23*1.2)</f>
        <v/>
      </c>
      <c r="R24" s="289"/>
      <c r="S24" s="131"/>
      <c r="T24" s="132" t="str">
        <f>IF(T23="","",T23*20)</f>
        <v/>
      </c>
      <c r="U24" s="132" t="str">
        <f>IF(U23="","",U23*13)</f>
        <v/>
      </c>
      <c r="V24" s="78" t="str">
        <f>IF(V23="","",IF((80+(8-ROUNDUP(V23,1))*40)&lt;0,0,80+(8-ROUNDUP(V23,1))*40))</f>
        <v/>
      </c>
      <c r="W24" s="78" t="str">
        <f>IF(SUM(T24,U24,V24)&gt;0,SUM(T24,U24,V24),"")</f>
        <v/>
      </c>
      <c r="X24" s="133" t="str">
        <f>IF(OR(Q24="",T24="",U24="",V24=""),"",SUM(Q24,T24,U24,V24))</f>
        <v/>
      </c>
      <c r="Y24" s="79" t="s">
        <v>16</v>
      </c>
      <c r="Z24" s="80"/>
      <c r="AA24" s="123"/>
    </row>
    <row r="25" spans="1:33" s="21" customFormat="1" ht="18" customHeight="1">
      <c r="A25" s="112"/>
      <c r="B25" s="113"/>
      <c r="C25" s="71"/>
      <c r="D25" s="114"/>
      <c r="E25" s="71"/>
      <c r="F25" s="71"/>
      <c r="G25" s="72"/>
      <c r="H25" s="72"/>
      <c r="I25" s="156"/>
      <c r="J25" s="157"/>
      <c r="K25" s="157"/>
      <c r="L25" s="157"/>
      <c r="M25" s="157"/>
      <c r="N25" s="157"/>
      <c r="O25" s="115" t="str">
        <f>IF(MAX(I25:K25)&gt;0,IF(MAX(I25:K25)&lt;0,0,TRUNC(MAX(I25:K25)/1)*1),"")</f>
        <v/>
      </c>
      <c r="P25" s="116" t="str">
        <f>IF(MAX(L25:N25)&gt;0,IF(MAX(L25:N25)&lt;0,0,TRUNC(MAX(L25:N25)/1)*1),"")</f>
        <v/>
      </c>
      <c r="Q25" s="117" t="str">
        <f>IF(O25="","",IF(P25="","",IF(SUM(O25:P25)=0,"",SUM(O25:P25))))</f>
        <v/>
      </c>
      <c r="R25" s="118" t="str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119" t="str">
        <f>IF(AD25=1,R25*AG25,"")</f>
        <v/>
      </c>
      <c r="T25" s="73" t="str">
        <f>IF('K5'!G23="","",'K5'!G23)</f>
        <v/>
      </c>
      <c r="U25" s="73" t="str">
        <f>IF('K5'!K23="","",'K5'!K23)</f>
        <v/>
      </c>
      <c r="V25" s="73" t="str">
        <f>IF('K5'!N23="","",'K5'!N23)</f>
        <v/>
      </c>
      <c r="W25" s="120"/>
      <c r="X25" s="121"/>
      <c r="Y25" s="134"/>
      <c r="Z25" s="75"/>
      <c r="AA25" s="123">
        <f>V5</f>
        <v>44450</v>
      </c>
      <c r="AB25" s="177" t="b">
        <f t="shared" ref="AB25" si="22">IF(ISNUMBER(FIND("M",C25)),"m",IF(ISNUMBER(FIND("K",C25)),"k"))</f>
        <v>0</v>
      </c>
      <c r="AC25" s="178">
        <f t="shared" ref="AC25" si="23">IF(OR(E25="",AA25=""),0,(YEAR(AA25)-YEAR(E25)))</f>
        <v>0</v>
      </c>
      <c r="AD25" s="179" t="str">
        <f t="shared" si="2"/>
        <v/>
      </c>
      <c r="AE25" s="180" t="b">
        <f>IF(AD25=1,LOOKUP(AC25,'Meltzer-Faber'!A3:A63,'Meltzer-Faber'!B3:B63))</f>
        <v>0</v>
      </c>
      <c r="AF25" s="180" t="b">
        <f>IF(AD25=1,LOOKUP(AC25,'Meltzer-Faber'!A3:A63,'Meltzer-Faber'!C3:C63))</f>
        <v>0</v>
      </c>
      <c r="AG25" s="180" t="str">
        <f t="shared" ref="AG25" si="24">IF(AB25="m",AE25,IF(AB25="k",AF25,""))</f>
        <v/>
      </c>
    </row>
    <row r="26" spans="1:33" s="21" customFormat="1" ht="18" customHeight="1">
      <c r="A26" s="124"/>
      <c r="B26" s="125"/>
      <c r="C26" s="135"/>
      <c r="D26" s="127"/>
      <c r="E26" s="128"/>
      <c r="F26" s="128"/>
      <c r="G26" s="74"/>
      <c r="H26" s="129"/>
      <c r="I26" s="286"/>
      <c r="J26" s="287"/>
      <c r="K26" s="288"/>
      <c r="L26" s="286"/>
      <c r="M26" s="287"/>
      <c r="N26" s="288"/>
      <c r="O26" s="126"/>
      <c r="P26" s="130"/>
      <c r="Q26" s="289" t="str">
        <f>IF(R25="","",R25*1.2)</f>
        <v/>
      </c>
      <c r="R26" s="289"/>
      <c r="S26" s="131"/>
      <c r="T26" s="132" t="str">
        <f>IF(T25="","",T25*20)</f>
        <v/>
      </c>
      <c r="U26" s="132" t="str">
        <f>IF(U25="","",U25*13)</f>
        <v/>
      </c>
      <c r="V26" s="78" t="str">
        <f>IF(V25="","",IF((80+(8-ROUNDUP(V25,1))*40)&lt;0,0,80+(8-ROUNDUP(V25,1))*40))</f>
        <v/>
      </c>
      <c r="W26" s="78" t="str">
        <f>IF(SUM(T26,U26,V26)&gt;0,SUM(T26,U26,V26),"")</f>
        <v/>
      </c>
      <c r="X26" s="133" t="str">
        <f>IF(OR(Q26="",T26="",U26="",V26=""),"",SUM(Q26,T26,U26,V26))</f>
        <v/>
      </c>
      <c r="Y26" s="79"/>
      <c r="Z26" s="80"/>
      <c r="AA26" s="123"/>
    </row>
    <row r="27" spans="1:33" s="21" customFormat="1" ht="18" customHeight="1">
      <c r="A27" s="112"/>
      <c r="B27" s="113"/>
      <c r="C27" s="71"/>
      <c r="D27" s="114"/>
      <c r="E27" s="71"/>
      <c r="F27" s="71"/>
      <c r="G27" s="72"/>
      <c r="H27" s="72"/>
      <c r="I27" s="156"/>
      <c r="J27" s="157"/>
      <c r="K27" s="157"/>
      <c r="L27" s="157"/>
      <c r="M27" s="157"/>
      <c r="N27" s="157"/>
      <c r="O27" s="115" t="str">
        <f>IF(MAX(I27:K27)&gt;0,IF(MAX(I27:K27)&lt;0,0,TRUNC(MAX(I27:K27)/1)*1),"")</f>
        <v/>
      </c>
      <c r="P27" s="116" t="str">
        <f>IF(MAX(L27:N27)&gt;0,IF(MAX(L27:N27)&lt;0,0,TRUNC(MAX(L27:N27)/1)*1),"")</f>
        <v/>
      </c>
      <c r="Q27" s="117" t="str">
        <f>IF(O27="","",IF(P27="","",IF(SUM(O27:P27)=0,"",SUM(O27:P27))))</f>
        <v/>
      </c>
      <c r="R27" s="118" t="str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119" t="str">
        <f>IF(AD27=1,R27*AG27,"")</f>
        <v/>
      </c>
      <c r="T27" s="73" t="str">
        <f>IF('K5'!G25="","",'K5'!G25)</f>
        <v/>
      </c>
      <c r="U27" s="73" t="str">
        <f>IF('K5'!K25="","",'K5'!K25)</f>
        <v/>
      </c>
      <c r="V27" s="73" t="str">
        <f>IF('K5'!N25="","",'K5'!N25)</f>
        <v/>
      </c>
      <c r="W27" s="120"/>
      <c r="X27" s="121"/>
      <c r="Y27" s="134"/>
      <c r="Z27" s="75"/>
      <c r="AA27" s="123">
        <f>V5</f>
        <v>44450</v>
      </c>
      <c r="AB27" s="177" t="b">
        <f t="shared" ref="AB27" si="25">IF(ISNUMBER(FIND("M",C27)),"m",IF(ISNUMBER(FIND("K",C27)),"k"))</f>
        <v>0</v>
      </c>
      <c r="AC27" s="178">
        <f t="shared" ref="AC27" si="26">IF(OR(E27="",AA27=""),0,(YEAR(AA27)-YEAR(E27)))</f>
        <v>0</v>
      </c>
      <c r="AD27" s="179" t="str">
        <f t="shared" si="2"/>
        <v/>
      </c>
      <c r="AE27" s="180" t="b">
        <f>IF(AD27=1,LOOKUP(AC27,'Meltzer-Faber'!A3:A63,'Meltzer-Faber'!B3:B63))</f>
        <v>0</v>
      </c>
      <c r="AF27" s="180" t="b">
        <f>IF(AD27=1,LOOKUP(AC27,'Meltzer-Faber'!A3:A63,'Meltzer-Faber'!C3:C63))</f>
        <v>0</v>
      </c>
      <c r="AG27" s="180" t="str">
        <f t="shared" ref="AG27" si="27">IF(AB27="m",AE27,IF(AB27="k",AF27,""))</f>
        <v/>
      </c>
    </row>
    <row r="28" spans="1:33" s="21" customFormat="1" ht="18" customHeight="1">
      <c r="A28" s="124"/>
      <c r="B28" s="125"/>
      <c r="C28" s="126"/>
      <c r="D28" s="127"/>
      <c r="E28" s="128"/>
      <c r="F28" s="128"/>
      <c r="G28" s="74"/>
      <c r="H28" s="129"/>
      <c r="I28" s="286"/>
      <c r="J28" s="287"/>
      <c r="K28" s="288"/>
      <c r="L28" s="286"/>
      <c r="M28" s="287"/>
      <c r="N28" s="288"/>
      <c r="O28" s="126"/>
      <c r="P28" s="130"/>
      <c r="Q28" s="289" t="str">
        <f>IF(R27="","",R27*1.2)</f>
        <v/>
      </c>
      <c r="R28" s="289"/>
      <c r="S28" s="131"/>
      <c r="T28" s="132" t="str">
        <f>IF(T27="","",T27*20)</f>
        <v/>
      </c>
      <c r="U28" s="132" t="str">
        <f>IF(U27="","",U27*13)</f>
        <v/>
      </c>
      <c r="V28" s="78" t="str">
        <f>IF(V27="","",IF((80+(8-ROUNDUP(V27,1))*40)&lt;0,0,80+(8-ROUNDUP(V27,1))*40))</f>
        <v/>
      </c>
      <c r="W28" s="78" t="str">
        <f>IF(SUM(T28,U28,V28)&gt;0,SUM(T28,U28,V28),"")</f>
        <v/>
      </c>
      <c r="X28" s="133" t="str">
        <f>IF(OR(Q28="",T28="",U28="",V28=""),"",SUM(Q28,T28,U28,V28))</f>
        <v/>
      </c>
      <c r="Y28" s="79"/>
      <c r="Z28" s="80"/>
      <c r="AA28" s="123"/>
    </row>
    <row r="29" spans="1:33" s="21" customFormat="1" ht="18" customHeight="1">
      <c r="A29" s="112"/>
      <c r="B29" s="113"/>
      <c r="C29" s="71"/>
      <c r="D29" s="114"/>
      <c r="E29" s="71"/>
      <c r="F29" s="71"/>
      <c r="G29" s="72"/>
      <c r="H29" s="72"/>
      <c r="I29" s="156"/>
      <c r="J29" s="157"/>
      <c r="K29" s="157"/>
      <c r="L29" s="157"/>
      <c r="M29" s="157"/>
      <c r="N29" s="157"/>
      <c r="O29" s="115" t="str">
        <f>IF(MAX(I29:K29)&gt;0,IF(MAX(I29:K29)&lt;0,0,TRUNC(MAX(I29:K29)/1)*1),"")</f>
        <v/>
      </c>
      <c r="P29" s="116" t="str">
        <f>IF(MAX(L29:N29)&gt;0,IF(MAX(L29:N29)&lt;0,0,TRUNC(MAX(L29:N29)/1)*1),"")</f>
        <v/>
      </c>
      <c r="Q29" s="117" t="str">
        <f>IF(O29="","",IF(P29="","",IF(SUM(O29:P29)=0,"",SUM(O29:P29))))</f>
        <v/>
      </c>
      <c r="R29" s="118" t="str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119" t="str">
        <f>IF(AD29=1,R29*AG29,"")</f>
        <v/>
      </c>
      <c r="T29" s="73" t="str">
        <f>IF('K5'!G27="","",'K5'!G27)</f>
        <v/>
      </c>
      <c r="U29" s="73" t="str">
        <f>IF('K5'!K27="","",'K5'!K27)</f>
        <v/>
      </c>
      <c r="V29" s="73" t="str">
        <f>IF('K5'!N27="","",'K5'!N27)</f>
        <v/>
      </c>
      <c r="W29" s="120"/>
      <c r="X29" s="121"/>
      <c r="Y29" s="134"/>
      <c r="Z29" s="75"/>
      <c r="AA29" s="123">
        <f>V5</f>
        <v>44450</v>
      </c>
      <c r="AB29" s="177" t="b">
        <f t="shared" ref="AB29" si="28">IF(ISNUMBER(FIND("M",C29)),"m",IF(ISNUMBER(FIND("K",C29)),"k"))</f>
        <v>0</v>
      </c>
      <c r="AC29" s="178">
        <f t="shared" ref="AC29" si="29">IF(OR(E29="",AA29=""),0,(YEAR(AA29)-YEAR(E29)))</f>
        <v>0</v>
      </c>
      <c r="AD29" s="179" t="str">
        <f t="shared" si="2"/>
        <v/>
      </c>
      <c r="AE29" s="180" t="b">
        <f>IF(AD29=1,LOOKUP(AC29,'Meltzer-Faber'!A3:A63,'Meltzer-Faber'!B3:B63))</f>
        <v>0</v>
      </c>
      <c r="AF29" s="180" t="b">
        <f>IF(AD29=1,LOOKUP(AC29,'Meltzer-Faber'!A3:A63,'Meltzer-Faber'!C3:C63))</f>
        <v>0</v>
      </c>
      <c r="AG29" s="180" t="str">
        <f t="shared" ref="AG29" si="30">IF(AB29="m",AE29,IF(AB29="k",AF29,""))</f>
        <v/>
      </c>
    </row>
    <row r="30" spans="1:33" s="21" customFormat="1" ht="18" customHeight="1">
      <c r="A30" s="124"/>
      <c r="B30" s="125"/>
      <c r="C30" s="126"/>
      <c r="D30" s="127"/>
      <c r="E30" s="128"/>
      <c r="F30" s="264"/>
      <c r="G30" s="74"/>
      <c r="H30" s="129"/>
      <c r="I30" s="286"/>
      <c r="J30" s="287"/>
      <c r="K30" s="288"/>
      <c r="L30" s="286"/>
      <c r="M30" s="287"/>
      <c r="N30" s="288"/>
      <c r="O30" s="126"/>
      <c r="P30" s="130"/>
      <c r="Q30" s="289" t="str">
        <f>IF(R29="","",R29*1.2)</f>
        <v/>
      </c>
      <c r="R30" s="289"/>
      <c r="S30" s="131"/>
      <c r="T30" s="132" t="str">
        <f>IF(T29="","",T29*20)</f>
        <v/>
      </c>
      <c r="U30" s="132" t="str">
        <f>IF(U29="","",U29*13)</f>
        <v/>
      </c>
      <c r="V30" s="78" t="str">
        <f>IF(V29="","",IF((80+(8-ROUNDUP(V29,1))*40)&lt;0,0,80+(8-ROUNDUP(V29,1))*40))</f>
        <v/>
      </c>
      <c r="W30" s="78" t="str">
        <f>IF(SUM(T30,U30,V30)&gt;0,SUM(T30,U30,V30),"")</f>
        <v/>
      </c>
      <c r="X30" s="133" t="str">
        <f>IF(OR(Q30="",T30="",U30="",V30=""),"",SUM(Q30,T30,U30,V30))</f>
        <v/>
      </c>
      <c r="Y30" s="79"/>
      <c r="Z30" s="80"/>
      <c r="AA30" s="123"/>
    </row>
    <row r="31" spans="1:33" s="21" customFormat="1" ht="18" customHeight="1">
      <c r="A31" s="112"/>
      <c r="B31" s="113"/>
      <c r="C31" s="71"/>
      <c r="D31" s="114"/>
      <c r="E31" s="71"/>
      <c r="F31" s="71"/>
      <c r="G31" s="72"/>
      <c r="H31" s="72"/>
      <c r="I31" s="156"/>
      <c r="J31" s="157"/>
      <c r="K31" s="157"/>
      <c r="L31" s="157"/>
      <c r="M31" s="157"/>
      <c r="N31" s="157"/>
      <c r="O31" s="269" t="str">
        <f>IF(MAX(I31:K31)&gt;0,IF(MAX(I31:K31)&lt;0,0,TRUNC(MAX(I31:K31)/1)*1),"")</f>
        <v/>
      </c>
      <c r="P31" s="270" t="str">
        <f>IF(MAX(L31:N31)&gt;0,IF(MAX(L31:N31)&lt;0,0,TRUNC(MAX(L31:N31)/1)*1),"")</f>
        <v/>
      </c>
      <c r="Q31" s="271" t="str">
        <f>IF(O31="","",IF(P31="","",IF(SUM(O31:P31)=0,"",SUM(O31:P31))))</f>
        <v/>
      </c>
      <c r="R31" s="27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21" t="str">
        <f>IF(AD31=1,R31*AG31,"")</f>
        <v/>
      </c>
      <c r="T31" s="73" t="str">
        <f>IF('K5'!G29="","",'K5'!G29)</f>
        <v/>
      </c>
      <c r="U31" s="73" t="str">
        <f>IF('K5'!K29="","",'K5'!K29)</f>
        <v/>
      </c>
      <c r="V31" s="73" t="str">
        <f>IF('K5'!N29="","",'K5'!N29)</f>
        <v/>
      </c>
      <c r="W31" s="120" t="s">
        <v>16</v>
      </c>
      <c r="X31" s="121"/>
      <c r="Y31" s="134"/>
      <c r="Z31" s="75"/>
      <c r="AA31" s="123">
        <f>V5</f>
        <v>44450</v>
      </c>
      <c r="AB31" s="177" t="b">
        <f t="shared" ref="AB31" si="31">IF(ISNUMBER(FIND("M",C31)),"m",IF(ISNUMBER(FIND("K",C31)),"k"))</f>
        <v>0</v>
      </c>
      <c r="AC31" s="178">
        <f t="shared" ref="AC31" si="32">IF(OR(E31="",AA31=""),0,(YEAR(AA31)-YEAR(E31)))</f>
        <v>0</v>
      </c>
      <c r="AD31" s="179" t="str">
        <f t="shared" si="2"/>
        <v/>
      </c>
      <c r="AE31" s="180" t="b">
        <f>IF(AD31=1,LOOKUP(AC31,'Meltzer-Faber'!A3:A63,'Meltzer-Faber'!B3:B63))</f>
        <v>0</v>
      </c>
      <c r="AF31" s="180" t="b">
        <f>IF(AD31=1,LOOKUP(AC31,'Meltzer-Faber'!A3:A63,'Meltzer-Faber'!C3:C63))</f>
        <v>0</v>
      </c>
      <c r="AG31" s="180" t="str">
        <f t="shared" ref="AG31" si="33">IF(AB31="m",AE31,IF(AB31="k",AF31,""))</f>
        <v/>
      </c>
    </row>
    <row r="32" spans="1:33" s="21" customFormat="1" ht="18" customHeight="1">
      <c r="A32" s="124"/>
      <c r="B32" s="125"/>
      <c r="C32" s="126"/>
      <c r="D32" s="127"/>
      <c r="E32" s="128"/>
      <c r="F32" s="264"/>
      <c r="G32" s="274"/>
      <c r="H32" s="275"/>
      <c r="I32" s="290"/>
      <c r="J32" s="291"/>
      <c r="K32" s="292"/>
      <c r="L32" s="290"/>
      <c r="M32" s="291"/>
      <c r="N32" s="292"/>
      <c r="O32" s="273"/>
      <c r="P32" s="276"/>
      <c r="Q32" s="314" t="str">
        <f>IF(R31="","",R31*1.2)</f>
        <v/>
      </c>
      <c r="R32" s="314"/>
      <c r="S32" s="277"/>
      <c r="T32" s="278" t="str">
        <f>IF(T31="","",T31*20)</f>
        <v/>
      </c>
      <c r="U32" s="278" t="str">
        <f>IF(U31="","",U31*13)</f>
        <v/>
      </c>
      <c r="V32" s="279" t="str">
        <f>IF(V31="","",IF((80+(8-ROUNDUP(V31,1))*40)&lt;0,0,80+(8-ROUNDUP(V31,1))*40))</f>
        <v/>
      </c>
      <c r="W32" s="279" t="str">
        <f>IF(SUM(T32,U32,V32)&gt;0,SUM(T32,U32,V32),"")</f>
        <v/>
      </c>
      <c r="X32" s="280" t="str">
        <f>IF(OR(Q32="",T32="",U32="",V32=""),"",SUM(Q32,T32,U32,V32))</f>
        <v/>
      </c>
      <c r="Y32" s="281"/>
      <c r="Z32" s="282"/>
      <c r="AA32" s="123"/>
    </row>
    <row r="33" spans="1:26" s="21" customFormat="1" ht="14">
      <c r="A33" s="136"/>
      <c r="B33" s="136"/>
      <c r="C33" s="136"/>
      <c r="D33" s="137"/>
      <c r="E33" s="138"/>
      <c r="F33" s="138"/>
      <c r="G33" s="139"/>
      <c r="H33" s="139"/>
      <c r="I33" s="140"/>
      <c r="J33" s="140"/>
      <c r="K33" s="140"/>
      <c r="L33" s="140"/>
      <c r="M33" s="140"/>
      <c r="N33" s="140"/>
      <c r="O33" s="136"/>
      <c r="P33" s="136"/>
      <c r="Q33" s="136"/>
      <c r="R33" s="136"/>
      <c r="S33" s="136"/>
      <c r="T33" s="140"/>
      <c r="U33" s="140"/>
      <c r="V33" s="141"/>
      <c r="W33" s="141"/>
      <c r="X33" s="142"/>
      <c r="Y33" s="143"/>
      <c r="Z33" s="181"/>
    </row>
    <row r="34" spans="1:26" s="170" customFormat="1" ht="14">
      <c r="A34" s="170" t="s">
        <v>13</v>
      </c>
      <c r="C34" s="302" t="s">
        <v>204</v>
      </c>
      <c r="D34" s="302"/>
      <c r="E34" s="302"/>
      <c r="F34" s="302"/>
      <c r="G34" s="302"/>
      <c r="H34" s="169" t="s">
        <v>14</v>
      </c>
      <c r="I34" s="145">
        <v>1</v>
      </c>
      <c r="J34" s="302" t="s">
        <v>213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s="170" customFormat="1" ht="14">
      <c r="A35"/>
      <c r="C35" s="303"/>
      <c r="D35" s="303"/>
      <c r="E35" s="303"/>
      <c r="F35" s="303"/>
      <c r="G35" s="303"/>
      <c r="H35" s="174"/>
      <c r="I35" s="145">
        <v>2</v>
      </c>
      <c r="J35" s="302" t="s">
        <v>107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s="170" customFormat="1" ht="14">
      <c r="A36" s="170" t="s">
        <v>49</v>
      </c>
      <c r="C36" s="302"/>
      <c r="D36" s="302"/>
      <c r="E36" s="302"/>
      <c r="F36" s="302"/>
      <c r="G36" s="302"/>
      <c r="H36" s="169"/>
      <c r="I36" s="170">
        <v>3</v>
      </c>
      <c r="J36" s="302" t="s">
        <v>115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s="4" customFormat="1" ht="14">
      <c r="A37"/>
      <c r="B37" s="168"/>
      <c r="C37" s="302"/>
      <c r="D37" s="302"/>
      <c r="E37" s="302"/>
      <c r="F37" s="302"/>
      <c r="G37" s="302"/>
      <c r="H37" s="169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</row>
    <row r="38" spans="1:26" s="4" customFormat="1" ht="14">
      <c r="A38"/>
      <c r="B38" s="170"/>
      <c r="C38" s="302"/>
      <c r="D38" s="302"/>
      <c r="E38" s="302"/>
      <c r="F38" s="302"/>
      <c r="G38" s="302"/>
      <c r="H38" s="147" t="s">
        <v>50</v>
      </c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spans="1:26" s="4" customFormat="1" ht="14">
      <c r="A39" s="1"/>
      <c r="B39" s="1"/>
      <c r="C39" s="146"/>
      <c r="D39" s="3"/>
      <c r="E39" s="3"/>
      <c r="F39" s="3"/>
      <c r="H39" s="147" t="s">
        <v>51</v>
      </c>
      <c r="I39" s="315" t="s">
        <v>110</v>
      </c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 spans="1:26" s="4" customFormat="1" ht="14">
      <c r="A40" s="170" t="s">
        <v>15</v>
      </c>
      <c r="B40" s="170"/>
      <c r="C40" s="302" t="s">
        <v>101</v>
      </c>
      <c r="D40" s="302"/>
      <c r="E40" s="302"/>
      <c r="F40" s="302"/>
      <c r="G40" s="302"/>
      <c r="H40" s="147" t="s">
        <v>52</v>
      </c>
      <c r="I40" s="315" t="s">
        <v>211</v>
      </c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spans="1:26" s="4" customFormat="1" ht="14">
      <c r="A41" s="1"/>
      <c r="B41" s="1"/>
      <c r="C41" s="302" t="s">
        <v>106</v>
      </c>
      <c r="D41" s="302"/>
      <c r="E41" s="302"/>
      <c r="F41" s="302"/>
      <c r="G41" s="302"/>
      <c r="H41" s="169"/>
      <c r="I41" s="147"/>
      <c r="J41" s="170"/>
      <c r="K41" s="148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4">
      <c r="A42" s="170" t="s">
        <v>53</v>
      </c>
      <c r="B42" s="170"/>
      <c r="C42" s="302" t="s">
        <v>100</v>
      </c>
      <c r="D42" s="302"/>
      <c r="E42" s="302"/>
      <c r="F42" s="302"/>
      <c r="G42" s="302"/>
      <c r="H42" s="147" t="s">
        <v>18</v>
      </c>
      <c r="I42" s="315" t="s">
        <v>214</v>
      </c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spans="1:26" s="4" customFormat="1" ht="14">
      <c r="A43" s="1"/>
      <c r="B43" s="1"/>
      <c r="C43" s="302"/>
      <c r="D43" s="302"/>
      <c r="E43" s="302"/>
      <c r="F43" s="302"/>
      <c r="G43" s="302"/>
      <c r="H43" s="169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spans="1:26" s="4" customFormat="1">
      <c r="A44" s="149" t="s">
        <v>17</v>
      </c>
      <c r="B44" s="150" t="s">
        <v>63</v>
      </c>
      <c r="C44" s="150"/>
      <c r="D44" s="151"/>
      <c r="E44" s="151"/>
      <c r="F44" s="151"/>
      <c r="G44" s="152"/>
      <c r="H44" s="152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</row>
    <row r="45" spans="1:26" s="4" customFormat="1">
      <c r="A45" s="1"/>
      <c r="B45" s="1"/>
      <c r="C45" s="150"/>
      <c r="D45" s="3"/>
      <c r="E45" s="3"/>
      <c r="F45" s="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</row>
    <row r="46" spans="1:26" s="4" customFormat="1">
      <c r="A46" s="1"/>
      <c r="B46" s="1"/>
      <c r="C46" s="2"/>
      <c r="D46" s="3"/>
      <c r="E46" s="3"/>
      <c r="F46" s="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</row>
    <row r="47" spans="1:26">
      <c r="K47" s="153"/>
    </row>
    <row r="48" spans="1:26">
      <c r="K48" s="1"/>
    </row>
    <row r="49" spans="11:11">
      <c r="K49" s="1"/>
    </row>
    <row r="50" spans="11:11">
      <c r="K50" s="1"/>
    </row>
  </sheetData>
  <mergeCells count="70">
    <mergeCell ref="C43:G43"/>
    <mergeCell ref="I43:Z43"/>
    <mergeCell ref="I44:Z44"/>
    <mergeCell ref="I45:Z45"/>
    <mergeCell ref="I46:Z46"/>
    <mergeCell ref="C40:G40"/>
    <mergeCell ref="I40:Z40"/>
    <mergeCell ref="C41:G41"/>
    <mergeCell ref="C42:G42"/>
    <mergeCell ref="I42:Z42"/>
    <mergeCell ref="C37:G37"/>
    <mergeCell ref="C38:G38"/>
    <mergeCell ref="I38:Z38"/>
    <mergeCell ref="J37:Z37"/>
    <mergeCell ref="I39:Z39"/>
    <mergeCell ref="C36:G36"/>
    <mergeCell ref="J36:Z36"/>
    <mergeCell ref="I26:K26"/>
    <mergeCell ref="L26:N26"/>
    <mergeCell ref="Q26:R26"/>
    <mergeCell ref="C35:G35"/>
    <mergeCell ref="J35:Z35"/>
    <mergeCell ref="I28:K28"/>
    <mergeCell ref="L28:N28"/>
    <mergeCell ref="Q28:R28"/>
    <mergeCell ref="I30:K30"/>
    <mergeCell ref="L30:N30"/>
    <mergeCell ref="Q30:R30"/>
    <mergeCell ref="I32:K32"/>
    <mergeCell ref="L32:N32"/>
    <mergeCell ref="Q32:R32"/>
    <mergeCell ref="C34:G34"/>
    <mergeCell ref="J34:Z34"/>
    <mergeCell ref="I22:K22"/>
    <mergeCell ref="L22:N22"/>
    <mergeCell ref="Q22:R22"/>
    <mergeCell ref="I24:K24"/>
    <mergeCell ref="L24:N24"/>
    <mergeCell ref="Q24:R24"/>
    <mergeCell ref="I18:K18"/>
    <mergeCell ref="L18:N18"/>
    <mergeCell ref="Q18:R18"/>
    <mergeCell ref="I20:K20"/>
    <mergeCell ref="L20:N20"/>
    <mergeCell ref="Q20:R20"/>
    <mergeCell ref="Q12:R12"/>
    <mergeCell ref="I14:K14"/>
    <mergeCell ref="L14:N14"/>
    <mergeCell ref="Q14:R14"/>
    <mergeCell ref="I16:K16"/>
    <mergeCell ref="L16:N16"/>
    <mergeCell ref="Q16:R16"/>
    <mergeCell ref="I12:K12"/>
    <mergeCell ref="L12:N12"/>
    <mergeCell ref="G2:R2"/>
    <mergeCell ref="G3:R3"/>
    <mergeCell ref="I7:K7"/>
    <mergeCell ref="L7:N7"/>
    <mergeCell ref="O7:R7"/>
    <mergeCell ref="S3:Z3"/>
    <mergeCell ref="A5:B5"/>
    <mergeCell ref="C5:G5"/>
    <mergeCell ref="I5:N5"/>
    <mergeCell ref="P5:T5"/>
    <mergeCell ref="V5:W5"/>
    <mergeCell ref="I10:K10"/>
    <mergeCell ref="L10:N10"/>
    <mergeCell ref="Q10:R10"/>
    <mergeCell ref="I8:K8"/>
    <mergeCell ref="L8:N8"/>
  </mergeCells>
  <conditionalFormatting sqref="M21:N21">
    <cfRule type="cellIs" dxfId="123" priority="49" stopIfTrue="1" operator="between">
      <formula>1</formula>
      <formula>300</formula>
    </cfRule>
    <cfRule type="cellIs" dxfId="122" priority="50" stopIfTrue="1" operator="lessThanOrEqual">
      <formula>0</formula>
    </cfRule>
  </conditionalFormatting>
  <conditionalFormatting sqref="I23:N23">
    <cfRule type="cellIs" dxfId="121" priority="47" stopIfTrue="1" operator="between">
      <formula>1</formula>
      <formula>300</formula>
    </cfRule>
    <cfRule type="cellIs" dxfId="120" priority="48" stopIfTrue="1" operator="lessThanOrEqual">
      <formula>0</formula>
    </cfRule>
  </conditionalFormatting>
  <conditionalFormatting sqref="I25:N25">
    <cfRule type="cellIs" dxfId="119" priority="45" stopIfTrue="1" operator="between">
      <formula>1</formula>
      <formula>300</formula>
    </cfRule>
    <cfRule type="cellIs" dxfId="118" priority="46" stopIfTrue="1" operator="lessThanOrEqual">
      <formula>0</formula>
    </cfRule>
  </conditionalFormatting>
  <conditionalFormatting sqref="I27:N27">
    <cfRule type="cellIs" dxfId="117" priority="43" stopIfTrue="1" operator="between">
      <formula>1</formula>
      <formula>300</formula>
    </cfRule>
    <cfRule type="cellIs" dxfId="116" priority="44" stopIfTrue="1" operator="lessThanOrEqual">
      <formula>0</formula>
    </cfRule>
  </conditionalFormatting>
  <conditionalFormatting sqref="I29:N29">
    <cfRule type="cellIs" dxfId="115" priority="41" stopIfTrue="1" operator="between">
      <formula>1</formula>
      <formula>300</formula>
    </cfRule>
    <cfRule type="cellIs" dxfId="114" priority="42" stopIfTrue="1" operator="lessThanOrEqual">
      <formula>0</formula>
    </cfRule>
  </conditionalFormatting>
  <conditionalFormatting sqref="I31:N31">
    <cfRule type="cellIs" dxfId="113" priority="39" stopIfTrue="1" operator="between">
      <formula>1</formula>
      <formula>300</formula>
    </cfRule>
    <cfRule type="cellIs" dxfId="112" priority="40" stopIfTrue="1" operator="lessThanOrEqual">
      <formula>0</formula>
    </cfRule>
  </conditionalFormatting>
  <conditionalFormatting sqref="I13:N13">
    <cfRule type="cellIs" dxfId="111" priority="9" stopIfTrue="1" operator="between">
      <formula>1</formula>
      <formula>300</formula>
    </cfRule>
    <cfRule type="cellIs" dxfId="110" priority="10" stopIfTrue="1" operator="lessThanOrEqual">
      <formula>0</formula>
    </cfRule>
  </conditionalFormatting>
  <conditionalFormatting sqref="I9:N9">
    <cfRule type="cellIs" dxfId="109" priority="7" stopIfTrue="1" operator="between">
      <formula>1</formula>
      <formula>300</formula>
    </cfRule>
    <cfRule type="cellIs" dxfId="108" priority="8" stopIfTrue="1" operator="lessThanOrEqual">
      <formula>0</formula>
    </cfRule>
  </conditionalFormatting>
  <conditionalFormatting sqref="I19:N19">
    <cfRule type="cellIs" dxfId="107" priority="15" stopIfTrue="1" operator="between">
      <formula>1</formula>
      <formula>300</formula>
    </cfRule>
    <cfRule type="cellIs" dxfId="106" priority="16" stopIfTrue="1" operator="lessThanOrEqual">
      <formula>0</formula>
    </cfRule>
  </conditionalFormatting>
  <conditionalFormatting sqref="I17:N17">
    <cfRule type="cellIs" dxfId="105" priority="3" stopIfTrue="1" operator="between">
      <formula>1</formula>
      <formula>300</formula>
    </cfRule>
    <cfRule type="cellIs" dxfId="104" priority="4" stopIfTrue="1" operator="lessThanOrEqual">
      <formula>0</formula>
    </cfRule>
  </conditionalFormatting>
  <conditionalFormatting sqref="I15:N15">
    <cfRule type="cellIs" dxfId="103" priority="1" stopIfTrue="1" operator="between">
      <formula>1</formula>
      <formula>300</formula>
    </cfRule>
    <cfRule type="cellIs" dxfId="102" priority="2" stopIfTrue="1" operator="lessThanOrEqual">
      <formula>0</formula>
    </cfRule>
  </conditionalFormatting>
  <conditionalFormatting sqref="I11:N11">
    <cfRule type="cellIs" dxfId="101" priority="5" stopIfTrue="1" operator="between">
      <formula>1</formula>
      <formula>300</formula>
    </cfRule>
    <cfRule type="cellIs" dxfId="100" priority="6" stopIfTrue="1" operator="lessThanOrEqual">
      <formula>0</formula>
    </cfRule>
  </conditionalFormatting>
  <dataValidations count="3">
    <dataValidation type="list" allowBlank="1" showInputMessage="1" showErrorMessage="1" errorTitle="Feil_i_vektklasse" error="Feil verddi i vektklasse" sqref="A9 A11 A25 A15 A17 A19 A29 A23 A13 A27 A31 A21" xr:uid="{3C8CE5AD-09F7-A34D-B568-2163DDFDF093}">
      <formula1>"40,45,49,55,59,64,71,76,81,+81,81+,87,+87,87+,49,55,61,67,73,81,89,96,102,+102,102+,109,+109,109+"</formula1>
    </dataValidation>
    <dataValidation type="list" allowBlank="1" showInputMessage="1" showErrorMessage="1" errorTitle="Feil_i_kat.v.løft" error="Feil verdi i kategori vektløfting" sqref="C9 C29 C27 C19 C13 C17 C25 C31 C23 C11 C15 C21" xr:uid="{D9C7A5FD-C24B-1A45-8C10-A93955B13265}">
      <formula1>"UM,JM,SM,UK,JK,SK,M1,M2,M3,M4,M5,M6,M7,M8,M9,M10,K1,K2,K3,K4,K5,K6,K7,K8,K9,K10"</formula1>
    </dataValidation>
    <dataValidation type="list" allowBlank="1" showInputMessage="1" showErrorMessage="1" errorTitle="Feil_i_kat. 5-kamp" error="Feil verdi i kategori 5-kamp" sqref="D9 D19 D11 D13 D15 D17 D29 D21 D23 D25 D27 D31" xr:uid="{4B27A9CF-6683-7E41-AB66-CEB7511F80EF}">
      <formula1>"13-14,15-16,17-18,19-23,24-34,+35,35+"</formula1>
    </dataValidation>
  </dataValidations>
  <pageMargins left="0.27559055118110198" right="0.27559055118110198" top="0.27559055118110198" bottom="0.27559055118110198" header="0.511811023622047" footer="0.511811023622047"/>
  <pageSetup paperSize="9" scale="60" orientation="landscape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2089-EAED-EF4D-9050-65983706C036}">
  <sheetPr>
    <pageSetUpPr fitToPage="1"/>
  </sheetPr>
  <dimension ref="A1:AG50"/>
  <sheetViews>
    <sheetView showGridLines="0" showRowColHeaders="0" showZeros="0" topLeftCell="C3" zoomScaleNormal="100" workbookViewId="0">
      <selection activeCell="X29" sqref="X29"/>
    </sheetView>
  </sheetViews>
  <sheetFormatPr baseColWidth="10" defaultColWidth="9.1640625" defaultRowHeight="13"/>
  <cols>
    <col min="1" max="1" width="7" style="7" customWidth="1"/>
    <col min="2" max="2" width="8" style="7" customWidth="1"/>
    <col min="3" max="3" width="5.83203125" style="7" customWidth="1"/>
    <col min="4" max="4" width="7.6640625" style="7" customWidth="1"/>
    <col min="5" max="5" width="10.6640625" style="7" customWidth="1"/>
    <col min="6" max="6" width="4.33203125" style="7" customWidth="1"/>
    <col min="7" max="7" width="27.83203125" customWidth="1"/>
    <col min="8" max="8" width="20.6640625" customWidth="1"/>
    <col min="9" max="17" width="6.83203125" style="7" customWidth="1"/>
    <col min="18" max="21" width="8" style="7" customWidth="1"/>
    <col min="22" max="22" width="9" style="7" customWidth="1"/>
    <col min="23" max="24" width="8" style="7" customWidth="1"/>
    <col min="25" max="25" width="4.6640625" style="7" customWidth="1"/>
    <col min="26" max="26" width="5" style="7" customWidth="1"/>
    <col min="27" max="27" width="9.33203125" hidden="1" customWidth="1"/>
    <col min="28" max="33" width="0" hidden="1" customWidth="1"/>
  </cols>
  <sheetData>
    <row r="1" spans="1:33" ht="13" customHeight="1">
      <c r="H1" s="7"/>
      <c r="Z1"/>
    </row>
    <row r="2" spans="1:33" ht="72.75" customHeight="1">
      <c r="G2" s="293" t="s">
        <v>54</v>
      </c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U2" s="87" t="s">
        <v>59</v>
      </c>
      <c r="Z2"/>
    </row>
    <row r="3" spans="1:33" ht="29">
      <c r="E3" s="88"/>
      <c r="G3" s="294" t="s">
        <v>22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304" t="s">
        <v>60</v>
      </c>
      <c r="T3" s="304"/>
      <c r="U3" s="304"/>
      <c r="V3" s="304"/>
      <c r="W3" s="304"/>
      <c r="X3" s="304"/>
      <c r="Y3" s="304"/>
      <c r="Z3" s="304"/>
    </row>
    <row r="4" spans="1:33">
      <c r="H4" s="7"/>
      <c r="Z4"/>
    </row>
    <row r="5" spans="1:33" ht="15" customHeight="1">
      <c r="A5" s="300" t="s">
        <v>21</v>
      </c>
      <c r="B5" s="300"/>
      <c r="C5" s="301" t="s">
        <v>127</v>
      </c>
      <c r="D5" s="301"/>
      <c r="E5" s="301"/>
      <c r="F5" s="301"/>
      <c r="G5" s="301"/>
      <c r="H5" s="190" t="s">
        <v>0</v>
      </c>
      <c r="I5" s="305" t="s">
        <v>94</v>
      </c>
      <c r="J5" s="305"/>
      <c r="K5" s="305"/>
      <c r="L5" s="305"/>
      <c r="M5" s="305"/>
      <c r="N5" s="305"/>
      <c r="O5" s="190" t="s">
        <v>1</v>
      </c>
      <c r="P5" s="306" t="s">
        <v>117</v>
      </c>
      <c r="Q5" s="306"/>
      <c r="R5" s="306"/>
      <c r="S5" s="306"/>
      <c r="T5" s="306"/>
      <c r="U5" s="90" t="s">
        <v>2</v>
      </c>
      <c r="V5" s="307">
        <v>44450</v>
      </c>
      <c r="W5" s="307"/>
      <c r="X5" s="91" t="s">
        <v>20</v>
      </c>
      <c r="Y5" s="92">
        <v>6</v>
      </c>
      <c r="Z5"/>
    </row>
    <row r="6" spans="1:33" ht="13.75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3"/>
      <c r="X6" s="9"/>
      <c r="Y6" s="9"/>
      <c r="Z6"/>
      <c r="AB6" s="4"/>
      <c r="AC6" s="4"/>
      <c r="AD6" s="4"/>
      <c r="AE6" s="187" t="s">
        <v>67</v>
      </c>
      <c r="AF6" s="187" t="s">
        <v>67</v>
      </c>
      <c r="AG6" s="187" t="s">
        <v>67</v>
      </c>
    </row>
    <row r="7" spans="1:33" s="21" customFormat="1" ht="15" customHeight="1">
      <c r="A7" s="94" t="s">
        <v>3</v>
      </c>
      <c r="B7" s="195" t="s">
        <v>4</v>
      </c>
      <c r="C7" s="194" t="s">
        <v>23</v>
      </c>
      <c r="D7" s="97" t="s">
        <v>23</v>
      </c>
      <c r="E7" s="193" t="s">
        <v>5</v>
      </c>
      <c r="F7" s="193" t="s">
        <v>24</v>
      </c>
      <c r="G7" s="193" t="s">
        <v>6</v>
      </c>
      <c r="H7" s="193" t="s">
        <v>7</v>
      </c>
      <c r="I7" s="308" t="s">
        <v>8</v>
      </c>
      <c r="J7" s="309"/>
      <c r="K7" s="310"/>
      <c r="L7" s="308" t="s">
        <v>9</v>
      </c>
      <c r="M7" s="309"/>
      <c r="N7" s="310"/>
      <c r="O7" s="311" t="s">
        <v>25</v>
      </c>
      <c r="P7" s="312"/>
      <c r="Q7" s="312"/>
      <c r="R7" s="312"/>
      <c r="S7" s="99" t="s">
        <v>10</v>
      </c>
      <c r="T7" s="100" t="s">
        <v>61</v>
      </c>
      <c r="U7" s="100" t="s">
        <v>27</v>
      </c>
      <c r="V7" s="100" t="s">
        <v>28</v>
      </c>
      <c r="W7" s="193" t="s">
        <v>56</v>
      </c>
      <c r="X7" s="101" t="s">
        <v>29</v>
      </c>
      <c r="Y7" s="101" t="s">
        <v>30</v>
      </c>
      <c r="Z7" s="11" t="s">
        <v>31</v>
      </c>
      <c r="AB7" s="1"/>
      <c r="AC7" s="1"/>
      <c r="AD7" s="1"/>
      <c r="AE7" s="188" t="s">
        <v>68</v>
      </c>
      <c r="AF7" s="188" t="s">
        <v>68</v>
      </c>
      <c r="AG7" s="188" t="s">
        <v>68</v>
      </c>
    </row>
    <row r="8" spans="1:33" s="21" customFormat="1" ht="15" customHeight="1" thickBot="1">
      <c r="A8" s="102" t="s">
        <v>11</v>
      </c>
      <c r="B8" s="103" t="s">
        <v>12</v>
      </c>
      <c r="C8" s="104" t="s">
        <v>32</v>
      </c>
      <c r="D8" s="105" t="s">
        <v>29</v>
      </c>
      <c r="E8" s="106" t="s">
        <v>19</v>
      </c>
      <c r="F8" s="106" t="s">
        <v>62</v>
      </c>
      <c r="G8" s="189"/>
      <c r="H8" s="189"/>
      <c r="I8" s="295" t="s">
        <v>34</v>
      </c>
      <c r="J8" s="296"/>
      <c r="K8" s="297"/>
      <c r="L8" s="295" t="s">
        <v>34</v>
      </c>
      <c r="M8" s="296"/>
      <c r="N8" s="297"/>
      <c r="O8" s="108" t="s">
        <v>8</v>
      </c>
      <c r="P8" s="103" t="s">
        <v>9</v>
      </c>
      <c r="Q8" s="109" t="s">
        <v>35</v>
      </c>
      <c r="R8" s="104" t="s">
        <v>10</v>
      </c>
      <c r="S8" s="108" t="s">
        <v>55</v>
      </c>
      <c r="T8" s="110" t="s">
        <v>10</v>
      </c>
      <c r="U8" s="110" t="s">
        <v>10</v>
      </c>
      <c r="V8" s="110" t="s">
        <v>10</v>
      </c>
      <c r="W8" s="106" t="s">
        <v>57</v>
      </c>
      <c r="X8" s="111" t="s">
        <v>36</v>
      </c>
      <c r="Y8" s="111"/>
      <c r="Z8" s="12"/>
      <c r="AB8" s="1" t="s">
        <v>69</v>
      </c>
      <c r="AC8" s="1" t="s">
        <v>58</v>
      </c>
      <c r="AD8" s="3" t="s">
        <v>55</v>
      </c>
      <c r="AE8" s="188" t="s">
        <v>70</v>
      </c>
      <c r="AF8" s="188" t="s">
        <v>71</v>
      </c>
      <c r="AG8" s="188" t="s">
        <v>72</v>
      </c>
    </row>
    <row r="9" spans="1:33" s="21" customFormat="1" ht="18" customHeight="1">
      <c r="A9" s="252" t="s">
        <v>93</v>
      </c>
      <c r="B9" s="224">
        <v>66.84</v>
      </c>
      <c r="C9" s="225" t="s">
        <v>128</v>
      </c>
      <c r="D9" s="253" t="s">
        <v>142</v>
      </c>
      <c r="E9" s="254">
        <v>37999</v>
      </c>
      <c r="F9" s="255"/>
      <c r="G9" s="256" t="s">
        <v>143</v>
      </c>
      <c r="H9" s="256" t="s">
        <v>91</v>
      </c>
      <c r="I9" s="258">
        <v>73</v>
      </c>
      <c r="J9" s="259">
        <v>-77</v>
      </c>
      <c r="K9" s="259">
        <v>78</v>
      </c>
      <c r="L9" s="258">
        <v>90</v>
      </c>
      <c r="M9" s="259">
        <v>95</v>
      </c>
      <c r="N9" s="259">
        <v>97</v>
      </c>
      <c r="O9" s="115">
        <f>IF(MAX(I9:K9)&gt;0,IF(MAX(I9:K9)&lt;0,0,TRUNC(MAX(I9:K9)/1)*1),"")</f>
        <v>78</v>
      </c>
      <c r="P9" s="116">
        <f>IF(MAX(L9:N9)&gt;0,IF(MAX(L9:N9)&lt;0,0,TRUNC(MAX(L9:N9)/1)*1),"")</f>
        <v>97</v>
      </c>
      <c r="Q9" s="117">
        <f>IF(O9="","",IF(P9="","",IF(SUM(O9:P9)=0,"",SUM(O9:P9))))</f>
        <v>175</v>
      </c>
      <c r="R9" s="118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237.25449804932896</v>
      </c>
      <c r="S9" s="119" t="str">
        <f>IF(AD9=1,R9*AG9,"")</f>
        <v/>
      </c>
      <c r="T9" s="73">
        <f>IF('K6'!G7="","",'K6'!G7)</f>
        <v>8.02</v>
      </c>
      <c r="U9" s="73">
        <f>IF('K6'!K7="","",'K6'!K7)</f>
        <v>10.6</v>
      </c>
      <c r="V9" s="73">
        <f>IF('K6'!N7="","",'K6'!N7)</f>
        <v>6.41</v>
      </c>
      <c r="W9" s="120"/>
      <c r="X9" s="121"/>
      <c r="Y9" s="122"/>
      <c r="Z9" s="77"/>
      <c r="AA9" s="123">
        <f>V5</f>
        <v>44450</v>
      </c>
      <c r="AB9" s="177" t="str">
        <f>IF(ISNUMBER(FIND("M",C9)),"m",IF(ISNUMBER(FIND("K",C9)),"k"))</f>
        <v>m</v>
      </c>
      <c r="AC9" s="178">
        <f>IF(OR(E9="",AA9=""),0,(YEAR(AA9)-YEAR(E9)))</f>
        <v>17</v>
      </c>
      <c r="AD9" s="179" t="str">
        <f>IF(AC9&gt;34,1,"")</f>
        <v/>
      </c>
      <c r="AE9" s="180" t="b">
        <f>IF(AD9=1,LOOKUP(AC9,'Meltzer-Faber'!A3:A63,'Meltzer-Faber'!B3:B63))</f>
        <v>0</v>
      </c>
      <c r="AF9" s="180" t="b">
        <f>IF(AD9=1,LOOKUP(AC9,'Meltzer-Faber'!A3:A63,'Meltzer-Faber'!C3:C63))</f>
        <v>0</v>
      </c>
      <c r="AG9" s="180" t="b">
        <f>IF(AB9="m",AE9,IF(AB9="k",AF9,""))</f>
        <v>0</v>
      </c>
    </row>
    <row r="10" spans="1:33" s="21" customFormat="1" ht="18" customHeight="1">
      <c r="A10" s="124"/>
      <c r="B10" s="125"/>
      <c r="C10" s="126"/>
      <c r="D10" s="127"/>
      <c r="E10" s="128"/>
      <c r="F10" s="260"/>
      <c r="G10" s="74"/>
      <c r="H10" s="74"/>
      <c r="I10" s="298"/>
      <c r="J10" s="289"/>
      <c r="K10" s="299"/>
      <c r="L10" s="286"/>
      <c r="M10" s="287"/>
      <c r="N10" s="288"/>
      <c r="O10" s="126"/>
      <c r="P10" s="130"/>
      <c r="Q10" s="289">
        <f>IF(R9="","",R9*1.2)</f>
        <v>284.70539765919472</v>
      </c>
      <c r="R10" s="289"/>
      <c r="S10" s="131"/>
      <c r="T10" s="132">
        <f>IF(T9="","",T9*20)</f>
        <v>160.39999999999998</v>
      </c>
      <c r="U10" s="132">
        <f>IF(U9="","",U9*13)</f>
        <v>137.79999999999998</v>
      </c>
      <c r="V10" s="78">
        <f>IF(V9="","",IF((80+(8-ROUNDUP(V9,1))*40)&lt;0,0,80+(8-ROUNDUP(V9,1))*40))</f>
        <v>140</v>
      </c>
      <c r="W10" s="78">
        <f>IF(SUM(T10,U10,V10)&gt;0,SUM(T10,U10,V10),"")</f>
        <v>438.19999999999993</v>
      </c>
      <c r="X10" s="133">
        <f>IF(OR(Q10="",T10="",U10="",V10=""),"",SUM(Q10,T10,U10,V10))</f>
        <v>722.9053976591947</v>
      </c>
      <c r="Y10" s="79">
        <v>2</v>
      </c>
      <c r="Z10" s="80"/>
      <c r="AA10" s="123"/>
      <c r="AB10" s="177"/>
      <c r="AC10" s="178"/>
      <c r="AD10" s="179"/>
      <c r="AE10" s="180"/>
      <c r="AF10" s="180"/>
      <c r="AG10" s="180"/>
    </row>
    <row r="11" spans="1:33" s="21" customFormat="1" ht="18" customHeight="1">
      <c r="A11" s="252" t="s">
        <v>89</v>
      </c>
      <c r="B11" s="224">
        <v>70.52</v>
      </c>
      <c r="C11" s="225" t="s">
        <v>128</v>
      </c>
      <c r="D11" s="253" t="s">
        <v>142</v>
      </c>
      <c r="E11" s="254">
        <v>38219</v>
      </c>
      <c r="F11" s="255"/>
      <c r="G11" s="256" t="s">
        <v>144</v>
      </c>
      <c r="H11" s="256" t="s">
        <v>91</v>
      </c>
      <c r="I11" s="258">
        <v>40</v>
      </c>
      <c r="J11" s="259" t="s">
        <v>207</v>
      </c>
      <c r="K11" s="259" t="s">
        <v>207</v>
      </c>
      <c r="L11" s="258">
        <v>83</v>
      </c>
      <c r="M11" s="259">
        <v>87</v>
      </c>
      <c r="N11" s="259">
        <v>90</v>
      </c>
      <c r="O11" s="115">
        <f>IF(MAX(I11:K11)&gt;0,IF(MAX(I11:K11)&lt;0,0,TRUNC(MAX(I11:K11)/1)*1),"")</f>
        <v>40</v>
      </c>
      <c r="P11" s="116">
        <f>IF(MAX(L11:N11)&gt;0,IF(MAX(L11:N11)&lt;0,0,TRUNC(MAX(L11:N11)/1)*1),"")</f>
        <v>90</v>
      </c>
      <c r="Q11" s="117">
        <f>IF(O11="","",IF(P11="","",IF(SUM(O11:P11)=0,"",SUM(O11:P11))))</f>
        <v>130</v>
      </c>
      <c r="R11" s="118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170.54979475463597</v>
      </c>
      <c r="S11" s="119" t="str">
        <f>IF(AD11=1,R11*AG11,"")</f>
        <v/>
      </c>
      <c r="T11" s="73">
        <f>IF('K6'!G9="","",'K6'!G9)</f>
        <v>8.86</v>
      </c>
      <c r="U11" s="73">
        <f>IF('K6'!K9="","",'K6'!K9)</f>
        <v>10.15</v>
      </c>
      <c r="V11" s="73">
        <f>IF('K6'!N9="","",'K6'!N9)</f>
        <v>6.78</v>
      </c>
      <c r="W11" s="120"/>
      <c r="X11" s="121"/>
      <c r="Y11" s="134"/>
      <c r="Z11" s="75"/>
      <c r="AA11" s="123">
        <f>V5</f>
        <v>44450</v>
      </c>
      <c r="AB11" s="177" t="str">
        <f t="shared" ref="AB11" si="0">IF(ISNUMBER(FIND("M",C11)),"m",IF(ISNUMBER(FIND("K",C11)),"k"))</f>
        <v>m</v>
      </c>
      <c r="AC11" s="178">
        <f t="shared" ref="AC11" si="1">IF(OR(E11="",AA11=""),0,(YEAR(AA11)-YEAR(E11)))</f>
        <v>17</v>
      </c>
      <c r="AD11" s="179" t="str">
        <f t="shared" ref="AD11:AD31" si="2">IF(AC11&gt;34,1,"")</f>
        <v/>
      </c>
      <c r="AE11" s="180" t="b">
        <f>IF(AD11=1,LOOKUP(AC11,'Meltzer-Faber'!A3:A63,'Meltzer-Faber'!B3:B63))</f>
        <v>0</v>
      </c>
      <c r="AF11" s="180" t="b">
        <f>IF(AD11=1,LOOKUP(AC11,'Meltzer-Faber'!A3:A63,'Meltzer-Faber'!C3:C63))</f>
        <v>0</v>
      </c>
      <c r="AG11" s="180" t="b">
        <f t="shared" ref="AG11" si="3">IF(AB11="m",AE11,IF(AB11="k",AF11,""))</f>
        <v>0</v>
      </c>
    </row>
    <row r="12" spans="1:33" s="21" customFormat="1" ht="18" customHeight="1">
      <c r="A12" s="124"/>
      <c r="B12" s="125"/>
      <c r="C12" s="126"/>
      <c r="D12" s="127"/>
      <c r="E12" s="128"/>
      <c r="F12" s="260"/>
      <c r="G12" s="74"/>
      <c r="H12" s="74"/>
      <c r="I12" s="298"/>
      <c r="J12" s="289"/>
      <c r="K12" s="299"/>
      <c r="L12" s="286"/>
      <c r="M12" s="287"/>
      <c r="N12" s="288"/>
      <c r="O12" s="126"/>
      <c r="P12" s="130"/>
      <c r="Q12" s="289">
        <f>IF(R11="","",R11*1.2)</f>
        <v>204.65975370556316</v>
      </c>
      <c r="R12" s="289"/>
      <c r="S12" s="131"/>
      <c r="T12" s="132">
        <f>IF(T11="","",T11*20)</f>
        <v>177.2</v>
      </c>
      <c r="U12" s="132">
        <f>IF(U11="","",U11*13)</f>
        <v>131.95000000000002</v>
      </c>
      <c r="V12" s="78">
        <f>IF(V11="","",IF((80+(8-ROUNDUP(V11,1))*40)&lt;0,0,80+(8-ROUNDUP(V11,1))*40))</f>
        <v>128</v>
      </c>
      <c r="W12" s="78">
        <f>IF(SUM(T12,U12,V12)&gt;0,SUM(T12,U12,V12),"")</f>
        <v>437.15</v>
      </c>
      <c r="X12" s="133">
        <f>IF(OR(Q12="",T12="",U12="",V12=""),"",SUM(Q12,T12,U12,V12))</f>
        <v>641.80975370556314</v>
      </c>
      <c r="Y12" s="79">
        <v>3</v>
      </c>
      <c r="Z12" s="80"/>
      <c r="AA12" s="123"/>
    </row>
    <row r="13" spans="1:33" s="21" customFormat="1" ht="18" customHeight="1">
      <c r="A13" s="252" t="s">
        <v>95</v>
      </c>
      <c r="B13" s="224">
        <v>80.77</v>
      </c>
      <c r="C13" s="225" t="s">
        <v>128</v>
      </c>
      <c r="D13" s="253" t="s">
        <v>142</v>
      </c>
      <c r="E13" s="254">
        <v>38067</v>
      </c>
      <c r="F13" s="255"/>
      <c r="G13" s="256" t="s">
        <v>145</v>
      </c>
      <c r="H13" s="223" t="s">
        <v>85</v>
      </c>
      <c r="I13" s="258">
        <v>97</v>
      </c>
      <c r="J13" s="259">
        <v>101</v>
      </c>
      <c r="K13" s="259">
        <v>-103</v>
      </c>
      <c r="L13" s="258">
        <v>125</v>
      </c>
      <c r="M13" s="259">
        <v>130</v>
      </c>
      <c r="N13" s="259">
        <v>134</v>
      </c>
      <c r="O13" s="115">
        <f>IF(MAX(I13:K13)&gt;0,IF(MAX(I13:K13)&lt;0,0,TRUNC(MAX(I13:K13)/1)*1),"")</f>
        <v>101</v>
      </c>
      <c r="P13" s="116">
        <f>IF(MAX(L13:N13)&gt;0,IF(MAX(L13:N13)&lt;0,0,TRUNC(MAX(L13:N13)/1)*1),"")</f>
        <v>134</v>
      </c>
      <c r="Q13" s="117">
        <f>IF(O13="","",IF(P13="","",IF(SUM(O13:P13)=0,"",SUM(O13:P13))))</f>
        <v>235</v>
      </c>
      <c r="R13" s="118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286.08115150922697</v>
      </c>
      <c r="S13" s="119" t="str">
        <f>IF(AD13=1,R13*AG13,"")</f>
        <v/>
      </c>
      <c r="T13" s="73">
        <f>IF('K6'!G11="","",'K6'!G11)</f>
        <v>8.76</v>
      </c>
      <c r="U13" s="73">
        <f>IF('K6'!K11="","",'K6'!K11)</f>
        <v>11.44</v>
      </c>
      <c r="V13" s="73">
        <f>IF('K6'!N11="","",'K6'!N11)</f>
        <v>6.31</v>
      </c>
      <c r="W13" s="120"/>
      <c r="X13" s="121"/>
      <c r="Y13" s="134"/>
      <c r="Z13" s="75" t="s">
        <v>216</v>
      </c>
      <c r="AA13" s="123">
        <f>V5</f>
        <v>44450</v>
      </c>
      <c r="AB13" s="177" t="str">
        <f t="shared" ref="AB13" si="4">IF(ISNUMBER(FIND("M",C13)),"m",IF(ISNUMBER(FIND("K",C13)),"k"))</f>
        <v>m</v>
      </c>
      <c r="AC13" s="178">
        <f t="shared" ref="AC13" si="5">IF(OR(E13="",AA13=""),0,(YEAR(AA13)-YEAR(E13)))</f>
        <v>17</v>
      </c>
      <c r="AD13" s="179" t="str">
        <f t="shared" si="2"/>
        <v/>
      </c>
      <c r="AE13" s="180" t="b">
        <f>IF(AD13=1,LOOKUP(AC13,'Meltzer-Faber'!A3:A63,'Meltzer-Faber'!B3:B63))</f>
        <v>0</v>
      </c>
      <c r="AF13" s="180" t="b">
        <f>IF(AD13=1,LOOKUP(AC13,'Meltzer-Faber'!A3:A63,'Meltzer-Faber'!C3:C63))</f>
        <v>0</v>
      </c>
      <c r="AG13" s="180" t="b">
        <f t="shared" ref="AG13" si="6">IF(AB13="m",AE13,IF(AB13="k",AF13,""))</f>
        <v>0</v>
      </c>
    </row>
    <row r="14" spans="1:33" s="21" customFormat="1" ht="18" customHeight="1">
      <c r="A14" s="124"/>
      <c r="B14" s="125"/>
      <c r="C14" s="126"/>
      <c r="D14" s="127"/>
      <c r="E14" s="128"/>
      <c r="F14" s="260"/>
      <c r="G14" s="74"/>
      <c r="H14" s="74"/>
      <c r="I14" s="298"/>
      <c r="J14" s="289"/>
      <c r="K14" s="299"/>
      <c r="L14" s="286"/>
      <c r="M14" s="287"/>
      <c r="N14" s="288"/>
      <c r="O14" s="126"/>
      <c r="P14" s="130"/>
      <c r="Q14" s="289">
        <f>IF(R13="","",R13*1.2)</f>
        <v>343.29738181107234</v>
      </c>
      <c r="R14" s="289"/>
      <c r="S14" s="131"/>
      <c r="T14" s="132">
        <f>IF(T13="","",T13*20)</f>
        <v>175.2</v>
      </c>
      <c r="U14" s="132">
        <f>IF(U13="","",U13*13)</f>
        <v>148.72</v>
      </c>
      <c r="V14" s="78">
        <f>IF(V13="","",IF((80+(8-ROUNDUP(V13,1))*40)&lt;0,0,80+(8-ROUNDUP(V13,1))*40))</f>
        <v>144.00000000000003</v>
      </c>
      <c r="W14" s="78">
        <f>IF(SUM(T14,U14,V14)&gt;0,SUM(T14,U14,V14),"")</f>
        <v>467.91999999999996</v>
      </c>
      <c r="X14" s="133">
        <f>IF(OR(Q14="",T14="",U14="",V14=""),"",SUM(Q14,T14,U14,V14))</f>
        <v>811.2173818110723</v>
      </c>
      <c r="Y14" s="79">
        <v>1</v>
      </c>
      <c r="Z14" s="80"/>
      <c r="AA14" s="123"/>
    </row>
    <row r="15" spans="1:33" s="21" customFormat="1" ht="18" customHeight="1">
      <c r="A15" s="252" t="s">
        <v>93</v>
      </c>
      <c r="B15" s="224">
        <v>63.61</v>
      </c>
      <c r="C15" s="225" t="s">
        <v>146</v>
      </c>
      <c r="D15" s="225" t="s">
        <v>147</v>
      </c>
      <c r="E15" s="225" t="s">
        <v>148</v>
      </c>
      <c r="F15" s="255"/>
      <c r="G15" s="227" t="s">
        <v>149</v>
      </c>
      <c r="H15" s="263" t="s">
        <v>88</v>
      </c>
      <c r="I15" s="258">
        <v>92</v>
      </c>
      <c r="J15" s="259">
        <v>96</v>
      </c>
      <c r="K15" s="259">
        <v>100</v>
      </c>
      <c r="L15" s="258">
        <v>115</v>
      </c>
      <c r="M15" s="259">
        <v>120</v>
      </c>
      <c r="N15" s="259">
        <v>-125</v>
      </c>
      <c r="O15" s="115">
        <f>IF(MAX(I15:K15)&gt;0,IF(MAX(I15:K15)&lt;0,0,TRUNC(MAX(I15:K15)/1)*1),"")</f>
        <v>100</v>
      </c>
      <c r="P15" s="116">
        <f>IF(MAX(L15:N15)&gt;0,IF(MAX(L15:N15)&lt;0,0,TRUNC(MAX(L15:N15)/1)*1),"")</f>
        <v>120</v>
      </c>
      <c r="Q15" s="117">
        <f>IF(O15="","",IF(P15="","",IF(SUM(O15:P15)=0,"",SUM(O15:P15))))</f>
        <v>220</v>
      </c>
      <c r="R15" s="118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307.97127505156186</v>
      </c>
      <c r="S15" s="119" t="str">
        <f>IF(AD15=1,R15*AG15,"")</f>
        <v/>
      </c>
      <c r="T15" s="73">
        <f>IF('K6'!G13="","",'K6'!G13)</f>
        <v>8.8699999999999992</v>
      </c>
      <c r="U15" s="73">
        <f>IF('K6'!K13="","",'K6'!K13)</f>
        <v>12.93</v>
      </c>
      <c r="V15" s="73">
        <f>IF('K6'!N13="","",'K6'!N13)</f>
        <v>6.07</v>
      </c>
      <c r="W15" s="120"/>
      <c r="X15" s="121"/>
      <c r="Y15" s="134"/>
      <c r="Z15" s="75"/>
      <c r="AA15" s="123">
        <f>V5</f>
        <v>44450</v>
      </c>
      <c r="AB15" s="177" t="str">
        <f t="shared" ref="AB15" si="7">IF(ISNUMBER(FIND("M",C15)),"m",IF(ISNUMBER(FIND("K",C15)),"k"))</f>
        <v>m</v>
      </c>
      <c r="AC15" s="178">
        <f t="shared" ref="AC15" si="8">IF(OR(E15="",AA15=""),0,(YEAR(AA15)-YEAR(E15)))</f>
        <v>21</v>
      </c>
      <c r="AD15" s="179" t="str">
        <f t="shared" si="2"/>
        <v/>
      </c>
      <c r="AE15" s="180" t="b">
        <f>IF(AD15=1,LOOKUP(AC15,'Meltzer-Faber'!A3:A63,'Meltzer-Faber'!B3:B63))</f>
        <v>0</v>
      </c>
      <c r="AF15" s="180" t="b">
        <f>IF(AD15=1,LOOKUP(AC15,'Meltzer-Faber'!A3:A63,'Meltzer-Faber'!C3:C63))</f>
        <v>0</v>
      </c>
      <c r="AG15" s="180" t="b">
        <f t="shared" ref="AG15" si="9">IF(AB15="m",AE15,IF(AB15="k",AF15,""))</f>
        <v>0</v>
      </c>
    </row>
    <row r="16" spans="1:33" s="21" customFormat="1" ht="18" customHeight="1">
      <c r="A16" s="124"/>
      <c r="B16" s="125"/>
      <c r="C16" s="126"/>
      <c r="D16" s="127"/>
      <c r="E16" s="264"/>
      <c r="F16" s="260"/>
      <c r="G16" s="74"/>
      <c r="H16" s="74"/>
      <c r="I16" s="298"/>
      <c r="J16" s="289"/>
      <c r="K16" s="299"/>
      <c r="L16" s="286"/>
      <c r="M16" s="287"/>
      <c r="N16" s="288"/>
      <c r="O16" s="126"/>
      <c r="P16" s="130"/>
      <c r="Q16" s="289">
        <f>IF(R15="","",R15*1.2)</f>
        <v>369.5655300618742</v>
      </c>
      <c r="R16" s="289"/>
      <c r="S16" s="131"/>
      <c r="T16" s="132">
        <f>IF(T15="","",T15*20)</f>
        <v>177.39999999999998</v>
      </c>
      <c r="U16" s="132">
        <f>IF(U15="","",U15*13)</f>
        <v>168.09</v>
      </c>
      <c r="V16" s="78">
        <f>IF(V15="","",IF((80+(8-ROUNDUP(V15,1))*40)&lt;0,0,80+(8-ROUNDUP(V15,1))*40))</f>
        <v>156</v>
      </c>
      <c r="W16" s="78">
        <f>IF(SUM(T16,U16,V16)&gt;0,SUM(T16,U16,V16),"")</f>
        <v>501.49</v>
      </c>
      <c r="X16" s="133">
        <f>IF(OR(Q16="",T16="",U16="",V16=""),"",SUM(Q16,T16,U16,V16))</f>
        <v>871.05553006187426</v>
      </c>
      <c r="Y16" s="79">
        <v>2</v>
      </c>
      <c r="Z16" s="80"/>
      <c r="AA16" s="123"/>
    </row>
    <row r="17" spans="1:33" s="21" customFormat="1" ht="18" customHeight="1">
      <c r="A17" s="252" t="s">
        <v>89</v>
      </c>
      <c r="B17" s="224">
        <v>71.150000000000006</v>
      </c>
      <c r="C17" s="225" t="s">
        <v>146</v>
      </c>
      <c r="D17" s="261" t="s">
        <v>147</v>
      </c>
      <c r="E17" s="254">
        <v>36529</v>
      </c>
      <c r="F17" s="255"/>
      <c r="G17" s="256" t="s">
        <v>150</v>
      </c>
      <c r="H17" s="257" t="s">
        <v>98</v>
      </c>
      <c r="I17" s="258">
        <v>-92</v>
      </c>
      <c r="J17" s="259">
        <v>92</v>
      </c>
      <c r="K17" s="259">
        <v>101</v>
      </c>
      <c r="L17" s="258">
        <v>115</v>
      </c>
      <c r="M17" s="259">
        <v>122</v>
      </c>
      <c r="N17" s="259">
        <v>125</v>
      </c>
      <c r="O17" s="115">
        <f>IF(MAX(I17:K17)&gt;0,IF(MAX(I17:K17)&lt;0,0,TRUNC(MAX(I17:K17)/1)*1),"")</f>
        <v>101</v>
      </c>
      <c r="P17" s="116">
        <f>IF(MAX(L17:N17)&gt;0,IF(MAX(L17:N17)&lt;0,0,TRUNC(MAX(L17:N17)/1)*1),"")</f>
        <v>125</v>
      </c>
      <c r="Q17" s="117">
        <f>IF(O17="","",IF(P17="","",IF(SUM(O17:P17)=0,"",SUM(O17:P17))))</f>
        <v>226</v>
      </c>
      <c r="R17" s="118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>294.93564353053267</v>
      </c>
      <c r="S17" s="119" t="str">
        <f>IF(AD17=1,R17*AG17,"")</f>
        <v/>
      </c>
      <c r="T17" s="73">
        <f>IF('K6'!G15="","",'K6'!G15)</f>
        <v>8.64</v>
      </c>
      <c r="U17" s="73">
        <f>IF('K6'!K15="","",'K6'!K15)</f>
        <v>13.33</v>
      </c>
      <c r="V17" s="73">
        <f>IF('K6'!N15="","",'K6'!N15)</f>
        <v>5.98</v>
      </c>
      <c r="W17" s="120"/>
      <c r="X17" s="121"/>
      <c r="Y17" s="134"/>
      <c r="Z17" s="75"/>
      <c r="AA17" s="123">
        <f>V5</f>
        <v>44450</v>
      </c>
      <c r="AB17" s="177" t="str">
        <f t="shared" ref="AB17" si="10">IF(ISNUMBER(FIND("M",C17)),"m",IF(ISNUMBER(FIND("K",C17)),"k"))</f>
        <v>m</v>
      </c>
      <c r="AC17" s="178">
        <f t="shared" ref="AC17" si="11">IF(OR(E17="",AA17=""),0,(YEAR(AA17)-YEAR(E17)))</f>
        <v>21</v>
      </c>
      <c r="AD17" s="179" t="str">
        <f t="shared" si="2"/>
        <v/>
      </c>
      <c r="AE17" s="180" t="b">
        <f>IF(AD17=1,LOOKUP(AC17,'Meltzer-Faber'!A3:A63,'Meltzer-Faber'!B3:B63))</f>
        <v>0</v>
      </c>
      <c r="AF17" s="180" t="b">
        <f>IF(AD17=1,LOOKUP(AC17,'Meltzer-Faber'!A3:A63,'Meltzer-Faber'!C3:C63))</f>
        <v>0</v>
      </c>
      <c r="AG17" s="180" t="b">
        <f t="shared" ref="AG17" si="12">IF(AB17="m",AE17,IF(AB17="k",AF17,""))</f>
        <v>0</v>
      </c>
    </row>
    <row r="18" spans="1:33" s="21" customFormat="1" ht="18" customHeight="1">
      <c r="A18" s="124"/>
      <c r="B18" s="125"/>
      <c r="C18" s="126"/>
      <c r="D18" s="127"/>
      <c r="E18" s="128"/>
      <c r="F18" s="260"/>
      <c r="G18" s="74"/>
      <c r="H18" s="74"/>
      <c r="I18" s="298"/>
      <c r="J18" s="289"/>
      <c r="K18" s="299"/>
      <c r="L18" s="286"/>
      <c r="M18" s="287"/>
      <c r="N18" s="288"/>
      <c r="O18" s="126"/>
      <c r="P18" s="130"/>
      <c r="Q18" s="289">
        <f>IF(R17="","",R17*1.2)</f>
        <v>353.92277223663922</v>
      </c>
      <c r="R18" s="289"/>
      <c r="S18" s="131"/>
      <c r="T18" s="132">
        <f>IF(T17="","",T17*20)</f>
        <v>172.8</v>
      </c>
      <c r="U18" s="132">
        <f>IF(U17="","",U17*13)</f>
        <v>173.29</v>
      </c>
      <c r="V18" s="78">
        <f>IF(V17="","",IF((80+(8-ROUNDUP(V17,1))*40)&lt;0,0,80+(8-ROUNDUP(V17,1))*40))</f>
        <v>160</v>
      </c>
      <c r="W18" s="78">
        <f>IF(SUM(T18,U18,V18)&gt;0,SUM(T18,U18,V18),"")</f>
        <v>506.09000000000003</v>
      </c>
      <c r="X18" s="133">
        <f>IF(OR(Q18="",T18="",U18="",V18=""),"",SUM(Q18,T18,U18,V18))</f>
        <v>860.01277223663919</v>
      </c>
      <c r="Y18" s="79">
        <v>3</v>
      </c>
      <c r="Z18" s="80"/>
      <c r="AA18" s="123"/>
    </row>
    <row r="19" spans="1:33" s="21" customFormat="1" ht="18" customHeight="1">
      <c r="A19" s="252" t="s">
        <v>95</v>
      </c>
      <c r="B19" s="224">
        <v>75.150000000000006</v>
      </c>
      <c r="C19" s="225" t="s">
        <v>151</v>
      </c>
      <c r="D19" s="225" t="s">
        <v>147</v>
      </c>
      <c r="E19" s="225" t="s">
        <v>152</v>
      </c>
      <c r="F19" s="255"/>
      <c r="G19" s="227" t="s">
        <v>153</v>
      </c>
      <c r="H19" s="263" t="s">
        <v>92</v>
      </c>
      <c r="I19" s="258">
        <v>96</v>
      </c>
      <c r="J19" s="259">
        <v>100</v>
      </c>
      <c r="K19" s="259">
        <v>-103</v>
      </c>
      <c r="L19" s="258">
        <v>124</v>
      </c>
      <c r="M19" s="259">
        <v>129</v>
      </c>
      <c r="N19" s="259">
        <v>135</v>
      </c>
      <c r="O19" s="115">
        <f>IF(MAX(I19:K19)&gt;0,IF(MAX(I19:K19)&lt;0,0,TRUNC(MAX(I19:K19)/1)*1),"")</f>
        <v>100</v>
      </c>
      <c r="P19" s="116">
        <f>IF(MAX(L19:N19)&gt;0,IF(MAX(L19:N19)&lt;0,0,TRUNC(MAX(L19:N19)/1)*1),"")</f>
        <v>135</v>
      </c>
      <c r="Q19" s="117">
        <f>IF(O19="","",IF(P19="","",IF(SUM(O19:P19)=0,"",SUM(O19:P19))))</f>
        <v>235</v>
      </c>
      <c r="R19" s="118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>297.23708474627455</v>
      </c>
      <c r="S19" s="119" t="str">
        <f>IF(AD19=1,R19*AG19,"")</f>
        <v/>
      </c>
      <c r="T19" s="73">
        <f>IF('K6'!G17="","",'K6'!G17)</f>
        <v>8.06</v>
      </c>
      <c r="U19" s="73">
        <f>IF('K6'!K17="","",'K6'!K17)</f>
        <v>10.93</v>
      </c>
      <c r="V19" s="73">
        <f>IF('K6'!N17="","",'K6'!N17)</f>
        <v>6.42</v>
      </c>
      <c r="W19" s="120"/>
      <c r="X19" s="121"/>
      <c r="Y19" s="134"/>
      <c r="Z19" s="75"/>
      <c r="AA19" s="123">
        <f>V5</f>
        <v>44450</v>
      </c>
      <c r="AB19" s="177" t="str">
        <f t="shared" ref="AB19" si="13">IF(ISNUMBER(FIND("M",C19)),"m",IF(ISNUMBER(FIND("K",C19)),"k"))</f>
        <v>m</v>
      </c>
      <c r="AC19" s="178">
        <f t="shared" ref="AC19" si="14">IF(OR(E19="",AA19=""),0,(YEAR(AA19)-YEAR(E19)))</f>
        <v>20</v>
      </c>
      <c r="AD19" s="179" t="str">
        <f t="shared" si="2"/>
        <v/>
      </c>
      <c r="AE19" s="180" t="b">
        <f>IF(AD19=1,LOOKUP(AC19,'Meltzer-Faber'!A3:A63,'Meltzer-Faber'!B3:B63))</f>
        <v>0</v>
      </c>
      <c r="AF19" s="180" t="b">
        <f>IF(AD19=1,LOOKUP(AC19,'Meltzer-Faber'!A3:A63,'Meltzer-Faber'!C3:C63))</f>
        <v>0</v>
      </c>
      <c r="AG19" s="180" t="b">
        <f t="shared" ref="AG19" si="15">IF(AB19="m",AE19,IF(AB19="k",AF19,""))</f>
        <v>0</v>
      </c>
    </row>
    <row r="20" spans="1:33" s="21" customFormat="1" ht="18" customHeight="1">
      <c r="A20" s="124"/>
      <c r="B20" s="125"/>
      <c r="C20" s="126"/>
      <c r="D20" s="127"/>
      <c r="E20" s="264"/>
      <c r="F20" s="260"/>
      <c r="G20" s="74"/>
      <c r="H20" s="74"/>
      <c r="I20" s="298"/>
      <c r="J20" s="289"/>
      <c r="K20" s="299"/>
      <c r="L20" s="286"/>
      <c r="M20" s="287"/>
      <c r="N20" s="288"/>
      <c r="O20" s="126"/>
      <c r="P20" s="130"/>
      <c r="Q20" s="289">
        <f>IF(R19="","",R19*1.2)</f>
        <v>356.68450169552943</v>
      </c>
      <c r="R20" s="289"/>
      <c r="S20" s="131"/>
      <c r="T20" s="132">
        <f>IF(T19="","",T19*20)</f>
        <v>161.20000000000002</v>
      </c>
      <c r="U20" s="132">
        <f>IF(U19="","",U19*13)</f>
        <v>142.09</v>
      </c>
      <c r="V20" s="78">
        <f>IF(V19="","",IF((80+(8-ROUNDUP(V19,1))*40)&lt;0,0,80+(8-ROUNDUP(V19,1))*40))</f>
        <v>140</v>
      </c>
      <c r="W20" s="78">
        <f>IF(SUM(T20,U20,V20)&gt;0,SUM(T20,U20,V20),"")</f>
        <v>443.29</v>
      </c>
      <c r="X20" s="133">
        <f>IF(OR(Q20="",T20="",U20="",V20=""),"",SUM(Q20,T20,U20,V20))</f>
        <v>799.97450169552951</v>
      </c>
      <c r="Y20" s="79">
        <v>6</v>
      </c>
      <c r="Z20" s="80"/>
      <c r="AA20" s="123"/>
    </row>
    <row r="21" spans="1:33" s="21" customFormat="1" ht="18" customHeight="1">
      <c r="A21" s="265" t="s">
        <v>96</v>
      </c>
      <c r="B21" s="224">
        <v>85.82</v>
      </c>
      <c r="C21" s="225" t="s">
        <v>146</v>
      </c>
      <c r="D21" s="261" t="s">
        <v>147</v>
      </c>
      <c r="E21" s="254">
        <v>36748</v>
      </c>
      <c r="F21" s="255"/>
      <c r="G21" s="256" t="s">
        <v>154</v>
      </c>
      <c r="H21" s="223" t="s">
        <v>98</v>
      </c>
      <c r="I21" s="266">
        <v>105</v>
      </c>
      <c r="J21" s="267">
        <v>-111</v>
      </c>
      <c r="K21" s="267">
        <v>-112</v>
      </c>
      <c r="L21" s="266">
        <v>132</v>
      </c>
      <c r="M21" s="267">
        <v>138</v>
      </c>
      <c r="N21" s="267">
        <v>145</v>
      </c>
      <c r="O21" s="115">
        <f>IF(MAX(I21:K21)&gt;0,IF(MAX(I21:K21)&lt;0,0,TRUNC(MAX(I21:K21)/1)*1),"")</f>
        <v>105</v>
      </c>
      <c r="P21" s="116">
        <f>IF(MAX(L21:N21)&gt;0,IF(MAX(L21:N21)&lt;0,0,TRUNC(MAX(L21:N21)/1)*1),"")</f>
        <v>145</v>
      </c>
      <c r="Q21" s="117">
        <f>IF(O21="","",IF(P21="","",IF(SUM(O21:P21)=0,"",SUM(O21:P21))))</f>
        <v>250</v>
      </c>
      <c r="R21" s="118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>295.48304576650668</v>
      </c>
      <c r="S21" s="119" t="str">
        <f>IF(AD21=1,R21*AG21,"")</f>
        <v/>
      </c>
      <c r="T21" s="73">
        <f>IF('K6'!G19="","",'K6'!G19)</f>
        <v>9.43</v>
      </c>
      <c r="U21" s="73">
        <f>IF('K6'!K19="","",'K6'!K19)</f>
        <v>14.58</v>
      </c>
      <c r="V21" s="73">
        <f>IF('K6'!N19="","",'K6'!N19)</f>
        <v>6.21</v>
      </c>
      <c r="W21" s="120"/>
      <c r="X21" s="121"/>
      <c r="Y21" s="134"/>
      <c r="Z21" s="75"/>
      <c r="AA21" s="123">
        <f>V5</f>
        <v>44450</v>
      </c>
      <c r="AB21" s="177" t="str">
        <f t="shared" ref="AB21" si="16">IF(ISNUMBER(FIND("M",C21)),"m",IF(ISNUMBER(FIND("K",C21)),"k"))</f>
        <v>m</v>
      </c>
      <c r="AC21" s="178">
        <f t="shared" ref="AC21" si="17">IF(OR(E21="",AA21=""),0,(YEAR(AA21)-YEAR(E21)))</f>
        <v>21</v>
      </c>
      <c r="AD21" s="179" t="str">
        <f t="shared" si="2"/>
        <v/>
      </c>
      <c r="AE21" s="180" t="b">
        <f>IF(AD21=1,LOOKUP(AC21,'Meltzer-Faber'!A3:A63,'Meltzer-Faber'!B3:B63))</f>
        <v>0</v>
      </c>
      <c r="AF21" s="180" t="b">
        <f>IF(AD21=1,LOOKUP(AC21,'Meltzer-Faber'!A3:A63,'Meltzer-Faber'!C3:C63))</f>
        <v>0</v>
      </c>
      <c r="AG21" s="180" t="b">
        <f t="shared" ref="AG21" si="18">IF(AB21="m",AE21,IF(AB21="k",AF21,""))</f>
        <v>0</v>
      </c>
    </row>
    <row r="22" spans="1:33" s="21" customFormat="1" ht="18" customHeight="1">
      <c r="A22" s="124"/>
      <c r="B22" s="125"/>
      <c r="C22" s="126"/>
      <c r="D22" s="127"/>
      <c r="E22" s="128"/>
      <c r="F22" s="260"/>
      <c r="G22" s="74"/>
      <c r="H22" s="74"/>
      <c r="I22" s="298"/>
      <c r="J22" s="289"/>
      <c r="K22" s="299"/>
      <c r="L22" s="286"/>
      <c r="M22" s="287"/>
      <c r="N22" s="288"/>
      <c r="O22" s="126"/>
      <c r="P22" s="130"/>
      <c r="Q22" s="289">
        <f>IF(R21="","",R21*1.2)</f>
        <v>354.57965491980798</v>
      </c>
      <c r="R22" s="289"/>
      <c r="S22" s="131"/>
      <c r="T22" s="132">
        <f>IF(T21="","",T21*20)</f>
        <v>188.6</v>
      </c>
      <c r="U22" s="132">
        <f>IF(U21="","",U21*13)</f>
        <v>189.54</v>
      </c>
      <c r="V22" s="78">
        <f>IF(V21="","",IF((80+(8-ROUNDUP(V21,1))*40)&lt;0,0,80+(8-ROUNDUP(V21,1))*40))</f>
        <v>148</v>
      </c>
      <c r="W22" s="78">
        <f>IF(SUM(T22,U22,V22)&gt;0,SUM(T22,U22,V22),"")</f>
        <v>526.14</v>
      </c>
      <c r="X22" s="133">
        <f>IF(OR(Q22="",T22="",U22="",V22=""),"",SUM(Q22,T22,U22,V22))</f>
        <v>880.71965491980791</v>
      </c>
      <c r="Y22" s="79">
        <v>1</v>
      </c>
      <c r="Z22" s="80"/>
      <c r="AA22" s="123"/>
    </row>
    <row r="23" spans="1:33" s="21" customFormat="1" ht="18" customHeight="1">
      <c r="A23" s="252" t="s">
        <v>96</v>
      </c>
      <c r="B23" s="224">
        <v>87.15</v>
      </c>
      <c r="C23" s="225" t="s">
        <v>151</v>
      </c>
      <c r="D23" s="225" t="s">
        <v>147</v>
      </c>
      <c r="E23" s="225" t="s">
        <v>155</v>
      </c>
      <c r="F23" s="255"/>
      <c r="G23" s="227" t="s">
        <v>156</v>
      </c>
      <c r="H23" s="263" t="s">
        <v>92</v>
      </c>
      <c r="I23" s="258">
        <v>102</v>
      </c>
      <c r="J23" s="259">
        <v>106</v>
      </c>
      <c r="K23" s="259">
        <v>-109</v>
      </c>
      <c r="L23" s="258">
        <v>-129</v>
      </c>
      <c r="M23" s="259">
        <v>129</v>
      </c>
      <c r="N23" s="259">
        <v>-134</v>
      </c>
      <c r="O23" s="115">
        <f>IF(MAX(I23:K23)&gt;0,IF(MAX(I23:K23)&lt;0,0,TRUNC(MAX(I23:K23)/1)*1),"")</f>
        <v>106</v>
      </c>
      <c r="P23" s="116">
        <f>IF(MAX(L23:N23)&gt;0,IF(MAX(L23:N23)&lt;0,0,TRUNC(MAX(L23:N23)/1)*1),"")</f>
        <v>129</v>
      </c>
      <c r="Q23" s="117">
        <f>IF(O23="","",IF(P23="","",IF(SUM(O23:P23)=0,"",SUM(O23:P23))))</f>
        <v>235</v>
      </c>
      <c r="R23" s="118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>275.78657001289685</v>
      </c>
      <c r="S23" s="119" t="str">
        <f>IF(AD23=1,R23*AG23,"")</f>
        <v/>
      </c>
      <c r="T23" s="73">
        <f>IF('K6'!G21="","",'K6'!G21)</f>
        <v>8.99</v>
      </c>
      <c r="U23" s="73">
        <f>IF('K6'!K21="","",'K6'!K21)</f>
        <v>13.44</v>
      </c>
      <c r="V23" s="73">
        <f>IF('K6'!N21="","",'K6'!N21)</f>
        <v>6.17</v>
      </c>
      <c r="W23" s="120"/>
      <c r="X23" s="121"/>
      <c r="Y23" s="134"/>
      <c r="Z23" s="75"/>
      <c r="AA23" s="123">
        <f>V5</f>
        <v>44450</v>
      </c>
      <c r="AB23" s="177" t="str">
        <f t="shared" ref="AB23" si="19">IF(ISNUMBER(FIND("M",C23)),"m",IF(ISNUMBER(FIND("K",C23)),"k"))</f>
        <v>m</v>
      </c>
      <c r="AC23" s="178">
        <f t="shared" ref="AC23" si="20">IF(OR(E23="",AA23=""),0,(YEAR(AA23)-YEAR(E23)))</f>
        <v>20</v>
      </c>
      <c r="AD23" s="179" t="str">
        <f t="shared" si="2"/>
        <v/>
      </c>
      <c r="AE23" s="180" t="b">
        <f>IF(AD23=1,LOOKUP(AC23,'Meltzer-Faber'!A3:A63,'Meltzer-Faber'!B3:B63))</f>
        <v>0</v>
      </c>
      <c r="AF23" s="180" t="b">
        <f>IF(AD23=1,LOOKUP(AC23,'Meltzer-Faber'!A3:A63,'Meltzer-Faber'!C3:C63))</f>
        <v>0</v>
      </c>
      <c r="AG23" s="180" t="b">
        <f t="shared" ref="AG23" si="21">IF(AB23="m",AE23,IF(AB23="k",AF23,""))</f>
        <v>0</v>
      </c>
    </row>
    <row r="24" spans="1:33" s="21" customFormat="1" ht="18" customHeight="1">
      <c r="A24" s="124"/>
      <c r="B24" s="125"/>
      <c r="C24" s="126"/>
      <c r="D24" s="127"/>
      <c r="E24" s="264"/>
      <c r="F24" s="260"/>
      <c r="G24" s="74"/>
      <c r="H24" s="74"/>
      <c r="I24" s="298"/>
      <c r="J24" s="289"/>
      <c r="K24" s="299"/>
      <c r="L24" s="286"/>
      <c r="M24" s="287"/>
      <c r="N24" s="288"/>
      <c r="O24" s="126"/>
      <c r="P24" s="130"/>
      <c r="Q24" s="289">
        <f>IF(R23="","",R23*1.2)</f>
        <v>330.94388401547621</v>
      </c>
      <c r="R24" s="289"/>
      <c r="S24" s="131"/>
      <c r="T24" s="132">
        <f>IF(T23="","",T23*20)</f>
        <v>179.8</v>
      </c>
      <c r="U24" s="132">
        <f>IF(U23="","",U23*13)</f>
        <v>174.72</v>
      </c>
      <c r="V24" s="78">
        <f>IF(V23="","",IF((80+(8-ROUNDUP(V23,1))*40)&lt;0,0,80+(8-ROUNDUP(V23,1))*40))</f>
        <v>152.00000000000003</v>
      </c>
      <c r="W24" s="78">
        <f>IF(SUM(T24,U24,V24)&gt;0,SUM(T24,U24,V24),"")</f>
        <v>506.52</v>
      </c>
      <c r="X24" s="133">
        <f>IF(OR(Q24="",T24="",U24="",V24=""),"",SUM(Q24,T24,U24,V24))</f>
        <v>837.4638840154762</v>
      </c>
      <c r="Y24" s="79">
        <v>4</v>
      </c>
      <c r="Z24" s="80"/>
      <c r="AA24" s="123"/>
    </row>
    <row r="25" spans="1:33" s="21" customFormat="1" ht="18" customHeight="1">
      <c r="A25" s="252" t="s">
        <v>99</v>
      </c>
      <c r="B25" s="224">
        <v>105.61</v>
      </c>
      <c r="C25" s="225" t="s">
        <v>146</v>
      </c>
      <c r="D25" s="225" t="s">
        <v>147</v>
      </c>
      <c r="E25" s="225" t="s">
        <v>158</v>
      </c>
      <c r="F25" s="255"/>
      <c r="G25" s="227" t="s">
        <v>157</v>
      </c>
      <c r="H25" s="268" t="s">
        <v>94</v>
      </c>
      <c r="I25" s="258">
        <v>100</v>
      </c>
      <c r="J25" s="259">
        <v>105</v>
      </c>
      <c r="K25" s="259">
        <v>110</v>
      </c>
      <c r="L25" s="258">
        <v>115</v>
      </c>
      <c r="M25" s="259">
        <v>123</v>
      </c>
      <c r="N25" s="259">
        <v>130</v>
      </c>
      <c r="O25" s="115">
        <f>IF(MAX(I25:K25)&gt;0,IF(MAX(I25:K25)&lt;0,0,TRUNC(MAX(I25:K25)/1)*1),"")</f>
        <v>110</v>
      </c>
      <c r="P25" s="116">
        <f>IF(MAX(L25:N25)&gt;0,IF(MAX(L25:N25)&lt;0,0,TRUNC(MAX(L25:N25)/1)*1),"")</f>
        <v>130</v>
      </c>
      <c r="Q25" s="117">
        <f>IF(O25="","",IF(P25="","",IF(SUM(O25:P25)=0,"",SUM(O25:P25))))</f>
        <v>240</v>
      </c>
      <c r="R25" s="118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>261.09675226292626</v>
      </c>
      <c r="S25" s="119" t="str">
        <f>IF(AD25=1,R25*AG25,"")</f>
        <v/>
      </c>
      <c r="T25" s="73">
        <f>IF('K6'!G23="","",'K6'!G23)</f>
        <v>9.19</v>
      </c>
      <c r="U25" s="73">
        <f>IF('K6'!K23="","",'K6'!K23)</f>
        <v>14.17</v>
      </c>
      <c r="V25" s="73">
        <f>IF('K6'!N23="","",'K6'!N23)</f>
        <v>6.24</v>
      </c>
      <c r="W25" s="120"/>
      <c r="X25" s="121"/>
      <c r="Y25" s="134"/>
      <c r="Z25" s="75"/>
      <c r="AA25" s="123">
        <f>V5</f>
        <v>44450</v>
      </c>
      <c r="AB25" s="177" t="str">
        <f t="shared" ref="AB25" si="22">IF(ISNUMBER(FIND("M",C25)),"m",IF(ISNUMBER(FIND("K",C25)),"k"))</f>
        <v>m</v>
      </c>
      <c r="AC25" s="178">
        <f t="shared" ref="AC25" si="23">IF(OR(E25="",AA25=""),0,(YEAR(AA25)-YEAR(E25)))</f>
        <v>22</v>
      </c>
      <c r="AD25" s="179" t="str">
        <f t="shared" si="2"/>
        <v/>
      </c>
      <c r="AE25" s="180" t="b">
        <f>IF(AD25=1,LOOKUP(AC25,'Meltzer-Faber'!A3:A63,'Meltzer-Faber'!B3:B63))</f>
        <v>0</v>
      </c>
      <c r="AF25" s="180" t="b">
        <f>IF(AD25=1,LOOKUP(AC25,'Meltzer-Faber'!A3:A63,'Meltzer-Faber'!C3:C63))</f>
        <v>0</v>
      </c>
      <c r="AG25" s="180" t="b">
        <f t="shared" ref="AG25" si="24">IF(AB25="m",AE25,IF(AB25="k",AF25,""))</f>
        <v>0</v>
      </c>
    </row>
    <row r="26" spans="1:33" s="21" customFormat="1" ht="18" customHeight="1">
      <c r="A26" s="124"/>
      <c r="B26" s="125"/>
      <c r="C26" s="126"/>
      <c r="D26" s="127"/>
      <c r="E26" s="264"/>
      <c r="F26" s="260"/>
      <c r="G26" s="74"/>
      <c r="H26" s="74"/>
      <c r="I26" s="298"/>
      <c r="J26" s="289"/>
      <c r="K26" s="299"/>
      <c r="L26" s="286"/>
      <c r="M26" s="287"/>
      <c r="N26" s="288"/>
      <c r="O26" s="126"/>
      <c r="P26" s="130"/>
      <c r="Q26" s="289">
        <f>IF(R25="","",R25*1.2)</f>
        <v>313.31610271551148</v>
      </c>
      <c r="R26" s="289"/>
      <c r="S26" s="131"/>
      <c r="T26" s="132">
        <f>IF(T25="","",T25*20)</f>
        <v>183.79999999999998</v>
      </c>
      <c r="U26" s="132">
        <f>IF(U25="","",U25*13)</f>
        <v>184.21</v>
      </c>
      <c r="V26" s="78">
        <f>IF(V25="","",IF((80+(8-ROUNDUP(V25,1))*40)&lt;0,0,80+(8-ROUNDUP(V25,1))*40))</f>
        <v>148</v>
      </c>
      <c r="W26" s="78">
        <f>IF(SUM(T26,U26,V26)&gt;0,SUM(T26,U26,V26),"")</f>
        <v>516.01</v>
      </c>
      <c r="X26" s="133">
        <f>IF(OR(Q26="",T26="",U26="",V26=""),"",SUM(Q26,T26,U26,V26))</f>
        <v>829.32610271551152</v>
      </c>
      <c r="Y26" s="79">
        <v>5</v>
      </c>
      <c r="Z26" s="80"/>
      <c r="AA26" s="123"/>
    </row>
    <row r="27" spans="1:33" s="21" customFormat="1" ht="18" customHeight="1">
      <c r="A27" s="252"/>
      <c r="B27" s="224"/>
      <c r="C27" s="225"/>
      <c r="D27" s="225"/>
      <c r="E27" s="225"/>
      <c r="F27" s="255"/>
      <c r="G27" s="227"/>
      <c r="H27" s="268"/>
      <c r="I27" s="258"/>
      <c r="J27" s="259"/>
      <c r="K27" s="259"/>
      <c r="L27" s="258"/>
      <c r="M27" s="259"/>
      <c r="N27" s="259"/>
      <c r="O27" s="115" t="str">
        <f>IF(MAX(I27:K27)&gt;0,IF(MAX(I27:K27)&lt;0,0,TRUNC(MAX(I27:K27)/1)*1),"")</f>
        <v/>
      </c>
      <c r="P27" s="116" t="str">
        <f>IF(MAX(L27:N27)&gt;0,IF(MAX(L27:N27)&lt;0,0,TRUNC(MAX(L27:N27)/1)*1),"")</f>
        <v/>
      </c>
      <c r="Q27" s="117" t="str">
        <f>IF(O27="","",IF(P27="","",IF(SUM(O27:P27)=0,"",SUM(O27:P27))))</f>
        <v/>
      </c>
      <c r="R27" s="118" t="str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119" t="str">
        <f>IF(AD27=1,R27*AG27,"")</f>
        <v/>
      </c>
      <c r="T27" s="73" t="str">
        <f>IF('K6'!G25="","",'K6'!G25)</f>
        <v/>
      </c>
      <c r="U27" s="73" t="str">
        <f>IF('K6'!K25="","",'K6'!K25)</f>
        <v/>
      </c>
      <c r="V27" s="73" t="str">
        <f>IF('K6'!N25="","",'K6'!N25)</f>
        <v/>
      </c>
      <c r="W27" s="120"/>
      <c r="X27" s="121"/>
      <c r="Y27" s="134"/>
      <c r="Z27" s="75"/>
      <c r="AA27" s="123">
        <f>V5</f>
        <v>44450</v>
      </c>
      <c r="AB27" s="177" t="b">
        <f t="shared" ref="AB27" si="25">IF(ISNUMBER(FIND("M",C27)),"m",IF(ISNUMBER(FIND("K",C27)),"k"))</f>
        <v>0</v>
      </c>
      <c r="AC27" s="178">
        <f t="shared" ref="AC27" si="26">IF(OR(E27="",AA27=""),0,(YEAR(AA27)-YEAR(E27)))</f>
        <v>0</v>
      </c>
      <c r="AD27" s="179" t="str">
        <f t="shared" si="2"/>
        <v/>
      </c>
      <c r="AE27" s="180" t="b">
        <f>IF(AD27=1,LOOKUP(AC27,'Meltzer-Faber'!A3:A63,'Meltzer-Faber'!B3:B63))</f>
        <v>0</v>
      </c>
      <c r="AF27" s="180" t="b">
        <f>IF(AD27=1,LOOKUP(AC27,'Meltzer-Faber'!A3:A63,'Meltzer-Faber'!C3:C63))</f>
        <v>0</v>
      </c>
      <c r="AG27" s="180" t="str">
        <f t="shared" ref="AG27" si="27">IF(AB27="m",AE27,IF(AB27="k",AF27,""))</f>
        <v/>
      </c>
    </row>
    <row r="28" spans="1:33" s="21" customFormat="1" ht="18" customHeight="1">
      <c r="A28" s="124"/>
      <c r="B28" s="125"/>
      <c r="C28" s="126"/>
      <c r="D28" s="127"/>
      <c r="E28" s="264"/>
      <c r="F28" s="260"/>
      <c r="G28" s="74"/>
      <c r="H28" s="74"/>
      <c r="I28" s="298"/>
      <c r="J28" s="289"/>
      <c r="K28" s="299"/>
      <c r="L28" s="286"/>
      <c r="M28" s="287"/>
      <c r="N28" s="288"/>
      <c r="O28" s="126"/>
      <c r="P28" s="130"/>
      <c r="Q28" s="289" t="str">
        <f>IF(R27="","",R27*1.2)</f>
        <v/>
      </c>
      <c r="R28" s="289"/>
      <c r="S28" s="131"/>
      <c r="T28" s="132" t="str">
        <f>IF(T27="","",T27*20)</f>
        <v/>
      </c>
      <c r="U28" s="132" t="str">
        <f>IF(U27="","",U27*13)</f>
        <v/>
      </c>
      <c r="V28" s="78" t="str">
        <f>IF(V27="","",IF((80+(8-ROUNDUP(V27,1))*40)&lt;0,0,80+(8-ROUNDUP(V27,1))*40))</f>
        <v/>
      </c>
      <c r="W28" s="78" t="str">
        <f>IF(SUM(T28,U28,V28)&gt;0,SUM(T28,U28,V28),"")</f>
        <v/>
      </c>
      <c r="X28" s="133" t="str">
        <f>IF(OR(Q28="",T28="",U28="",V28=""),"",SUM(Q28,T28,U28,V28))</f>
        <v/>
      </c>
      <c r="Y28" s="79"/>
      <c r="Z28" s="80"/>
      <c r="AA28" s="123"/>
    </row>
    <row r="29" spans="1:33" s="21" customFormat="1" ht="18" customHeight="1">
      <c r="A29" s="112"/>
      <c r="B29" s="113"/>
      <c r="C29" s="71"/>
      <c r="D29" s="114"/>
      <c r="E29" s="71"/>
      <c r="F29" s="71"/>
      <c r="G29" s="72"/>
      <c r="H29" s="72"/>
      <c r="I29" s="156"/>
      <c r="J29" s="157"/>
      <c r="K29" s="157"/>
      <c r="L29" s="157"/>
      <c r="M29" s="157"/>
      <c r="N29" s="157"/>
      <c r="O29" s="115" t="str">
        <f>IF(MAX(I29:K29)&gt;0,IF(MAX(I29:K29)&lt;0,0,TRUNC(MAX(I29:K29)/1)*1),"")</f>
        <v/>
      </c>
      <c r="P29" s="116" t="str">
        <f>IF(MAX(L29:N29)&gt;0,IF(MAX(L29:N29)&lt;0,0,TRUNC(MAX(L29:N29)/1)*1),"")</f>
        <v/>
      </c>
      <c r="Q29" s="117" t="str">
        <f>IF(O29="","",IF(P29="","",IF(SUM(O29:P29)=0,"",SUM(O29:P29))))</f>
        <v/>
      </c>
      <c r="R29" s="118" t="str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119" t="str">
        <f>IF(AD29=1,R29*AG29,"")</f>
        <v/>
      </c>
      <c r="T29" s="73" t="str">
        <f>IF('K6'!G27="","",'K6'!G27)</f>
        <v/>
      </c>
      <c r="U29" s="73" t="str">
        <f>IF('K6'!K27="","",'K6'!K27)</f>
        <v/>
      </c>
      <c r="V29" s="73" t="str">
        <f>IF('K6'!N27="","",'K6'!N27)</f>
        <v/>
      </c>
      <c r="W29" s="120"/>
      <c r="X29" s="121"/>
      <c r="Y29" s="134"/>
      <c r="Z29" s="75"/>
      <c r="AA29" s="123">
        <f>V5</f>
        <v>44450</v>
      </c>
      <c r="AB29" s="177" t="b">
        <f t="shared" ref="AB29" si="28">IF(ISNUMBER(FIND("M",C29)),"m",IF(ISNUMBER(FIND("K",C29)),"k"))</f>
        <v>0</v>
      </c>
      <c r="AC29" s="178">
        <f t="shared" ref="AC29" si="29">IF(OR(E29="",AA29=""),0,(YEAR(AA29)-YEAR(E29)))</f>
        <v>0</v>
      </c>
      <c r="AD29" s="179" t="str">
        <f t="shared" si="2"/>
        <v/>
      </c>
      <c r="AE29" s="180" t="b">
        <f>IF(AD29=1,LOOKUP(AC29,'Meltzer-Faber'!A3:A63,'Meltzer-Faber'!B3:B63))</f>
        <v>0</v>
      </c>
      <c r="AF29" s="180" t="b">
        <f>IF(AD29=1,LOOKUP(AC29,'Meltzer-Faber'!A3:A63,'Meltzer-Faber'!C3:C63))</f>
        <v>0</v>
      </c>
      <c r="AG29" s="180" t="str">
        <f t="shared" ref="AG29" si="30">IF(AB29="m",AE29,IF(AB29="k",AF29,""))</f>
        <v/>
      </c>
    </row>
    <row r="30" spans="1:33" s="21" customFormat="1" ht="18" customHeight="1">
      <c r="A30" s="124"/>
      <c r="B30" s="125"/>
      <c r="C30" s="126"/>
      <c r="D30" s="127"/>
      <c r="E30" s="128"/>
      <c r="F30" s="264"/>
      <c r="G30" s="74"/>
      <c r="H30" s="129"/>
      <c r="I30" s="286"/>
      <c r="J30" s="287"/>
      <c r="K30" s="288"/>
      <c r="L30" s="286"/>
      <c r="M30" s="287"/>
      <c r="N30" s="288"/>
      <c r="O30" s="126"/>
      <c r="P30" s="130"/>
      <c r="Q30" s="289" t="str">
        <f>IF(R29="","",R29*1.2)</f>
        <v/>
      </c>
      <c r="R30" s="289"/>
      <c r="S30" s="131"/>
      <c r="T30" s="132" t="str">
        <f>IF(T29="","",T29*20)</f>
        <v/>
      </c>
      <c r="U30" s="132" t="str">
        <f>IF(U29="","",U29*13)</f>
        <v/>
      </c>
      <c r="V30" s="78" t="str">
        <f>IF(V29="","",IF((80+(8-ROUNDUP(V29,1))*40)&lt;0,0,80+(8-ROUNDUP(V29,1))*40))</f>
        <v/>
      </c>
      <c r="W30" s="78" t="str">
        <f>IF(SUM(T30,U30,V30)&gt;0,SUM(T30,U30,V30),"")</f>
        <v/>
      </c>
      <c r="X30" s="133" t="str">
        <f>IF(OR(Q30="",T30="",U30="",V30=""),"",SUM(Q30,T30,U30,V30))</f>
        <v/>
      </c>
      <c r="Y30" s="79"/>
      <c r="Z30" s="80"/>
      <c r="AA30" s="123"/>
    </row>
    <row r="31" spans="1:33" s="21" customFormat="1" ht="18" customHeight="1">
      <c r="A31" s="112"/>
      <c r="B31" s="113"/>
      <c r="C31" s="71"/>
      <c r="D31" s="114"/>
      <c r="E31" s="71"/>
      <c r="F31" s="71"/>
      <c r="G31" s="72"/>
      <c r="H31" s="72"/>
      <c r="I31" s="156"/>
      <c r="J31" s="157"/>
      <c r="K31" s="157"/>
      <c r="L31" s="157"/>
      <c r="M31" s="157"/>
      <c r="N31" s="157"/>
      <c r="O31" s="269" t="str">
        <f>IF(MAX(I31:K31)&gt;0,IF(MAX(I31:K31)&lt;0,0,TRUNC(MAX(I31:K31)/1)*1),"")</f>
        <v/>
      </c>
      <c r="P31" s="270" t="str">
        <f>IF(MAX(L31:N31)&gt;0,IF(MAX(L31:N31)&lt;0,0,TRUNC(MAX(L31:N31)/1)*1),"")</f>
        <v/>
      </c>
      <c r="Q31" s="271" t="str">
        <f>IF(O31="","",IF(P31="","",IF(SUM(O31:P31)=0,"",SUM(O31:P31))))</f>
        <v/>
      </c>
      <c r="R31" s="27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21" t="str">
        <f>IF(AD31=1,R31*AG31,"")</f>
        <v/>
      </c>
      <c r="T31" s="73" t="str">
        <f>IF('K6'!G29="","",'K6'!G29)</f>
        <v/>
      </c>
      <c r="U31" s="73" t="str">
        <f>IF('K6'!K29="","",'K6'!K29)</f>
        <v/>
      </c>
      <c r="V31" s="73" t="str">
        <f>IF('K6'!N29="","",'K6'!N29)</f>
        <v/>
      </c>
      <c r="W31" s="120" t="s">
        <v>16</v>
      </c>
      <c r="X31" s="121"/>
      <c r="Y31" s="134"/>
      <c r="Z31" s="75"/>
      <c r="AA31" s="123">
        <f>V5</f>
        <v>44450</v>
      </c>
      <c r="AB31" s="177" t="b">
        <f t="shared" ref="AB31" si="31">IF(ISNUMBER(FIND("M",C31)),"m",IF(ISNUMBER(FIND("K",C31)),"k"))</f>
        <v>0</v>
      </c>
      <c r="AC31" s="178">
        <f t="shared" ref="AC31" si="32">IF(OR(E31="",AA31=""),0,(YEAR(AA31)-YEAR(E31)))</f>
        <v>0</v>
      </c>
      <c r="AD31" s="179" t="str">
        <f t="shared" si="2"/>
        <v/>
      </c>
      <c r="AE31" s="180" t="b">
        <f>IF(AD31=1,LOOKUP(AC31,'Meltzer-Faber'!A3:A63,'Meltzer-Faber'!B3:B63))</f>
        <v>0</v>
      </c>
      <c r="AF31" s="180" t="b">
        <f>IF(AD31=1,LOOKUP(AC31,'Meltzer-Faber'!A3:A63,'Meltzer-Faber'!C3:C63))</f>
        <v>0</v>
      </c>
      <c r="AG31" s="180" t="str">
        <f t="shared" ref="AG31" si="33">IF(AB31="m",AE31,IF(AB31="k",AF31,""))</f>
        <v/>
      </c>
    </row>
    <row r="32" spans="1:33" s="21" customFormat="1" ht="18" customHeight="1">
      <c r="A32" s="124"/>
      <c r="B32" s="125"/>
      <c r="C32" s="126"/>
      <c r="D32" s="127"/>
      <c r="E32" s="128"/>
      <c r="F32" s="264"/>
      <c r="G32" s="274"/>
      <c r="H32" s="275"/>
      <c r="I32" s="290"/>
      <c r="J32" s="291"/>
      <c r="K32" s="292"/>
      <c r="L32" s="290"/>
      <c r="M32" s="291"/>
      <c r="N32" s="292"/>
      <c r="O32" s="273"/>
      <c r="P32" s="276"/>
      <c r="Q32" s="314" t="str">
        <f>IF(R31="","",R31*1.2)</f>
        <v/>
      </c>
      <c r="R32" s="314"/>
      <c r="S32" s="277"/>
      <c r="T32" s="278" t="str">
        <f>IF(T31="","",T31*20)</f>
        <v/>
      </c>
      <c r="U32" s="278" t="str">
        <f>IF(U31="","",U31*13)</f>
        <v/>
      </c>
      <c r="V32" s="279" t="str">
        <f>IF(V31="","",IF((80+(8-ROUNDUP(V31,1))*40)&lt;0,0,80+(8-ROUNDUP(V31,1))*40))</f>
        <v/>
      </c>
      <c r="W32" s="279" t="str">
        <f>IF(SUM(T32,U32,V32)&gt;0,SUM(T32,U32,V32),"")</f>
        <v/>
      </c>
      <c r="X32" s="280" t="str">
        <f>IF(OR(Q32="",T32="",U32="",V32=""),"",SUM(Q32,T32,U32,V32))</f>
        <v/>
      </c>
      <c r="Y32" s="281"/>
      <c r="Z32" s="282"/>
      <c r="AA32" s="123"/>
    </row>
    <row r="33" spans="1:26" s="21" customFormat="1" ht="14">
      <c r="A33" s="136"/>
      <c r="B33" s="136"/>
      <c r="C33" s="136"/>
      <c r="D33" s="137"/>
      <c r="E33" s="138"/>
      <c r="F33" s="138"/>
      <c r="G33" s="139"/>
      <c r="H33" s="139"/>
      <c r="I33" s="140"/>
      <c r="J33" s="140"/>
      <c r="K33" s="140"/>
      <c r="L33" s="140"/>
      <c r="M33" s="140"/>
      <c r="N33" s="140"/>
      <c r="O33" s="136"/>
      <c r="P33" s="136"/>
      <c r="Q33" s="136"/>
      <c r="R33" s="136"/>
      <c r="S33" s="136"/>
      <c r="T33" s="140"/>
      <c r="U33" s="140"/>
      <c r="V33" s="141"/>
      <c r="W33" s="141"/>
      <c r="X33" s="142"/>
      <c r="Y33" s="143"/>
      <c r="Z33" s="198"/>
    </row>
    <row r="34" spans="1:26" s="197" customFormat="1" ht="14">
      <c r="A34" s="197" t="s">
        <v>13</v>
      </c>
      <c r="C34" s="302" t="s">
        <v>204</v>
      </c>
      <c r="D34" s="302"/>
      <c r="E34" s="302"/>
      <c r="F34" s="302"/>
      <c r="G34" s="302"/>
      <c r="H34" s="191" t="s">
        <v>14</v>
      </c>
      <c r="I34" s="145">
        <v>1</v>
      </c>
      <c r="J34" s="302" t="s">
        <v>115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s="197" customFormat="1" ht="14">
      <c r="A35"/>
      <c r="C35" s="303"/>
      <c r="D35" s="303"/>
      <c r="E35" s="303"/>
      <c r="F35" s="303"/>
      <c r="G35" s="303"/>
      <c r="H35" s="192"/>
      <c r="I35" s="145">
        <v>2</v>
      </c>
      <c r="J35" s="302" t="s">
        <v>114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s="197" customFormat="1" ht="14">
      <c r="A36" s="197" t="s">
        <v>49</v>
      </c>
      <c r="C36" s="302"/>
      <c r="D36" s="302"/>
      <c r="E36" s="302"/>
      <c r="F36" s="302"/>
      <c r="G36" s="302"/>
      <c r="H36" s="191"/>
      <c r="I36" s="197">
        <v>3</v>
      </c>
      <c r="J36" s="302" t="s">
        <v>113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s="4" customFormat="1" ht="14">
      <c r="A37"/>
      <c r="B37" s="196"/>
      <c r="C37" s="302"/>
      <c r="D37" s="302"/>
      <c r="E37" s="302"/>
      <c r="F37" s="302"/>
      <c r="G37" s="302"/>
      <c r="H37" s="191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</row>
    <row r="38" spans="1:26" s="4" customFormat="1" ht="14">
      <c r="A38"/>
      <c r="B38" s="197"/>
      <c r="C38" s="302"/>
      <c r="D38" s="302"/>
      <c r="E38" s="302"/>
      <c r="F38" s="302"/>
      <c r="G38" s="302"/>
      <c r="H38" s="147" t="s">
        <v>50</v>
      </c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spans="1:26" s="4" customFormat="1" ht="14">
      <c r="A39" s="1"/>
      <c r="B39" s="1"/>
      <c r="C39" s="146"/>
      <c r="D39" s="3"/>
      <c r="E39" s="3"/>
      <c r="F39" s="3"/>
      <c r="H39" s="147" t="s">
        <v>51</v>
      </c>
      <c r="I39" s="315" t="s">
        <v>110</v>
      </c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 spans="1:26" s="4" customFormat="1" ht="14">
      <c r="A40" s="197" t="s">
        <v>15</v>
      </c>
      <c r="B40" s="197"/>
      <c r="C40" s="302" t="s">
        <v>101</v>
      </c>
      <c r="D40" s="302"/>
      <c r="E40" s="302"/>
      <c r="F40" s="302"/>
      <c r="G40" s="302"/>
      <c r="H40" s="147" t="s">
        <v>52</v>
      </c>
      <c r="I40" s="315" t="s">
        <v>102</v>
      </c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spans="1:26" s="4" customFormat="1" ht="14">
      <c r="A41" s="1"/>
      <c r="B41" s="1"/>
      <c r="C41" s="302" t="s">
        <v>106</v>
      </c>
      <c r="D41" s="302"/>
      <c r="E41" s="302"/>
      <c r="F41" s="302"/>
      <c r="G41" s="302"/>
      <c r="H41" s="191"/>
      <c r="I41" s="147"/>
      <c r="J41" s="197"/>
      <c r="K41" s="148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4">
      <c r="A42" s="197" t="s">
        <v>53</v>
      </c>
      <c r="B42" s="197"/>
      <c r="C42" s="302" t="s">
        <v>112</v>
      </c>
      <c r="D42" s="302"/>
      <c r="E42" s="302"/>
      <c r="F42" s="302"/>
      <c r="G42" s="302"/>
      <c r="H42" s="147" t="s">
        <v>18</v>
      </c>
      <c r="I42" s="315" t="s">
        <v>217</v>
      </c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spans="1:26" s="4" customFormat="1" ht="14">
      <c r="A43" s="1"/>
      <c r="B43" s="1"/>
      <c r="C43" s="302"/>
      <c r="D43" s="302"/>
      <c r="E43" s="302"/>
      <c r="F43" s="302"/>
      <c r="G43" s="302"/>
      <c r="H43" s="191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spans="1:26" s="4" customFormat="1">
      <c r="A44" s="149" t="s">
        <v>17</v>
      </c>
      <c r="B44" s="150" t="s">
        <v>63</v>
      </c>
      <c r="C44" s="150"/>
      <c r="D44" s="151"/>
      <c r="E44" s="151"/>
      <c r="F44" s="151"/>
      <c r="G44" s="152"/>
      <c r="H44" s="152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</row>
    <row r="45" spans="1:26" s="4" customFormat="1">
      <c r="A45" s="1"/>
      <c r="B45" s="1"/>
      <c r="C45" s="150"/>
      <c r="D45" s="3"/>
      <c r="E45" s="3"/>
      <c r="F45" s="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</row>
    <row r="46" spans="1:26" s="4" customFormat="1">
      <c r="A46" s="1"/>
      <c r="B46" s="1"/>
      <c r="C46" s="2"/>
      <c r="D46" s="3"/>
      <c r="E46" s="3"/>
      <c r="F46" s="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</row>
    <row r="47" spans="1:26">
      <c r="K47" s="153"/>
    </row>
    <row r="48" spans="1:26">
      <c r="K48" s="1"/>
    </row>
    <row r="49" spans="11:11">
      <c r="K49" s="1"/>
    </row>
    <row r="50" spans="11:11">
      <c r="K50" s="1"/>
    </row>
  </sheetData>
  <mergeCells count="70">
    <mergeCell ref="S3:Z3"/>
    <mergeCell ref="A5:B5"/>
    <mergeCell ref="C5:G5"/>
    <mergeCell ref="I5:N5"/>
    <mergeCell ref="P5:T5"/>
    <mergeCell ref="V5:W5"/>
    <mergeCell ref="I10:K10"/>
    <mergeCell ref="L10:N10"/>
    <mergeCell ref="Q10:R10"/>
    <mergeCell ref="G2:R2"/>
    <mergeCell ref="G3:R3"/>
    <mergeCell ref="I7:K7"/>
    <mergeCell ref="L7:N7"/>
    <mergeCell ref="O7:R7"/>
    <mergeCell ref="I8:K8"/>
    <mergeCell ref="L8:N8"/>
    <mergeCell ref="I12:K12"/>
    <mergeCell ref="L12:N12"/>
    <mergeCell ref="Q12:R12"/>
    <mergeCell ref="I14:K14"/>
    <mergeCell ref="L14:N14"/>
    <mergeCell ref="Q14:R14"/>
    <mergeCell ref="I16:K16"/>
    <mergeCell ref="L16:N16"/>
    <mergeCell ref="Q16:R16"/>
    <mergeCell ref="I18:K18"/>
    <mergeCell ref="L18:N18"/>
    <mergeCell ref="Q18:R18"/>
    <mergeCell ref="I20:K20"/>
    <mergeCell ref="L20:N20"/>
    <mergeCell ref="Q20:R20"/>
    <mergeCell ref="I22:K22"/>
    <mergeCell ref="L22:N22"/>
    <mergeCell ref="Q22:R22"/>
    <mergeCell ref="I24:K24"/>
    <mergeCell ref="L24:N24"/>
    <mergeCell ref="Q24:R24"/>
    <mergeCell ref="I26:K26"/>
    <mergeCell ref="L26:N26"/>
    <mergeCell ref="Q26:R26"/>
    <mergeCell ref="I32:K32"/>
    <mergeCell ref="L32:N32"/>
    <mergeCell ref="Q32:R32"/>
    <mergeCell ref="C34:G34"/>
    <mergeCell ref="J34:Z34"/>
    <mergeCell ref="I28:K28"/>
    <mergeCell ref="L28:N28"/>
    <mergeCell ref="Q28:R28"/>
    <mergeCell ref="I30:K30"/>
    <mergeCell ref="L30:N30"/>
    <mergeCell ref="Q30:R30"/>
    <mergeCell ref="I46:Z46"/>
    <mergeCell ref="I39:Z39"/>
    <mergeCell ref="C40:G40"/>
    <mergeCell ref="I40:Z40"/>
    <mergeCell ref="C41:G41"/>
    <mergeCell ref="C42:G42"/>
    <mergeCell ref="I42:Z42"/>
    <mergeCell ref="C43:G43"/>
    <mergeCell ref="I43:Z43"/>
    <mergeCell ref="C38:G38"/>
    <mergeCell ref="I38:Z38"/>
    <mergeCell ref="J37:Z37"/>
    <mergeCell ref="I44:Z44"/>
    <mergeCell ref="I45:Z45"/>
    <mergeCell ref="C35:G35"/>
    <mergeCell ref="J35:Z35"/>
    <mergeCell ref="C36:G36"/>
    <mergeCell ref="J36:Z36"/>
    <mergeCell ref="C37:G37"/>
  </mergeCells>
  <conditionalFormatting sqref="I29:N29">
    <cfRule type="cellIs" dxfId="99" priority="63" stopIfTrue="1" operator="between">
      <formula>1</formula>
      <formula>300</formula>
    </cfRule>
    <cfRule type="cellIs" dxfId="98" priority="64" stopIfTrue="1" operator="lessThanOrEqual">
      <formula>0</formula>
    </cfRule>
  </conditionalFormatting>
  <conditionalFormatting sqref="I31:N31">
    <cfRule type="cellIs" dxfId="97" priority="61" stopIfTrue="1" operator="between">
      <formula>1</formula>
      <formula>300</formula>
    </cfRule>
    <cfRule type="cellIs" dxfId="96" priority="62" stopIfTrue="1" operator="lessThanOrEqual">
      <formula>0</formula>
    </cfRule>
  </conditionalFormatting>
  <conditionalFormatting sqref="I17:N17">
    <cfRule type="cellIs" dxfId="95" priority="17" stopIfTrue="1" operator="between">
      <formula>1</formula>
      <formula>300</formula>
    </cfRule>
    <cfRule type="cellIs" dxfId="94" priority="18" stopIfTrue="1" operator="lessThanOrEqual">
      <formula>0</formula>
    </cfRule>
  </conditionalFormatting>
  <conditionalFormatting sqref="I21:N21">
    <cfRule type="cellIs" dxfId="93" priority="15" stopIfTrue="1" operator="between">
      <formula>1</formula>
      <formula>300</formula>
    </cfRule>
    <cfRule type="cellIs" dxfId="92" priority="16" stopIfTrue="1" operator="lessThanOrEqual">
      <formula>0</formula>
    </cfRule>
  </conditionalFormatting>
  <conditionalFormatting sqref="I13:N13">
    <cfRule type="cellIs" dxfId="91" priority="13" stopIfTrue="1" operator="between">
      <formula>1</formula>
      <formula>300</formula>
    </cfRule>
    <cfRule type="cellIs" dxfId="90" priority="14" stopIfTrue="1" operator="lessThanOrEqual">
      <formula>0</formula>
    </cfRule>
  </conditionalFormatting>
  <conditionalFormatting sqref="I27:N27">
    <cfRule type="cellIs" dxfId="89" priority="47" stopIfTrue="1" operator="between">
      <formula>1</formula>
      <formula>300</formula>
    </cfRule>
    <cfRule type="cellIs" dxfId="88" priority="48" stopIfTrue="1" operator="lessThanOrEqual">
      <formula>0</formula>
    </cfRule>
  </conditionalFormatting>
  <conditionalFormatting sqref="I9:N9">
    <cfRule type="cellIs" dxfId="87" priority="9" stopIfTrue="1" operator="between">
      <formula>1</formula>
      <formula>300</formula>
    </cfRule>
    <cfRule type="cellIs" dxfId="86" priority="10" stopIfTrue="1" operator="lessThanOrEqual">
      <formula>0</formula>
    </cfRule>
  </conditionalFormatting>
  <conditionalFormatting sqref="I15:N15">
    <cfRule type="cellIs" dxfId="85" priority="7" stopIfTrue="1" operator="between">
      <formula>1</formula>
      <formula>300</formula>
    </cfRule>
    <cfRule type="cellIs" dxfId="84" priority="8" stopIfTrue="1" operator="lessThanOrEqual">
      <formula>0</formula>
    </cfRule>
  </conditionalFormatting>
  <conditionalFormatting sqref="I19:N19">
    <cfRule type="cellIs" dxfId="83" priority="5" stopIfTrue="1" operator="between">
      <formula>1</formula>
      <formula>300</formula>
    </cfRule>
    <cfRule type="cellIs" dxfId="82" priority="6" stopIfTrue="1" operator="lessThanOrEqual">
      <formula>0</formula>
    </cfRule>
  </conditionalFormatting>
  <conditionalFormatting sqref="I23:N23">
    <cfRule type="cellIs" dxfId="81" priority="3" stopIfTrue="1" operator="between">
      <formula>1</formula>
      <formula>300</formula>
    </cfRule>
    <cfRule type="cellIs" dxfId="80" priority="4" stopIfTrue="1" operator="lessThanOrEqual">
      <formula>0</formula>
    </cfRule>
  </conditionalFormatting>
  <conditionalFormatting sqref="I11:N11">
    <cfRule type="cellIs" dxfId="79" priority="1" stopIfTrue="1" operator="between">
      <formula>1</formula>
      <formula>300</formula>
    </cfRule>
    <cfRule type="cellIs" dxfId="78" priority="2" stopIfTrue="1" operator="lessThanOrEqual">
      <formula>0</formula>
    </cfRule>
  </conditionalFormatting>
  <conditionalFormatting sqref="I25:N25">
    <cfRule type="cellIs" dxfId="77" priority="11" stopIfTrue="1" operator="between">
      <formula>1</formula>
      <formula>300</formula>
    </cfRule>
    <cfRule type="cellIs" dxfId="76" priority="12" stopIfTrue="1" operator="lessThanOrEqual">
      <formula>0</formula>
    </cfRule>
  </conditionalFormatting>
  <dataValidations count="3">
    <dataValidation type="list" allowBlank="1" showInputMessage="1" showErrorMessage="1" errorTitle="Feil_i_kat. 5-kamp" error="Feil verdi i kategori 5-kamp" sqref="D9 D29 D11 D13 D15 D17 D19 D21 D23 D25 D27 D31" xr:uid="{7FB2580E-5CB4-0F45-A821-944B6307264D}">
      <formula1>"13-14,15-16,17-18,19-23,24-34,+35,35+"</formula1>
    </dataValidation>
    <dataValidation type="list" allowBlank="1" showInputMessage="1" showErrorMessage="1" errorTitle="Feil_i_kat.v.løft" error="Feil verdi i kategori vektløfting" sqref="C9 C29 C27 C19 C13 C17 C25 C21 C23 C11 C15 C31" xr:uid="{08AF9F3E-BB36-4C43-BB65-BCCF36611825}">
      <formula1>"UM,JM,SM,UK,JK,SK,M1,M2,M3,M4,M5,M6,M7,M8,M9,M10,K1,K2,K3,K4,K5,K6,K7,K8,K9,K10"</formula1>
    </dataValidation>
    <dataValidation type="list" allowBlank="1" showInputMessage="1" showErrorMessage="1" errorTitle="Feil_i_vektklasse" error="Feil verddi i vektklasse" sqref="A9 A11 A25 A15 A17 A19 A29 A23 A21 A27 A31 A13" xr:uid="{1E63BB46-2E2B-564C-A3E5-A3662EDAF987}">
      <formula1>"40,45,49,55,59,64,71,76,81,+81,81+,87,+87,87+,49,55,61,67,73,81,89,96,102,+102,102+,109,+109,109+"</formula1>
    </dataValidation>
  </dataValidations>
  <pageMargins left="0.27559055118110198" right="0.27559055118110198" top="0.27559055118110198" bottom="0.27559055118110198" header="0.511811023622047" footer="0.511811023622047"/>
  <pageSetup paperSize="9" scale="60" orientation="landscape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44C3-566A-C94C-9E38-FEBDB9E766D9}">
  <sheetPr>
    <pageSetUpPr fitToPage="1"/>
  </sheetPr>
  <dimension ref="A1:AG50"/>
  <sheetViews>
    <sheetView showGridLines="0" showRowColHeaders="0" showZeros="0" topLeftCell="B1" zoomScale="90" zoomScaleNormal="90" workbookViewId="0">
      <selection activeCell="X22" sqref="X22"/>
    </sheetView>
  </sheetViews>
  <sheetFormatPr baseColWidth="10" defaultColWidth="9.1640625" defaultRowHeight="13"/>
  <cols>
    <col min="1" max="1" width="7" style="7" customWidth="1"/>
    <col min="2" max="2" width="8" style="7" customWidth="1"/>
    <col min="3" max="3" width="5.83203125" style="7" customWidth="1"/>
    <col min="4" max="4" width="7.6640625" style="7" customWidth="1"/>
    <col min="5" max="5" width="10.6640625" style="7" customWidth="1"/>
    <col min="6" max="6" width="4.33203125" style="7" customWidth="1"/>
    <col min="7" max="7" width="27.83203125" customWidth="1"/>
    <col min="8" max="8" width="20.6640625" customWidth="1"/>
    <col min="9" max="17" width="6.83203125" style="7" customWidth="1"/>
    <col min="18" max="21" width="8" style="7" customWidth="1"/>
    <col min="22" max="22" width="9" style="7" customWidth="1"/>
    <col min="23" max="24" width="8" style="7" customWidth="1"/>
    <col min="25" max="25" width="4.6640625" style="7" customWidth="1"/>
    <col min="26" max="26" width="5" style="7" customWidth="1"/>
    <col min="27" max="27" width="9.33203125" hidden="1" customWidth="1"/>
    <col min="28" max="33" width="0" hidden="1" customWidth="1"/>
  </cols>
  <sheetData>
    <row r="1" spans="1:33" ht="13" customHeight="1">
      <c r="H1" s="7"/>
      <c r="Z1"/>
    </row>
    <row r="2" spans="1:33" ht="72.75" customHeight="1">
      <c r="G2" s="293" t="s">
        <v>54</v>
      </c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U2" s="87" t="s">
        <v>59</v>
      </c>
      <c r="Z2"/>
    </row>
    <row r="3" spans="1:33" ht="29">
      <c r="E3" s="88"/>
      <c r="G3" s="294" t="s">
        <v>22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304" t="s">
        <v>60</v>
      </c>
      <c r="T3" s="304"/>
      <c r="U3" s="304"/>
      <c r="V3" s="304"/>
      <c r="W3" s="304"/>
      <c r="X3" s="304"/>
      <c r="Y3" s="304"/>
      <c r="Z3" s="304"/>
    </row>
    <row r="4" spans="1:33">
      <c r="H4" s="7"/>
      <c r="Z4"/>
    </row>
    <row r="5" spans="1:33" ht="15" customHeight="1">
      <c r="A5" s="300" t="s">
        <v>21</v>
      </c>
      <c r="B5" s="300"/>
      <c r="C5" s="301" t="s">
        <v>127</v>
      </c>
      <c r="D5" s="301"/>
      <c r="E5" s="301"/>
      <c r="F5" s="301"/>
      <c r="G5" s="301"/>
      <c r="H5" s="190" t="s">
        <v>0</v>
      </c>
      <c r="I5" s="305" t="s">
        <v>94</v>
      </c>
      <c r="J5" s="305"/>
      <c r="K5" s="305"/>
      <c r="L5" s="305"/>
      <c r="M5" s="305"/>
      <c r="N5" s="305"/>
      <c r="O5" s="190" t="s">
        <v>1</v>
      </c>
      <c r="P5" s="306" t="s">
        <v>117</v>
      </c>
      <c r="Q5" s="306"/>
      <c r="R5" s="306"/>
      <c r="S5" s="306"/>
      <c r="T5" s="306"/>
      <c r="U5" s="90" t="s">
        <v>2</v>
      </c>
      <c r="V5" s="307">
        <v>44451</v>
      </c>
      <c r="W5" s="307"/>
      <c r="X5" s="91" t="s">
        <v>20</v>
      </c>
      <c r="Y5" s="92">
        <v>7</v>
      </c>
      <c r="Z5"/>
    </row>
    <row r="6" spans="1:33" ht="13.75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3"/>
      <c r="X6" s="9"/>
      <c r="Y6" s="9"/>
      <c r="Z6"/>
      <c r="AB6" s="4"/>
      <c r="AC6" s="4"/>
      <c r="AD6" s="4"/>
      <c r="AE6" s="187" t="s">
        <v>67</v>
      </c>
      <c r="AF6" s="187" t="s">
        <v>67</v>
      </c>
      <c r="AG6" s="187" t="s">
        <v>67</v>
      </c>
    </row>
    <row r="7" spans="1:33" s="21" customFormat="1" ht="15" customHeight="1">
      <c r="A7" s="94" t="s">
        <v>3</v>
      </c>
      <c r="B7" s="195" t="s">
        <v>4</v>
      </c>
      <c r="C7" s="194" t="s">
        <v>23</v>
      </c>
      <c r="D7" s="97" t="s">
        <v>23</v>
      </c>
      <c r="E7" s="193" t="s">
        <v>5</v>
      </c>
      <c r="F7" s="193" t="s">
        <v>24</v>
      </c>
      <c r="G7" s="193" t="s">
        <v>6</v>
      </c>
      <c r="H7" s="193" t="s">
        <v>7</v>
      </c>
      <c r="I7" s="308" t="s">
        <v>8</v>
      </c>
      <c r="J7" s="309"/>
      <c r="K7" s="310"/>
      <c r="L7" s="308" t="s">
        <v>9</v>
      </c>
      <c r="M7" s="309"/>
      <c r="N7" s="310"/>
      <c r="O7" s="311" t="s">
        <v>25</v>
      </c>
      <c r="P7" s="312"/>
      <c r="Q7" s="312"/>
      <c r="R7" s="312"/>
      <c r="S7" s="99" t="s">
        <v>10</v>
      </c>
      <c r="T7" s="100" t="s">
        <v>61</v>
      </c>
      <c r="U7" s="100" t="s">
        <v>27</v>
      </c>
      <c r="V7" s="100" t="s">
        <v>28</v>
      </c>
      <c r="W7" s="193" t="s">
        <v>56</v>
      </c>
      <c r="X7" s="101" t="s">
        <v>29</v>
      </c>
      <c r="Y7" s="101" t="s">
        <v>30</v>
      </c>
      <c r="Z7" s="11" t="s">
        <v>31</v>
      </c>
      <c r="AB7" s="1"/>
      <c r="AC7" s="1"/>
      <c r="AD7" s="1"/>
      <c r="AE7" s="188" t="s">
        <v>68</v>
      </c>
      <c r="AF7" s="188" t="s">
        <v>68</v>
      </c>
      <c r="AG7" s="188" t="s">
        <v>68</v>
      </c>
    </row>
    <row r="8" spans="1:33" s="21" customFormat="1" ht="15" customHeight="1" thickBot="1">
      <c r="A8" s="102" t="s">
        <v>11</v>
      </c>
      <c r="B8" s="103" t="s">
        <v>12</v>
      </c>
      <c r="C8" s="104" t="s">
        <v>32</v>
      </c>
      <c r="D8" s="105" t="s">
        <v>29</v>
      </c>
      <c r="E8" s="106" t="s">
        <v>19</v>
      </c>
      <c r="F8" s="106" t="s">
        <v>62</v>
      </c>
      <c r="G8" s="189"/>
      <c r="H8" s="189"/>
      <c r="I8" s="295" t="s">
        <v>34</v>
      </c>
      <c r="J8" s="296"/>
      <c r="K8" s="297"/>
      <c r="L8" s="295" t="s">
        <v>34</v>
      </c>
      <c r="M8" s="296"/>
      <c r="N8" s="297"/>
      <c r="O8" s="108" t="s">
        <v>8</v>
      </c>
      <c r="P8" s="103" t="s">
        <v>9</v>
      </c>
      <c r="Q8" s="109" t="s">
        <v>35</v>
      </c>
      <c r="R8" s="104" t="s">
        <v>10</v>
      </c>
      <c r="S8" s="108" t="s">
        <v>55</v>
      </c>
      <c r="T8" s="110" t="s">
        <v>10</v>
      </c>
      <c r="U8" s="110" t="s">
        <v>10</v>
      </c>
      <c r="V8" s="110" t="s">
        <v>10</v>
      </c>
      <c r="W8" s="106" t="s">
        <v>57</v>
      </c>
      <c r="X8" s="111" t="s">
        <v>36</v>
      </c>
      <c r="Y8" s="111"/>
      <c r="Z8" s="12"/>
      <c r="AB8" s="1" t="s">
        <v>69</v>
      </c>
      <c r="AC8" s="1" t="s">
        <v>58</v>
      </c>
      <c r="AD8" s="3" t="s">
        <v>55</v>
      </c>
      <c r="AE8" s="188" t="s">
        <v>70</v>
      </c>
      <c r="AF8" s="188" t="s">
        <v>71</v>
      </c>
      <c r="AG8" s="188" t="s">
        <v>72</v>
      </c>
    </row>
    <row r="9" spans="1:33" s="21" customFormat="1" ht="18" customHeight="1">
      <c r="A9" s="252" t="s">
        <v>159</v>
      </c>
      <c r="B9" s="224">
        <v>54.75</v>
      </c>
      <c r="C9" s="225" t="s">
        <v>201</v>
      </c>
      <c r="D9" s="261" t="s">
        <v>218</v>
      </c>
      <c r="E9" s="254">
        <v>34413</v>
      </c>
      <c r="F9" s="255"/>
      <c r="G9" s="256" t="s">
        <v>219</v>
      </c>
      <c r="H9" s="257" t="s">
        <v>88</v>
      </c>
      <c r="I9" s="258">
        <v>-76</v>
      </c>
      <c r="J9" s="259">
        <v>76</v>
      </c>
      <c r="K9" s="259">
        <v>79</v>
      </c>
      <c r="L9" s="258">
        <v>100</v>
      </c>
      <c r="M9" s="259">
        <v>103</v>
      </c>
      <c r="N9" s="259">
        <v>-106</v>
      </c>
      <c r="O9" s="115">
        <f>IF(MAX(I9:K9)&gt;0,IF(MAX(I9:K9)&lt;0,0,TRUNC(MAX(I9:K9)/1)*1),"")</f>
        <v>79</v>
      </c>
      <c r="P9" s="116">
        <f>IF(MAX(L9:N9)&gt;0,IF(MAX(L9:N9)&lt;0,0,TRUNC(MAX(L9:N9)/1)*1),"")</f>
        <v>103</v>
      </c>
      <c r="Q9" s="117">
        <f>IF(O9="","",IF(P9="","",IF(SUM(O9:P9)=0,"",SUM(O9:P9))))</f>
        <v>182</v>
      </c>
      <c r="R9" s="118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261.47887929718644</v>
      </c>
      <c r="S9" s="119" t="str">
        <f>IF(AD9=1,R9*AG9,"")</f>
        <v/>
      </c>
      <c r="T9" s="73">
        <f>IF('K7'!G7="","",'K7'!G7)</f>
        <v>8.1999999999999993</v>
      </c>
      <c r="U9" s="73">
        <f>IF('K7'!K7="","",'K7'!K7)</f>
        <v>13.3</v>
      </c>
      <c r="V9" s="73">
        <f>IF('K7'!N7="","",'K7'!N7)</f>
        <v>6.44</v>
      </c>
      <c r="W9" s="120"/>
      <c r="X9" s="121"/>
      <c r="Y9" s="122"/>
      <c r="Z9" s="77"/>
      <c r="AA9" s="123">
        <f>V5</f>
        <v>44451</v>
      </c>
      <c r="AB9" s="177" t="str">
        <f>IF(ISNUMBER(FIND("M",C9)),"m",IF(ISNUMBER(FIND("K",C9)),"k"))</f>
        <v>k</v>
      </c>
      <c r="AC9" s="178">
        <f>IF(OR(E9="",AA9=""),0,(YEAR(AA9)-YEAR(E9)))</f>
        <v>27</v>
      </c>
      <c r="AD9" s="179" t="str">
        <f>IF(AC9&gt;34,1,"")</f>
        <v/>
      </c>
      <c r="AE9" s="180" t="b">
        <f>IF(AD9=1,LOOKUP(AC9,'Meltzer-Faber'!A3:A63,'Meltzer-Faber'!B3:B63))</f>
        <v>0</v>
      </c>
      <c r="AF9" s="180" t="b">
        <f>IF(AD9=1,LOOKUP(AC9,'Meltzer-Faber'!A3:A63,'Meltzer-Faber'!C3:C63))</f>
        <v>0</v>
      </c>
      <c r="AG9" s="180" t="b">
        <f>IF(AB9="m",AE9,IF(AB9="k",AF9,""))</f>
        <v>0</v>
      </c>
    </row>
    <row r="10" spans="1:33" s="21" customFormat="1" ht="18" customHeight="1">
      <c r="A10" s="124"/>
      <c r="B10" s="125"/>
      <c r="C10" s="126"/>
      <c r="D10" s="127"/>
      <c r="E10" s="128"/>
      <c r="F10" s="260"/>
      <c r="G10" s="74"/>
      <c r="H10" s="74"/>
      <c r="I10" s="298"/>
      <c r="J10" s="289"/>
      <c r="K10" s="299"/>
      <c r="L10" s="286"/>
      <c r="M10" s="287"/>
      <c r="N10" s="288"/>
      <c r="O10" s="126"/>
      <c r="P10" s="130"/>
      <c r="Q10" s="289">
        <f>IF(R9="","",R9*1.2)</f>
        <v>313.77465515662374</v>
      </c>
      <c r="R10" s="289"/>
      <c r="S10" s="131"/>
      <c r="T10" s="132">
        <f>IF(T9="","",T9*20)</f>
        <v>164</v>
      </c>
      <c r="U10" s="132">
        <f>IF(U9="","",U9*13)</f>
        <v>172.9</v>
      </c>
      <c r="V10" s="78">
        <f>IF(V9="","",IF((80+(8-ROUNDUP(V9,1))*40)&lt;0,0,80+(8-ROUNDUP(V9,1))*40))</f>
        <v>140</v>
      </c>
      <c r="W10" s="78">
        <f>IF(SUM(T10,U10,V10)&gt;0,SUM(T10,U10,V10),"")</f>
        <v>476.9</v>
      </c>
      <c r="X10" s="133">
        <f>IF(OR(Q10="",T10="",U10="",V10=""),"",SUM(Q10,T10,U10,V10))</f>
        <v>790.67465515662377</v>
      </c>
      <c r="Y10" s="79">
        <v>2</v>
      </c>
      <c r="Z10" s="80"/>
      <c r="AA10" s="123"/>
      <c r="AB10" s="177"/>
      <c r="AC10" s="178"/>
      <c r="AD10" s="179"/>
      <c r="AE10" s="180"/>
      <c r="AF10" s="180"/>
      <c r="AG10" s="180"/>
    </row>
    <row r="11" spans="1:33" s="21" customFormat="1" ht="18" customHeight="1">
      <c r="A11" s="252" t="s">
        <v>162</v>
      </c>
      <c r="B11" s="224">
        <v>56.47</v>
      </c>
      <c r="C11" s="225" t="s">
        <v>201</v>
      </c>
      <c r="D11" s="226" t="s">
        <v>218</v>
      </c>
      <c r="E11" s="225" t="s">
        <v>220</v>
      </c>
      <c r="F11" s="255"/>
      <c r="G11" s="227" t="s">
        <v>221</v>
      </c>
      <c r="H11" s="257" t="s">
        <v>94</v>
      </c>
      <c r="I11" s="258">
        <v>75</v>
      </c>
      <c r="J11" s="259">
        <v>77</v>
      </c>
      <c r="K11" s="259">
        <v>-79</v>
      </c>
      <c r="L11" s="258">
        <v>96</v>
      </c>
      <c r="M11" s="259">
        <v>100</v>
      </c>
      <c r="N11" s="259">
        <v>-103</v>
      </c>
      <c r="O11" s="115">
        <f>IF(MAX(I11:K11)&gt;0,IF(MAX(I11:K11)&lt;0,0,TRUNC(MAX(I11:K11)/1)*1),"")</f>
        <v>77</v>
      </c>
      <c r="P11" s="116">
        <f>IF(MAX(L11:N11)&gt;0,IF(MAX(L11:N11)&lt;0,0,TRUNC(MAX(L11:N11)/1)*1),"")</f>
        <v>100</v>
      </c>
      <c r="Q11" s="117">
        <f>IF(O11="","",IF(P11="","",IF(SUM(O11:P11)=0,"",SUM(O11:P11))))</f>
        <v>177</v>
      </c>
      <c r="R11" s="118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248.91200709965938</v>
      </c>
      <c r="S11" s="119" t="str">
        <f>IF(AD11=1,R11*AG11,"")</f>
        <v/>
      </c>
      <c r="T11" s="73">
        <f>IF('K7'!G9="","",'K7'!G9)</f>
        <v>7.37</v>
      </c>
      <c r="U11" s="73">
        <f>IF('K7'!K9="","",'K7'!K9)</f>
        <v>11.42</v>
      </c>
      <c r="V11" s="73">
        <f>IF('K7'!N9="","",'K7'!N9)</f>
        <v>6.72</v>
      </c>
      <c r="W11" s="120"/>
      <c r="X11" s="121"/>
      <c r="Y11" s="134"/>
      <c r="Z11" s="75"/>
      <c r="AA11" s="123">
        <f>V5</f>
        <v>44451</v>
      </c>
      <c r="AB11" s="177" t="str">
        <f t="shared" ref="AB11" si="0">IF(ISNUMBER(FIND("M",C11)),"m",IF(ISNUMBER(FIND("K",C11)),"k"))</f>
        <v>k</v>
      </c>
      <c r="AC11" s="178">
        <f t="shared" ref="AC11" si="1">IF(OR(E11="",AA11=""),0,(YEAR(AA11)-YEAR(E11)))</f>
        <v>25</v>
      </c>
      <c r="AD11" s="179" t="str">
        <f t="shared" ref="AD11:AD31" si="2">IF(AC11&gt;34,1,"")</f>
        <v/>
      </c>
      <c r="AE11" s="180" t="b">
        <f>IF(AD11=1,LOOKUP(AC11,'Meltzer-Faber'!A3:A63,'Meltzer-Faber'!B3:B63))</f>
        <v>0</v>
      </c>
      <c r="AF11" s="180" t="b">
        <f>IF(AD11=1,LOOKUP(AC11,'Meltzer-Faber'!A3:A63,'Meltzer-Faber'!C3:C63))</f>
        <v>0</v>
      </c>
      <c r="AG11" s="180" t="b">
        <f t="shared" ref="AG11" si="3">IF(AB11="m",AE11,IF(AB11="k",AF11,""))</f>
        <v>0</v>
      </c>
    </row>
    <row r="12" spans="1:33" s="21" customFormat="1" ht="18" customHeight="1">
      <c r="A12" s="124"/>
      <c r="B12" s="125"/>
      <c r="C12" s="126"/>
      <c r="D12" s="127"/>
      <c r="E12" s="264"/>
      <c r="F12" s="260"/>
      <c r="G12" s="74"/>
      <c r="H12" s="74"/>
      <c r="I12" s="298"/>
      <c r="J12" s="289"/>
      <c r="K12" s="299"/>
      <c r="L12" s="286"/>
      <c r="M12" s="287"/>
      <c r="N12" s="288"/>
      <c r="O12" s="126"/>
      <c r="P12" s="130"/>
      <c r="Q12" s="289">
        <f>IF(R11="","",R11*1.2)</f>
        <v>298.69440851959126</v>
      </c>
      <c r="R12" s="289"/>
      <c r="S12" s="131"/>
      <c r="T12" s="132">
        <f>IF(T11="","",T11*20)</f>
        <v>147.4</v>
      </c>
      <c r="U12" s="132">
        <f>IF(U11="","",U11*13)</f>
        <v>148.46</v>
      </c>
      <c r="V12" s="78">
        <f>IF(V11="","",IF((80+(8-ROUNDUP(V11,1))*40)&lt;0,0,80+(8-ROUNDUP(V11,1))*40))</f>
        <v>128</v>
      </c>
      <c r="W12" s="78">
        <f>IF(SUM(T12,U12,V12)&gt;0,SUM(T12,U12,V12),"")</f>
        <v>423.86</v>
      </c>
      <c r="X12" s="133">
        <f>IF(OR(Q12="",W12=""),"",Q12+W12)</f>
        <v>722.55440851959133</v>
      </c>
      <c r="Y12" s="79">
        <v>3</v>
      </c>
      <c r="Z12" s="80"/>
      <c r="AA12" s="123"/>
    </row>
    <row r="13" spans="1:33" s="21" customFormat="1" ht="18" customHeight="1">
      <c r="A13" s="252" t="s">
        <v>162</v>
      </c>
      <c r="B13" s="224">
        <v>55.63</v>
      </c>
      <c r="C13" s="225" t="s">
        <v>201</v>
      </c>
      <c r="D13" s="226" t="s">
        <v>218</v>
      </c>
      <c r="E13" s="225" t="s">
        <v>222</v>
      </c>
      <c r="F13" s="255"/>
      <c r="G13" s="227" t="s">
        <v>223</v>
      </c>
      <c r="H13" s="257" t="s">
        <v>90</v>
      </c>
      <c r="I13" s="258">
        <v>49</v>
      </c>
      <c r="J13" s="259">
        <v>-52</v>
      </c>
      <c r="K13" s="259">
        <v>52</v>
      </c>
      <c r="L13" s="258">
        <v>60</v>
      </c>
      <c r="M13" s="259">
        <v>63</v>
      </c>
      <c r="N13" s="259">
        <v>65</v>
      </c>
      <c r="O13" s="115">
        <f>IF(MAX(I13:K13)&gt;0,IF(MAX(I13:K13)&lt;0,0,TRUNC(MAX(I13:K13)/1)*1),"")</f>
        <v>52</v>
      </c>
      <c r="P13" s="116">
        <f>IF(MAX(L13:N13)&gt;0,IF(MAX(L13:N13)&lt;0,0,TRUNC(MAX(L13:N13)/1)*1),"")</f>
        <v>65</v>
      </c>
      <c r="Q13" s="117">
        <f>IF(O13="","",IF(P13="","",IF(SUM(O13:P13)=0,"",SUM(O13:P13))))</f>
        <v>117</v>
      </c>
      <c r="R13" s="118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166.23615929766305</v>
      </c>
      <c r="S13" s="119" t="str">
        <f>IF(AD13=1,R13*AG13,"")</f>
        <v/>
      </c>
      <c r="T13" s="73">
        <f>IF('K7'!G11="","",'K7'!G11)</f>
        <v>6.63</v>
      </c>
      <c r="U13" s="73">
        <f>IF('K7'!K11="","",'K7'!K11)</f>
        <v>9.32</v>
      </c>
      <c r="V13" s="73">
        <f>IF('K7'!N11="","",'K7'!N11)</f>
        <v>7.64</v>
      </c>
      <c r="W13" s="120"/>
      <c r="X13" s="121"/>
      <c r="Y13" s="134"/>
      <c r="Z13" s="75"/>
      <c r="AA13" s="123">
        <f>V5</f>
        <v>44451</v>
      </c>
      <c r="AB13" s="177" t="str">
        <f t="shared" ref="AB13" si="4">IF(ISNUMBER(FIND("M",C13)),"m",IF(ISNUMBER(FIND("K",C13)),"k"))</f>
        <v>k</v>
      </c>
      <c r="AC13" s="178">
        <f t="shared" ref="AC13" si="5">IF(OR(E13="",AA13=""),0,(YEAR(AA13)-YEAR(E13)))</f>
        <v>28</v>
      </c>
      <c r="AD13" s="179" t="str">
        <f t="shared" si="2"/>
        <v/>
      </c>
      <c r="AE13" s="180" t="b">
        <f>IF(AD13=1,LOOKUP(AC13,'Meltzer-Faber'!A3:A63,'Meltzer-Faber'!B3:B63))</f>
        <v>0</v>
      </c>
      <c r="AF13" s="180" t="b">
        <f>IF(AD13=1,LOOKUP(AC13,'Meltzer-Faber'!A3:A63,'Meltzer-Faber'!C3:C63))</f>
        <v>0</v>
      </c>
      <c r="AG13" s="180" t="b">
        <f t="shared" ref="AG13" si="6">IF(AB13="m",AE13,IF(AB13="k",AF13,""))</f>
        <v>0</v>
      </c>
    </row>
    <row r="14" spans="1:33" s="21" customFormat="1" ht="18" customHeight="1">
      <c r="A14" s="124"/>
      <c r="B14" s="125"/>
      <c r="C14" s="126"/>
      <c r="D14" s="127"/>
      <c r="E14" s="264"/>
      <c r="F14" s="260"/>
      <c r="G14" s="74"/>
      <c r="H14" s="74"/>
      <c r="I14" s="298"/>
      <c r="J14" s="289"/>
      <c r="K14" s="299"/>
      <c r="L14" s="286"/>
      <c r="M14" s="287"/>
      <c r="N14" s="288"/>
      <c r="O14" s="126"/>
      <c r="P14" s="130"/>
      <c r="Q14" s="289">
        <f>IF(R13="","",R13*1.2)</f>
        <v>199.48339115719565</v>
      </c>
      <c r="R14" s="289"/>
      <c r="S14" s="131"/>
      <c r="T14" s="132">
        <f>IF(T13="","",T13*20)</f>
        <v>132.6</v>
      </c>
      <c r="U14" s="132">
        <f>IF(U13="","",U13*13)</f>
        <v>121.16</v>
      </c>
      <c r="V14" s="78">
        <f>IF(V13="","",IF((80+(8-ROUNDUP(V13,1))*40)&lt;0,0,80+(8-ROUNDUP(V13,1))*40))</f>
        <v>92.000000000000028</v>
      </c>
      <c r="W14" s="78">
        <f>IF(SUM(T14,U14,V14)&gt;0,SUM(T14,U14,V14),"")</f>
        <v>345.76</v>
      </c>
      <c r="X14" s="133">
        <f>IF(OR(Q14="",T14="",U14="",V14=""),"",SUM(Q14,T14,U14,V14))</f>
        <v>545.24339115719567</v>
      </c>
      <c r="Y14" s="79">
        <v>6</v>
      </c>
      <c r="Z14" s="80"/>
      <c r="AA14" s="123"/>
    </row>
    <row r="15" spans="1:33" s="21" customFormat="1" ht="18" customHeight="1">
      <c r="A15" s="252" t="s">
        <v>171</v>
      </c>
      <c r="B15" s="224">
        <v>61.65</v>
      </c>
      <c r="C15" s="225" t="s">
        <v>201</v>
      </c>
      <c r="D15" s="261" t="s">
        <v>218</v>
      </c>
      <c r="E15" s="254">
        <v>33443</v>
      </c>
      <c r="F15" s="255"/>
      <c r="G15" s="256" t="s">
        <v>224</v>
      </c>
      <c r="H15" s="223" t="s">
        <v>86</v>
      </c>
      <c r="I15" s="258">
        <v>-56</v>
      </c>
      <c r="J15" s="259">
        <v>56</v>
      </c>
      <c r="K15" s="259">
        <v>-59</v>
      </c>
      <c r="L15" s="258">
        <v>-70</v>
      </c>
      <c r="M15" s="259">
        <v>70</v>
      </c>
      <c r="N15" s="259">
        <v>-75</v>
      </c>
      <c r="O15" s="115">
        <f>IF(MAX(I15:K15)&gt;0,IF(MAX(I15:K15)&lt;0,0,TRUNC(MAX(I15:K15)/1)*1),"")</f>
        <v>56</v>
      </c>
      <c r="P15" s="116">
        <f>IF(MAX(L15:N15)&gt;0,IF(MAX(L15:N15)&lt;0,0,TRUNC(MAX(L15:N15)/1)*1),"")</f>
        <v>70</v>
      </c>
      <c r="Q15" s="117">
        <f>IF(O15="","",IF(P15="","",IF(SUM(O15:P15)=0,"",SUM(O15:P15))))</f>
        <v>126</v>
      </c>
      <c r="R15" s="118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167.34646679039992</v>
      </c>
      <c r="S15" s="119" t="str">
        <f>IF(AD15=1,R15*AG15,"")</f>
        <v/>
      </c>
      <c r="T15" s="73">
        <f>IF('K7'!G13="","",'K7'!G13)</f>
        <v>6.86</v>
      </c>
      <c r="U15" s="73">
        <f>IF('K7'!K13="","",'K7'!K13)</f>
        <v>7.68</v>
      </c>
      <c r="V15" s="73">
        <f>IF('K7'!N13="","",'K7'!N13)</f>
        <v>7.41</v>
      </c>
      <c r="W15" s="120"/>
      <c r="X15" s="121"/>
      <c r="Y15" s="134"/>
      <c r="Z15" s="75"/>
      <c r="AA15" s="123">
        <f>V5</f>
        <v>44451</v>
      </c>
      <c r="AB15" s="177" t="str">
        <f t="shared" ref="AB15" si="7">IF(ISNUMBER(FIND("M",C15)),"m",IF(ISNUMBER(FIND("K",C15)),"k"))</f>
        <v>k</v>
      </c>
      <c r="AC15" s="178">
        <f t="shared" ref="AC15" si="8">IF(OR(E15="",AA15=""),0,(YEAR(AA15)-YEAR(E15)))</f>
        <v>30</v>
      </c>
      <c r="AD15" s="179" t="str">
        <f t="shared" si="2"/>
        <v/>
      </c>
      <c r="AE15" s="180" t="b">
        <f>IF(AD15=1,LOOKUP(AC15,'Meltzer-Faber'!A3:A63,'Meltzer-Faber'!B3:B63))</f>
        <v>0</v>
      </c>
      <c r="AF15" s="180" t="b">
        <f>IF(AD15=1,LOOKUP(AC15,'Meltzer-Faber'!A3:A63,'Meltzer-Faber'!C3:C63))</f>
        <v>0</v>
      </c>
      <c r="AG15" s="180" t="b">
        <f t="shared" ref="AG15" si="9">IF(AB15="m",AE15,IF(AB15="k",AF15,""))</f>
        <v>0</v>
      </c>
    </row>
    <row r="16" spans="1:33" s="21" customFormat="1" ht="18" customHeight="1">
      <c r="A16" s="124"/>
      <c r="B16" s="125"/>
      <c r="C16" s="126"/>
      <c r="D16" s="127"/>
      <c r="E16" s="128"/>
      <c r="F16" s="260"/>
      <c r="G16" s="74"/>
      <c r="H16" s="74"/>
      <c r="I16" s="298"/>
      <c r="J16" s="289"/>
      <c r="K16" s="299"/>
      <c r="L16" s="286"/>
      <c r="M16" s="287"/>
      <c r="N16" s="288"/>
      <c r="O16" s="126"/>
      <c r="P16" s="130"/>
      <c r="Q16" s="289">
        <f>IF(R15="","",R15*1.2)</f>
        <v>200.81576014847988</v>
      </c>
      <c r="R16" s="289"/>
      <c r="S16" s="131"/>
      <c r="T16" s="132">
        <f>IF(T15="","",T15*20)</f>
        <v>137.20000000000002</v>
      </c>
      <c r="U16" s="132">
        <f>IF(U15="","",U15*13)</f>
        <v>99.84</v>
      </c>
      <c r="V16" s="78">
        <f>IF(V15="","",IF((80+(8-ROUNDUP(V15,1))*40)&lt;0,0,80+(8-ROUNDUP(V15,1))*40))</f>
        <v>100</v>
      </c>
      <c r="W16" s="78">
        <f>IF(SUM(T16,U16,V16)&gt;0,SUM(T16,U16,V16),"")</f>
        <v>337.04</v>
      </c>
      <c r="X16" s="133">
        <f>IF(OR(Q16="",T16="",U16="",V16=""),"",SUM(Q16,T16,U16,V16))</f>
        <v>537.85576014847993</v>
      </c>
      <c r="Y16" s="79">
        <v>7</v>
      </c>
      <c r="Z16" s="80"/>
      <c r="AA16" s="123"/>
    </row>
    <row r="17" spans="1:33" s="21" customFormat="1" ht="18" customHeight="1">
      <c r="A17" s="252" t="s">
        <v>162</v>
      </c>
      <c r="B17" s="224">
        <v>58.25</v>
      </c>
      <c r="C17" s="225" t="s">
        <v>201</v>
      </c>
      <c r="D17" s="261" t="s">
        <v>218</v>
      </c>
      <c r="E17" s="254">
        <v>35232</v>
      </c>
      <c r="F17" s="255"/>
      <c r="G17" s="256" t="s">
        <v>225</v>
      </c>
      <c r="H17" s="223" t="s">
        <v>87</v>
      </c>
      <c r="I17" s="258">
        <v>60</v>
      </c>
      <c r="J17" s="259">
        <v>63</v>
      </c>
      <c r="K17" s="259">
        <v>-67</v>
      </c>
      <c r="L17" s="258">
        <v>75</v>
      </c>
      <c r="M17" s="259">
        <v>80</v>
      </c>
      <c r="N17" s="259">
        <v>-83</v>
      </c>
      <c r="O17" s="115">
        <f>IF(MAX(I17:K17)&gt;0,IF(MAX(I17:K17)&lt;0,0,TRUNC(MAX(I17:K17)/1)*1),"")</f>
        <v>63</v>
      </c>
      <c r="P17" s="116">
        <f>IF(MAX(L17:N17)&gt;0,IF(MAX(L17:N17)&lt;0,0,TRUNC(MAX(L17:N17)/1)*1),"")</f>
        <v>80</v>
      </c>
      <c r="Q17" s="117">
        <f>IF(O17="","",IF(P17="","",IF(SUM(O17:P17)=0,"",SUM(O17:P17))))</f>
        <v>143</v>
      </c>
      <c r="R17" s="118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>196.95608150157264</v>
      </c>
      <c r="S17" s="119" t="str">
        <f>IF(AD17=1,R17*AG17,"")</f>
        <v/>
      </c>
      <c r="T17" s="73">
        <f>IF('K7'!G15="","",'K7'!G15)</f>
        <v>7.25</v>
      </c>
      <c r="U17" s="73">
        <f>IF('K7'!K15="","",'K7'!K15)</f>
        <v>10.71</v>
      </c>
      <c r="V17" s="73">
        <f>IF('K7'!N15="","",'K7'!N15)</f>
        <v>6.89</v>
      </c>
      <c r="W17" s="120"/>
      <c r="X17" s="121"/>
      <c r="Y17" s="134"/>
      <c r="Z17" s="75"/>
      <c r="AA17" s="123">
        <f>V5</f>
        <v>44451</v>
      </c>
      <c r="AB17" s="177" t="str">
        <f t="shared" ref="AB17" si="10">IF(ISNUMBER(FIND("M",C17)),"m",IF(ISNUMBER(FIND("K",C17)),"k"))</f>
        <v>k</v>
      </c>
      <c r="AC17" s="178">
        <f t="shared" ref="AC17" si="11">IF(OR(E17="",AA17=""),0,(YEAR(AA17)-YEAR(E17)))</f>
        <v>25</v>
      </c>
      <c r="AD17" s="179" t="str">
        <f t="shared" si="2"/>
        <v/>
      </c>
      <c r="AE17" s="180" t="b">
        <f>IF(AD17=1,LOOKUP(AC17,'Meltzer-Faber'!A3:A63,'Meltzer-Faber'!B3:B63))</f>
        <v>0</v>
      </c>
      <c r="AF17" s="180" t="b">
        <f>IF(AD17=1,LOOKUP(AC17,'Meltzer-Faber'!A3:A63,'Meltzer-Faber'!C3:C63))</f>
        <v>0</v>
      </c>
      <c r="AG17" s="180" t="b">
        <f t="shared" ref="AG17" si="12">IF(AB17="m",AE17,IF(AB17="k",AF17,""))</f>
        <v>0</v>
      </c>
    </row>
    <row r="18" spans="1:33" s="21" customFormat="1" ht="18" customHeight="1">
      <c r="A18" s="124"/>
      <c r="B18" s="125"/>
      <c r="C18" s="126"/>
      <c r="D18" s="127"/>
      <c r="E18" s="128"/>
      <c r="F18" s="260"/>
      <c r="G18" s="74"/>
      <c r="H18" s="74"/>
      <c r="I18" s="298"/>
      <c r="J18" s="289"/>
      <c r="K18" s="299"/>
      <c r="L18" s="286"/>
      <c r="M18" s="287"/>
      <c r="N18" s="288"/>
      <c r="O18" s="126"/>
      <c r="P18" s="130"/>
      <c r="Q18" s="289">
        <f>IF(R17="","",R17*1.2)</f>
        <v>236.34729780188715</v>
      </c>
      <c r="R18" s="289"/>
      <c r="S18" s="131"/>
      <c r="T18" s="132">
        <f>IF(T17="","",T17*20)</f>
        <v>145</v>
      </c>
      <c r="U18" s="132">
        <f>IF(U17="","",U17*13)</f>
        <v>139.23000000000002</v>
      </c>
      <c r="V18" s="78">
        <f>IF(V17="","",IF((80+(8-ROUNDUP(V17,1))*40)&lt;0,0,80+(8-ROUNDUP(V17,1))*40))</f>
        <v>124.00000000000003</v>
      </c>
      <c r="W18" s="78">
        <f>IF(SUM(T18,U18,V18)&gt;0,SUM(T18,U18,V18),"")</f>
        <v>408.23</v>
      </c>
      <c r="X18" s="133">
        <f>IF(OR(Q18="",T18="",U18="",V18=""),"",SUM(Q18,T18,U18,V18))</f>
        <v>644.5772978018872</v>
      </c>
      <c r="Y18" s="79">
        <v>5</v>
      </c>
      <c r="Z18" s="80"/>
      <c r="AA18" s="123"/>
    </row>
    <row r="19" spans="1:33" s="21" customFormat="1" ht="18" customHeight="1">
      <c r="A19" s="252" t="s">
        <v>171</v>
      </c>
      <c r="B19" s="224">
        <v>59.45</v>
      </c>
      <c r="C19" s="225" t="s">
        <v>201</v>
      </c>
      <c r="D19" s="261" t="s">
        <v>218</v>
      </c>
      <c r="E19" s="254">
        <v>33830</v>
      </c>
      <c r="F19" s="255"/>
      <c r="G19" s="256" t="s">
        <v>226</v>
      </c>
      <c r="H19" s="223" t="s">
        <v>227</v>
      </c>
      <c r="I19" s="258">
        <v>-84</v>
      </c>
      <c r="J19" s="259">
        <v>-84</v>
      </c>
      <c r="K19" s="259">
        <v>-86</v>
      </c>
      <c r="L19" s="258">
        <v>101</v>
      </c>
      <c r="M19" s="259">
        <v>105</v>
      </c>
      <c r="N19" s="259">
        <v>-107</v>
      </c>
      <c r="O19" s="115" t="str">
        <f>IF(MAX(I19:K19)&gt;0,IF(MAX(I19:K19)&lt;0,0,TRUNC(MAX(I19:K19)/1)*1),"")</f>
        <v/>
      </c>
      <c r="P19" s="116">
        <f>IF(MAX(L19:N19)&gt;0,IF(MAX(L19:N19)&lt;0,0,TRUNC(MAX(L19:N19)/1)*1),"")</f>
        <v>105</v>
      </c>
      <c r="Q19" s="117" t="str">
        <f>IF(O19="","",IF(P19="","",IF(SUM(O19:P19)=0,"",SUM(O19:P19))))</f>
        <v/>
      </c>
      <c r="R19" s="118" t="str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119" t="str">
        <f>IF(AD19=1,R19*AG19,"")</f>
        <v/>
      </c>
      <c r="T19" s="73" t="str">
        <f>IF('K7'!G17="","",'K7'!G17)</f>
        <v/>
      </c>
      <c r="U19" s="73" t="str">
        <f>IF('K7'!K17="","",'K7'!K17)</f>
        <v/>
      </c>
      <c r="V19" s="73" t="str">
        <f>IF('K7'!N17="","",'K7'!N17)</f>
        <v/>
      </c>
      <c r="W19" s="120"/>
      <c r="X19" s="121"/>
      <c r="Y19" s="134"/>
      <c r="Z19" s="75"/>
      <c r="AA19" s="123">
        <f>V5</f>
        <v>44451</v>
      </c>
      <c r="AB19" s="177" t="str">
        <f t="shared" ref="AB19" si="13">IF(ISNUMBER(FIND("M",C19)),"m",IF(ISNUMBER(FIND("K",C19)),"k"))</f>
        <v>k</v>
      </c>
      <c r="AC19" s="178">
        <f t="shared" ref="AC19" si="14">IF(OR(E19="",AA19=""),0,(YEAR(AA19)-YEAR(E19)))</f>
        <v>29</v>
      </c>
      <c r="AD19" s="179" t="str">
        <f t="shared" si="2"/>
        <v/>
      </c>
      <c r="AE19" s="180" t="b">
        <f>IF(AD19=1,LOOKUP(AC19,'Meltzer-Faber'!A3:A63,'Meltzer-Faber'!B3:B63))</f>
        <v>0</v>
      </c>
      <c r="AF19" s="180" t="b">
        <f>IF(AD19=1,LOOKUP(AC19,'Meltzer-Faber'!A3:A63,'Meltzer-Faber'!C3:C63))</f>
        <v>0</v>
      </c>
      <c r="AG19" s="180" t="b">
        <f t="shared" ref="AG19" si="15">IF(AB19="m",AE19,IF(AB19="k",AF19,""))</f>
        <v>0</v>
      </c>
    </row>
    <row r="20" spans="1:33" s="21" customFormat="1" ht="18" customHeight="1">
      <c r="A20" s="124"/>
      <c r="B20" s="125"/>
      <c r="C20" s="126"/>
      <c r="D20" s="127"/>
      <c r="E20" s="128"/>
      <c r="F20" s="260"/>
      <c r="G20" s="74"/>
      <c r="H20" s="74"/>
      <c r="I20" s="298"/>
      <c r="J20" s="289"/>
      <c r="K20" s="299"/>
      <c r="L20" s="286"/>
      <c r="M20" s="287"/>
      <c r="N20" s="288"/>
      <c r="O20" s="126"/>
      <c r="P20" s="130"/>
      <c r="Q20" s="289" t="str">
        <f>IF(R19="","",R19*1.2)</f>
        <v/>
      </c>
      <c r="R20" s="289"/>
      <c r="S20" s="131"/>
      <c r="T20" s="132" t="str">
        <f>IF(T19="","",T19*20)</f>
        <v/>
      </c>
      <c r="U20" s="132" t="str">
        <f>IF(U19="","",U19*13)</f>
        <v/>
      </c>
      <c r="V20" s="78" t="str">
        <f>IF(V19="","",IF((80+(8-ROUNDUP(V19,1))*40)&lt;0,0,80+(8-ROUNDUP(V19,1))*40))</f>
        <v/>
      </c>
      <c r="W20" s="78" t="str">
        <f>IF(SUM(T20,U20,V20)&gt;0,SUM(T20,U20,V20),"")</f>
        <v/>
      </c>
      <c r="X20" s="133" t="str">
        <f>IF(OR(Q20="",T20="",U20="",V20=""),"",SUM(Q20,T20,U20,V20))</f>
        <v/>
      </c>
      <c r="Y20" s="79" t="s">
        <v>16</v>
      </c>
      <c r="Z20" s="80"/>
      <c r="AA20" s="123"/>
    </row>
    <row r="21" spans="1:33" s="21" customFormat="1" ht="18" customHeight="1">
      <c r="A21" s="252" t="s">
        <v>171</v>
      </c>
      <c r="B21" s="224">
        <v>60.27</v>
      </c>
      <c r="C21" s="225" t="s">
        <v>201</v>
      </c>
      <c r="D21" s="261" t="s">
        <v>218</v>
      </c>
      <c r="E21" s="254">
        <v>32737</v>
      </c>
      <c r="F21" s="255"/>
      <c r="G21" s="256" t="s">
        <v>228</v>
      </c>
      <c r="H21" s="223" t="s">
        <v>85</v>
      </c>
      <c r="I21" s="258">
        <v>88</v>
      </c>
      <c r="J21" s="259">
        <v>90</v>
      </c>
      <c r="K21" s="259">
        <v>-91</v>
      </c>
      <c r="L21" s="258">
        <v>112</v>
      </c>
      <c r="M21" s="259">
        <v>117</v>
      </c>
      <c r="N21" s="259">
        <v>-119</v>
      </c>
      <c r="O21" s="115">
        <f>IF(MAX(I21:K21)&gt;0,IF(MAX(I21:K21)&lt;0,0,TRUNC(MAX(I21:K21)/1)*1),"")</f>
        <v>90</v>
      </c>
      <c r="P21" s="116">
        <f>IF(MAX(L21:N21)&gt;0,IF(MAX(L21:N21)&lt;0,0,TRUNC(MAX(L21:N21)/1)*1),"")</f>
        <v>117</v>
      </c>
      <c r="Q21" s="117">
        <f>IF(O21="","",IF(P21="","",IF(SUM(O21:P21)=0,"",SUM(O21:P21))))</f>
        <v>207</v>
      </c>
      <c r="R21" s="118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>278.8704654131671</v>
      </c>
      <c r="S21" s="119" t="str">
        <f>IF(AD21=1,R21*AG21,"")</f>
        <v/>
      </c>
      <c r="T21" s="73">
        <f>IF('K7'!G19="","",'K7'!G19)</f>
        <v>8.0500000000000007</v>
      </c>
      <c r="U21" s="73">
        <f>IF('K7'!K19="","",'K7'!K19)</f>
        <v>14.11</v>
      </c>
      <c r="V21" s="73">
        <f>IF('K7'!N19="","",'K7'!N19)</f>
        <v>6.66</v>
      </c>
      <c r="W21" s="120"/>
      <c r="X21" s="121"/>
      <c r="Y21" s="134"/>
      <c r="Z21" s="75" t="s">
        <v>216</v>
      </c>
      <c r="AA21" s="123">
        <f>V5</f>
        <v>44451</v>
      </c>
      <c r="AB21" s="177" t="str">
        <f t="shared" ref="AB21" si="16">IF(ISNUMBER(FIND("M",C21)),"m",IF(ISNUMBER(FIND("K",C21)),"k"))</f>
        <v>k</v>
      </c>
      <c r="AC21" s="178">
        <f t="shared" ref="AC21" si="17">IF(OR(E21="",AA21=""),0,(YEAR(AA21)-YEAR(E21)))</f>
        <v>32</v>
      </c>
      <c r="AD21" s="179" t="str">
        <f t="shared" si="2"/>
        <v/>
      </c>
      <c r="AE21" s="180" t="b">
        <f>IF(AD21=1,LOOKUP(AC21,'Meltzer-Faber'!A3:A63,'Meltzer-Faber'!B3:B63))</f>
        <v>0</v>
      </c>
      <c r="AF21" s="180" t="b">
        <f>IF(AD21=1,LOOKUP(AC21,'Meltzer-Faber'!A3:A63,'Meltzer-Faber'!C3:C63))</f>
        <v>0</v>
      </c>
      <c r="AG21" s="180" t="b">
        <f t="shared" ref="AG21" si="18">IF(AB21="m",AE21,IF(AB21="k",AF21,""))</f>
        <v>0</v>
      </c>
    </row>
    <row r="22" spans="1:33" s="21" customFormat="1" ht="18" customHeight="1">
      <c r="A22" s="124"/>
      <c r="B22" s="125"/>
      <c r="C22" s="126"/>
      <c r="D22" s="127"/>
      <c r="E22" s="128"/>
      <c r="F22" s="260"/>
      <c r="G22" s="74"/>
      <c r="H22" s="74"/>
      <c r="I22" s="298"/>
      <c r="J22" s="289"/>
      <c r="K22" s="299"/>
      <c r="L22" s="286"/>
      <c r="M22" s="287"/>
      <c r="N22" s="288"/>
      <c r="O22" s="126"/>
      <c r="P22" s="130"/>
      <c r="Q22" s="289">
        <f>IF(R21="","",R21*1.2)</f>
        <v>334.64455849580048</v>
      </c>
      <c r="R22" s="289"/>
      <c r="S22" s="131"/>
      <c r="T22" s="132">
        <f>IF(T21="","",T21*20)</f>
        <v>161</v>
      </c>
      <c r="U22" s="132">
        <f>IF(U21="","",U21*13)</f>
        <v>183.43</v>
      </c>
      <c r="V22" s="78">
        <f>IF(V21="","",IF((80+(8-ROUNDUP(V21,1))*40)&lt;0,0,80+(8-ROUNDUP(V21,1))*40))</f>
        <v>132.00000000000003</v>
      </c>
      <c r="W22" s="78">
        <f>IF(SUM(T22,U22,V22)&gt;0,SUM(T22,U22,V22),"")</f>
        <v>476.43000000000006</v>
      </c>
      <c r="X22" s="133">
        <f>IF(OR(Q22="",T22="",U22="",V22=""),"",SUM(Q22,T22,U22,V22))</f>
        <v>811.07455849580049</v>
      </c>
      <c r="Y22" s="79">
        <v>1</v>
      </c>
      <c r="Z22" s="80"/>
      <c r="AA22" s="123"/>
    </row>
    <row r="23" spans="1:33" s="21" customFormat="1" ht="18" customHeight="1">
      <c r="A23" s="252" t="s">
        <v>167</v>
      </c>
      <c r="B23" s="224">
        <v>74.33</v>
      </c>
      <c r="C23" s="225" t="s">
        <v>201</v>
      </c>
      <c r="D23" s="261" t="s">
        <v>218</v>
      </c>
      <c r="E23" s="254">
        <v>32509</v>
      </c>
      <c r="F23" s="255"/>
      <c r="G23" s="256" t="s">
        <v>229</v>
      </c>
      <c r="H23" s="223" t="s">
        <v>86</v>
      </c>
      <c r="I23" s="258">
        <v>-83</v>
      </c>
      <c r="J23" s="259">
        <v>83</v>
      </c>
      <c r="K23" s="259">
        <v>87</v>
      </c>
      <c r="L23" s="258">
        <v>103</v>
      </c>
      <c r="M23" s="259">
        <v>108</v>
      </c>
      <c r="N23" s="259">
        <v>-111</v>
      </c>
      <c r="O23" s="115">
        <f>IF(MAX(I23:K23)&gt;0,IF(MAX(I23:K23)&lt;0,0,TRUNC(MAX(I23:K23)/1)*1),"")</f>
        <v>87</v>
      </c>
      <c r="P23" s="116">
        <f>IF(MAX(L23:N23)&gt;0,IF(MAX(L23:N23)&lt;0,0,TRUNC(MAX(L23:N23)/1)*1),"")</f>
        <v>108</v>
      </c>
      <c r="Q23" s="117">
        <f>IF(O23="","",IF(P23="","",IF(SUM(O23:P23)=0,"",SUM(O23:P23))))</f>
        <v>195</v>
      </c>
      <c r="R23" s="118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>233.32759147295963</v>
      </c>
      <c r="S23" s="119" t="str">
        <f>IF(AD23=1,R23*AG23,"")</f>
        <v/>
      </c>
      <c r="T23" s="73">
        <f>IF('K7'!G21="","",'K7'!G21)</f>
        <v>7.32</v>
      </c>
      <c r="U23" s="73">
        <f>IF('K7'!K21="","",'K7'!K21)</f>
        <v>9.8800000000000008</v>
      </c>
      <c r="V23" s="73">
        <f>IF('K7'!N21="","",'K7'!N21)</f>
        <v>7.52</v>
      </c>
      <c r="W23" s="120"/>
      <c r="X23" s="121"/>
      <c r="Y23" s="134"/>
      <c r="Z23" s="75"/>
      <c r="AA23" s="123">
        <f>V5</f>
        <v>44451</v>
      </c>
      <c r="AB23" s="177" t="str">
        <f t="shared" ref="AB23" si="19">IF(ISNUMBER(FIND("M",C23)),"m",IF(ISNUMBER(FIND("K",C23)),"k"))</f>
        <v>k</v>
      </c>
      <c r="AC23" s="178">
        <f t="shared" ref="AC23" si="20">IF(OR(E23="",AA23=""),0,(YEAR(AA23)-YEAR(E23)))</f>
        <v>32</v>
      </c>
      <c r="AD23" s="179" t="str">
        <f t="shared" si="2"/>
        <v/>
      </c>
      <c r="AE23" s="180" t="b">
        <f>IF(AD23=1,LOOKUP(AC23,'Meltzer-Faber'!A3:A63,'Meltzer-Faber'!B3:B63))</f>
        <v>0</v>
      </c>
      <c r="AF23" s="180" t="b">
        <f>IF(AD23=1,LOOKUP(AC23,'Meltzer-Faber'!A3:A63,'Meltzer-Faber'!C3:C63))</f>
        <v>0</v>
      </c>
      <c r="AG23" s="180" t="b">
        <f t="shared" ref="AG23" si="21">IF(AB23="m",AE23,IF(AB23="k",AF23,""))</f>
        <v>0</v>
      </c>
    </row>
    <row r="24" spans="1:33" s="21" customFormat="1" ht="18" customHeight="1">
      <c r="A24" s="124"/>
      <c r="B24" s="125"/>
      <c r="C24" s="126"/>
      <c r="D24" s="127"/>
      <c r="E24" s="128"/>
      <c r="F24" s="260"/>
      <c r="G24" s="74"/>
      <c r="H24" s="74"/>
      <c r="I24" s="298"/>
      <c r="J24" s="289"/>
      <c r="K24" s="299"/>
      <c r="L24" s="286"/>
      <c r="M24" s="287"/>
      <c r="N24" s="288"/>
      <c r="O24" s="126"/>
      <c r="P24" s="130"/>
      <c r="Q24" s="289">
        <f>IF(R23="","",R23*1.2)</f>
        <v>279.99310976755152</v>
      </c>
      <c r="R24" s="289"/>
      <c r="S24" s="131"/>
      <c r="T24" s="132">
        <f>IF(T23="","",T23*20)</f>
        <v>146.4</v>
      </c>
      <c r="U24" s="132">
        <f>IF(U23="","",U23*13)</f>
        <v>128.44</v>
      </c>
      <c r="V24" s="78">
        <f>IF(V23="","",IF((80+(8-ROUNDUP(V23,1))*40)&lt;0,0,80+(8-ROUNDUP(V23,1))*40))</f>
        <v>96.000000000000014</v>
      </c>
      <c r="W24" s="78">
        <f>IF(SUM(T24,U24,V24)&gt;0,SUM(T24,U24,V24),"")</f>
        <v>370.84000000000003</v>
      </c>
      <c r="X24" s="133">
        <f>IF(OR(Q24="",T24="",U24="",V24=""),"",SUM(Q24,T24,U24,V24))</f>
        <v>650.8331097675516</v>
      </c>
      <c r="Y24" s="79">
        <v>4</v>
      </c>
      <c r="Z24" s="80"/>
      <c r="AA24" s="123"/>
    </row>
    <row r="25" spans="1:33" s="21" customFormat="1" ht="18" customHeight="1">
      <c r="A25" s="252"/>
      <c r="B25" s="224"/>
      <c r="C25" s="225"/>
      <c r="D25" s="261"/>
      <c r="E25" s="254"/>
      <c r="F25" s="255"/>
      <c r="G25" s="256"/>
      <c r="H25" s="223"/>
      <c r="I25" s="258"/>
      <c r="J25" s="259"/>
      <c r="K25" s="259"/>
      <c r="L25" s="258"/>
      <c r="M25" s="259"/>
      <c r="N25" s="259"/>
      <c r="O25" s="115" t="str">
        <f>IF(MAX(I25:K25)&gt;0,IF(MAX(I25:K25)&lt;0,0,TRUNC(MAX(I25:K25)/1)*1),"")</f>
        <v/>
      </c>
      <c r="P25" s="116" t="str">
        <f>IF(MAX(L25:N25)&gt;0,IF(MAX(L25:N25)&lt;0,0,TRUNC(MAX(L25:N25)/1)*1),"")</f>
        <v/>
      </c>
      <c r="Q25" s="117" t="str">
        <f>IF(O25="","",IF(P25="","",IF(SUM(O25:P25)=0,"",SUM(O25:P25))))</f>
        <v/>
      </c>
      <c r="R25" s="118" t="str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119" t="str">
        <f>IF(AD25=1,R25*AG25,"")</f>
        <v/>
      </c>
      <c r="T25" s="73" t="str">
        <f>IF('K7'!G23="","",'K7'!G23)</f>
        <v/>
      </c>
      <c r="U25" s="73" t="str">
        <f>IF('K7'!K23="","",'K7'!K23)</f>
        <v/>
      </c>
      <c r="V25" s="73" t="str">
        <f>IF('K7'!N23="","",'K7'!N23)</f>
        <v/>
      </c>
      <c r="W25" s="120"/>
      <c r="X25" s="121"/>
      <c r="Y25" s="134"/>
      <c r="Z25" s="75"/>
      <c r="AA25" s="123">
        <f>V5</f>
        <v>44451</v>
      </c>
      <c r="AB25" s="177" t="b">
        <f t="shared" ref="AB25" si="22">IF(ISNUMBER(FIND("M",C25)),"m",IF(ISNUMBER(FIND("K",C25)),"k"))</f>
        <v>0</v>
      </c>
      <c r="AC25" s="178">
        <f t="shared" ref="AC25" si="23">IF(OR(E25="",AA25=""),0,(YEAR(AA25)-YEAR(E25)))</f>
        <v>0</v>
      </c>
      <c r="AD25" s="179" t="str">
        <f t="shared" si="2"/>
        <v/>
      </c>
      <c r="AE25" s="180" t="b">
        <f>IF(AD25=1,LOOKUP(AC25,'Meltzer-Faber'!A3:A63,'Meltzer-Faber'!B3:B63))</f>
        <v>0</v>
      </c>
      <c r="AF25" s="180" t="b">
        <f>IF(AD25=1,LOOKUP(AC25,'Meltzer-Faber'!A3:A63,'Meltzer-Faber'!C3:C63))</f>
        <v>0</v>
      </c>
      <c r="AG25" s="180" t="str">
        <f t="shared" ref="AG25" si="24">IF(AB25="m",AE25,IF(AB25="k",AF25,""))</f>
        <v/>
      </c>
    </row>
    <row r="26" spans="1:33" s="21" customFormat="1" ht="18" customHeight="1">
      <c r="A26" s="124"/>
      <c r="B26" s="125"/>
      <c r="C26" s="126"/>
      <c r="D26" s="127"/>
      <c r="E26" s="128"/>
      <c r="F26" s="260"/>
      <c r="G26" s="74"/>
      <c r="H26" s="74"/>
      <c r="I26" s="298"/>
      <c r="J26" s="289"/>
      <c r="K26" s="299"/>
      <c r="L26" s="286"/>
      <c r="M26" s="287"/>
      <c r="N26" s="288"/>
      <c r="O26" s="126"/>
      <c r="P26" s="130"/>
      <c r="Q26" s="289" t="str">
        <f>IF(R25="","",R25*1.2)</f>
        <v/>
      </c>
      <c r="R26" s="289"/>
      <c r="S26" s="131"/>
      <c r="T26" s="132" t="str">
        <f>IF(T25="","",T25*20)</f>
        <v/>
      </c>
      <c r="U26" s="132" t="str">
        <f>IF(U25="","",U25*13)</f>
        <v/>
      </c>
      <c r="V26" s="78" t="str">
        <f>IF(V25="","",IF((80+(8-ROUNDUP(V25,1))*40)&lt;0,0,80+(8-ROUNDUP(V25,1))*40))</f>
        <v/>
      </c>
      <c r="W26" s="78" t="str">
        <f>IF(SUM(T26,U26,V26)&gt;0,SUM(T26,U26,V26),"")</f>
        <v/>
      </c>
      <c r="X26" s="133" t="str">
        <f>IF(OR(Q26="",T26="",U26="",V26=""),"",SUM(Q26,T26,U26,V26))</f>
        <v/>
      </c>
      <c r="Y26" s="79"/>
      <c r="Z26" s="80"/>
      <c r="AA26" s="123"/>
    </row>
    <row r="27" spans="1:33" s="21" customFormat="1" ht="18" customHeight="1">
      <c r="A27" s="112"/>
      <c r="B27" s="113"/>
      <c r="C27" s="71"/>
      <c r="D27" s="114"/>
      <c r="E27" s="71"/>
      <c r="F27" s="71"/>
      <c r="G27" s="72"/>
      <c r="H27" s="72"/>
      <c r="I27" s="156"/>
      <c r="J27" s="157"/>
      <c r="K27" s="157"/>
      <c r="L27" s="157"/>
      <c r="M27" s="157"/>
      <c r="N27" s="157"/>
      <c r="O27" s="115" t="str">
        <f>IF(MAX(I27:K27)&gt;0,IF(MAX(I27:K27)&lt;0,0,TRUNC(MAX(I27:K27)/1)*1),"")</f>
        <v/>
      </c>
      <c r="P27" s="116" t="str">
        <f>IF(MAX(L27:N27)&gt;0,IF(MAX(L27:N27)&lt;0,0,TRUNC(MAX(L27:N27)/1)*1),"")</f>
        <v/>
      </c>
      <c r="Q27" s="117" t="str">
        <f>IF(O27="","",IF(P27="","",IF(SUM(O27:P27)=0,"",SUM(O27:P27))))</f>
        <v/>
      </c>
      <c r="R27" s="118" t="str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119" t="str">
        <f>IF(AD27=1,R27*AG27,"")</f>
        <v/>
      </c>
      <c r="T27" s="73" t="str">
        <f>IF('K7'!G25="","",'K7'!G25)</f>
        <v/>
      </c>
      <c r="U27" s="73" t="str">
        <f>IF('K7'!K25="","",'K7'!K25)</f>
        <v/>
      </c>
      <c r="V27" s="73" t="str">
        <f>IF('K7'!N25="","",'K7'!N25)</f>
        <v/>
      </c>
      <c r="W27" s="120"/>
      <c r="X27" s="121"/>
      <c r="Y27" s="134"/>
      <c r="Z27" s="75"/>
      <c r="AA27" s="123">
        <f>V5</f>
        <v>44451</v>
      </c>
      <c r="AB27" s="177" t="b">
        <f t="shared" ref="AB27" si="25">IF(ISNUMBER(FIND("M",C27)),"m",IF(ISNUMBER(FIND("K",C27)),"k"))</f>
        <v>0</v>
      </c>
      <c r="AC27" s="178">
        <f t="shared" ref="AC27" si="26">IF(OR(E27="",AA27=""),0,(YEAR(AA27)-YEAR(E27)))</f>
        <v>0</v>
      </c>
      <c r="AD27" s="179" t="str">
        <f t="shared" si="2"/>
        <v/>
      </c>
      <c r="AE27" s="180" t="b">
        <f>IF(AD27=1,LOOKUP(AC27,'Meltzer-Faber'!A3:A63,'Meltzer-Faber'!B3:B63))</f>
        <v>0</v>
      </c>
      <c r="AF27" s="180" t="b">
        <f>IF(AD27=1,LOOKUP(AC27,'Meltzer-Faber'!A3:A63,'Meltzer-Faber'!C3:C63))</f>
        <v>0</v>
      </c>
      <c r="AG27" s="180" t="str">
        <f t="shared" ref="AG27" si="27">IF(AB27="m",AE27,IF(AB27="k",AF27,""))</f>
        <v/>
      </c>
    </row>
    <row r="28" spans="1:33" s="21" customFormat="1" ht="18" customHeight="1">
      <c r="A28" s="124"/>
      <c r="B28" s="125"/>
      <c r="C28" s="126"/>
      <c r="D28" s="127"/>
      <c r="E28" s="128"/>
      <c r="F28" s="128"/>
      <c r="G28" s="360" t="s">
        <v>265</v>
      </c>
      <c r="H28" s="129"/>
      <c r="I28" s="286"/>
      <c r="J28" s="287"/>
      <c r="K28" s="288"/>
      <c r="L28" s="286"/>
      <c r="M28" s="287"/>
      <c r="N28" s="288"/>
      <c r="O28" s="126"/>
      <c r="P28" s="130"/>
      <c r="Q28" s="289" t="str">
        <f>IF(R27="","",R27*1.2)</f>
        <v/>
      </c>
      <c r="R28" s="289"/>
      <c r="S28" s="131"/>
      <c r="T28" s="132" t="str">
        <f>IF(T27="","",T27*20)</f>
        <v/>
      </c>
      <c r="U28" s="132" t="str">
        <f>IF(U27="","",U27*13)</f>
        <v/>
      </c>
      <c r="V28" s="78" t="str">
        <f>IF(V27="","",IF((80+(8-ROUNDUP(V27,1))*40)&lt;0,0,80+(8-ROUNDUP(V27,1))*40))</f>
        <v/>
      </c>
      <c r="W28" s="78" t="str">
        <f>IF(SUM(T28,U28,V28)&gt;0,SUM(T28,U28,V28),"")</f>
        <v/>
      </c>
      <c r="X28" s="133" t="str">
        <f>IF(OR(Q28="",T28="",U28="",V28=""),"",SUM(Q28,T28,U28,V28))</f>
        <v/>
      </c>
      <c r="Y28" s="79"/>
      <c r="Z28" s="80"/>
      <c r="AA28" s="123"/>
    </row>
    <row r="29" spans="1:33" s="21" customFormat="1" ht="18" customHeight="1">
      <c r="A29" s="252" t="s">
        <v>162</v>
      </c>
      <c r="B29" s="224">
        <v>56.47</v>
      </c>
      <c r="C29" s="225" t="s">
        <v>146</v>
      </c>
      <c r="D29" s="226" t="s">
        <v>218</v>
      </c>
      <c r="E29" s="225" t="s">
        <v>220</v>
      </c>
      <c r="F29" s="255"/>
      <c r="G29" s="227" t="s">
        <v>221</v>
      </c>
      <c r="H29" s="257" t="s">
        <v>94</v>
      </c>
      <c r="I29" s="258">
        <v>75</v>
      </c>
      <c r="J29" s="259">
        <v>77</v>
      </c>
      <c r="K29" s="259">
        <v>-79</v>
      </c>
      <c r="L29" s="157">
        <v>96</v>
      </c>
      <c r="M29" s="157">
        <v>100</v>
      </c>
      <c r="N29" s="157">
        <v>-103</v>
      </c>
      <c r="O29" s="115">
        <f>IF(MAX(I29:K29)&gt;0,IF(MAX(I29:K29)&lt;0,0,TRUNC(MAX(I29:K29)/1)*1),"")</f>
        <v>77</v>
      </c>
      <c r="P29" s="116">
        <f>IF(MAX(L29:N29)&gt;0,IF(MAX(L29:N29)&lt;0,0,TRUNC(MAX(L29:N29)/1)*1),"")</f>
        <v>100</v>
      </c>
      <c r="Q29" s="117">
        <f>IF(O29="","",IF(P29="","",IF(SUM(O29:P29)=0,"",SUM(O29:P29))))</f>
        <v>177</v>
      </c>
      <c r="R29" s="118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>269.36847980027107</v>
      </c>
      <c r="S29" s="119" t="str">
        <f>IF(AD29=1,R29*AG29,"")</f>
        <v/>
      </c>
      <c r="T29" s="73">
        <f>IF('K7'!G27="","",'K7'!G27)</f>
        <v>7.37</v>
      </c>
      <c r="U29" s="73">
        <f>IF('K7'!K27="","",'K7'!K27)</f>
        <v>8.4</v>
      </c>
      <c r="V29" s="73">
        <f>IF('K7'!N27="","",'K7'!N27)</f>
        <v>6.72</v>
      </c>
      <c r="W29" s="120"/>
      <c r="X29" s="121"/>
      <c r="Y29" s="134"/>
      <c r="Z29" s="75"/>
      <c r="AA29" s="123">
        <f>V5</f>
        <v>44451</v>
      </c>
      <c r="AB29" s="177" t="str">
        <f t="shared" ref="AB29" si="28">IF(ISNUMBER(FIND("M",C29)),"m",IF(ISNUMBER(FIND("K",C29)),"k"))</f>
        <v>m</v>
      </c>
      <c r="AC29" s="178">
        <f t="shared" ref="AC29" si="29">IF(OR(E29="",AA29=""),0,(YEAR(AA29)-YEAR(E29)))</f>
        <v>25</v>
      </c>
      <c r="AD29" s="179" t="str">
        <f t="shared" si="2"/>
        <v/>
      </c>
      <c r="AE29" s="180" t="b">
        <f>IF(AD29=1,LOOKUP(AC29,'Meltzer-Faber'!A3:A63,'Meltzer-Faber'!B3:B63))</f>
        <v>0</v>
      </c>
      <c r="AF29" s="180" t="b">
        <f>IF(AD29=1,LOOKUP(AC29,'Meltzer-Faber'!A3:A63,'Meltzer-Faber'!C3:C63))</f>
        <v>0</v>
      </c>
      <c r="AG29" s="180" t="b">
        <f t="shared" ref="AG29" si="30">IF(AB29="m",AE29,IF(AB29="k",AF29,""))</f>
        <v>0</v>
      </c>
    </row>
    <row r="30" spans="1:33" s="21" customFormat="1" ht="18" customHeight="1">
      <c r="A30" s="124"/>
      <c r="B30" s="125"/>
      <c r="C30" s="126"/>
      <c r="D30" s="127"/>
      <c r="E30" s="128"/>
      <c r="F30" s="264"/>
      <c r="G30" s="74"/>
      <c r="H30" s="129"/>
      <c r="I30" s="286"/>
      <c r="J30" s="287"/>
      <c r="K30" s="288"/>
      <c r="L30" s="286"/>
      <c r="M30" s="287"/>
      <c r="N30" s="288"/>
      <c r="O30" s="126"/>
      <c r="P30" s="130"/>
      <c r="Q30" s="289">
        <f>IF(R29="","",R29*1.2)</f>
        <v>323.24217576032527</v>
      </c>
      <c r="R30" s="289"/>
      <c r="S30" s="131"/>
      <c r="T30" s="132">
        <f>IF(T29="","",T29*20)</f>
        <v>147.4</v>
      </c>
      <c r="U30" s="132">
        <f>IF(U29="","",U29*13)</f>
        <v>109.2</v>
      </c>
      <c r="V30" s="78">
        <f>IF(V29="","",IF((80+(8-ROUNDUP(V29,1))*40)&lt;0,0,80+(8-ROUNDUP(V29,1))*40))</f>
        <v>128</v>
      </c>
      <c r="W30" s="78">
        <f>IF(SUM(T30,U30,V30)&gt;0,SUM(T30,U30,V30),"")</f>
        <v>384.6</v>
      </c>
      <c r="X30" s="133">
        <f>IF(OR(Q30="",T30="",U30="",V30=""),"",SUM(Q30,T30,U30,V30))</f>
        <v>707.84217576032529</v>
      </c>
      <c r="Y30" s="79"/>
      <c r="Z30" s="80"/>
      <c r="AA30" s="123"/>
    </row>
    <row r="31" spans="1:33" s="21" customFormat="1" ht="18" customHeight="1">
      <c r="A31" s="112"/>
      <c r="B31" s="224">
        <v>60.27</v>
      </c>
      <c r="C31" s="225" t="s">
        <v>146</v>
      </c>
      <c r="D31" s="261" t="s">
        <v>218</v>
      </c>
      <c r="E31" s="254">
        <v>32737</v>
      </c>
      <c r="F31" s="255"/>
      <c r="G31" s="256" t="s">
        <v>228</v>
      </c>
      <c r="H31" s="223" t="s">
        <v>85</v>
      </c>
      <c r="I31" s="258">
        <v>88</v>
      </c>
      <c r="J31" s="259">
        <v>90</v>
      </c>
      <c r="K31" s="259">
        <v>-91</v>
      </c>
      <c r="L31" s="258">
        <v>112</v>
      </c>
      <c r="M31" s="259">
        <v>117</v>
      </c>
      <c r="N31" s="259">
        <v>-119</v>
      </c>
      <c r="O31" s="269">
        <f>IF(MAX(I31:K31)&gt;0,IF(MAX(I31:K31)&lt;0,0,TRUNC(MAX(I31:K31)/1)*1),"")</f>
        <v>90</v>
      </c>
      <c r="P31" s="270">
        <f>IF(MAX(L31:N31)&gt;0,IF(MAX(L31:N31)&lt;0,0,TRUNC(MAX(L31:N31)/1)*1),"")</f>
        <v>117</v>
      </c>
      <c r="Q31" s="271">
        <f>IF(O31="","",IF(P31="","",IF(SUM(O31:P31)=0,"",SUM(O31:P31))))</f>
        <v>207</v>
      </c>
      <c r="R31" s="272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>300.60604509625091</v>
      </c>
      <c r="S31" s="121" t="str">
        <f>IF(AD31=1,R31*AG31,"")</f>
        <v/>
      </c>
      <c r="T31" s="73">
        <f>IF('K7'!G29="","",'K7'!G29)</f>
        <v>8.0500000000000007</v>
      </c>
      <c r="U31" s="73">
        <f>IF('K7'!K29="","",'K7'!K29)</f>
        <v>10.3</v>
      </c>
      <c r="V31" s="73">
        <f>IF('K7'!N29="","",'K7'!N29)</f>
        <v>6.66</v>
      </c>
      <c r="W31" s="120" t="s">
        <v>16</v>
      </c>
      <c r="X31" s="121"/>
      <c r="Y31" s="134"/>
      <c r="Z31" s="75"/>
      <c r="AA31" s="123">
        <f>V5</f>
        <v>44451</v>
      </c>
      <c r="AB31" s="177" t="str">
        <f t="shared" ref="AB31" si="31">IF(ISNUMBER(FIND("M",C31)),"m",IF(ISNUMBER(FIND("K",C31)),"k"))</f>
        <v>m</v>
      </c>
      <c r="AC31" s="178">
        <f t="shared" ref="AC31" si="32">IF(OR(E31="",AA31=""),0,(YEAR(AA31)-YEAR(E31)))</f>
        <v>32</v>
      </c>
      <c r="AD31" s="179" t="str">
        <f t="shared" si="2"/>
        <v/>
      </c>
      <c r="AE31" s="180" t="b">
        <f>IF(AD31=1,LOOKUP(AC31,'Meltzer-Faber'!A3:A63,'Meltzer-Faber'!B3:B63))</f>
        <v>0</v>
      </c>
      <c r="AF31" s="180" t="b">
        <f>IF(AD31=1,LOOKUP(AC31,'Meltzer-Faber'!A3:A63,'Meltzer-Faber'!C3:C63))</f>
        <v>0</v>
      </c>
      <c r="AG31" s="180" t="b">
        <f t="shared" ref="AG31" si="33">IF(AB31="m",AE31,IF(AB31="k",AF31,""))</f>
        <v>0</v>
      </c>
    </row>
    <row r="32" spans="1:33" s="21" customFormat="1" ht="18" customHeight="1">
      <c r="A32" s="124"/>
      <c r="B32" s="125"/>
      <c r="C32" s="126"/>
      <c r="D32" s="127"/>
      <c r="E32" s="128"/>
      <c r="F32" s="264"/>
      <c r="G32" s="274"/>
      <c r="H32" s="275"/>
      <c r="I32" s="290"/>
      <c r="J32" s="291"/>
      <c r="K32" s="292"/>
      <c r="L32" s="290"/>
      <c r="M32" s="291"/>
      <c r="N32" s="292"/>
      <c r="O32" s="273"/>
      <c r="P32" s="276"/>
      <c r="Q32" s="314">
        <f>IF(R31="","",R31*1.2)</f>
        <v>360.72725411550107</v>
      </c>
      <c r="R32" s="314"/>
      <c r="S32" s="277"/>
      <c r="T32" s="278">
        <f>IF(T31="","",T31*20)</f>
        <v>161</v>
      </c>
      <c r="U32" s="278">
        <f>IF(U31="","",U31*13)</f>
        <v>133.9</v>
      </c>
      <c r="V32" s="279">
        <f>IF(V31="","",IF((80+(8-ROUNDUP(V31,1))*40)&lt;0,0,80+(8-ROUNDUP(V31,1))*40))</f>
        <v>132.00000000000003</v>
      </c>
      <c r="W32" s="279">
        <f>IF(SUM(T32,U32,V32)&gt;0,SUM(T32,U32,V32),"")</f>
        <v>426.9</v>
      </c>
      <c r="X32" s="280">
        <f>IF(OR(Q32="",T32="",U32="",V32=""),"",SUM(Q32,T32,U32,V32))</f>
        <v>787.62725411550105</v>
      </c>
      <c r="Y32" s="281"/>
      <c r="Z32" s="282"/>
      <c r="AA32" s="123"/>
    </row>
    <row r="33" spans="1:26" s="21" customFormat="1" ht="14">
      <c r="A33" s="136"/>
      <c r="B33" s="136"/>
      <c r="C33" s="136"/>
      <c r="D33" s="137"/>
      <c r="E33" s="138"/>
      <c r="F33" s="138"/>
      <c r="G33" s="139"/>
      <c r="H33" s="139"/>
      <c r="I33" s="140"/>
      <c r="J33" s="140"/>
      <c r="K33" s="140"/>
      <c r="L33" s="140"/>
      <c r="M33" s="140"/>
      <c r="N33" s="140"/>
      <c r="O33" s="136"/>
      <c r="P33" s="136"/>
      <c r="Q33" s="136"/>
      <c r="R33" s="136"/>
      <c r="S33" s="136"/>
      <c r="T33" s="140"/>
      <c r="U33" s="140"/>
      <c r="V33" s="141"/>
      <c r="W33" s="141"/>
      <c r="X33" s="142"/>
      <c r="Y33" s="143"/>
      <c r="Z33" s="198"/>
    </row>
    <row r="34" spans="1:26" s="197" customFormat="1" ht="14">
      <c r="A34" s="197" t="s">
        <v>13</v>
      </c>
      <c r="C34" s="302" t="s">
        <v>205</v>
      </c>
      <c r="D34" s="302"/>
      <c r="E34" s="302"/>
      <c r="F34" s="302"/>
      <c r="G34" s="302"/>
      <c r="H34" s="191" t="s">
        <v>14</v>
      </c>
      <c r="I34" s="145">
        <v>1</v>
      </c>
      <c r="J34" s="302" t="s">
        <v>119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s="197" customFormat="1" ht="14">
      <c r="A35"/>
      <c r="C35" s="303"/>
      <c r="D35" s="303"/>
      <c r="E35" s="303"/>
      <c r="F35" s="303"/>
      <c r="G35" s="303"/>
      <c r="H35" s="192"/>
      <c r="I35" s="145">
        <v>2</v>
      </c>
      <c r="J35" s="302" t="s">
        <v>103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s="197" customFormat="1" ht="14">
      <c r="A36" s="197" t="s">
        <v>49</v>
      </c>
      <c r="C36" s="302"/>
      <c r="D36" s="302"/>
      <c r="E36" s="302"/>
      <c r="F36" s="302"/>
      <c r="G36" s="302"/>
      <c r="H36" s="191"/>
      <c r="I36" s="197">
        <v>3</v>
      </c>
      <c r="J36" s="302" t="s">
        <v>102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s="4" customFormat="1" ht="14">
      <c r="A37"/>
      <c r="B37" s="196"/>
      <c r="C37" s="302"/>
      <c r="D37" s="302"/>
      <c r="E37" s="302"/>
      <c r="F37" s="302"/>
      <c r="G37" s="302"/>
      <c r="H37" s="191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</row>
    <row r="38" spans="1:26" s="4" customFormat="1" ht="14">
      <c r="A38"/>
      <c r="B38" s="197"/>
      <c r="C38" s="302"/>
      <c r="D38" s="302"/>
      <c r="E38" s="302"/>
      <c r="F38" s="302"/>
      <c r="G38" s="302"/>
      <c r="H38" s="147" t="s">
        <v>50</v>
      </c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spans="1:26" s="4" customFormat="1" ht="14">
      <c r="A39" s="1"/>
      <c r="B39" s="1"/>
      <c r="C39" s="146"/>
      <c r="D39" s="3"/>
      <c r="E39" s="3"/>
      <c r="F39" s="3"/>
      <c r="H39" s="147" t="s">
        <v>51</v>
      </c>
      <c r="I39" s="315" t="s">
        <v>118</v>
      </c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 spans="1:26" s="4" customFormat="1" ht="14">
      <c r="A40" s="197" t="s">
        <v>15</v>
      </c>
      <c r="B40" s="197"/>
      <c r="C40" s="302" t="s">
        <v>101</v>
      </c>
      <c r="D40" s="302"/>
      <c r="E40" s="302"/>
      <c r="F40" s="302"/>
      <c r="G40" s="302"/>
      <c r="H40" s="147" t="s">
        <v>52</v>
      </c>
      <c r="I40" s="315" t="s">
        <v>105</v>
      </c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spans="1:26" s="4" customFormat="1" ht="14">
      <c r="A41" s="1"/>
      <c r="B41" s="1"/>
      <c r="C41" s="302" t="s">
        <v>106</v>
      </c>
      <c r="D41" s="302"/>
      <c r="E41" s="302"/>
      <c r="F41" s="302"/>
      <c r="G41" s="302"/>
      <c r="H41" s="191"/>
      <c r="I41" s="147"/>
      <c r="J41" s="197"/>
      <c r="K41" s="148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4">
      <c r="A42" s="197" t="s">
        <v>53</v>
      </c>
      <c r="B42" s="197"/>
      <c r="C42" s="302" t="s">
        <v>100</v>
      </c>
      <c r="D42" s="302"/>
      <c r="E42" s="302"/>
      <c r="F42" s="302"/>
      <c r="G42" s="302"/>
      <c r="H42" s="147" t="s">
        <v>18</v>
      </c>
      <c r="I42" s="315" t="s">
        <v>264</v>
      </c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spans="1:26" s="4" customFormat="1" ht="14">
      <c r="A43" s="1"/>
      <c r="B43" s="1"/>
      <c r="C43" s="302"/>
      <c r="D43" s="302"/>
      <c r="E43" s="302"/>
      <c r="F43" s="302"/>
      <c r="G43" s="302"/>
      <c r="H43" s="191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spans="1:26" s="4" customFormat="1">
      <c r="A44" s="149" t="s">
        <v>17</v>
      </c>
      <c r="B44" s="150" t="s">
        <v>63</v>
      </c>
      <c r="C44" s="150"/>
      <c r="D44" s="151"/>
      <c r="E44" s="151"/>
      <c r="F44" s="151"/>
      <c r="G44" s="152"/>
      <c r="H44" s="152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</row>
    <row r="45" spans="1:26" s="4" customFormat="1">
      <c r="A45" s="1"/>
      <c r="B45" s="1"/>
      <c r="C45" s="150"/>
      <c r="D45" s="3"/>
      <c r="E45" s="3"/>
      <c r="F45" s="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</row>
    <row r="46" spans="1:26" s="4" customFormat="1">
      <c r="A46" s="1"/>
      <c r="B46" s="1"/>
      <c r="C46" s="2"/>
      <c r="D46" s="3"/>
      <c r="E46" s="3"/>
      <c r="F46" s="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</row>
    <row r="47" spans="1:26">
      <c r="K47" s="153"/>
    </row>
    <row r="48" spans="1:26">
      <c r="K48" s="1"/>
    </row>
    <row r="49" spans="11:11">
      <c r="K49" s="1"/>
    </row>
    <row r="50" spans="11:11">
      <c r="K50" s="1"/>
    </row>
  </sheetData>
  <mergeCells count="70">
    <mergeCell ref="S3:Z3"/>
    <mergeCell ref="A5:B5"/>
    <mergeCell ref="C5:G5"/>
    <mergeCell ref="I5:N5"/>
    <mergeCell ref="P5:T5"/>
    <mergeCell ref="V5:W5"/>
    <mergeCell ref="I10:K10"/>
    <mergeCell ref="L10:N10"/>
    <mergeCell ref="Q10:R10"/>
    <mergeCell ref="G2:R2"/>
    <mergeCell ref="G3:R3"/>
    <mergeCell ref="I7:K7"/>
    <mergeCell ref="L7:N7"/>
    <mergeCell ref="O7:R7"/>
    <mergeCell ref="I8:K8"/>
    <mergeCell ref="L8:N8"/>
    <mergeCell ref="I12:K12"/>
    <mergeCell ref="L12:N12"/>
    <mergeCell ref="Q12:R12"/>
    <mergeCell ref="I14:K14"/>
    <mergeCell ref="L14:N14"/>
    <mergeCell ref="Q14:R14"/>
    <mergeCell ref="I16:K16"/>
    <mergeCell ref="L16:N16"/>
    <mergeCell ref="Q16:R16"/>
    <mergeCell ref="I18:K18"/>
    <mergeCell ref="L18:N18"/>
    <mergeCell ref="Q18:R18"/>
    <mergeCell ref="I20:K20"/>
    <mergeCell ref="L20:N20"/>
    <mergeCell ref="Q20:R20"/>
    <mergeCell ref="I22:K22"/>
    <mergeCell ref="L22:N22"/>
    <mergeCell ref="Q22:R22"/>
    <mergeCell ref="I24:K24"/>
    <mergeCell ref="L24:N24"/>
    <mergeCell ref="Q24:R24"/>
    <mergeCell ref="I26:K26"/>
    <mergeCell ref="L26:N26"/>
    <mergeCell ref="Q26:R26"/>
    <mergeCell ref="I32:K32"/>
    <mergeCell ref="L32:N32"/>
    <mergeCell ref="Q32:R32"/>
    <mergeCell ref="C34:G34"/>
    <mergeCell ref="J34:Z34"/>
    <mergeCell ref="I28:K28"/>
    <mergeCell ref="L28:N28"/>
    <mergeCell ref="Q28:R28"/>
    <mergeCell ref="I30:K30"/>
    <mergeCell ref="L30:N30"/>
    <mergeCell ref="Q30:R30"/>
    <mergeCell ref="I46:Z46"/>
    <mergeCell ref="I39:Z39"/>
    <mergeCell ref="C40:G40"/>
    <mergeCell ref="I40:Z40"/>
    <mergeCell ref="C41:G41"/>
    <mergeCell ref="C42:G42"/>
    <mergeCell ref="I42:Z42"/>
    <mergeCell ref="C43:G43"/>
    <mergeCell ref="I43:Z43"/>
    <mergeCell ref="C38:G38"/>
    <mergeCell ref="I38:Z38"/>
    <mergeCell ref="J37:Z37"/>
    <mergeCell ref="I44:Z44"/>
    <mergeCell ref="I45:Z45"/>
    <mergeCell ref="C35:G35"/>
    <mergeCell ref="J35:Z35"/>
    <mergeCell ref="C36:G36"/>
    <mergeCell ref="J36:Z36"/>
    <mergeCell ref="C37:G37"/>
  </mergeCells>
  <conditionalFormatting sqref="I27:N27">
    <cfRule type="cellIs" dxfId="75" priority="65" stopIfTrue="1" operator="between">
      <formula>1</formula>
      <formula>300</formula>
    </cfRule>
    <cfRule type="cellIs" dxfId="74" priority="66" stopIfTrue="1" operator="lessThanOrEqual">
      <formula>0</formula>
    </cfRule>
  </conditionalFormatting>
  <conditionalFormatting sqref="L29:N29">
    <cfRule type="cellIs" dxfId="73" priority="63" stopIfTrue="1" operator="between">
      <formula>1</formula>
      <formula>300</formula>
    </cfRule>
    <cfRule type="cellIs" dxfId="72" priority="64" stopIfTrue="1" operator="lessThanOrEqual">
      <formula>0</formula>
    </cfRule>
  </conditionalFormatting>
  <conditionalFormatting sqref="I9:N9">
    <cfRule type="cellIs" dxfId="69" priority="19" stopIfTrue="1" operator="between">
      <formula>1</formula>
      <formula>300</formula>
    </cfRule>
    <cfRule type="cellIs" dxfId="68" priority="20" stopIfTrue="1" operator="lessThanOrEqual">
      <formula>0</formula>
    </cfRule>
  </conditionalFormatting>
  <conditionalFormatting sqref="I11:N11">
    <cfRule type="cellIs" dxfId="67" priority="17" stopIfTrue="1" operator="between">
      <formula>1</formula>
      <formula>300</formula>
    </cfRule>
    <cfRule type="cellIs" dxfId="66" priority="18" stopIfTrue="1" operator="lessThanOrEqual">
      <formula>0</formula>
    </cfRule>
  </conditionalFormatting>
  <conditionalFormatting sqref="I19:N19">
    <cfRule type="cellIs" dxfId="65" priority="9" stopIfTrue="1" operator="between">
      <formula>1</formula>
      <formula>300</formula>
    </cfRule>
    <cfRule type="cellIs" dxfId="64" priority="10" stopIfTrue="1" operator="lessThanOrEqual">
      <formula>0</formula>
    </cfRule>
  </conditionalFormatting>
  <conditionalFormatting sqref="I21:N21">
    <cfRule type="cellIs" dxfId="63" priority="15" stopIfTrue="1" operator="between">
      <formula>1</formula>
      <formula>300</formula>
    </cfRule>
    <cfRule type="cellIs" dxfId="62" priority="16" stopIfTrue="1" operator="lessThanOrEqual">
      <formula>0</formula>
    </cfRule>
  </conditionalFormatting>
  <conditionalFormatting sqref="I13:N13">
    <cfRule type="cellIs" dxfId="61" priority="13" stopIfTrue="1" operator="between">
      <formula>1</formula>
      <formula>300</formula>
    </cfRule>
    <cfRule type="cellIs" dxfId="60" priority="14" stopIfTrue="1" operator="lessThanOrEqual">
      <formula>0</formula>
    </cfRule>
  </conditionalFormatting>
  <conditionalFormatting sqref="I17:N17">
    <cfRule type="cellIs" dxfId="59" priority="11" stopIfTrue="1" operator="between">
      <formula>1</formula>
      <formula>300</formula>
    </cfRule>
    <cfRule type="cellIs" dxfId="58" priority="12" stopIfTrue="1" operator="lessThanOrEqual">
      <formula>0</formula>
    </cfRule>
  </conditionalFormatting>
  <conditionalFormatting sqref="I25:N25">
    <cfRule type="cellIs" dxfId="57" priority="39" stopIfTrue="1" operator="between">
      <formula>1</formula>
      <formula>300</formula>
    </cfRule>
    <cfRule type="cellIs" dxfId="56" priority="40" stopIfTrue="1" operator="lessThanOrEqual">
      <formula>0</formula>
    </cfRule>
  </conditionalFormatting>
  <conditionalFormatting sqref="I15:N15">
    <cfRule type="cellIs" dxfId="55" priority="5" stopIfTrue="1" operator="between">
      <formula>1</formula>
      <formula>300</formula>
    </cfRule>
    <cfRule type="cellIs" dxfId="54" priority="6" stopIfTrue="1" operator="lessThanOrEqual">
      <formula>0</formula>
    </cfRule>
  </conditionalFormatting>
  <conditionalFormatting sqref="I23:N23">
    <cfRule type="cellIs" dxfId="53" priority="7" stopIfTrue="1" operator="between">
      <formula>1</formula>
      <formula>300</formula>
    </cfRule>
    <cfRule type="cellIs" dxfId="52" priority="8" stopIfTrue="1" operator="lessThanOrEqual">
      <formula>0</formula>
    </cfRule>
  </conditionalFormatting>
  <conditionalFormatting sqref="I29:K29">
    <cfRule type="cellIs" dxfId="51" priority="3" stopIfTrue="1" operator="between">
      <formula>1</formula>
      <formula>300</formula>
    </cfRule>
    <cfRule type="cellIs" dxfId="50" priority="4" stopIfTrue="1" operator="lessThanOrEqual">
      <formula>0</formula>
    </cfRule>
  </conditionalFormatting>
  <conditionalFormatting sqref="I31:N31">
    <cfRule type="cellIs" dxfId="49" priority="1" stopIfTrue="1" operator="between">
      <formula>1</formula>
      <formula>300</formula>
    </cfRule>
    <cfRule type="cellIs" dxfId="48" priority="2" stopIfTrue="1" operator="lessThanOrEqual">
      <formula>0</formula>
    </cfRule>
  </conditionalFormatting>
  <dataValidations count="3">
    <dataValidation type="list" allowBlank="1" showInputMessage="1" showErrorMessage="1" errorTitle="Feil_i_vektklasse" error="Feil verddi i vektklasse" sqref="A13 A11 A25 A15 A17 A19 A9 A23 A21 A27 A31 A29" xr:uid="{6FA04AD7-B09E-6A43-BD38-719EF35FB989}">
      <formula1>"40,45,49,55,59,64,71,76,81,+81,81+,87,+87,87+,49,55,61,67,73,81,89,96,102,+102,102+,109,+109,109+"</formula1>
    </dataValidation>
    <dataValidation type="list" allowBlank="1" showInputMessage="1" showErrorMessage="1" errorTitle="Feil_i_kat.v.løft" error="Feil verdi i kategori vektløfting" sqref="C29 C9 C27 C19 C13 C17 C25 C21 C23 C11 C15 C31" xr:uid="{FF45E5F7-65E4-6349-8CD8-4D7654CD3F31}">
      <formula1>"UM,JM,SM,UK,JK,SK,M1,M2,M3,M4,M5,M6,M7,M8,M9,M10,K1,K2,K3,K4,K5,K6,K7,K8,K9,K10"</formula1>
    </dataValidation>
    <dataValidation type="list" allowBlank="1" showInputMessage="1" showErrorMessage="1" errorTitle="Feil_i_kat. 5-kamp" error="Feil verdi i kategori 5-kamp" sqref="D29 D9 D11 D13 D15 D17 D19 D21 D23 D25 D27 D31" xr:uid="{7FBE3A36-3227-BE48-A96C-541C0FB83B94}">
      <formula1>"13-14,15-16,17-18,19-23,24-34,+35,35+"</formula1>
    </dataValidation>
  </dataValidations>
  <pageMargins left="0.27559055118110198" right="0.27559055118110198" top="0.27559055118110198" bottom="0.27559055118110198" header="0.511811023622047" footer="0.511811023622047"/>
  <pageSetup paperSize="9" scale="60" orientation="landscape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DFE2-A515-5146-914E-C9CC1BF0ED74}">
  <sheetPr>
    <pageSetUpPr fitToPage="1"/>
  </sheetPr>
  <dimension ref="A1:AG50"/>
  <sheetViews>
    <sheetView showGridLines="0" showRowColHeaders="0" showZeros="0" topLeftCell="A3" zoomScale="90" zoomScaleNormal="90" workbookViewId="0">
      <selection activeCell="Y16" sqref="Y16"/>
    </sheetView>
  </sheetViews>
  <sheetFormatPr baseColWidth="10" defaultColWidth="9.1640625" defaultRowHeight="13"/>
  <cols>
    <col min="1" max="1" width="7" style="7" customWidth="1"/>
    <col min="2" max="2" width="8" style="7" customWidth="1"/>
    <col min="3" max="3" width="5.83203125" style="7" customWidth="1"/>
    <col min="4" max="4" width="7.6640625" style="7" customWidth="1"/>
    <col min="5" max="5" width="10.6640625" style="7" customWidth="1"/>
    <col min="6" max="6" width="4.33203125" style="7" customWidth="1"/>
    <col min="7" max="7" width="27.83203125" customWidth="1"/>
    <col min="8" max="8" width="20.6640625" customWidth="1"/>
    <col min="9" max="17" width="6.83203125" style="7" customWidth="1"/>
    <col min="18" max="21" width="8" style="7" customWidth="1"/>
    <col min="22" max="22" width="9" style="7" customWidth="1"/>
    <col min="23" max="24" width="8" style="7" customWidth="1"/>
    <col min="25" max="25" width="4.6640625" style="7" customWidth="1"/>
    <col min="26" max="26" width="5" style="7" customWidth="1"/>
    <col min="27" max="27" width="9.33203125" hidden="1" customWidth="1"/>
    <col min="28" max="33" width="9.1640625" hidden="1" customWidth="1"/>
  </cols>
  <sheetData>
    <row r="1" spans="1:33" ht="13" customHeight="1">
      <c r="H1" s="7"/>
      <c r="Z1"/>
    </row>
    <row r="2" spans="1:33" ht="72.75" customHeight="1">
      <c r="G2" s="293" t="s">
        <v>54</v>
      </c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U2" s="87" t="s">
        <v>59</v>
      </c>
      <c r="Z2"/>
    </row>
    <row r="3" spans="1:33" ht="29">
      <c r="E3" s="88"/>
      <c r="G3" s="294" t="s">
        <v>22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304" t="s">
        <v>60</v>
      </c>
      <c r="T3" s="304"/>
      <c r="U3" s="304"/>
      <c r="V3" s="304"/>
      <c r="W3" s="304"/>
      <c r="X3" s="304"/>
      <c r="Y3" s="304"/>
      <c r="Z3" s="304"/>
    </row>
    <row r="4" spans="1:33">
      <c r="H4" s="7"/>
      <c r="Z4"/>
    </row>
    <row r="5" spans="1:33" ht="15" customHeight="1">
      <c r="A5" s="300" t="s">
        <v>21</v>
      </c>
      <c r="B5" s="300"/>
      <c r="C5" s="301" t="s">
        <v>127</v>
      </c>
      <c r="D5" s="301"/>
      <c r="E5" s="301"/>
      <c r="F5" s="301"/>
      <c r="G5" s="301"/>
      <c r="H5" s="190" t="s">
        <v>0</v>
      </c>
      <c r="I5" s="305" t="s">
        <v>94</v>
      </c>
      <c r="J5" s="305"/>
      <c r="K5" s="305"/>
      <c r="L5" s="305"/>
      <c r="M5" s="305"/>
      <c r="N5" s="305"/>
      <c r="O5" s="190" t="s">
        <v>1</v>
      </c>
      <c r="P5" s="306" t="s">
        <v>117</v>
      </c>
      <c r="Q5" s="306"/>
      <c r="R5" s="306"/>
      <c r="S5" s="306"/>
      <c r="T5" s="306"/>
      <c r="U5" s="90" t="s">
        <v>2</v>
      </c>
      <c r="V5" s="307">
        <v>44451</v>
      </c>
      <c r="W5" s="307"/>
      <c r="X5" s="91" t="s">
        <v>20</v>
      </c>
      <c r="Y5" s="92">
        <v>8</v>
      </c>
      <c r="Z5"/>
    </row>
    <row r="6" spans="1:33" ht="13.75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3"/>
      <c r="X6" s="9"/>
      <c r="Y6" s="9"/>
      <c r="Z6"/>
      <c r="AB6" s="4"/>
      <c r="AC6" s="4"/>
      <c r="AD6" s="4"/>
      <c r="AE6" s="187" t="s">
        <v>67</v>
      </c>
      <c r="AF6" s="187" t="s">
        <v>67</v>
      </c>
      <c r="AG6" s="187" t="s">
        <v>67</v>
      </c>
    </row>
    <row r="7" spans="1:33" s="21" customFormat="1" ht="15" customHeight="1">
      <c r="A7" s="94" t="s">
        <v>3</v>
      </c>
      <c r="B7" s="195" t="s">
        <v>4</v>
      </c>
      <c r="C7" s="194" t="s">
        <v>23</v>
      </c>
      <c r="D7" s="97" t="s">
        <v>23</v>
      </c>
      <c r="E7" s="193" t="s">
        <v>5</v>
      </c>
      <c r="F7" s="193" t="s">
        <v>24</v>
      </c>
      <c r="G7" s="193" t="s">
        <v>6</v>
      </c>
      <c r="H7" s="193" t="s">
        <v>7</v>
      </c>
      <c r="I7" s="308" t="s">
        <v>8</v>
      </c>
      <c r="J7" s="309"/>
      <c r="K7" s="310"/>
      <c r="L7" s="308" t="s">
        <v>9</v>
      </c>
      <c r="M7" s="309"/>
      <c r="N7" s="310"/>
      <c r="O7" s="311" t="s">
        <v>25</v>
      </c>
      <c r="P7" s="312"/>
      <c r="Q7" s="312"/>
      <c r="R7" s="312"/>
      <c r="S7" s="99" t="s">
        <v>10</v>
      </c>
      <c r="T7" s="100" t="s">
        <v>61</v>
      </c>
      <c r="U7" s="100" t="s">
        <v>27</v>
      </c>
      <c r="V7" s="100" t="s">
        <v>28</v>
      </c>
      <c r="W7" s="193" t="s">
        <v>56</v>
      </c>
      <c r="X7" s="101" t="s">
        <v>29</v>
      </c>
      <c r="Y7" s="101" t="s">
        <v>30</v>
      </c>
      <c r="Z7" s="11" t="s">
        <v>31</v>
      </c>
      <c r="AB7" s="1"/>
      <c r="AC7" s="1"/>
      <c r="AD7" s="1"/>
      <c r="AE7" s="188" t="s">
        <v>68</v>
      </c>
      <c r="AF7" s="188" t="s">
        <v>68</v>
      </c>
      <c r="AG7" s="188" t="s">
        <v>68</v>
      </c>
    </row>
    <row r="8" spans="1:33" s="21" customFormat="1" ht="15" customHeight="1" thickBot="1">
      <c r="A8" s="102" t="s">
        <v>11</v>
      </c>
      <c r="B8" s="103" t="s">
        <v>12</v>
      </c>
      <c r="C8" s="104" t="s">
        <v>32</v>
      </c>
      <c r="D8" s="105" t="s">
        <v>29</v>
      </c>
      <c r="E8" s="106" t="s">
        <v>19</v>
      </c>
      <c r="F8" s="106" t="s">
        <v>62</v>
      </c>
      <c r="G8" s="189"/>
      <c r="H8" s="189"/>
      <c r="I8" s="295" t="s">
        <v>34</v>
      </c>
      <c r="J8" s="296"/>
      <c r="K8" s="297"/>
      <c r="L8" s="295" t="s">
        <v>34</v>
      </c>
      <c r="M8" s="296"/>
      <c r="N8" s="297"/>
      <c r="O8" s="108" t="s">
        <v>8</v>
      </c>
      <c r="P8" s="103" t="s">
        <v>9</v>
      </c>
      <c r="Q8" s="109" t="s">
        <v>35</v>
      </c>
      <c r="R8" s="104" t="s">
        <v>10</v>
      </c>
      <c r="S8" s="108" t="s">
        <v>55</v>
      </c>
      <c r="T8" s="110" t="s">
        <v>10</v>
      </c>
      <c r="U8" s="110" t="s">
        <v>10</v>
      </c>
      <c r="V8" s="110" t="s">
        <v>10</v>
      </c>
      <c r="W8" s="106" t="s">
        <v>57</v>
      </c>
      <c r="X8" s="111" t="s">
        <v>36</v>
      </c>
      <c r="Y8" s="111"/>
      <c r="Z8" s="12"/>
      <c r="AB8" s="1" t="s">
        <v>69</v>
      </c>
      <c r="AC8" s="1" t="s">
        <v>58</v>
      </c>
      <c r="AD8" s="3" t="s">
        <v>55</v>
      </c>
      <c r="AE8" s="188" t="s">
        <v>70</v>
      </c>
      <c r="AF8" s="188" t="s">
        <v>71</v>
      </c>
      <c r="AG8" s="188" t="s">
        <v>72</v>
      </c>
    </row>
    <row r="9" spans="1:33" s="21" customFormat="1" ht="18" customHeight="1">
      <c r="A9" s="252" t="s">
        <v>89</v>
      </c>
      <c r="B9" s="224">
        <v>70.239999999999995</v>
      </c>
      <c r="C9" s="225" t="s">
        <v>146</v>
      </c>
      <c r="D9" s="225" t="s">
        <v>218</v>
      </c>
      <c r="E9" s="225" t="s">
        <v>244</v>
      </c>
      <c r="F9" s="255"/>
      <c r="G9" s="227" t="s">
        <v>245</v>
      </c>
      <c r="H9" s="263" t="s">
        <v>246</v>
      </c>
      <c r="I9" s="258">
        <v>90</v>
      </c>
      <c r="J9" s="259">
        <v>95</v>
      </c>
      <c r="K9" s="259">
        <v>100</v>
      </c>
      <c r="L9" s="258">
        <v>115</v>
      </c>
      <c r="M9" s="259">
        <v>-120</v>
      </c>
      <c r="N9" s="259">
        <v>-125</v>
      </c>
      <c r="O9" s="115">
        <f>IF(MAX(I9:K9)&gt;0,IF(MAX(I9:K9)&lt;0,0,TRUNC(MAX(I9:K9)/1)*1),"")</f>
        <v>100</v>
      </c>
      <c r="P9" s="116">
        <f>IF(MAX(L9:N9)&gt;0,IF(MAX(L9:N9)&lt;0,0,TRUNC(MAX(L9:N9)/1)*1),"")</f>
        <v>115</v>
      </c>
      <c r="Q9" s="117">
        <f>IF(O9="","",IF(P9="","",IF(SUM(O9:P9)=0,"",SUM(O9:P9))))</f>
        <v>215</v>
      </c>
      <c r="R9" s="118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282.73364279414596</v>
      </c>
      <c r="S9" s="119" t="str">
        <f>IF(AD9=1,R9*AG9,"")</f>
        <v/>
      </c>
      <c r="T9" s="211">
        <f>IF('K8'!G7="","",'K8'!G7)</f>
        <v>9.5299999999999994</v>
      </c>
      <c r="U9" s="211">
        <f>IF('K8'!K7="","",'K8'!K7)</f>
        <v>12.98</v>
      </c>
      <c r="V9" s="211">
        <f>IF('K8'!N7="","",'K8'!N7)</f>
        <v>5.71</v>
      </c>
      <c r="W9" s="120"/>
      <c r="X9" s="121"/>
      <c r="Y9" s="122"/>
      <c r="Z9" s="77"/>
      <c r="AA9" s="123">
        <f>V5</f>
        <v>44451</v>
      </c>
      <c r="AB9" s="177" t="str">
        <f>IF(ISNUMBER(FIND("M",C9)),"m",IF(ISNUMBER(FIND("K",C9)),"k"))</f>
        <v>m</v>
      </c>
      <c r="AC9" s="178">
        <f>IF(OR(E9="",AA9=""),0,(YEAR(AA9)-YEAR(E9)))</f>
        <v>31</v>
      </c>
      <c r="AD9" s="179" t="str">
        <f>IF(AC9&gt;34,1,"")</f>
        <v/>
      </c>
      <c r="AE9" s="180" t="b">
        <f>IF(AD9=1,LOOKUP(AC9,'Meltzer-Faber'!A3:A63,'Meltzer-Faber'!B3:B63))</f>
        <v>0</v>
      </c>
      <c r="AF9" s="180" t="b">
        <f>IF(AD9=1,LOOKUP(AC9,'Meltzer-Faber'!A3:A63,'Meltzer-Faber'!C3:C63))</f>
        <v>0</v>
      </c>
      <c r="AG9" s="180" t="b">
        <f>IF(AB9="m",AE9,IF(AB9="k",AF9,""))</f>
        <v>0</v>
      </c>
    </row>
    <row r="10" spans="1:33" s="21" customFormat="1" ht="18" customHeight="1">
      <c r="A10" s="124"/>
      <c r="B10" s="125"/>
      <c r="C10" s="126"/>
      <c r="D10" s="127"/>
      <c r="E10" s="264"/>
      <c r="F10" s="260"/>
      <c r="G10" s="74"/>
      <c r="H10" s="74"/>
      <c r="I10" s="298"/>
      <c r="J10" s="289"/>
      <c r="K10" s="299"/>
      <c r="L10" s="286"/>
      <c r="M10" s="287"/>
      <c r="N10" s="288"/>
      <c r="O10" s="126"/>
      <c r="P10" s="130"/>
      <c r="Q10" s="289">
        <f>IF(R9="","",R9*1.2)</f>
        <v>339.28037135297512</v>
      </c>
      <c r="R10" s="289"/>
      <c r="S10" s="131"/>
      <c r="T10" s="132">
        <f>IF(T9="","",T9*20)</f>
        <v>190.6</v>
      </c>
      <c r="U10" s="132">
        <f>IF(U9="","",U9*13)</f>
        <v>168.74</v>
      </c>
      <c r="V10" s="78">
        <f>IF(V9="","",IF((80+(8-ROUNDUP(V9,1))*40)&lt;0,0,80+(8-ROUNDUP(V9,1))*40))</f>
        <v>168</v>
      </c>
      <c r="W10" s="78">
        <f>IF(SUM(T10,U10,V10)&gt;0,SUM(T10,U10,V10),"")</f>
        <v>527.34</v>
      </c>
      <c r="X10" s="133">
        <f>IF(OR(Q10="",T10="",U10="",V10=""),"",SUM(Q10,T10,U10,V10))</f>
        <v>866.6203713529751</v>
      </c>
      <c r="Y10" s="79">
        <v>2</v>
      </c>
      <c r="Z10" s="80"/>
      <c r="AA10" s="123"/>
      <c r="AB10" s="177"/>
      <c r="AC10" s="178"/>
      <c r="AD10" s="179"/>
      <c r="AE10" s="180"/>
      <c r="AF10" s="180"/>
      <c r="AG10" s="180"/>
    </row>
    <row r="11" spans="1:33" s="21" customFormat="1" ht="18" customHeight="1">
      <c r="A11" s="252" t="s">
        <v>95</v>
      </c>
      <c r="B11" s="224">
        <v>74.09</v>
      </c>
      <c r="C11" s="225" t="s">
        <v>146</v>
      </c>
      <c r="D11" s="225" t="s">
        <v>218</v>
      </c>
      <c r="E11" s="225" t="s">
        <v>247</v>
      </c>
      <c r="F11" s="255"/>
      <c r="G11" s="227" t="s">
        <v>248</v>
      </c>
      <c r="H11" s="263" t="s">
        <v>86</v>
      </c>
      <c r="I11" s="258">
        <v>-120</v>
      </c>
      <c r="J11" s="259">
        <v>-125</v>
      </c>
      <c r="K11" s="259">
        <v>-128</v>
      </c>
      <c r="L11" s="258">
        <v>155</v>
      </c>
      <c r="M11" s="259">
        <v>-164</v>
      </c>
      <c r="N11" s="259">
        <v>-165</v>
      </c>
      <c r="O11" s="115" t="str">
        <f>IF(MAX(I11:K11)&gt;0,IF(MAX(I11:K11)&lt;0,0,TRUNC(MAX(I11:K11)/1)*1),"")</f>
        <v/>
      </c>
      <c r="P11" s="116">
        <f>IF(MAX(L11:N11)&gt;0,IF(MAX(L11:N11)&lt;0,0,TRUNC(MAX(L11:N11)/1)*1),"")</f>
        <v>155</v>
      </c>
      <c r="Q11" s="117" t="str">
        <f>IF(O11="","",IF(P11="","",IF(SUM(O11:P11)=0,"",SUM(O11:P11))))</f>
        <v/>
      </c>
      <c r="R11" s="118" t="str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/>
      </c>
      <c r="S11" s="119" t="str">
        <f>IF(AD11=1,R11*AG11,"")</f>
        <v/>
      </c>
      <c r="T11" s="211" t="str">
        <f>IF('K8'!G9="","",'K8'!G9)</f>
        <v/>
      </c>
      <c r="U11" s="211" t="str">
        <f>IF('K8'!K9="","",'K8'!K9)</f>
        <v/>
      </c>
      <c r="V11" s="211" t="str">
        <f>IF('K8'!N9="","",'K8'!N9)</f>
        <v/>
      </c>
      <c r="W11" s="120"/>
      <c r="X11" s="121"/>
      <c r="Y11" s="134"/>
      <c r="Z11" s="75"/>
      <c r="AA11" s="123">
        <f>V5</f>
        <v>44451</v>
      </c>
      <c r="AB11" s="177" t="str">
        <f t="shared" ref="AB11" si="0">IF(ISNUMBER(FIND("M",C11)),"m",IF(ISNUMBER(FIND("K",C11)),"k"))</f>
        <v>m</v>
      </c>
      <c r="AC11" s="178">
        <f t="shared" ref="AC11" si="1">IF(OR(E11="",AA11=""),0,(YEAR(AA11)-YEAR(E11)))</f>
        <v>30</v>
      </c>
      <c r="AD11" s="179" t="str">
        <f t="shared" ref="AD11:AD31" si="2">IF(AC11&gt;34,1,"")</f>
        <v/>
      </c>
      <c r="AE11" s="180" t="b">
        <f>IF(AD11=1,LOOKUP(AC11,'Meltzer-Faber'!A3:A63,'Meltzer-Faber'!B3:B63))</f>
        <v>0</v>
      </c>
      <c r="AF11" s="180" t="b">
        <f>IF(AD11=1,LOOKUP(AC11,'Meltzer-Faber'!A3:A63,'Meltzer-Faber'!C3:C63))</f>
        <v>0</v>
      </c>
      <c r="AG11" s="180" t="b">
        <f t="shared" ref="AG11" si="3">IF(AB11="m",AE11,IF(AB11="k",AF11,""))</f>
        <v>0</v>
      </c>
    </row>
    <row r="12" spans="1:33" s="21" customFormat="1" ht="18" customHeight="1">
      <c r="A12" s="124"/>
      <c r="B12" s="125"/>
      <c r="C12" s="126"/>
      <c r="D12" s="127"/>
      <c r="E12" s="264"/>
      <c r="F12" s="260"/>
      <c r="G12" s="74"/>
      <c r="H12" s="74"/>
      <c r="I12" s="298"/>
      <c r="J12" s="289"/>
      <c r="K12" s="299"/>
      <c r="L12" s="286"/>
      <c r="M12" s="287"/>
      <c r="N12" s="288"/>
      <c r="O12" s="126"/>
      <c r="P12" s="130"/>
      <c r="Q12" s="289" t="str">
        <f>IF(R11="","",R11*1.2)</f>
        <v/>
      </c>
      <c r="R12" s="289"/>
      <c r="S12" s="131"/>
      <c r="T12" s="132" t="str">
        <f>IF(T11="","",T11*20)</f>
        <v/>
      </c>
      <c r="U12" s="132" t="str">
        <f>IF(U11="","",U11*13)</f>
        <v/>
      </c>
      <c r="V12" s="78" t="str">
        <f>IF(V11="","",IF((80+(8-ROUNDUP(V11,1))*40)&lt;0,0,80+(8-ROUNDUP(V11,1))*40))</f>
        <v/>
      </c>
      <c r="W12" s="78" t="str">
        <f>IF(SUM(T12,U12,V12)&gt;0,SUM(T12,U12,V12),"")</f>
        <v/>
      </c>
      <c r="X12" s="133" t="str">
        <f>IF(OR(Q12="",W12=""),"",Q12+W12)</f>
        <v/>
      </c>
      <c r="Y12" s="79"/>
      <c r="Z12" s="80"/>
      <c r="AA12" s="123"/>
    </row>
    <row r="13" spans="1:33" s="21" customFormat="1" ht="18" customHeight="1">
      <c r="A13" s="252" t="s">
        <v>95</v>
      </c>
      <c r="B13" s="224">
        <v>78.569999999999993</v>
      </c>
      <c r="C13" s="225" t="s">
        <v>146</v>
      </c>
      <c r="D13" s="225" t="s">
        <v>218</v>
      </c>
      <c r="E13" s="225" t="s">
        <v>249</v>
      </c>
      <c r="F13" s="255"/>
      <c r="G13" s="227" t="s">
        <v>250</v>
      </c>
      <c r="H13" s="263" t="s">
        <v>86</v>
      </c>
      <c r="I13" s="258">
        <v>100</v>
      </c>
      <c r="J13" s="259">
        <v>105</v>
      </c>
      <c r="K13" s="259">
        <v>108</v>
      </c>
      <c r="L13" s="258">
        <v>120</v>
      </c>
      <c r="M13" s="259">
        <v>125</v>
      </c>
      <c r="N13" s="259">
        <v>-128</v>
      </c>
      <c r="O13" s="115">
        <f>IF(MAX(I13:K13)&gt;0,IF(MAX(I13:K13)&lt;0,0,TRUNC(MAX(I13:K13)/1)*1),"")</f>
        <v>108</v>
      </c>
      <c r="P13" s="116">
        <f>IF(MAX(L13:N13)&gt;0,IF(MAX(L13:N13)&lt;0,0,TRUNC(MAX(L13:N13)/1)*1),"")</f>
        <v>125</v>
      </c>
      <c r="Q13" s="117">
        <f>IF(O13="","",IF(P13="","",IF(SUM(O13:P13)=0,"",SUM(O13:P13))))</f>
        <v>233</v>
      </c>
      <c r="R13" s="118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287.71642758909798</v>
      </c>
      <c r="S13" s="119" t="str">
        <f>IF(AD13=1,R13*AG13,"")</f>
        <v/>
      </c>
      <c r="T13" s="211" t="str">
        <f>IF('K8'!G11="","",'K8'!G11)</f>
        <v/>
      </c>
      <c r="U13" s="211" t="str">
        <f>IF('K8'!K11="","",'K8'!K11)</f>
        <v/>
      </c>
      <c r="V13" s="211" t="str">
        <f>IF('K8'!N11="","",'K8'!N11)</f>
        <v/>
      </c>
      <c r="W13" s="120"/>
      <c r="X13" s="121"/>
      <c r="Y13" s="134"/>
      <c r="Z13" s="75"/>
      <c r="AA13" s="123">
        <f>V5</f>
        <v>44451</v>
      </c>
      <c r="AB13" s="177" t="str">
        <f t="shared" ref="AB13" si="4">IF(ISNUMBER(FIND("M",C13)),"m",IF(ISNUMBER(FIND("K",C13)),"k"))</f>
        <v>m</v>
      </c>
      <c r="AC13" s="178">
        <f t="shared" ref="AC13" si="5">IF(OR(E13="",AA13=""),0,(YEAR(AA13)-YEAR(E13)))</f>
        <v>25</v>
      </c>
      <c r="AD13" s="179" t="str">
        <f t="shared" si="2"/>
        <v/>
      </c>
      <c r="AE13" s="180" t="b">
        <f>IF(AD13=1,LOOKUP(AC13,'Meltzer-Faber'!A3:A63,'Meltzer-Faber'!B3:B63))</f>
        <v>0</v>
      </c>
      <c r="AF13" s="180" t="b">
        <f>IF(AD13=1,LOOKUP(AC13,'Meltzer-Faber'!A3:A63,'Meltzer-Faber'!C3:C63))</f>
        <v>0</v>
      </c>
      <c r="AG13" s="180" t="b">
        <f t="shared" ref="AG13" si="6">IF(AB13="m",AE13,IF(AB13="k",AF13,""))</f>
        <v>0</v>
      </c>
    </row>
    <row r="14" spans="1:33" s="21" customFormat="1" ht="18" customHeight="1">
      <c r="A14" s="124"/>
      <c r="B14" s="125"/>
      <c r="C14" s="126"/>
      <c r="D14" s="127"/>
      <c r="E14" s="264"/>
      <c r="F14" s="260"/>
      <c r="G14" s="74"/>
      <c r="H14" s="74"/>
      <c r="I14" s="298"/>
      <c r="J14" s="289"/>
      <c r="K14" s="299"/>
      <c r="L14" s="286"/>
      <c r="M14" s="287"/>
      <c r="N14" s="288"/>
      <c r="O14" s="126"/>
      <c r="P14" s="130"/>
      <c r="Q14" s="289">
        <f>IF(R13="","",R13*1.2)</f>
        <v>345.25971310691756</v>
      </c>
      <c r="R14" s="289"/>
      <c r="S14" s="131"/>
      <c r="T14" s="132" t="str">
        <f>IF(T13="","",T13*20)</f>
        <v/>
      </c>
      <c r="U14" s="132" t="str">
        <f>IF(U13="","",U13*13)</f>
        <v/>
      </c>
      <c r="V14" s="78" t="str">
        <f>IF(V13="","",IF((80+(8-ROUNDUP(V13,1))*40)&lt;0,0,80+(8-ROUNDUP(V13,1))*40))</f>
        <v/>
      </c>
      <c r="W14" s="78" t="str">
        <f>IF(SUM(T14,U14,V14)&gt;0,SUM(T14,U14,V14),"")</f>
        <v/>
      </c>
      <c r="X14" s="133" t="str">
        <f>IF(OR(Q14="",T14="",U14="",V14=""),"",SUM(Q14,T14,U14,V14))</f>
        <v/>
      </c>
      <c r="Y14" s="79"/>
      <c r="Z14" s="80"/>
      <c r="AA14" s="123"/>
    </row>
    <row r="15" spans="1:33" s="21" customFormat="1" ht="18" customHeight="1">
      <c r="A15" s="252" t="s">
        <v>96</v>
      </c>
      <c r="B15" s="224">
        <v>88.63</v>
      </c>
      <c r="C15" s="225" t="s">
        <v>146</v>
      </c>
      <c r="D15" s="225" t="s">
        <v>218</v>
      </c>
      <c r="E15" s="225" t="s">
        <v>251</v>
      </c>
      <c r="F15" s="255"/>
      <c r="G15" s="227" t="s">
        <v>252</v>
      </c>
      <c r="H15" s="268" t="s">
        <v>97</v>
      </c>
      <c r="I15" s="258">
        <v>100</v>
      </c>
      <c r="J15" s="259">
        <v>105</v>
      </c>
      <c r="K15" s="259">
        <v>-110</v>
      </c>
      <c r="L15" s="258">
        <v>130</v>
      </c>
      <c r="M15" s="259">
        <v>135</v>
      </c>
      <c r="N15" s="259">
        <v>-140</v>
      </c>
      <c r="O15" s="115">
        <f>IF(MAX(I15:K15)&gt;0,IF(MAX(I15:K15)&lt;0,0,TRUNC(MAX(I15:K15)/1)*1),"")</f>
        <v>105</v>
      </c>
      <c r="P15" s="116">
        <f>IF(MAX(L15:N15)&gt;0,IF(MAX(L15:N15)&lt;0,0,TRUNC(MAX(L15:N15)/1)*1),"")</f>
        <v>135</v>
      </c>
      <c r="Q15" s="117">
        <f>IF(O15="","",IF(P15="","",IF(SUM(O15:P15)=0,"",SUM(O15:P15))))</f>
        <v>240</v>
      </c>
      <c r="R15" s="118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279.51997341616624</v>
      </c>
      <c r="S15" s="119" t="str">
        <f>IF(AD15=1,R15*AG15,"")</f>
        <v/>
      </c>
      <c r="T15" s="211">
        <f>IF('K8'!G13="","",'K8'!G13)</f>
        <v>8.8000000000000007</v>
      </c>
      <c r="U15" s="211">
        <f>IF('K8'!K13="","",'K8'!K13)</f>
        <v>13.9</v>
      </c>
      <c r="V15" s="211">
        <f>IF('K8'!N13="","",'K8'!N13)</f>
        <v>6.47</v>
      </c>
      <c r="W15" s="120"/>
      <c r="X15" s="121"/>
      <c r="Y15" s="134"/>
      <c r="Z15" s="75"/>
      <c r="AA15" s="123">
        <f>V5</f>
        <v>44451</v>
      </c>
      <c r="AB15" s="177" t="str">
        <f t="shared" ref="AB15" si="7">IF(ISNUMBER(FIND("M",C15)),"m",IF(ISNUMBER(FIND("K",C15)),"k"))</f>
        <v>m</v>
      </c>
      <c r="AC15" s="178">
        <f t="shared" ref="AC15" si="8">IF(OR(E15="",AA15=""),0,(YEAR(AA15)-YEAR(E15)))</f>
        <v>29</v>
      </c>
      <c r="AD15" s="179" t="str">
        <f t="shared" si="2"/>
        <v/>
      </c>
      <c r="AE15" s="180" t="b">
        <f>IF(AD15=1,LOOKUP(AC15,'Meltzer-Faber'!A3:A63,'Meltzer-Faber'!B3:B63))</f>
        <v>0</v>
      </c>
      <c r="AF15" s="180" t="b">
        <f>IF(AD15=1,LOOKUP(AC15,'Meltzer-Faber'!A3:A63,'Meltzer-Faber'!C3:C63))</f>
        <v>0</v>
      </c>
      <c r="AG15" s="180" t="b">
        <f t="shared" ref="AG15" si="9">IF(AB15="m",AE15,IF(AB15="k",AF15,""))</f>
        <v>0</v>
      </c>
    </row>
    <row r="16" spans="1:33" s="21" customFormat="1" ht="18" customHeight="1">
      <c r="A16" s="124"/>
      <c r="B16" s="125"/>
      <c r="C16" s="126"/>
      <c r="D16" s="127"/>
      <c r="E16" s="264"/>
      <c r="F16" s="260"/>
      <c r="G16" s="74"/>
      <c r="H16" s="74"/>
      <c r="I16" s="298"/>
      <c r="J16" s="289"/>
      <c r="K16" s="299"/>
      <c r="L16" s="286"/>
      <c r="M16" s="287"/>
      <c r="N16" s="288"/>
      <c r="O16" s="126"/>
      <c r="P16" s="130"/>
      <c r="Q16" s="289">
        <f>IF(R15="","",R15*1.2)</f>
        <v>335.42396809939947</v>
      </c>
      <c r="R16" s="289"/>
      <c r="S16" s="131"/>
      <c r="T16" s="132">
        <f>IF(T15="","",T15*20)</f>
        <v>176</v>
      </c>
      <c r="U16" s="132">
        <f>IF(U15="","",U15*13)</f>
        <v>180.70000000000002</v>
      </c>
      <c r="V16" s="78">
        <f>IF(V15="","",IF((80+(8-ROUNDUP(V15,1))*40)&lt;0,0,80+(8-ROUNDUP(V15,1))*40))</f>
        <v>140</v>
      </c>
      <c r="W16" s="78">
        <f>IF(SUM(T16,U16,V16)&gt;0,SUM(T16,U16,V16),"")</f>
        <v>496.70000000000005</v>
      </c>
      <c r="X16" s="133">
        <f>IF(OR(Q16="",T16="",U16="",V16=""),"",SUM(Q16,T16,U16,V16))</f>
        <v>832.12396809939946</v>
      </c>
      <c r="Y16" s="79">
        <v>6</v>
      </c>
      <c r="Z16" s="80"/>
      <c r="AA16" s="123"/>
    </row>
    <row r="17" spans="1:33" s="21" customFormat="1" ht="18" customHeight="1">
      <c r="A17" s="252" t="s">
        <v>96</v>
      </c>
      <c r="B17" s="224">
        <v>84.86</v>
      </c>
      <c r="C17" s="225" t="s">
        <v>146</v>
      </c>
      <c r="D17" s="225" t="s">
        <v>218</v>
      </c>
      <c r="E17" s="225" t="s">
        <v>253</v>
      </c>
      <c r="F17" s="255"/>
      <c r="G17" s="227" t="s">
        <v>254</v>
      </c>
      <c r="H17" s="268" t="s">
        <v>98</v>
      </c>
      <c r="I17" s="258">
        <v>75</v>
      </c>
      <c r="J17" s="259">
        <v>-81</v>
      </c>
      <c r="K17" s="259">
        <v>-85</v>
      </c>
      <c r="L17" s="258">
        <v>-105</v>
      </c>
      <c r="M17" s="259">
        <v>-107</v>
      </c>
      <c r="N17" s="259">
        <v>-111</v>
      </c>
      <c r="O17" s="115">
        <f>IF(MAX(I17:K17)&gt;0,IF(MAX(I17:K17)&lt;0,0,TRUNC(MAX(I17:K17)/1)*1),"")</f>
        <v>75</v>
      </c>
      <c r="P17" s="116" t="str">
        <f>IF(MAX(L17:N17)&gt;0,IF(MAX(L17:N17)&lt;0,0,TRUNC(MAX(L17:N17)/1)*1),"")</f>
        <v/>
      </c>
      <c r="Q17" s="117" t="str">
        <f>IF(O17="","",IF(P17="","",IF(SUM(O17:P17)=0,"",SUM(O17:P17))))</f>
        <v/>
      </c>
      <c r="R17" s="118" t="str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/>
      </c>
      <c r="S17" s="119" t="str">
        <f>IF(AD17=1,R17*AG17,"")</f>
        <v/>
      </c>
      <c r="T17" s="211">
        <f>IF('K8'!G15="","",'K8'!G15)</f>
        <v>8.31</v>
      </c>
      <c r="U17" s="211">
        <f>IF('K8'!K15="","",'K8'!K15)</f>
        <v>13.16</v>
      </c>
      <c r="V17" s="211">
        <f>IF('K8'!N15="","",'K8'!N15)</f>
        <v>6.67</v>
      </c>
      <c r="W17" s="120"/>
      <c r="X17" s="121"/>
      <c r="Y17" s="134"/>
      <c r="Z17" s="75"/>
      <c r="AA17" s="123">
        <f>V5</f>
        <v>44451</v>
      </c>
      <c r="AB17" s="177" t="str">
        <f t="shared" ref="AB17" si="10">IF(ISNUMBER(FIND("M",C17)),"m",IF(ISNUMBER(FIND("K",C17)),"k"))</f>
        <v>m</v>
      </c>
      <c r="AC17" s="178">
        <f t="shared" ref="AC17" si="11">IF(OR(E17="",AA17=""),0,(YEAR(AA17)-YEAR(E17)))</f>
        <v>25</v>
      </c>
      <c r="AD17" s="179" t="str">
        <f t="shared" si="2"/>
        <v/>
      </c>
      <c r="AE17" s="180" t="b">
        <f>IF(AD17=1,LOOKUP(AC17,'Meltzer-Faber'!A3:A63,'Meltzer-Faber'!B3:B63))</f>
        <v>0</v>
      </c>
      <c r="AF17" s="180" t="b">
        <f>IF(AD17=1,LOOKUP(AC17,'Meltzer-Faber'!A3:A63,'Meltzer-Faber'!C3:C63))</f>
        <v>0</v>
      </c>
      <c r="AG17" s="180" t="b">
        <f t="shared" ref="AG17" si="12">IF(AB17="m",AE17,IF(AB17="k",AF17,""))</f>
        <v>0</v>
      </c>
    </row>
    <row r="18" spans="1:33" s="21" customFormat="1" ht="18" customHeight="1">
      <c r="A18" s="124"/>
      <c r="B18" s="125"/>
      <c r="C18" s="126"/>
      <c r="D18" s="127"/>
      <c r="E18" s="264"/>
      <c r="F18" s="260"/>
      <c r="G18" s="74"/>
      <c r="H18" s="74"/>
      <c r="I18" s="298"/>
      <c r="J18" s="289"/>
      <c r="K18" s="299"/>
      <c r="L18" s="286"/>
      <c r="M18" s="287"/>
      <c r="N18" s="288"/>
      <c r="O18" s="126"/>
      <c r="P18" s="130"/>
      <c r="Q18" s="289" t="str">
        <f>IF(R17="","",R17*1.2)</f>
        <v/>
      </c>
      <c r="R18" s="289"/>
      <c r="S18" s="131"/>
      <c r="T18" s="132">
        <f>IF(T17="","",T17*20)</f>
        <v>166.20000000000002</v>
      </c>
      <c r="U18" s="132">
        <f>IF(U17="","",U17*13)</f>
        <v>171.08</v>
      </c>
      <c r="V18" s="78">
        <f>IF(V17="","",IF((80+(8-ROUNDUP(V17,1))*40)&lt;0,0,80+(8-ROUNDUP(V17,1))*40))</f>
        <v>132.00000000000003</v>
      </c>
      <c r="W18" s="78">
        <f>IF(SUM(T18,U18,V18)&gt;0,SUM(T18,U18,V18),"")</f>
        <v>469.28000000000009</v>
      </c>
      <c r="X18" s="133" t="str">
        <f>IF(OR(Q18="",T18="",U18="",V18=""),"",SUM(Q18,T18,U18,V18))</f>
        <v/>
      </c>
      <c r="Y18" s="79"/>
      <c r="Z18" s="80"/>
      <c r="AA18" s="123"/>
    </row>
    <row r="19" spans="1:33" s="21" customFormat="1" ht="18" customHeight="1">
      <c r="A19" s="265" t="s">
        <v>95</v>
      </c>
      <c r="B19" s="224">
        <v>76.37</v>
      </c>
      <c r="C19" s="225" t="s">
        <v>255</v>
      </c>
      <c r="D19" s="226" t="s">
        <v>173</v>
      </c>
      <c r="E19" s="225" t="s">
        <v>256</v>
      </c>
      <c r="F19" s="255"/>
      <c r="G19" s="227" t="s">
        <v>257</v>
      </c>
      <c r="H19" s="268" t="s">
        <v>87</v>
      </c>
      <c r="I19" s="258">
        <v>70</v>
      </c>
      <c r="J19" s="259">
        <v>75</v>
      </c>
      <c r="K19" s="259">
        <v>80</v>
      </c>
      <c r="L19" s="258">
        <v>85</v>
      </c>
      <c r="M19" s="259">
        <v>92</v>
      </c>
      <c r="N19" s="259">
        <v>-100</v>
      </c>
      <c r="O19" s="115">
        <f>IF(MAX(I19:K19)&gt;0,IF(MAX(I19:K19)&lt;0,0,TRUNC(MAX(I19:K19)/1)*1),"")</f>
        <v>80</v>
      </c>
      <c r="P19" s="116">
        <f>IF(MAX(L19:N19)&gt;0,IF(MAX(L19:N19)&lt;0,0,TRUNC(MAX(L19:N19)/1)*1),"")</f>
        <v>92</v>
      </c>
      <c r="Q19" s="117">
        <f>IF(O19="","",IF(P19="","",IF(SUM(O19:P19)=0,"",SUM(O19:P19))))</f>
        <v>172</v>
      </c>
      <c r="R19" s="118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>215.63829801594335</v>
      </c>
      <c r="S19" s="119">
        <f>IF(AD19=1,R19*AG19,"")</f>
        <v>231.16425547309129</v>
      </c>
      <c r="T19" s="211">
        <f>IF('K8'!G17="","",'K8'!G17)</f>
        <v>8.17</v>
      </c>
      <c r="U19" s="211">
        <f>IF('K8'!K17="","",'K8'!K17)</f>
        <v>11</v>
      </c>
      <c r="V19" s="211">
        <f>IF('K8'!N17="","",'K8'!N17)</f>
        <v>7</v>
      </c>
      <c r="W19" s="120"/>
      <c r="X19" s="121"/>
      <c r="Y19" s="134"/>
      <c r="Z19" s="75"/>
      <c r="AA19" s="123">
        <f>V5</f>
        <v>44451</v>
      </c>
      <c r="AB19" s="177" t="str">
        <f t="shared" ref="AB19" si="13">IF(ISNUMBER(FIND("M",C19)),"m",IF(ISNUMBER(FIND("K",C19)),"k"))</f>
        <v>m</v>
      </c>
      <c r="AC19" s="178">
        <f t="shared" ref="AC19" si="14">IF(OR(E19="",AA19=""),0,(YEAR(AA19)-YEAR(E19)))</f>
        <v>35</v>
      </c>
      <c r="AD19" s="179">
        <f t="shared" si="2"/>
        <v>1</v>
      </c>
      <c r="AE19" s="180">
        <f>IF(AD19=1,LOOKUP(AC19,'Meltzer-Faber'!A3:A63,'Meltzer-Faber'!B3:B63))</f>
        <v>1.0720000000000001</v>
      </c>
      <c r="AF19" s="180">
        <f>IF(AD19=1,LOOKUP(AC19,'Meltzer-Faber'!A3:A63,'Meltzer-Faber'!C3:C63))</f>
        <v>1.0720000000000001</v>
      </c>
      <c r="AG19" s="180">
        <f t="shared" ref="AG19" si="15">IF(AB19="m",AE19,IF(AB19="k",AF19,""))</f>
        <v>1.0720000000000001</v>
      </c>
    </row>
    <row r="20" spans="1:33" s="21" customFormat="1" ht="18" customHeight="1">
      <c r="A20" s="124"/>
      <c r="B20" s="125"/>
      <c r="C20" s="126"/>
      <c r="D20" s="127"/>
      <c r="E20" s="264"/>
      <c r="F20" s="260"/>
      <c r="G20" s="74"/>
      <c r="H20" s="74"/>
      <c r="I20" s="298"/>
      <c r="J20" s="289"/>
      <c r="K20" s="299"/>
      <c r="L20" s="286"/>
      <c r="M20" s="287"/>
      <c r="N20" s="288"/>
      <c r="O20" s="126"/>
      <c r="P20" s="130"/>
      <c r="Q20" s="289">
        <f>IF(R19="","",R19*1.2)</f>
        <v>258.765957619132</v>
      </c>
      <c r="R20" s="289"/>
      <c r="S20" s="131"/>
      <c r="T20" s="132">
        <f>IF(T19="","",T19*20)</f>
        <v>163.4</v>
      </c>
      <c r="U20" s="132">
        <f>IF(U19="","",U19*13)</f>
        <v>143</v>
      </c>
      <c r="V20" s="78">
        <f>IF(V19="","",IF((80+(8-ROUNDUP(V19,1))*40)&lt;0,0,80+(8-ROUNDUP(V19,1))*40))</f>
        <v>120</v>
      </c>
      <c r="W20" s="78">
        <f>IF(SUM(T20,U20,V20)&gt;0,SUM(T20,U20,V20),"")</f>
        <v>426.4</v>
      </c>
      <c r="X20" s="133">
        <f>IF(OR(Q20="",T20="",U20="",V20=""),"",SUM(Q20,T20,U20,V20))</f>
        <v>685.16595761913197</v>
      </c>
      <c r="Y20" s="79">
        <v>2</v>
      </c>
      <c r="Z20" s="80"/>
      <c r="AA20" s="123"/>
    </row>
    <row r="21" spans="1:33" s="21" customFormat="1" ht="18" customHeight="1">
      <c r="A21" s="265" t="s">
        <v>99</v>
      </c>
      <c r="B21" s="224">
        <v>105.9</v>
      </c>
      <c r="C21" s="225" t="s">
        <v>258</v>
      </c>
      <c r="D21" s="226" t="s">
        <v>173</v>
      </c>
      <c r="E21" s="225" t="s">
        <v>259</v>
      </c>
      <c r="F21" s="255"/>
      <c r="G21" s="227" t="s">
        <v>260</v>
      </c>
      <c r="H21" s="268" t="s">
        <v>88</v>
      </c>
      <c r="I21" s="258">
        <v>102</v>
      </c>
      <c r="J21" s="259">
        <v>107</v>
      </c>
      <c r="K21" s="259">
        <v>110</v>
      </c>
      <c r="L21" s="258">
        <v>141</v>
      </c>
      <c r="M21" s="259">
        <v>149</v>
      </c>
      <c r="N21" s="259">
        <v>-155</v>
      </c>
      <c r="O21" s="115">
        <f>IF(MAX(I21:K21)&gt;0,IF(MAX(I21:K21)&lt;0,0,TRUNC(MAX(I21:K21)/1)*1),"")</f>
        <v>110</v>
      </c>
      <c r="P21" s="116">
        <f>IF(MAX(L21:N21)&gt;0,IF(MAX(L21:N21)&lt;0,0,TRUNC(MAX(L21:N21)/1)*1),"")</f>
        <v>149</v>
      </c>
      <c r="Q21" s="117">
        <f>IF(O21="","",IF(P21="","",IF(SUM(O21:P21)=0,"",SUM(O21:P21))))</f>
        <v>259</v>
      </c>
      <c r="R21" s="118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>281.51139349079841</v>
      </c>
      <c r="S21" s="119">
        <f>IF(AD21=1,R21*AG21,"")</f>
        <v>338.6582063694305</v>
      </c>
      <c r="T21" s="211">
        <f>IF('K8'!G19="","",'K8'!G19)</f>
        <v>7.78</v>
      </c>
      <c r="U21" s="211">
        <f>IF('K8'!K19="","",'K8'!K19)</f>
        <v>12.18</v>
      </c>
      <c r="V21" s="211">
        <f>IF('K8'!N19="","",'K8'!N19)</f>
        <v>7.05</v>
      </c>
      <c r="W21" s="120"/>
      <c r="X21" s="121"/>
      <c r="Y21" s="134"/>
      <c r="Z21" s="75"/>
      <c r="AA21" s="123">
        <f>V5</f>
        <v>44451</v>
      </c>
      <c r="AB21" s="177" t="str">
        <f t="shared" ref="AB21" si="16">IF(ISNUMBER(FIND("M",C21)),"m",IF(ISNUMBER(FIND("K",C21)),"k"))</f>
        <v>m</v>
      </c>
      <c r="AC21" s="178">
        <f t="shared" ref="AC21" si="17">IF(OR(E21="",AA21=""),0,(YEAR(AA21)-YEAR(E21)))</f>
        <v>45</v>
      </c>
      <c r="AD21" s="179">
        <f t="shared" si="2"/>
        <v>1</v>
      </c>
      <c r="AE21" s="180">
        <f>IF(AD21=1,LOOKUP(AC21,'Meltzer-Faber'!A3:A63,'Meltzer-Faber'!B3:B63))</f>
        <v>1.2030000000000001</v>
      </c>
      <c r="AF21" s="180">
        <f>IF(AD21=1,LOOKUP(AC21,'Meltzer-Faber'!A3:A63,'Meltzer-Faber'!C3:C63))</f>
        <v>1.2230000000000001</v>
      </c>
      <c r="AG21" s="180">
        <f t="shared" ref="AG21" si="18">IF(AB21="m",AE21,IF(AB21="k",AF21,""))</f>
        <v>1.2030000000000001</v>
      </c>
    </row>
    <row r="22" spans="1:33" s="21" customFormat="1" ht="18" customHeight="1">
      <c r="A22" s="124"/>
      <c r="B22" s="125"/>
      <c r="C22" s="126"/>
      <c r="D22" s="127"/>
      <c r="E22" s="264"/>
      <c r="F22" s="260"/>
      <c r="G22" s="74"/>
      <c r="H22" s="74"/>
      <c r="I22" s="298"/>
      <c r="J22" s="289"/>
      <c r="K22" s="299"/>
      <c r="L22" s="286"/>
      <c r="M22" s="287"/>
      <c r="N22" s="288"/>
      <c r="O22" s="126"/>
      <c r="P22" s="130"/>
      <c r="Q22" s="289">
        <f>IF(R21="","",R21*1.2)</f>
        <v>337.81367218895809</v>
      </c>
      <c r="R22" s="289"/>
      <c r="S22" s="131"/>
      <c r="T22" s="132">
        <f>IF(T21="","",T21*20)</f>
        <v>155.6</v>
      </c>
      <c r="U22" s="132">
        <f>IF(U21="","",U21*13)</f>
        <v>158.34</v>
      </c>
      <c r="V22" s="78">
        <f>IF(V21="","",IF((80+(8-ROUNDUP(V21,1))*40)&lt;0,0,80+(8-ROUNDUP(V21,1))*40))</f>
        <v>116.00000000000001</v>
      </c>
      <c r="W22" s="78">
        <f>IF(SUM(T22,U22,V22)&gt;0,SUM(T22,U22,V22),"")</f>
        <v>429.94</v>
      </c>
      <c r="X22" s="133">
        <f>IF(OR(Q22="",T22="",U22="",V22=""),"",SUM(Q22,T22,U22,V22))</f>
        <v>767.75367218895815</v>
      </c>
      <c r="Y22" s="79">
        <v>1</v>
      </c>
      <c r="Z22" s="80"/>
      <c r="AA22" s="123"/>
    </row>
    <row r="23" spans="1:33" s="21" customFormat="1" ht="18" customHeight="1">
      <c r="A23" s="265" t="s">
        <v>99</v>
      </c>
      <c r="B23" s="224">
        <v>107.3</v>
      </c>
      <c r="C23" s="225" t="s">
        <v>261</v>
      </c>
      <c r="D23" s="226" t="s">
        <v>173</v>
      </c>
      <c r="E23" s="225" t="s">
        <v>262</v>
      </c>
      <c r="F23" s="255"/>
      <c r="G23" s="227" t="s">
        <v>263</v>
      </c>
      <c r="H23" s="268" t="s">
        <v>87</v>
      </c>
      <c r="I23" s="258">
        <v>70</v>
      </c>
      <c r="J23" s="259">
        <v>80</v>
      </c>
      <c r="K23" s="259">
        <v>-83</v>
      </c>
      <c r="L23" s="258">
        <v>90</v>
      </c>
      <c r="M23" s="259">
        <v>102</v>
      </c>
      <c r="N23" s="259">
        <v>-112</v>
      </c>
      <c r="O23" s="115">
        <f>IF(MAX(I23:K23)&gt;0,IF(MAX(I23:K23)&lt;0,0,TRUNC(MAX(I23:K23)/1)*1),"")</f>
        <v>80</v>
      </c>
      <c r="P23" s="116">
        <f>IF(MAX(L23:N23)&gt;0,IF(MAX(L23:N23)&lt;0,0,TRUNC(MAX(L23:N23)/1)*1),"")</f>
        <v>102</v>
      </c>
      <c r="Q23" s="117">
        <f>IF(O23="","",IF(P23="","",IF(SUM(O23:P23)=0,"",SUM(O23:P23))))</f>
        <v>182</v>
      </c>
      <c r="R23" s="118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>196.97453283482741</v>
      </c>
      <c r="S23" s="119">
        <f>IF(AD23=1,R23*AG23,"")</f>
        <v>263.5519249329991</v>
      </c>
      <c r="T23" s="211">
        <f>IF('K8'!G21="","",'K8'!G21)</f>
        <v>6.26</v>
      </c>
      <c r="U23" s="211">
        <f>IF('K8'!K21="","",'K8'!K21)</f>
        <v>11.91</v>
      </c>
      <c r="V23" s="211">
        <f>IF('K8'!N21="","",'K8'!N21)</f>
        <v>9.17</v>
      </c>
      <c r="W23" s="120"/>
      <c r="X23" s="121"/>
      <c r="Y23" s="134"/>
      <c r="Z23" s="75"/>
      <c r="AA23" s="123">
        <f>V5</f>
        <v>44451</v>
      </c>
      <c r="AB23" s="177" t="str">
        <f t="shared" ref="AB23" si="19">IF(ISNUMBER(FIND("M",C23)),"m",IF(ISNUMBER(FIND("K",C23)),"k"))</f>
        <v>m</v>
      </c>
      <c r="AC23" s="178">
        <f t="shared" ref="AC23" si="20">IF(OR(E23="",AA23=""),0,(YEAR(AA23)-YEAR(E23)))</f>
        <v>53</v>
      </c>
      <c r="AD23" s="179">
        <f t="shared" si="2"/>
        <v>1</v>
      </c>
      <c r="AE23" s="180">
        <f>IF(AD23=1,LOOKUP(AC23,'Meltzer-Faber'!A3:A63,'Meltzer-Faber'!B3:B63))</f>
        <v>1.3380000000000001</v>
      </c>
      <c r="AF23" s="180">
        <f>IF(AD23=1,LOOKUP(AC23,'Meltzer-Faber'!A3:A63,'Meltzer-Faber'!C3:C63))</f>
        <v>1.4350000000000001</v>
      </c>
      <c r="AG23" s="180">
        <f t="shared" ref="AG23" si="21">IF(AB23="m",AE23,IF(AB23="k",AF23,""))</f>
        <v>1.3380000000000001</v>
      </c>
    </row>
    <row r="24" spans="1:33" s="21" customFormat="1" ht="18" customHeight="1">
      <c r="A24" s="124"/>
      <c r="B24" s="125"/>
      <c r="C24" s="126"/>
      <c r="D24" s="127"/>
      <c r="E24" s="264"/>
      <c r="F24" s="260"/>
      <c r="G24" s="74"/>
      <c r="H24" s="74"/>
      <c r="I24" s="298"/>
      <c r="J24" s="289"/>
      <c r="K24" s="299"/>
      <c r="L24" s="286"/>
      <c r="M24" s="287"/>
      <c r="N24" s="288"/>
      <c r="O24" s="126"/>
      <c r="P24" s="130"/>
      <c r="Q24" s="289">
        <f>IF(R23="","",R23*1.2)</f>
        <v>236.36943940179287</v>
      </c>
      <c r="R24" s="289"/>
      <c r="S24" s="131"/>
      <c r="T24" s="132">
        <f>IF(T23="","",T23*20)</f>
        <v>125.19999999999999</v>
      </c>
      <c r="U24" s="132">
        <f>IF(U23="","",U23*13)</f>
        <v>154.83000000000001</v>
      </c>
      <c r="V24" s="78">
        <f>IF(V23="","",IF((80+(8-ROUNDUP(V23,1))*40)&lt;0,0,80+(8-ROUNDUP(V23,1))*40))</f>
        <v>32.000000000000028</v>
      </c>
      <c r="W24" s="78">
        <f>IF(SUM(T24,U24,V24)&gt;0,SUM(T24,U24,V24),"")</f>
        <v>312.02999999999997</v>
      </c>
      <c r="X24" s="133">
        <f>IF(OR(Q24="",T24="",U24="",V24=""),"",SUM(Q24,T24,U24,V24))</f>
        <v>548.39943940179285</v>
      </c>
      <c r="Y24" s="79">
        <v>3</v>
      </c>
      <c r="Z24" s="80"/>
      <c r="AA24" s="123"/>
    </row>
    <row r="25" spans="1:33" s="21" customFormat="1" ht="18" customHeight="1">
      <c r="A25" s="112"/>
      <c r="B25" s="113"/>
      <c r="C25" s="71"/>
      <c r="D25" s="114"/>
      <c r="E25" s="71"/>
      <c r="F25" s="71"/>
      <c r="G25" s="72"/>
      <c r="H25" s="72"/>
      <c r="I25" s="156"/>
      <c r="J25" s="157"/>
      <c r="K25" s="157"/>
      <c r="L25" s="157"/>
      <c r="M25" s="157"/>
      <c r="N25" s="157"/>
      <c r="O25" s="115" t="str">
        <f>IF(MAX(I25:K25)&gt;0,IF(MAX(I25:K25)&lt;0,0,TRUNC(MAX(I25:K25)/1)*1),"")</f>
        <v/>
      </c>
      <c r="P25" s="116" t="str">
        <f>IF(MAX(L25:N25)&gt;0,IF(MAX(L25:N25)&lt;0,0,TRUNC(MAX(L25:N25)/1)*1),"")</f>
        <v/>
      </c>
      <c r="Q25" s="117" t="str">
        <f>IF(O25="","",IF(P25="","",IF(SUM(O25:P25)=0,"",SUM(O25:P25))))</f>
        <v/>
      </c>
      <c r="R25" s="118" t="str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119" t="str">
        <f>IF(AD25=1,R25*AG25,"")</f>
        <v/>
      </c>
      <c r="T25" s="211" t="str">
        <f>IF('K8'!G23="","",'K8'!G23)</f>
        <v/>
      </c>
      <c r="U25" s="211" t="str">
        <f>IF('K8'!K23="","",'K8'!K23)</f>
        <v/>
      </c>
      <c r="V25" s="211" t="str">
        <f>IF('K8'!N23="","",'K8'!N23)</f>
        <v/>
      </c>
      <c r="W25" s="120"/>
      <c r="X25" s="121"/>
      <c r="Y25" s="134"/>
      <c r="Z25" s="75"/>
      <c r="AA25" s="123">
        <f>V5</f>
        <v>44451</v>
      </c>
      <c r="AB25" s="177" t="b">
        <f t="shared" ref="AB25" si="22">IF(ISNUMBER(FIND("M",C25)),"m",IF(ISNUMBER(FIND("K",C25)),"k"))</f>
        <v>0</v>
      </c>
      <c r="AC25" s="178">
        <f t="shared" ref="AC25" si="23">IF(OR(E25="",AA25=""),0,(YEAR(AA25)-YEAR(E25)))</f>
        <v>0</v>
      </c>
      <c r="AD25" s="179" t="str">
        <f t="shared" si="2"/>
        <v/>
      </c>
      <c r="AE25" s="180" t="b">
        <f>IF(AD25=1,LOOKUP(AC25,'Meltzer-Faber'!A3:A63,'Meltzer-Faber'!B3:B63))</f>
        <v>0</v>
      </c>
      <c r="AF25" s="180" t="b">
        <f>IF(AD25=1,LOOKUP(AC25,'Meltzer-Faber'!A3:A63,'Meltzer-Faber'!C3:C63))</f>
        <v>0</v>
      </c>
      <c r="AG25" s="180" t="str">
        <f t="shared" ref="AG25" si="24">IF(AB25="m",AE25,IF(AB25="k",AF25,""))</f>
        <v/>
      </c>
    </row>
    <row r="26" spans="1:33" s="21" customFormat="1" ht="18" customHeight="1">
      <c r="A26" s="124"/>
      <c r="B26" s="125"/>
      <c r="C26" s="135"/>
      <c r="D26" s="127"/>
      <c r="E26" s="128"/>
      <c r="F26" s="128"/>
      <c r="G26" s="74"/>
      <c r="H26" s="129"/>
      <c r="I26" s="286"/>
      <c r="J26" s="287"/>
      <c r="K26" s="288"/>
      <c r="L26" s="286"/>
      <c r="M26" s="287"/>
      <c r="N26" s="288"/>
      <c r="O26" s="126"/>
      <c r="P26" s="130"/>
      <c r="Q26" s="289" t="str">
        <f>IF(R25="","",R25*1.2)</f>
        <v/>
      </c>
      <c r="R26" s="289"/>
      <c r="S26" s="131"/>
      <c r="T26" s="132" t="str">
        <f>IF(T25="","",T25*20)</f>
        <v/>
      </c>
      <c r="U26" s="132" t="str">
        <f>IF(U25="","",U25*13)</f>
        <v/>
      </c>
      <c r="V26" s="78" t="str">
        <f>IF(V25="","",IF((80+(8-ROUNDUP(V25,1))*40)&lt;0,0,80+(8-ROUNDUP(V25,1))*40))</f>
        <v/>
      </c>
      <c r="W26" s="78" t="str">
        <f>IF(SUM(T26,U26,V26)&gt;0,SUM(T26,U26,V26),"")</f>
        <v/>
      </c>
      <c r="X26" s="133" t="str">
        <f>IF(OR(Q26="",T26="",U26="",V26=""),"",SUM(Q26,T26,U26,V26))</f>
        <v/>
      </c>
      <c r="Y26" s="79"/>
      <c r="Z26" s="80"/>
      <c r="AA26" s="123"/>
    </row>
    <row r="27" spans="1:33" s="21" customFormat="1" ht="18" customHeight="1">
      <c r="A27" s="112"/>
      <c r="B27" s="113"/>
      <c r="C27" s="71"/>
      <c r="D27" s="114"/>
      <c r="E27" s="71"/>
      <c r="F27" s="71"/>
      <c r="G27" s="72"/>
      <c r="H27" s="72"/>
      <c r="I27" s="156"/>
      <c r="J27" s="157"/>
      <c r="K27" s="157"/>
      <c r="L27" s="157"/>
      <c r="M27" s="157"/>
      <c r="N27" s="157"/>
      <c r="O27" s="115" t="str">
        <f>IF(MAX(I27:K27)&gt;0,IF(MAX(I27:K27)&lt;0,0,TRUNC(MAX(I27:K27)/1)*1),"")</f>
        <v/>
      </c>
      <c r="P27" s="116" t="str">
        <f>IF(MAX(L27:N27)&gt;0,IF(MAX(L27:N27)&lt;0,0,TRUNC(MAX(L27:N27)/1)*1),"")</f>
        <v/>
      </c>
      <c r="Q27" s="117" t="str">
        <f>IF(O27="","",IF(P27="","",IF(SUM(O27:P27)=0,"",SUM(O27:P27))))</f>
        <v/>
      </c>
      <c r="R27" s="118" t="str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119" t="str">
        <f>IF(AD27=1,R27*AG27,"")</f>
        <v/>
      </c>
      <c r="T27" s="211" t="str">
        <f>IF('K8'!G25="","",'K8'!G25)</f>
        <v/>
      </c>
      <c r="U27" s="211" t="str">
        <f>IF('K8'!K25="","",'K8'!K25)</f>
        <v/>
      </c>
      <c r="V27" s="211" t="str">
        <f>IF('K8'!N25="","",'K8'!N25)</f>
        <v/>
      </c>
      <c r="W27" s="120"/>
      <c r="X27" s="121"/>
      <c r="Y27" s="134"/>
      <c r="Z27" s="75"/>
      <c r="AA27" s="123">
        <f>V5</f>
        <v>44451</v>
      </c>
      <c r="AB27" s="177" t="b">
        <f t="shared" ref="AB27" si="25">IF(ISNUMBER(FIND("M",C27)),"m",IF(ISNUMBER(FIND("K",C27)),"k"))</f>
        <v>0</v>
      </c>
      <c r="AC27" s="178">
        <f t="shared" ref="AC27" si="26">IF(OR(E27="",AA27=""),0,(YEAR(AA27)-YEAR(E27)))</f>
        <v>0</v>
      </c>
      <c r="AD27" s="179" t="str">
        <f t="shared" si="2"/>
        <v/>
      </c>
      <c r="AE27" s="180" t="b">
        <f>IF(AD27=1,LOOKUP(AC27,'Meltzer-Faber'!A3:A63,'Meltzer-Faber'!B3:B63))</f>
        <v>0</v>
      </c>
      <c r="AF27" s="180" t="b">
        <f>IF(AD27=1,LOOKUP(AC27,'Meltzer-Faber'!A3:A63,'Meltzer-Faber'!C3:C63))</f>
        <v>0</v>
      </c>
      <c r="AG27" s="180" t="str">
        <f t="shared" ref="AG27" si="27">IF(AB27="m",AE27,IF(AB27="k",AF27,""))</f>
        <v/>
      </c>
    </row>
    <row r="28" spans="1:33" s="21" customFormat="1" ht="18" customHeight="1">
      <c r="A28" s="124"/>
      <c r="B28" s="125"/>
      <c r="C28" s="126"/>
      <c r="D28" s="127"/>
      <c r="E28" s="128"/>
      <c r="F28" s="128"/>
      <c r="G28" s="74"/>
      <c r="H28" s="129"/>
      <c r="I28" s="286"/>
      <c r="J28" s="287"/>
      <c r="K28" s="288"/>
      <c r="L28" s="286"/>
      <c r="M28" s="287"/>
      <c r="N28" s="288"/>
      <c r="O28" s="126"/>
      <c r="P28" s="130"/>
      <c r="Q28" s="289" t="str">
        <f>IF(R27="","",R27*1.2)</f>
        <v/>
      </c>
      <c r="R28" s="289"/>
      <c r="S28" s="131"/>
      <c r="T28" s="132" t="str">
        <f>IF(T27="","",T27*20)</f>
        <v/>
      </c>
      <c r="U28" s="132" t="str">
        <f>IF(U27="","",U27*13)</f>
        <v/>
      </c>
      <c r="V28" s="78" t="str">
        <f>IF(V27="","",IF((80+(8-ROUNDUP(V27,1))*40)&lt;0,0,80+(8-ROUNDUP(V27,1))*40))</f>
        <v/>
      </c>
      <c r="W28" s="78" t="str">
        <f>IF(SUM(T28,U28,V28)&gt;0,SUM(T28,U28,V28),"")</f>
        <v/>
      </c>
      <c r="X28" s="133" t="str">
        <f>IF(OR(Q28="",T28="",U28="",V28=""),"",SUM(Q28,T28,U28,V28))</f>
        <v/>
      </c>
      <c r="Y28" s="79"/>
      <c r="Z28" s="80"/>
      <c r="AA28" s="123"/>
    </row>
    <row r="29" spans="1:33" s="21" customFormat="1" ht="18" customHeight="1">
      <c r="A29" s="112"/>
      <c r="B29" s="113"/>
      <c r="C29" s="71"/>
      <c r="D29" s="114"/>
      <c r="E29" s="71"/>
      <c r="F29" s="71"/>
      <c r="G29" s="72"/>
      <c r="H29" s="72"/>
      <c r="I29" s="156"/>
      <c r="J29" s="157"/>
      <c r="K29" s="157"/>
      <c r="L29" s="157"/>
      <c r="M29" s="157"/>
      <c r="N29" s="157"/>
      <c r="O29" s="115" t="str">
        <f>IF(MAX(I29:K29)&gt;0,IF(MAX(I29:K29)&lt;0,0,TRUNC(MAX(I29:K29)/1)*1),"")</f>
        <v/>
      </c>
      <c r="P29" s="116" t="str">
        <f>IF(MAX(L29:N29)&gt;0,IF(MAX(L29:N29)&lt;0,0,TRUNC(MAX(L29:N29)/1)*1),"")</f>
        <v/>
      </c>
      <c r="Q29" s="117" t="str">
        <f>IF(O29="","",IF(P29="","",IF(SUM(O29:P29)=0,"",SUM(O29:P29))))</f>
        <v/>
      </c>
      <c r="R29" s="118" t="str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119" t="str">
        <f>IF(AD29=1,R29*AG29,"")</f>
        <v/>
      </c>
      <c r="T29" s="211" t="str">
        <f>IF('K8'!G27="","",'K8'!G27)</f>
        <v/>
      </c>
      <c r="U29" s="211" t="str">
        <f>IF('K8'!K27="","",'K8'!K27)</f>
        <v/>
      </c>
      <c r="V29" s="211" t="str">
        <f>IF('K8'!N27="","",'K8'!N27)</f>
        <v/>
      </c>
      <c r="W29" s="120"/>
      <c r="X29" s="121"/>
      <c r="Y29" s="134"/>
      <c r="Z29" s="75"/>
      <c r="AA29" s="123">
        <f>V5</f>
        <v>44451</v>
      </c>
      <c r="AB29" s="177" t="b">
        <f t="shared" ref="AB29" si="28">IF(ISNUMBER(FIND("M",C29)),"m",IF(ISNUMBER(FIND("K",C29)),"k"))</f>
        <v>0</v>
      </c>
      <c r="AC29" s="178">
        <f t="shared" ref="AC29" si="29">IF(OR(E29="",AA29=""),0,(YEAR(AA29)-YEAR(E29)))</f>
        <v>0</v>
      </c>
      <c r="AD29" s="179" t="str">
        <f t="shared" si="2"/>
        <v/>
      </c>
      <c r="AE29" s="180" t="b">
        <f>IF(AD29=1,LOOKUP(AC29,'Meltzer-Faber'!A3:A63,'Meltzer-Faber'!B3:B63))</f>
        <v>0</v>
      </c>
      <c r="AF29" s="180" t="b">
        <f>IF(AD29=1,LOOKUP(AC29,'Meltzer-Faber'!A3:A63,'Meltzer-Faber'!C3:C63))</f>
        <v>0</v>
      </c>
      <c r="AG29" s="180" t="str">
        <f t="shared" ref="AG29" si="30">IF(AB29="m",AE29,IF(AB29="k",AF29,""))</f>
        <v/>
      </c>
    </row>
    <row r="30" spans="1:33" s="21" customFormat="1" ht="18" customHeight="1">
      <c r="A30" s="124"/>
      <c r="B30" s="125"/>
      <c r="C30" s="126"/>
      <c r="D30" s="127"/>
      <c r="E30" s="128"/>
      <c r="F30" s="264"/>
      <c r="G30" s="74"/>
      <c r="H30" s="129"/>
      <c r="I30" s="286"/>
      <c r="J30" s="287"/>
      <c r="K30" s="288"/>
      <c r="L30" s="286"/>
      <c r="M30" s="287"/>
      <c r="N30" s="288"/>
      <c r="O30" s="126"/>
      <c r="P30" s="130"/>
      <c r="Q30" s="289" t="str">
        <f>IF(R29="","",R29*1.2)</f>
        <v/>
      </c>
      <c r="R30" s="289"/>
      <c r="S30" s="131"/>
      <c r="T30" s="132" t="str">
        <f>IF(T29="","",T29*20)</f>
        <v/>
      </c>
      <c r="U30" s="132" t="str">
        <f>IF(U29="","",U29*13)</f>
        <v/>
      </c>
      <c r="V30" s="78" t="str">
        <f>IF(V29="","",IF((80+(8-ROUNDUP(V29,1))*40)&lt;0,0,80+(8-ROUNDUP(V29,1))*40))</f>
        <v/>
      </c>
      <c r="W30" s="78" t="str">
        <f>IF(SUM(T30,U30,V30)&gt;0,SUM(T30,U30,V30),"")</f>
        <v/>
      </c>
      <c r="X30" s="133" t="str">
        <f>IF(OR(Q30="",T30="",U30="",V30=""),"",SUM(Q30,T30,U30,V30))</f>
        <v/>
      </c>
      <c r="Y30" s="79"/>
      <c r="Z30" s="80"/>
      <c r="AA30" s="123"/>
    </row>
    <row r="31" spans="1:33" s="21" customFormat="1" ht="18" customHeight="1">
      <c r="A31" s="112"/>
      <c r="B31" s="113"/>
      <c r="C31" s="71"/>
      <c r="D31" s="114"/>
      <c r="E31" s="71"/>
      <c r="F31" s="71"/>
      <c r="G31" s="72"/>
      <c r="H31" s="72"/>
      <c r="I31" s="156"/>
      <c r="J31" s="157"/>
      <c r="K31" s="157"/>
      <c r="L31" s="157"/>
      <c r="M31" s="157"/>
      <c r="N31" s="157"/>
      <c r="O31" s="269" t="str">
        <f>IF(MAX(I31:K31)&gt;0,IF(MAX(I31:K31)&lt;0,0,TRUNC(MAX(I31:K31)/1)*1),"")</f>
        <v/>
      </c>
      <c r="P31" s="270" t="str">
        <f>IF(MAX(L31:N31)&gt;0,IF(MAX(L31:N31)&lt;0,0,TRUNC(MAX(L31:N31)/1)*1),"")</f>
        <v/>
      </c>
      <c r="Q31" s="271" t="str">
        <f>IF(O31="","",IF(P31="","",IF(SUM(O31:P31)=0,"",SUM(O31:P31))))</f>
        <v/>
      </c>
      <c r="R31" s="27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21" t="str">
        <f>IF(AD31=1,R31*AG31,"")</f>
        <v/>
      </c>
      <c r="T31" s="211" t="str">
        <f>IF('K8'!G29="","",'K8'!G29)</f>
        <v/>
      </c>
      <c r="U31" s="211" t="str">
        <f>IF('K8'!K29="","",'K8'!K29)</f>
        <v/>
      </c>
      <c r="V31" s="211" t="str">
        <f>IF('K8'!N29="","",'K8'!N29)</f>
        <v/>
      </c>
      <c r="W31" s="120" t="s">
        <v>16</v>
      </c>
      <c r="X31" s="121"/>
      <c r="Y31" s="134"/>
      <c r="Z31" s="75"/>
      <c r="AA31" s="123">
        <f>V5</f>
        <v>44451</v>
      </c>
      <c r="AB31" s="177" t="b">
        <f t="shared" ref="AB31" si="31">IF(ISNUMBER(FIND("M",C31)),"m",IF(ISNUMBER(FIND("K",C31)),"k"))</f>
        <v>0</v>
      </c>
      <c r="AC31" s="178">
        <f t="shared" ref="AC31" si="32">IF(OR(E31="",AA31=""),0,(YEAR(AA31)-YEAR(E31)))</f>
        <v>0</v>
      </c>
      <c r="AD31" s="179" t="str">
        <f t="shared" si="2"/>
        <v/>
      </c>
      <c r="AE31" s="180" t="b">
        <f>IF(AD31=1,LOOKUP(AC31,'Meltzer-Faber'!A3:A63,'Meltzer-Faber'!B3:B63))</f>
        <v>0</v>
      </c>
      <c r="AF31" s="180" t="b">
        <f>IF(AD31=1,LOOKUP(AC31,'Meltzer-Faber'!A3:A63,'Meltzer-Faber'!C3:C63))</f>
        <v>0</v>
      </c>
      <c r="AG31" s="180" t="str">
        <f t="shared" ref="AG31" si="33">IF(AB31="m",AE31,IF(AB31="k",AF31,""))</f>
        <v/>
      </c>
    </row>
    <row r="32" spans="1:33" s="21" customFormat="1" ht="18" customHeight="1">
      <c r="A32" s="124"/>
      <c r="B32" s="125"/>
      <c r="C32" s="126"/>
      <c r="D32" s="127"/>
      <c r="E32" s="128"/>
      <c r="F32" s="264"/>
      <c r="G32" s="274"/>
      <c r="H32" s="275"/>
      <c r="I32" s="290"/>
      <c r="J32" s="291"/>
      <c r="K32" s="292"/>
      <c r="L32" s="290"/>
      <c r="M32" s="291"/>
      <c r="N32" s="292"/>
      <c r="O32" s="273"/>
      <c r="P32" s="276"/>
      <c r="Q32" s="314" t="str">
        <f>IF(R31="","",R31*1.2)</f>
        <v/>
      </c>
      <c r="R32" s="314"/>
      <c r="S32" s="277"/>
      <c r="T32" s="278" t="str">
        <f>IF(T31="","",T31*20)</f>
        <v/>
      </c>
      <c r="U32" s="278" t="str">
        <f>IF(U31="","",U31*13)</f>
        <v/>
      </c>
      <c r="V32" s="279" t="str">
        <f>IF(V31="","",IF((80+(8-ROUNDUP(V31,1))*40)&lt;0,0,80+(8-ROUNDUP(V31,1))*40))</f>
        <v/>
      </c>
      <c r="W32" s="279" t="str">
        <f>IF(SUM(T32,U32,V32)&gt;0,SUM(T32,U32,V32),"")</f>
        <v/>
      </c>
      <c r="X32" s="280" t="str">
        <f>IF(OR(Q32="",T32="",U32="",V32=""),"",SUM(Q32,T32,U32,V32))</f>
        <v/>
      </c>
      <c r="Y32" s="281"/>
      <c r="Z32" s="282"/>
      <c r="AA32" s="123"/>
    </row>
    <row r="33" spans="1:26" s="21" customFormat="1" ht="14">
      <c r="A33" s="136"/>
      <c r="B33" s="136"/>
      <c r="C33" s="136"/>
      <c r="D33" s="137"/>
      <c r="E33" s="138"/>
      <c r="F33" s="138"/>
      <c r="G33" s="139"/>
      <c r="H33" s="139"/>
      <c r="I33" s="140"/>
      <c r="J33" s="140"/>
      <c r="K33" s="140"/>
      <c r="L33" s="140"/>
      <c r="M33" s="140"/>
      <c r="N33" s="140"/>
      <c r="O33" s="136"/>
      <c r="P33" s="136"/>
      <c r="Q33" s="136"/>
      <c r="R33" s="136"/>
      <c r="S33" s="136"/>
      <c r="T33" s="140"/>
      <c r="U33" s="140"/>
      <c r="V33" s="141"/>
      <c r="W33" s="141"/>
      <c r="X33" s="142"/>
      <c r="Y33" s="143"/>
      <c r="Z33" s="198"/>
    </row>
    <row r="34" spans="1:26" s="197" customFormat="1" ht="14">
      <c r="A34" s="197" t="s">
        <v>13</v>
      </c>
      <c r="C34" s="302" t="s">
        <v>205</v>
      </c>
      <c r="D34" s="302"/>
      <c r="E34" s="302"/>
      <c r="F34" s="302"/>
      <c r="G34" s="302"/>
      <c r="H34" s="191" t="s">
        <v>14</v>
      </c>
      <c r="I34" s="145">
        <v>1</v>
      </c>
      <c r="J34" s="302" t="s">
        <v>122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s="197" customFormat="1" ht="14">
      <c r="A35"/>
      <c r="C35" s="303"/>
      <c r="D35" s="303"/>
      <c r="E35" s="303"/>
      <c r="F35" s="303"/>
      <c r="G35" s="303"/>
      <c r="H35" s="192"/>
      <c r="I35" s="145">
        <v>2</v>
      </c>
      <c r="J35" s="302" t="s">
        <v>102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s="197" customFormat="1" ht="14">
      <c r="A36" s="197" t="s">
        <v>49</v>
      </c>
      <c r="C36" s="302"/>
      <c r="D36" s="302"/>
      <c r="E36" s="302"/>
      <c r="F36" s="302"/>
      <c r="G36" s="302"/>
      <c r="H36" s="191"/>
      <c r="I36" s="197">
        <v>3</v>
      </c>
      <c r="J36" s="302" t="s">
        <v>114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s="4" customFormat="1" ht="14">
      <c r="A37"/>
      <c r="B37" s="196"/>
      <c r="C37" s="302"/>
      <c r="D37" s="302"/>
      <c r="E37" s="302"/>
      <c r="F37" s="302"/>
      <c r="G37" s="302"/>
      <c r="H37" s="191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</row>
    <row r="38" spans="1:26" s="4" customFormat="1" ht="14">
      <c r="A38"/>
      <c r="B38" s="197"/>
      <c r="C38" s="302"/>
      <c r="D38" s="302"/>
      <c r="E38" s="302"/>
      <c r="F38" s="302"/>
      <c r="G38" s="302"/>
      <c r="H38" s="147" t="s">
        <v>50</v>
      </c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spans="1:26" s="4" customFormat="1" ht="14">
      <c r="A39" s="1"/>
      <c r="B39" s="1"/>
      <c r="C39" s="146"/>
      <c r="D39" s="3"/>
      <c r="E39" s="3"/>
      <c r="F39" s="3"/>
      <c r="H39" s="147" t="s">
        <v>51</v>
      </c>
      <c r="I39" s="315" t="s">
        <v>118</v>
      </c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 spans="1:26" s="4" customFormat="1" ht="14">
      <c r="A40" s="197" t="s">
        <v>15</v>
      </c>
      <c r="B40" s="197"/>
      <c r="C40" s="302" t="s">
        <v>101</v>
      </c>
      <c r="D40" s="302"/>
      <c r="E40" s="302"/>
      <c r="F40" s="302"/>
      <c r="G40" s="302"/>
      <c r="H40" s="147" t="s">
        <v>52</v>
      </c>
      <c r="I40" s="315" t="s">
        <v>121</v>
      </c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spans="1:26" s="4" customFormat="1" ht="14">
      <c r="A41" s="1"/>
      <c r="B41" s="1"/>
      <c r="C41" s="302" t="s">
        <v>106</v>
      </c>
      <c r="D41" s="302"/>
      <c r="E41" s="302"/>
      <c r="F41" s="302"/>
      <c r="G41" s="302"/>
      <c r="H41" s="191"/>
      <c r="I41" s="147"/>
      <c r="J41" s="197"/>
      <c r="K41" s="148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4">
      <c r="A42" s="197" t="s">
        <v>53</v>
      </c>
      <c r="B42" s="197"/>
      <c r="C42" s="302" t="s">
        <v>120</v>
      </c>
      <c r="D42" s="302"/>
      <c r="E42" s="302"/>
      <c r="F42" s="302"/>
      <c r="G42" s="302"/>
      <c r="H42" s="147" t="s">
        <v>18</v>
      </c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spans="1:26" s="4" customFormat="1" ht="14">
      <c r="A43" s="1"/>
      <c r="B43" s="1"/>
      <c r="C43" s="302"/>
      <c r="D43" s="302"/>
      <c r="E43" s="302"/>
      <c r="F43" s="302"/>
      <c r="G43" s="302"/>
      <c r="H43" s="191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spans="1:26" s="4" customFormat="1">
      <c r="A44" s="149" t="s">
        <v>17</v>
      </c>
      <c r="B44" s="150" t="s">
        <v>63</v>
      </c>
      <c r="C44" s="150"/>
      <c r="D44" s="151"/>
      <c r="E44" s="151"/>
      <c r="F44" s="151"/>
      <c r="G44" s="152"/>
      <c r="H44" s="152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</row>
    <row r="45" spans="1:26" s="4" customFormat="1">
      <c r="A45" s="1"/>
      <c r="B45" s="1"/>
      <c r="C45" s="150"/>
      <c r="D45" s="3"/>
      <c r="E45" s="3"/>
      <c r="F45" s="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</row>
    <row r="46" spans="1:26" s="4" customFormat="1">
      <c r="A46" s="1"/>
      <c r="B46" s="1"/>
      <c r="C46" s="2"/>
      <c r="D46" s="3"/>
      <c r="E46" s="3"/>
      <c r="F46" s="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</row>
    <row r="47" spans="1:26">
      <c r="K47" s="153"/>
    </row>
    <row r="48" spans="1:26">
      <c r="K48" s="1"/>
    </row>
    <row r="49" spans="11:11">
      <c r="K49" s="1"/>
    </row>
    <row r="50" spans="11:11">
      <c r="K50" s="1"/>
    </row>
  </sheetData>
  <mergeCells count="70">
    <mergeCell ref="S3:Z3"/>
    <mergeCell ref="A5:B5"/>
    <mergeCell ref="C5:G5"/>
    <mergeCell ref="I5:N5"/>
    <mergeCell ref="P5:T5"/>
    <mergeCell ref="V5:W5"/>
    <mergeCell ref="I10:K10"/>
    <mergeCell ref="L10:N10"/>
    <mergeCell ref="Q10:R10"/>
    <mergeCell ref="G2:R2"/>
    <mergeCell ref="G3:R3"/>
    <mergeCell ref="I7:K7"/>
    <mergeCell ref="L7:N7"/>
    <mergeCell ref="O7:R7"/>
    <mergeCell ref="I8:K8"/>
    <mergeCell ref="L8:N8"/>
    <mergeCell ref="I12:K12"/>
    <mergeCell ref="L12:N12"/>
    <mergeCell ref="Q12:R12"/>
    <mergeCell ref="I14:K14"/>
    <mergeCell ref="L14:N14"/>
    <mergeCell ref="Q14:R14"/>
    <mergeCell ref="I16:K16"/>
    <mergeCell ref="L16:N16"/>
    <mergeCell ref="Q16:R16"/>
    <mergeCell ref="I18:K18"/>
    <mergeCell ref="L18:N18"/>
    <mergeCell ref="Q18:R18"/>
    <mergeCell ref="I20:K20"/>
    <mergeCell ref="L20:N20"/>
    <mergeCell ref="Q20:R20"/>
    <mergeCell ref="I22:K22"/>
    <mergeCell ref="L22:N22"/>
    <mergeCell ref="Q22:R22"/>
    <mergeCell ref="I24:K24"/>
    <mergeCell ref="L24:N24"/>
    <mergeCell ref="Q24:R24"/>
    <mergeCell ref="I26:K26"/>
    <mergeCell ref="L26:N26"/>
    <mergeCell ref="Q26:R26"/>
    <mergeCell ref="I32:K32"/>
    <mergeCell ref="L32:N32"/>
    <mergeCell ref="Q32:R32"/>
    <mergeCell ref="C34:G34"/>
    <mergeCell ref="J34:Z34"/>
    <mergeCell ref="I28:K28"/>
    <mergeCell ref="L28:N28"/>
    <mergeCell ref="Q28:R28"/>
    <mergeCell ref="I30:K30"/>
    <mergeCell ref="L30:N30"/>
    <mergeCell ref="Q30:R30"/>
    <mergeCell ref="I46:Z46"/>
    <mergeCell ref="I39:Z39"/>
    <mergeCell ref="C40:G40"/>
    <mergeCell ref="I40:Z40"/>
    <mergeCell ref="C41:G41"/>
    <mergeCell ref="C42:G42"/>
    <mergeCell ref="I42:Z42"/>
    <mergeCell ref="C43:G43"/>
    <mergeCell ref="I43:Z43"/>
    <mergeCell ref="C38:G38"/>
    <mergeCell ref="I38:Z38"/>
    <mergeCell ref="J37:Z37"/>
    <mergeCell ref="I44:Z44"/>
    <mergeCell ref="I45:Z45"/>
    <mergeCell ref="C35:G35"/>
    <mergeCell ref="J35:Z35"/>
    <mergeCell ref="C36:G36"/>
    <mergeCell ref="J36:Z36"/>
    <mergeCell ref="C37:G37"/>
  </mergeCells>
  <conditionalFormatting sqref="I25:N25">
    <cfRule type="cellIs" dxfId="47" priority="43" stopIfTrue="1" operator="between">
      <formula>1</formula>
      <formula>300</formula>
    </cfRule>
    <cfRule type="cellIs" dxfId="46" priority="44" stopIfTrue="1" operator="lessThanOrEqual">
      <formula>0</formula>
    </cfRule>
  </conditionalFormatting>
  <conditionalFormatting sqref="I27:N27">
    <cfRule type="cellIs" dxfId="45" priority="41" stopIfTrue="1" operator="between">
      <formula>1</formula>
      <formula>300</formula>
    </cfRule>
    <cfRule type="cellIs" dxfId="44" priority="42" stopIfTrue="1" operator="lessThanOrEqual">
      <formula>0</formula>
    </cfRule>
  </conditionalFormatting>
  <conditionalFormatting sqref="I29:N29">
    <cfRule type="cellIs" dxfId="43" priority="39" stopIfTrue="1" operator="between">
      <formula>1</formula>
      <formula>300</formula>
    </cfRule>
    <cfRule type="cellIs" dxfId="42" priority="40" stopIfTrue="1" operator="lessThanOrEqual">
      <formula>0</formula>
    </cfRule>
  </conditionalFormatting>
  <conditionalFormatting sqref="I31:N31">
    <cfRule type="cellIs" dxfId="41" priority="37" stopIfTrue="1" operator="between">
      <formula>1</formula>
      <formula>300</formula>
    </cfRule>
    <cfRule type="cellIs" dxfId="40" priority="38" stopIfTrue="1" operator="lessThanOrEqual">
      <formula>0</formula>
    </cfRule>
  </conditionalFormatting>
  <conditionalFormatting sqref="I21:N21">
    <cfRule type="cellIs" dxfId="39" priority="15" stopIfTrue="1" operator="between">
      <formula>1</formula>
      <formula>300</formula>
    </cfRule>
    <cfRule type="cellIs" dxfId="38" priority="16" stopIfTrue="1" operator="lessThanOrEqual">
      <formula>0</formula>
    </cfRule>
  </conditionalFormatting>
  <conditionalFormatting sqref="I17:N17">
    <cfRule type="cellIs" dxfId="37" priority="13" stopIfTrue="1" operator="between">
      <formula>1</formula>
      <formula>300</formula>
    </cfRule>
    <cfRule type="cellIs" dxfId="36" priority="14" stopIfTrue="1" operator="lessThanOrEqual">
      <formula>0</formula>
    </cfRule>
  </conditionalFormatting>
  <conditionalFormatting sqref="I9:N9">
    <cfRule type="cellIs" dxfId="35" priority="11" stopIfTrue="1" operator="between">
      <formula>1</formula>
      <formula>300</formula>
    </cfRule>
    <cfRule type="cellIs" dxfId="34" priority="12" stopIfTrue="1" operator="lessThanOrEqual">
      <formula>0</formula>
    </cfRule>
  </conditionalFormatting>
  <conditionalFormatting sqref="I19:N19">
    <cfRule type="cellIs" dxfId="33" priority="9" stopIfTrue="1" operator="between">
      <formula>1</formula>
      <formula>300</formula>
    </cfRule>
    <cfRule type="cellIs" dxfId="32" priority="10" stopIfTrue="1" operator="lessThanOrEqual">
      <formula>0</formula>
    </cfRule>
  </conditionalFormatting>
  <conditionalFormatting sqref="I23:N23">
    <cfRule type="cellIs" dxfId="31" priority="7" stopIfTrue="1" operator="between">
      <formula>1</formula>
      <formula>300</formula>
    </cfRule>
    <cfRule type="cellIs" dxfId="30" priority="8" stopIfTrue="1" operator="lessThanOrEqual">
      <formula>0</formula>
    </cfRule>
  </conditionalFormatting>
  <conditionalFormatting sqref="I11:N11">
    <cfRule type="cellIs" dxfId="29" priority="5" stopIfTrue="1" operator="between">
      <formula>1</formula>
      <formula>300</formula>
    </cfRule>
    <cfRule type="cellIs" dxfId="28" priority="6" stopIfTrue="1" operator="lessThanOrEqual">
      <formula>0</formula>
    </cfRule>
  </conditionalFormatting>
  <conditionalFormatting sqref="I13:N13">
    <cfRule type="cellIs" dxfId="27" priority="3" stopIfTrue="1" operator="between">
      <formula>1</formula>
      <formula>300</formula>
    </cfRule>
    <cfRule type="cellIs" dxfId="26" priority="4" stopIfTrue="1" operator="lessThanOrEqual">
      <formula>0</formula>
    </cfRule>
  </conditionalFormatting>
  <conditionalFormatting sqref="I15:N15">
    <cfRule type="cellIs" dxfId="25" priority="1" stopIfTrue="1" operator="between">
      <formula>1</formula>
      <formula>300</formula>
    </cfRule>
    <cfRule type="cellIs" dxfId="24" priority="2" stopIfTrue="1" operator="lessThanOrEqual">
      <formula>0</formula>
    </cfRule>
  </conditionalFormatting>
  <dataValidations count="3">
    <dataValidation type="list" allowBlank="1" showInputMessage="1" showErrorMessage="1" errorTitle="Feil_i_kat. 5-kamp" error="Feil verdi i kategori 5-kamp" sqref="D9 D29 D11 D13 D15 D17 D19 D21 D23 D25 D27 D31" xr:uid="{EC4E8136-F230-2948-9FFB-BEAECC15B98A}">
      <formula1>"13-14,15-16,17-18,19-23,24-34,+35,35+"</formula1>
    </dataValidation>
    <dataValidation type="list" allowBlank="1" showInputMessage="1" showErrorMessage="1" errorTitle="Feil_i_kat.v.løft" error="Feil verdi i kategori vektløfting" sqref="C9 C29 C27 C19 C13 C17 C25 C21 C23 C11 C15 C31" xr:uid="{D65C07A6-6DD1-5149-B6EA-A1B40820E4BB}">
      <formula1>"UM,JM,SM,UK,JK,SK,M1,M2,M3,M4,M5,M6,M7,M8,M9,M10,K1,K2,K3,K4,K5,K6,K7,K8,K9,K10"</formula1>
    </dataValidation>
    <dataValidation type="list" allowBlank="1" showInputMessage="1" showErrorMessage="1" errorTitle="Feil_i_vektklasse" error="Feil verddi i vektklasse" sqref="A9 A11 A25 A15 A17 A19 A29 A23 A21 A27 A31 A13" xr:uid="{97C14A56-2D19-9243-A237-EBC1F8861EF5}">
      <formula1>"40,45,49,55,59,64,71,76,81,+81,81+,87,+87,87+,49,55,61,67,73,81,89,96,102,+102,102+,109,+109,109+"</formula1>
    </dataValidation>
  </dataValidations>
  <pageMargins left="0.27559055118110198" right="0.27559055118110198" top="0.27559055118110198" bottom="0.27559055118110198" header="0.511811023622047" footer="0.511811023622047"/>
  <pageSetup paperSize="9" scale="60" orientation="landscape" horizontalDpi="300" verticalDpi="300" copies="4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C2C9-52D9-D54D-B4BD-B095AF070B30}">
  <sheetPr>
    <pageSetUpPr fitToPage="1"/>
  </sheetPr>
  <dimension ref="A1:AG50"/>
  <sheetViews>
    <sheetView showGridLines="0" showRowColHeaders="0" showZeros="0" topLeftCell="C2" zoomScale="90" zoomScaleNormal="90" workbookViewId="0">
      <selection activeCell="X23" sqref="X23"/>
    </sheetView>
  </sheetViews>
  <sheetFormatPr baseColWidth="10" defaultColWidth="9.1640625" defaultRowHeight="13"/>
  <cols>
    <col min="1" max="1" width="7" style="7" customWidth="1"/>
    <col min="2" max="2" width="8" style="7" customWidth="1"/>
    <col min="3" max="3" width="5.83203125" style="7" customWidth="1"/>
    <col min="4" max="4" width="7.6640625" style="7" customWidth="1"/>
    <col min="5" max="5" width="10.6640625" style="7" customWidth="1"/>
    <col min="6" max="6" width="4.33203125" style="7" customWidth="1"/>
    <col min="7" max="7" width="27.83203125" customWidth="1"/>
    <col min="8" max="8" width="20.6640625" customWidth="1"/>
    <col min="9" max="17" width="6.83203125" style="7" customWidth="1"/>
    <col min="18" max="21" width="8" style="7" customWidth="1"/>
    <col min="22" max="22" width="9" style="7" customWidth="1"/>
    <col min="23" max="24" width="8" style="7" customWidth="1"/>
    <col min="25" max="25" width="4.6640625" style="7" customWidth="1"/>
    <col min="26" max="26" width="5" style="7" customWidth="1"/>
    <col min="27" max="27" width="9.33203125" hidden="1" customWidth="1"/>
    <col min="28" max="33" width="0" hidden="1" customWidth="1"/>
  </cols>
  <sheetData>
    <row r="1" spans="1:33" ht="13" customHeight="1">
      <c r="H1" s="7"/>
      <c r="Z1"/>
    </row>
    <row r="2" spans="1:33" ht="72.75" customHeight="1">
      <c r="G2" s="293" t="s">
        <v>54</v>
      </c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U2" s="87" t="s">
        <v>59</v>
      </c>
      <c r="Z2"/>
    </row>
    <row r="3" spans="1:33" ht="29">
      <c r="E3" s="88"/>
      <c r="G3" s="294" t="s">
        <v>22</v>
      </c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304" t="s">
        <v>60</v>
      </c>
      <c r="T3" s="304"/>
      <c r="U3" s="304"/>
      <c r="V3" s="304"/>
      <c r="W3" s="304"/>
      <c r="X3" s="304"/>
      <c r="Y3" s="304"/>
      <c r="Z3" s="304"/>
    </row>
    <row r="4" spans="1:33">
      <c r="H4" s="7"/>
      <c r="Z4"/>
    </row>
    <row r="5" spans="1:33" ht="15" customHeight="1">
      <c r="A5" s="300" t="s">
        <v>21</v>
      </c>
      <c r="B5" s="300"/>
      <c r="C5" s="301" t="s">
        <v>127</v>
      </c>
      <c r="D5" s="301"/>
      <c r="E5" s="301"/>
      <c r="F5" s="301"/>
      <c r="G5" s="301"/>
      <c r="H5" s="206" t="s">
        <v>0</v>
      </c>
      <c r="I5" s="305" t="s">
        <v>94</v>
      </c>
      <c r="J5" s="305"/>
      <c r="K5" s="305"/>
      <c r="L5" s="305"/>
      <c r="M5" s="305"/>
      <c r="N5" s="305"/>
      <c r="O5" s="206" t="s">
        <v>1</v>
      </c>
      <c r="P5" s="306" t="s">
        <v>117</v>
      </c>
      <c r="Q5" s="306"/>
      <c r="R5" s="306"/>
      <c r="S5" s="306"/>
      <c r="T5" s="306"/>
      <c r="U5" s="90" t="s">
        <v>2</v>
      </c>
      <c r="V5" s="307">
        <v>44451</v>
      </c>
      <c r="W5" s="307"/>
      <c r="X5" s="91" t="s">
        <v>20</v>
      </c>
      <c r="Y5" s="92">
        <v>9</v>
      </c>
      <c r="Z5"/>
    </row>
    <row r="6" spans="1:33" ht="13.75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3"/>
      <c r="X6" s="9"/>
      <c r="Y6" s="9"/>
      <c r="Z6"/>
      <c r="AB6" s="4"/>
      <c r="AC6" s="4"/>
      <c r="AD6" s="4"/>
      <c r="AE6" s="187" t="s">
        <v>67</v>
      </c>
      <c r="AF6" s="187" t="s">
        <v>67</v>
      </c>
      <c r="AG6" s="187" t="s">
        <v>67</v>
      </c>
    </row>
    <row r="7" spans="1:33" s="21" customFormat="1" ht="15" customHeight="1">
      <c r="A7" s="94" t="s">
        <v>3</v>
      </c>
      <c r="B7" s="204" t="s">
        <v>4</v>
      </c>
      <c r="C7" s="203" t="s">
        <v>23</v>
      </c>
      <c r="D7" s="97" t="s">
        <v>23</v>
      </c>
      <c r="E7" s="202" t="s">
        <v>5</v>
      </c>
      <c r="F7" s="202" t="s">
        <v>24</v>
      </c>
      <c r="G7" s="202" t="s">
        <v>6</v>
      </c>
      <c r="H7" s="202" t="s">
        <v>7</v>
      </c>
      <c r="I7" s="308" t="s">
        <v>8</v>
      </c>
      <c r="J7" s="309"/>
      <c r="K7" s="310"/>
      <c r="L7" s="308" t="s">
        <v>9</v>
      </c>
      <c r="M7" s="309"/>
      <c r="N7" s="310"/>
      <c r="O7" s="311" t="s">
        <v>25</v>
      </c>
      <c r="P7" s="312"/>
      <c r="Q7" s="312"/>
      <c r="R7" s="312"/>
      <c r="S7" s="99" t="s">
        <v>10</v>
      </c>
      <c r="T7" s="100" t="s">
        <v>61</v>
      </c>
      <c r="U7" s="100" t="s">
        <v>27</v>
      </c>
      <c r="V7" s="100" t="s">
        <v>28</v>
      </c>
      <c r="W7" s="202" t="s">
        <v>56</v>
      </c>
      <c r="X7" s="101" t="s">
        <v>29</v>
      </c>
      <c r="Y7" s="101" t="s">
        <v>30</v>
      </c>
      <c r="Z7" s="11" t="s">
        <v>31</v>
      </c>
      <c r="AB7" s="1"/>
      <c r="AC7" s="1"/>
      <c r="AD7" s="1"/>
      <c r="AE7" s="188" t="s">
        <v>68</v>
      </c>
      <c r="AF7" s="188" t="s">
        <v>68</v>
      </c>
      <c r="AG7" s="188" t="s">
        <v>68</v>
      </c>
    </row>
    <row r="8" spans="1:33" s="21" customFormat="1" ht="15" customHeight="1" thickBot="1">
      <c r="A8" s="102" t="s">
        <v>11</v>
      </c>
      <c r="B8" s="103" t="s">
        <v>12</v>
      </c>
      <c r="C8" s="104" t="s">
        <v>32</v>
      </c>
      <c r="D8" s="105" t="s">
        <v>29</v>
      </c>
      <c r="E8" s="106" t="s">
        <v>19</v>
      </c>
      <c r="F8" s="106" t="s">
        <v>62</v>
      </c>
      <c r="G8" s="207"/>
      <c r="H8" s="207"/>
      <c r="I8" s="295" t="s">
        <v>34</v>
      </c>
      <c r="J8" s="296"/>
      <c r="K8" s="297"/>
      <c r="L8" s="295" t="s">
        <v>34</v>
      </c>
      <c r="M8" s="296"/>
      <c r="N8" s="297"/>
      <c r="O8" s="108" t="s">
        <v>8</v>
      </c>
      <c r="P8" s="103" t="s">
        <v>9</v>
      </c>
      <c r="Q8" s="109" t="s">
        <v>35</v>
      </c>
      <c r="R8" s="104" t="s">
        <v>10</v>
      </c>
      <c r="S8" s="108" t="s">
        <v>55</v>
      </c>
      <c r="T8" s="110" t="s">
        <v>10</v>
      </c>
      <c r="U8" s="110" t="s">
        <v>10</v>
      </c>
      <c r="V8" s="110" t="s">
        <v>10</v>
      </c>
      <c r="W8" s="106" t="s">
        <v>57</v>
      </c>
      <c r="X8" s="111" t="s">
        <v>36</v>
      </c>
      <c r="Y8" s="111"/>
      <c r="Z8" s="12"/>
      <c r="AB8" s="1" t="s">
        <v>69</v>
      </c>
      <c r="AC8" s="1" t="s">
        <v>58</v>
      </c>
      <c r="AD8" s="3" t="s">
        <v>55</v>
      </c>
      <c r="AE8" s="188" t="s">
        <v>70</v>
      </c>
      <c r="AF8" s="188" t="s">
        <v>71</v>
      </c>
      <c r="AG8" s="188" t="s">
        <v>72</v>
      </c>
    </row>
    <row r="9" spans="1:33" s="21" customFormat="1" ht="18" customHeight="1">
      <c r="A9" s="252" t="s">
        <v>139</v>
      </c>
      <c r="B9" s="224">
        <v>94.3</v>
      </c>
      <c r="C9" s="225" t="s">
        <v>146</v>
      </c>
      <c r="D9" s="225" t="s">
        <v>218</v>
      </c>
      <c r="E9" s="225" t="s">
        <v>230</v>
      </c>
      <c r="F9" s="255"/>
      <c r="G9" s="227" t="s">
        <v>231</v>
      </c>
      <c r="H9" s="268" t="s">
        <v>97</v>
      </c>
      <c r="I9" s="258">
        <v>100</v>
      </c>
      <c r="J9" s="259">
        <v>104</v>
      </c>
      <c r="K9" s="259">
        <v>107</v>
      </c>
      <c r="L9" s="258">
        <v>120</v>
      </c>
      <c r="M9" s="259">
        <v>125</v>
      </c>
      <c r="N9" s="259">
        <v>-132</v>
      </c>
      <c r="O9" s="115">
        <f>IF(MAX(I9:K9)&gt;0,IF(MAX(I9:K9)&lt;0,0,TRUNC(MAX(I9:K9)/1)*1),"")</f>
        <v>107</v>
      </c>
      <c r="P9" s="116">
        <f>IF(MAX(L9:N9)&gt;0,IF(MAX(L9:N9)&lt;0,0,TRUNC(MAX(L9:N9)/1)*1),"")</f>
        <v>125</v>
      </c>
      <c r="Q9" s="117">
        <f>IF(O9="","",IF(P9="","",IF(SUM(O9:P9)=0,"",SUM(O9:P9))))</f>
        <v>232</v>
      </c>
      <c r="R9" s="118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263.15862140117042</v>
      </c>
      <c r="S9" s="119" t="str">
        <f>IF(AD9=1,R9*AG9,"")</f>
        <v/>
      </c>
      <c r="T9" s="73">
        <f>IF('K9'!G7="","",'K9'!G7)</f>
        <v>8.1199999999999992</v>
      </c>
      <c r="U9" s="73">
        <f>IF('K9'!K7="","",'K9'!K7)</f>
        <v>14.1</v>
      </c>
      <c r="V9" s="73">
        <f>IF('K9'!N7="","",'K9'!N7)</f>
        <v>6.5</v>
      </c>
      <c r="W9" s="120"/>
      <c r="X9" s="121"/>
      <c r="Y9" s="122"/>
      <c r="Z9" s="77"/>
      <c r="AA9" s="123">
        <f>V5</f>
        <v>44451</v>
      </c>
      <c r="AB9" s="177" t="str">
        <f>IF(ISNUMBER(FIND("M",C9)),"m",IF(ISNUMBER(FIND("K",C9)),"k"))</f>
        <v>m</v>
      </c>
      <c r="AC9" s="178">
        <f>IF(OR(E9="",AA9=""),0,(YEAR(AA9)-YEAR(E9)))</f>
        <v>27</v>
      </c>
      <c r="AD9" s="179" t="str">
        <f>IF(AC9&gt;34,1,"")</f>
        <v/>
      </c>
      <c r="AE9" s="180" t="b">
        <f>IF(AD9=1,LOOKUP(AC9,'Meltzer-Faber'!A3:A63,'Meltzer-Faber'!B3:B63))</f>
        <v>0</v>
      </c>
      <c r="AF9" s="180" t="b">
        <f>IF(AD9=1,LOOKUP(AC9,'Meltzer-Faber'!A3:A63,'Meltzer-Faber'!C3:C63))</f>
        <v>0</v>
      </c>
      <c r="AG9" s="180" t="b">
        <f>IF(AB9="m",AE9,IF(AB9="k",AF9,""))</f>
        <v>0</v>
      </c>
    </row>
    <row r="10" spans="1:33" s="21" customFormat="1" ht="18" customHeight="1">
      <c r="A10" s="124"/>
      <c r="B10" s="125"/>
      <c r="C10" s="126"/>
      <c r="D10" s="127"/>
      <c r="E10" s="264"/>
      <c r="F10" s="260"/>
      <c r="G10" s="74"/>
      <c r="H10" s="74"/>
      <c r="I10" s="298"/>
      <c r="J10" s="289"/>
      <c r="K10" s="299"/>
      <c r="L10" s="286"/>
      <c r="M10" s="287"/>
      <c r="N10" s="288"/>
      <c r="O10" s="126"/>
      <c r="P10" s="130"/>
      <c r="Q10" s="289">
        <f>IF(R9="","",R9*1.2)</f>
        <v>315.79034568140452</v>
      </c>
      <c r="R10" s="289"/>
      <c r="S10" s="131"/>
      <c r="T10" s="132">
        <f>IF(T9="","",T9*20)</f>
        <v>162.39999999999998</v>
      </c>
      <c r="U10" s="132">
        <f>IF(U9="","",U9*13)</f>
        <v>183.29999999999998</v>
      </c>
      <c r="V10" s="78">
        <f>IF(V9="","",IF((80+(8-ROUNDUP(V9,1))*40)&lt;0,0,80+(8-ROUNDUP(V9,1))*40))</f>
        <v>140</v>
      </c>
      <c r="W10" s="78">
        <f>IF(SUM(T10,U10,V10)&gt;0,SUM(T10,U10,V10),"")</f>
        <v>485.69999999999993</v>
      </c>
      <c r="X10" s="133">
        <f>IF(OR(Q10="",T10="",U10="",V10=""),"",SUM(Q10,T10,U10,V10))</f>
        <v>801.49034568140451</v>
      </c>
      <c r="Y10" s="79">
        <v>7</v>
      </c>
      <c r="Z10" s="80"/>
      <c r="AA10" s="123"/>
      <c r="AB10" s="177"/>
      <c r="AC10" s="178"/>
      <c r="AD10" s="179"/>
      <c r="AE10" s="180"/>
      <c r="AF10" s="180"/>
      <c r="AG10" s="180"/>
    </row>
    <row r="11" spans="1:33" s="21" customFormat="1" ht="18" customHeight="1">
      <c r="A11" s="252" t="s">
        <v>139</v>
      </c>
      <c r="B11" s="224">
        <v>90.03</v>
      </c>
      <c r="C11" s="225" t="s">
        <v>146</v>
      </c>
      <c r="D11" s="225" t="s">
        <v>218</v>
      </c>
      <c r="E11" s="225" t="s">
        <v>232</v>
      </c>
      <c r="F11" s="255"/>
      <c r="G11" s="227" t="s">
        <v>233</v>
      </c>
      <c r="H11" s="268" t="s">
        <v>97</v>
      </c>
      <c r="I11" s="258">
        <v>100</v>
      </c>
      <c r="J11" s="259">
        <v>105</v>
      </c>
      <c r="K11" s="259">
        <v>-108</v>
      </c>
      <c r="L11" s="258">
        <v>140</v>
      </c>
      <c r="M11" s="259">
        <v>145</v>
      </c>
      <c r="N11" s="259">
        <v>-150</v>
      </c>
      <c r="O11" s="115">
        <f>IF(MAX(I11:K11)&gt;0,IF(MAX(I11:K11)&lt;0,0,TRUNC(MAX(I11:K11)/1)*1),"")</f>
        <v>105</v>
      </c>
      <c r="P11" s="116">
        <f>IF(MAX(L11:N11)&gt;0,IF(MAX(L11:N11)&lt;0,0,TRUNC(MAX(L11:N11)/1)*1),"")</f>
        <v>145</v>
      </c>
      <c r="Q11" s="117">
        <f>IF(O11="","",IF(P11="","",IF(SUM(O11:P11)=0,"",SUM(O11:P11))))</f>
        <v>250</v>
      </c>
      <c r="R11" s="118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289.16065186129521</v>
      </c>
      <c r="S11" s="119" t="str">
        <f>IF(AD11=1,R11*AG11,"")</f>
        <v/>
      </c>
      <c r="T11" s="73">
        <f>IF('K9'!G9="","",'K9'!G9)</f>
        <v>8.76</v>
      </c>
      <c r="U11" s="73">
        <f>IF('K9'!K9="","",'K9'!K9)</f>
        <v>15.04</v>
      </c>
      <c r="V11" s="73">
        <f>IF('K9'!N9="","",'K9'!N9)</f>
        <v>6.42</v>
      </c>
      <c r="W11" s="120"/>
      <c r="X11" s="121"/>
      <c r="Y11" s="134"/>
      <c r="Z11" s="75"/>
      <c r="AA11" s="123">
        <f>V5</f>
        <v>44451</v>
      </c>
      <c r="AB11" s="177" t="str">
        <f t="shared" ref="AB11" si="0">IF(ISNUMBER(FIND("M",C11)),"m",IF(ISNUMBER(FIND("K",C11)),"k"))</f>
        <v>m</v>
      </c>
      <c r="AC11" s="178">
        <f t="shared" ref="AC11" si="1">IF(OR(E11="",AA11=""),0,(YEAR(AA11)-YEAR(E11)))</f>
        <v>28</v>
      </c>
      <c r="AD11" s="179" t="str">
        <f t="shared" ref="AD11:AD31" si="2">IF(AC11&gt;34,1,"")</f>
        <v/>
      </c>
      <c r="AE11" s="180" t="b">
        <f>IF(AD11=1,LOOKUP(AC11,'Meltzer-Faber'!A3:A63,'Meltzer-Faber'!B3:B63))</f>
        <v>0</v>
      </c>
      <c r="AF11" s="180" t="b">
        <f>IF(AD11=1,LOOKUP(AC11,'Meltzer-Faber'!A3:A63,'Meltzer-Faber'!C3:C63))</f>
        <v>0</v>
      </c>
      <c r="AG11" s="180" t="b">
        <f t="shared" ref="AG11" si="3">IF(AB11="m",AE11,IF(AB11="k",AF11,""))</f>
        <v>0</v>
      </c>
    </row>
    <row r="12" spans="1:33" s="21" customFormat="1" ht="18" customHeight="1">
      <c r="A12" s="124"/>
      <c r="B12" s="125"/>
      <c r="C12" s="126"/>
      <c r="D12" s="127"/>
      <c r="E12" s="264"/>
      <c r="F12" s="260"/>
      <c r="G12" s="74"/>
      <c r="H12" s="74"/>
      <c r="I12" s="298"/>
      <c r="J12" s="289"/>
      <c r="K12" s="299"/>
      <c r="L12" s="286"/>
      <c r="M12" s="287"/>
      <c r="N12" s="288"/>
      <c r="O12" s="126"/>
      <c r="P12" s="130"/>
      <c r="Q12" s="289">
        <f>IF(R11="","",R11*1.2)</f>
        <v>346.99278223355424</v>
      </c>
      <c r="R12" s="289"/>
      <c r="S12" s="131"/>
      <c r="T12" s="132">
        <f>IF(T11="","",T11*20)</f>
        <v>175.2</v>
      </c>
      <c r="U12" s="132">
        <f>IF(U11="","",U11*13)</f>
        <v>195.51999999999998</v>
      </c>
      <c r="V12" s="78">
        <f>IF(V11="","",IF((80+(8-ROUNDUP(V11,1))*40)&lt;0,0,80+(8-ROUNDUP(V11,1))*40))</f>
        <v>140</v>
      </c>
      <c r="W12" s="78">
        <f>IF(SUM(T12,U12,V12)&gt;0,SUM(T12,U12,V12),"")</f>
        <v>510.71999999999997</v>
      </c>
      <c r="X12" s="133">
        <f>IF(OR(Q12="",T12="",U12="",V12=""),"",SUM(Q12,T12,U12,V12))</f>
        <v>857.71278223355421</v>
      </c>
      <c r="Y12" s="79">
        <v>4</v>
      </c>
      <c r="Z12" s="80"/>
      <c r="AA12" s="123"/>
    </row>
    <row r="13" spans="1:33" s="21" customFormat="1" ht="18" customHeight="1">
      <c r="A13" s="252" t="s">
        <v>234</v>
      </c>
      <c r="B13" s="224">
        <v>97.23</v>
      </c>
      <c r="C13" s="225" t="s">
        <v>146</v>
      </c>
      <c r="D13" s="253" t="s">
        <v>218</v>
      </c>
      <c r="E13" s="254">
        <v>32698</v>
      </c>
      <c r="F13" s="255"/>
      <c r="G13" s="256" t="s">
        <v>235</v>
      </c>
      <c r="H13" s="223" t="s">
        <v>98</v>
      </c>
      <c r="I13" s="266">
        <v>101</v>
      </c>
      <c r="J13" s="267">
        <v>106</v>
      </c>
      <c r="K13" s="267">
        <v>111</v>
      </c>
      <c r="L13" s="266">
        <v>126</v>
      </c>
      <c r="M13" s="267">
        <v>-133</v>
      </c>
      <c r="N13" s="267">
        <v>-135</v>
      </c>
      <c r="O13" s="115">
        <f>IF(MAX(I13:K13)&gt;0,IF(MAX(I13:K13)&lt;0,0,TRUNC(MAX(I13:K13)/1)*1),"")</f>
        <v>111</v>
      </c>
      <c r="P13" s="116">
        <f>IF(MAX(L13:N13)&gt;0,IF(MAX(L13:N13)&lt;0,0,TRUNC(MAX(L13:N13)/1)*1),"")</f>
        <v>126</v>
      </c>
      <c r="Q13" s="117">
        <f>IF(O13="","",IF(P13="","",IF(SUM(O13:P13)=0,"",SUM(O13:P13))))</f>
        <v>237</v>
      </c>
      <c r="R13" s="118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265.59457627333609</v>
      </c>
      <c r="S13" s="119" t="str">
        <f>IF(AD13=1,R13*AG13,"")</f>
        <v/>
      </c>
      <c r="T13" s="73">
        <f>IF('K9'!G11="","",'K9'!G11)</f>
        <v>8.7899999999999991</v>
      </c>
      <c r="U13" s="73">
        <f>IF('K9'!K11="","",'K9'!K11)</f>
        <v>16.2</v>
      </c>
      <c r="V13" s="73">
        <f>IF('K9'!N11="","",'K9'!N11)</f>
        <v>6.22</v>
      </c>
      <c r="W13" s="120"/>
      <c r="X13" s="121"/>
      <c r="Y13" s="134"/>
      <c r="Z13" s="75"/>
      <c r="AA13" s="123">
        <f>V5</f>
        <v>44451</v>
      </c>
      <c r="AB13" s="177" t="str">
        <f t="shared" ref="AB13" si="4">IF(ISNUMBER(FIND("M",C13)),"m",IF(ISNUMBER(FIND("K",C13)),"k"))</f>
        <v>m</v>
      </c>
      <c r="AC13" s="178">
        <f t="shared" ref="AC13" si="5">IF(OR(E13="",AA13=""),0,(YEAR(AA13)-YEAR(E13)))</f>
        <v>32</v>
      </c>
      <c r="AD13" s="179" t="str">
        <f t="shared" si="2"/>
        <v/>
      </c>
      <c r="AE13" s="180" t="b">
        <f>IF(AD13=1,LOOKUP(AC13,'Meltzer-Faber'!A3:A63,'Meltzer-Faber'!B3:B63))</f>
        <v>0</v>
      </c>
      <c r="AF13" s="180" t="b">
        <f>IF(AD13=1,LOOKUP(AC13,'Meltzer-Faber'!A3:A63,'Meltzer-Faber'!C3:C63))</f>
        <v>0</v>
      </c>
      <c r="AG13" s="180" t="b">
        <f t="shared" ref="AG13" si="6">IF(AB13="m",AE13,IF(AB13="k",AF13,""))</f>
        <v>0</v>
      </c>
    </row>
    <row r="14" spans="1:33" s="21" customFormat="1" ht="18" customHeight="1">
      <c r="A14" s="124"/>
      <c r="B14" s="125"/>
      <c r="C14" s="126"/>
      <c r="D14" s="127"/>
      <c r="E14" s="128"/>
      <c r="F14" s="260"/>
      <c r="G14" s="74"/>
      <c r="H14" s="74"/>
      <c r="I14" s="298"/>
      <c r="J14" s="289"/>
      <c r="K14" s="299"/>
      <c r="L14" s="286"/>
      <c r="M14" s="287"/>
      <c r="N14" s="288"/>
      <c r="O14" s="126"/>
      <c r="P14" s="130"/>
      <c r="Q14" s="289">
        <f>IF(R13="","",R13*1.2)</f>
        <v>318.71349152800332</v>
      </c>
      <c r="R14" s="289"/>
      <c r="S14" s="131"/>
      <c r="T14" s="132">
        <f>IF(T13="","",T13*20)</f>
        <v>175.79999999999998</v>
      </c>
      <c r="U14" s="132">
        <f>IF(U13="","",U13*13)</f>
        <v>210.6</v>
      </c>
      <c r="V14" s="78">
        <f>IF(V13="","",IF((80+(8-ROUNDUP(V13,1))*40)&lt;0,0,80+(8-ROUNDUP(V13,1))*40))</f>
        <v>148</v>
      </c>
      <c r="W14" s="78">
        <f>IF(SUM(T14,U14,V14)&gt;0,SUM(T14,U14,V14),"")</f>
        <v>534.4</v>
      </c>
      <c r="X14" s="133">
        <f>IF(OR(Q14="",T14="",U14="",V14=""),"",SUM(Q14,T14,U14,V14))</f>
        <v>853.11349152800335</v>
      </c>
      <c r="Y14" s="79">
        <v>5</v>
      </c>
      <c r="Z14" s="80"/>
      <c r="AA14" s="123"/>
    </row>
    <row r="15" spans="1:33" s="21" customFormat="1" ht="18" customHeight="1">
      <c r="A15" s="252" t="s">
        <v>234</v>
      </c>
      <c r="B15" s="224">
        <v>97.8</v>
      </c>
      <c r="C15" s="225" t="s">
        <v>146</v>
      </c>
      <c r="D15" s="253" t="s">
        <v>218</v>
      </c>
      <c r="E15" s="254">
        <v>34599</v>
      </c>
      <c r="F15" s="255"/>
      <c r="G15" s="256" t="s">
        <v>236</v>
      </c>
      <c r="H15" s="223" t="s">
        <v>94</v>
      </c>
      <c r="I15" s="266">
        <v>110</v>
      </c>
      <c r="J15" s="267">
        <v>115</v>
      </c>
      <c r="K15" s="267">
        <v>120</v>
      </c>
      <c r="L15" s="266">
        <v>135</v>
      </c>
      <c r="M15" s="267">
        <v>142</v>
      </c>
      <c r="N15" s="267">
        <v>150</v>
      </c>
      <c r="O15" s="115">
        <f>IF(MAX(I15:K15)&gt;0,IF(MAX(I15:K15)&lt;0,0,TRUNC(MAX(I15:K15)/1)*1),"")</f>
        <v>120</v>
      </c>
      <c r="P15" s="116">
        <f>IF(MAX(L15:N15)&gt;0,IF(MAX(L15:N15)&lt;0,0,TRUNC(MAX(L15:N15)/1)*1),"")</f>
        <v>150</v>
      </c>
      <c r="Q15" s="117">
        <f>IF(O15="","",IF(P15="","",IF(SUM(O15:P15)=0,"",SUM(O15:P15))))</f>
        <v>270</v>
      </c>
      <c r="R15" s="118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301.89799684350282</v>
      </c>
      <c r="S15" s="119" t="str">
        <f>IF(AD15=1,R15*AG15,"")</f>
        <v/>
      </c>
      <c r="T15" s="73">
        <f>IF('K9'!G13="","",'K9'!G13)</f>
        <v>9.27</v>
      </c>
      <c r="U15" s="73">
        <f>IF('K9'!K13="","",'K9'!K13)</f>
        <v>12.51</v>
      </c>
      <c r="V15" s="73">
        <f>IF('K9'!N13="","",'K9'!N13)</f>
        <v>6.16</v>
      </c>
      <c r="W15" s="120"/>
      <c r="X15" s="121"/>
      <c r="Y15" s="134"/>
      <c r="Z15" s="75"/>
      <c r="AA15" s="123">
        <f>V5</f>
        <v>44451</v>
      </c>
      <c r="AB15" s="177" t="str">
        <f t="shared" ref="AB15" si="7">IF(ISNUMBER(FIND("M",C15)),"m",IF(ISNUMBER(FIND("K",C15)),"k"))</f>
        <v>m</v>
      </c>
      <c r="AC15" s="178">
        <f t="shared" ref="AC15" si="8">IF(OR(E15="",AA15=""),0,(YEAR(AA15)-YEAR(E15)))</f>
        <v>27</v>
      </c>
      <c r="AD15" s="179" t="str">
        <f t="shared" si="2"/>
        <v/>
      </c>
      <c r="AE15" s="180" t="b">
        <f>IF(AD15=1,LOOKUP(AC15,'Meltzer-Faber'!A3:A63,'Meltzer-Faber'!B3:B63))</f>
        <v>0</v>
      </c>
      <c r="AF15" s="180" t="b">
        <f>IF(AD15=1,LOOKUP(AC15,'Meltzer-Faber'!A3:A63,'Meltzer-Faber'!C3:C63))</f>
        <v>0</v>
      </c>
      <c r="AG15" s="180" t="b">
        <f t="shared" ref="AG15" si="9">IF(AB15="m",AE15,IF(AB15="k",AF15,""))</f>
        <v>0</v>
      </c>
    </row>
    <row r="16" spans="1:33" s="21" customFormat="1" ht="18" customHeight="1">
      <c r="A16" s="124"/>
      <c r="B16" s="125"/>
      <c r="C16" s="126"/>
      <c r="D16" s="127"/>
      <c r="E16" s="128"/>
      <c r="F16" s="260"/>
      <c r="G16" s="74"/>
      <c r="H16" s="74"/>
      <c r="I16" s="298"/>
      <c r="J16" s="289"/>
      <c r="K16" s="299"/>
      <c r="L16" s="286"/>
      <c r="M16" s="287"/>
      <c r="N16" s="288"/>
      <c r="O16" s="126"/>
      <c r="P16" s="130"/>
      <c r="Q16" s="289">
        <f>IF(R15="","",R15*1.2)</f>
        <v>362.27759621220338</v>
      </c>
      <c r="R16" s="289"/>
      <c r="S16" s="131"/>
      <c r="T16" s="132">
        <f>IF(T15="","",T15*20)</f>
        <v>185.39999999999998</v>
      </c>
      <c r="U16" s="132">
        <f>IF(U15="","",U15*13)</f>
        <v>162.63</v>
      </c>
      <c r="V16" s="78">
        <f>IF(V15="","",IF((80+(8-ROUNDUP(V15,1))*40)&lt;0,0,80+(8-ROUNDUP(V15,1))*40))</f>
        <v>152.00000000000003</v>
      </c>
      <c r="W16" s="78">
        <f>IF(SUM(T16,U16,V16)&gt;0,SUM(T16,U16,V16),"")</f>
        <v>500.03</v>
      </c>
      <c r="X16" s="133">
        <f>IF(OR(Q16="",T16="",U16="",V16=""),"",SUM(Q16,T16,U16,V16))</f>
        <v>862.30759621220329</v>
      </c>
      <c r="Y16" s="79">
        <v>3</v>
      </c>
      <c r="Z16" s="80"/>
      <c r="AA16" s="123"/>
    </row>
    <row r="17" spans="1:33" s="21" customFormat="1" ht="18" customHeight="1">
      <c r="A17" s="252" t="s">
        <v>99</v>
      </c>
      <c r="B17" s="224">
        <v>107.08</v>
      </c>
      <c r="C17" s="225" t="s">
        <v>146</v>
      </c>
      <c r="D17" s="225" t="s">
        <v>218</v>
      </c>
      <c r="E17" s="225" t="s">
        <v>237</v>
      </c>
      <c r="F17" s="255"/>
      <c r="G17" s="227" t="s">
        <v>238</v>
      </c>
      <c r="H17" s="263" t="s">
        <v>86</v>
      </c>
      <c r="I17" s="258">
        <v>130</v>
      </c>
      <c r="J17" s="259">
        <v>-134</v>
      </c>
      <c r="K17" s="259">
        <v>-137</v>
      </c>
      <c r="L17" s="258">
        <v>160</v>
      </c>
      <c r="M17" s="259">
        <v>166</v>
      </c>
      <c r="N17" s="259">
        <v>-171</v>
      </c>
      <c r="O17" s="115">
        <f>IF(MAX(I17:K17)&gt;0,IF(MAX(I17:K17)&lt;0,0,TRUNC(MAX(I17:K17)/1)*1),"")</f>
        <v>130</v>
      </c>
      <c r="P17" s="116">
        <f>IF(MAX(L17:N17)&gt;0,IF(MAX(L17:N17)&lt;0,0,TRUNC(MAX(L17:N17)/1)*1),"")</f>
        <v>166</v>
      </c>
      <c r="Q17" s="117">
        <f>IF(O17="","",IF(P17="","",IF(SUM(O17:P17)=0,"",SUM(O17:P17))))</f>
        <v>296</v>
      </c>
      <c r="R17" s="118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>320.56600295636002</v>
      </c>
      <c r="S17" s="119" t="str">
        <f>IF(AD17=1,R17*AG17,"")</f>
        <v/>
      </c>
      <c r="T17" s="73">
        <f>IF('K9'!G15="","",'K9'!G15)</f>
        <v>9.2899999999999991</v>
      </c>
      <c r="U17" s="73">
        <f>IF('K9'!K15="","",'K9'!K15)</f>
        <v>15.99</v>
      </c>
      <c r="V17" s="73">
        <f>IF('K9'!N15="","",'K9'!N15)</f>
        <v>6.37</v>
      </c>
      <c r="W17" s="120"/>
      <c r="X17" s="121"/>
      <c r="Y17" s="134"/>
      <c r="Z17" s="75"/>
      <c r="AA17" s="123">
        <f>V5</f>
        <v>44451</v>
      </c>
      <c r="AB17" s="177" t="str">
        <f t="shared" ref="AB17" si="10">IF(ISNUMBER(FIND("M",C17)),"m",IF(ISNUMBER(FIND("K",C17)),"k"))</f>
        <v>m</v>
      </c>
      <c r="AC17" s="178">
        <f t="shared" ref="AC17" si="11">IF(OR(E17="",AA17=""),0,(YEAR(AA17)-YEAR(E17)))</f>
        <v>29</v>
      </c>
      <c r="AD17" s="179" t="str">
        <f t="shared" si="2"/>
        <v/>
      </c>
      <c r="AE17" s="180" t="b">
        <f>IF(AD17=1,LOOKUP(AC17,'Meltzer-Faber'!A3:A63,'Meltzer-Faber'!B3:B63))</f>
        <v>0</v>
      </c>
      <c r="AF17" s="180" t="b">
        <f>IF(AD17=1,LOOKUP(AC17,'Meltzer-Faber'!A3:A63,'Meltzer-Faber'!C3:C63))</f>
        <v>0</v>
      </c>
      <c r="AG17" s="180" t="b">
        <f t="shared" ref="AG17" si="12">IF(AB17="m",AE17,IF(AB17="k",AF17,""))</f>
        <v>0</v>
      </c>
    </row>
    <row r="18" spans="1:33" s="21" customFormat="1" ht="18" customHeight="1">
      <c r="A18" s="124"/>
      <c r="B18" s="125"/>
      <c r="C18" s="126"/>
      <c r="D18" s="127"/>
      <c r="E18" s="264"/>
      <c r="F18" s="260"/>
      <c r="G18" s="74"/>
      <c r="H18" s="74"/>
      <c r="I18" s="298"/>
      <c r="J18" s="289"/>
      <c r="K18" s="299"/>
      <c r="L18" s="286"/>
      <c r="M18" s="287"/>
      <c r="N18" s="288"/>
      <c r="O18" s="126"/>
      <c r="P18" s="130"/>
      <c r="Q18" s="289">
        <f>IF(R17="","",R17*1.2)</f>
        <v>384.67920354763203</v>
      </c>
      <c r="R18" s="289"/>
      <c r="S18" s="131"/>
      <c r="T18" s="132">
        <f>IF(T17="","",T17*20)</f>
        <v>185.79999999999998</v>
      </c>
      <c r="U18" s="132">
        <f>IF(U17="","",U17*13)</f>
        <v>207.87</v>
      </c>
      <c r="V18" s="78">
        <f>IF(V17="","",IF((80+(8-ROUNDUP(V17,1))*40)&lt;0,0,80+(8-ROUNDUP(V17,1))*40))</f>
        <v>144.00000000000003</v>
      </c>
      <c r="W18" s="78">
        <f>IF(SUM(T18,U18,V18)&gt;0,SUM(T18,U18,V18),"")</f>
        <v>537.66999999999996</v>
      </c>
      <c r="X18" s="133">
        <f>IF(OR(Q18="",T18="",U18="",V18=""),"",SUM(Q18,T18,U18,V18))</f>
        <v>922.34920354763199</v>
      </c>
      <c r="Y18" s="79">
        <v>1</v>
      </c>
      <c r="Z18" s="80"/>
      <c r="AA18" s="123"/>
    </row>
    <row r="19" spans="1:33" s="21" customFormat="1" ht="18" customHeight="1">
      <c r="A19" s="265" t="s">
        <v>99</v>
      </c>
      <c r="B19" s="224">
        <v>109</v>
      </c>
      <c r="C19" s="225" t="s">
        <v>146</v>
      </c>
      <c r="D19" s="225" t="s">
        <v>218</v>
      </c>
      <c r="E19" s="225" t="s">
        <v>239</v>
      </c>
      <c r="F19" s="255"/>
      <c r="G19" s="227" t="s">
        <v>240</v>
      </c>
      <c r="H19" s="268" t="s">
        <v>97</v>
      </c>
      <c r="I19" s="258">
        <v>100</v>
      </c>
      <c r="J19" s="259">
        <v>110</v>
      </c>
      <c r="K19" s="259" t="s">
        <v>207</v>
      </c>
      <c r="L19" s="258">
        <v>125</v>
      </c>
      <c r="M19" s="259" t="s">
        <v>207</v>
      </c>
      <c r="N19" s="259" t="s">
        <v>207</v>
      </c>
      <c r="O19" s="115">
        <f>IF(MAX(I19:K19)&gt;0,IF(MAX(I19:K19)&lt;0,0,TRUNC(MAX(I19:K19)/1)*1),"")</f>
        <v>110</v>
      </c>
      <c r="P19" s="116">
        <f>IF(MAX(L19:N19)&gt;0,IF(MAX(L19:N19)&lt;0,0,TRUNC(MAX(L19:N19)/1)*1),"")</f>
        <v>125</v>
      </c>
      <c r="Q19" s="117">
        <f>IF(O19="","",IF(P19="","",IF(SUM(O19:P19)=0,"",SUM(O19:P19))))</f>
        <v>235</v>
      </c>
      <c r="R19" s="118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>253.07405762740578</v>
      </c>
      <c r="S19" s="119" t="str">
        <f>IF(AD19=1,R19*AG19,"")</f>
        <v/>
      </c>
      <c r="T19" s="73">
        <f>IF('K9'!G17="","",'K9'!G17)</f>
        <v>7.52</v>
      </c>
      <c r="U19" s="73">
        <f>IF('K9'!K17="","",'K9'!K17)</f>
        <v>11.89</v>
      </c>
      <c r="V19" s="73">
        <f>IF('K9'!N17="","",'K9'!N17)</f>
        <v>8.9700000000000006</v>
      </c>
      <c r="W19" s="120"/>
      <c r="X19" s="121"/>
      <c r="Y19" s="134"/>
      <c r="Z19" s="75"/>
      <c r="AA19" s="123">
        <f>V5</f>
        <v>44451</v>
      </c>
      <c r="AB19" s="177" t="str">
        <f t="shared" ref="AB19" si="13">IF(ISNUMBER(FIND("M",C19)),"m",IF(ISNUMBER(FIND("K",C19)),"k"))</f>
        <v>m</v>
      </c>
      <c r="AC19" s="178">
        <f t="shared" ref="AC19" si="14">IF(OR(E19="",AA19=""),0,(YEAR(AA19)-YEAR(E19)))</f>
        <v>30</v>
      </c>
      <c r="AD19" s="179" t="str">
        <f t="shared" si="2"/>
        <v/>
      </c>
      <c r="AE19" s="180" t="b">
        <f>IF(AD19=1,LOOKUP(AC19,'Meltzer-Faber'!A3:A63,'Meltzer-Faber'!B3:B63))</f>
        <v>0</v>
      </c>
      <c r="AF19" s="180" t="b">
        <f>IF(AD19=1,LOOKUP(AC19,'Meltzer-Faber'!A3:A63,'Meltzer-Faber'!C3:C63))</f>
        <v>0</v>
      </c>
      <c r="AG19" s="180" t="b">
        <f t="shared" ref="AG19" si="15">IF(AB19="m",AE19,IF(AB19="k",AF19,""))</f>
        <v>0</v>
      </c>
    </row>
    <row r="20" spans="1:33" s="21" customFormat="1" ht="18" customHeight="1">
      <c r="A20" s="124"/>
      <c r="B20" s="125"/>
      <c r="C20" s="126"/>
      <c r="D20" s="127"/>
      <c r="E20" s="264"/>
      <c r="F20" s="260"/>
      <c r="G20" s="74"/>
      <c r="H20" s="74"/>
      <c r="I20" s="298"/>
      <c r="J20" s="289"/>
      <c r="K20" s="299"/>
      <c r="L20" s="286"/>
      <c r="M20" s="287"/>
      <c r="N20" s="288"/>
      <c r="O20" s="126"/>
      <c r="P20" s="130"/>
      <c r="Q20" s="289">
        <f>IF(R19="","",R19*1.2)</f>
        <v>303.68886915288692</v>
      </c>
      <c r="R20" s="289"/>
      <c r="S20" s="131"/>
      <c r="T20" s="132">
        <f>IF(T19="","",T19*20)</f>
        <v>150.39999999999998</v>
      </c>
      <c r="U20" s="132">
        <f>IF(U19="","",U19*13)</f>
        <v>154.57</v>
      </c>
      <c r="V20" s="78">
        <f>IF(V19="","",IF((80+(8-ROUNDUP(V19,1))*40)&lt;0,0,80+(8-ROUNDUP(V19,1))*40))</f>
        <v>40</v>
      </c>
      <c r="W20" s="78">
        <f>IF(SUM(T20,U20,V20)&gt;0,SUM(T20,U20,V20),"")</f>
        <v>344.96999999999997</v>
      </c>
      <c r="X20" s="133">
        <f>IF(OR(Q20="",T20="",U20="",V20=""),"",SUM(Q20,T20,U20,V20))</f>
        <v>648.65886915288684</v>
      </c>
      <c r="Y20" s="79">
        <v>8</v>
      </c>
      <c r="Z20" s="80"/>
      <c r="AA20" s="123"/>
    </row>
    <row r="21" spans="1:33" s="21" customFormat="1" ht="18" customHeight="1">
      <c r="A21" s="265" t="s">
        <v>241</v>
      </c>
      <c r="B21" s="224">
        <v>121.9</v>
      </c>
      <c r="C21" s="225" t="s">
        <v>146</v>
      </c>
      <c r="D21" s="225" t="s">
        <v>218</v>
      </c>
      <c r="E21" s="225" t="s">
        <v>242</v>
      </c>
      <c r="F21" s="255"/>
      <c r="G21" s="227" t="s">
        <v>243</v>
      </c>
      <c r="H21" s="268" t="s">
        <v>90</v>
      </c>
      <c r="I21" s="258">
        <v>155</v>
      </c>
      <c r="J21" s="259">
        <v>-160</v>
      </c>
      <c r="K21" s="259">
        <v>-160</v>
      </c>
      <c r="L21" s="258">
        <v>-200</v>
      </c>
      <c r="M21" s="259">
        <v>-200</v>
      </c>
      <c r="N21" s="259">
        <v>-200</v>
      </c>
      <c r="O21" s="115">
        <f>IF(MAX(I21:K21)&gt;0,IF(MAX(I21:K21)&lt;0,0,TRUNC(MAX(I21:K21)/1)*1),"")</f>
        <v>155</v>
      </c>
      <c r="P21" s="116" t="str">
        <f>IF(MAX(L21:N21)&gt;0,IF(MAX(L21:N21)&lt;0,0,TRUNC(MAX(L21:N21)/1)*1),"")</f>
        <v/>
      </c>
      <c r="Q21" s="117" t="str">
        <f>IF(O21="","",IF(P21="","",IF(SUM(O21:P21)=0,"",SUM(O21:P21))))</f>
        <v/>
      </c>
      <c r="R21" s="118" t="str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119" t="str">
        <f>IF(AD21=1,R21*AG21,"")</f>
        <v/>
      </c>
      <c r="T21" s="73" t="str">
        <f>IF('K9'!G19="","",'K9'!G19)</f>
        <v/>
      </c>
      <c r="U21" s="73" t="str">
        <f>IF('K9'!K19="","",'K9'!K19)</f>
        <v/>
      </c>
      <c r="V21" s="73" t="str">
        <f>IF('K9'!N19="","",'K9'!N19)</f>
        <v/>
      </c>
      <c r="W21" s="120"/>
      <c r="X21" s="121"/>
      <c r="Y21" s="134"/>
      <c r="Z21" s="75"/>
      <c r="AA21" s="123">
        <f>V5</f>
        <v>44451</v>
      </c>
      <c r="AB21" s="177" t="str">
        <f t="shared" ref="AB21" si="16">IF(ISNUMBER(FIND("M",C21)),"m",IF(ISNUMBER(FIND("K",C21)),"k"))</f>
        <v>m</v>
      </c>
      <c r="AC21" s="178">
        <f t="shared" ref="AC21" si="17">IF(OR(E21="",AA21=""),0,(YEAR(AA21)-YEAR(E21)))</f>
        <v>32</v>
      </c>
      <c r="AD21" s="179" t="str">
        <f t="shared" si="2"/>
        <v/>
      </c>
      <c r="AE21" s="180" t="b">
        <f>IF(AD21=1,LOOKUP(AC21,'Meltzer-Faber'!A3:A63,'Meltzer-Faber'!B3:B63))</f>
        <v>0</v>
      </c>
      <c r="AF21" s="180" t="b">
        <f>IF(AD21=1,LOOKUP(AC21,'Meltzer-Faber'!A3:A63,'Meltzer-Faber'!C3:C63))</f>
        <v>0</v>
      </c>
      <c r="AG21" s="180" t="b">
        <f t="shared" ref="AG21" si="18">IF(AB21="m",AE21,IF(AB21="k",AF21,""))</f>
        <v>0</v>
      </c>
    </row>
    <row r="22" spans="1:33" s="21" customFormat="1" ht="18" customHeight="1">
      <c r="A22" s="124"/>
      <c r="B22" s="125"/>
      <c r="C22" s="126"/>
      <c r="D22" s="127"/>
      <c r="E22" s="264"/>
      <c r="F22" s="260"/>
      <c r="G22" s="74"/>
      <c r="H22" s="74"/>
      <c r="I22" s="298"/>
      <c r="J22" s="289"/>
      <c r="K22" s="299"/>
      <c r="L22" s="286"/>
      <c r="M22" s="287"/>
      <c r="N22" s="288"/>
      <c r="O22" s="126"/>
      <c r="P22" s="130"/>
      <c r="Q22" s="289" t="str">
        <f>IF(R21="","",R21*1.2)</f>
        <v/>
      </c>
      <c r="R22" s="289"/>
      <c r="S22" s="131"/>
      <c r="T22" s="132" t="str">
        <f>IF(T21="","",T21*20)</f>
        <v/>
      </c>
      <c r="U22" s="132" t="str">
        <f>IF(U21="","",U21*13)</f>
        <v/>
      </c>
      <c r="V22" s="78" t="str">
        <f>IF(V21="","",IF((80+(8-ROUNDUP(V21,1))*40)&lt;0,0,80+(8-ROUNDUP(V21,1))*40))</f>
        <v/>
      </c>
      <c r="W22" s="78" t="str">
        <f>IF(SUM(T22,U22,V22)&gt;0,SUM(T22,U22,V22),"")</f>
        <v/>
      </c>
      <c r="X22" s="133" t="str">
        <f>IF(OR(Q22="",T22="",U22="",V22=""),"",SUM(Q22,T22,U22,V22))</f>
        <v/>
      </c>
      <c r="Y22" s="79"/>
      <c r="Z22" s="80"/>
      <c r="AA22" s="123"/>
    </row>
    <row r="23" spans="1:33" s="21" customFormat="1" ht="18" customHeight="1">
      <c r="A23" s="112"/>
      <c r="B23" s="113"/>
      <c r="C23" s="71"/>
      <c r="D23" s="114"/>
      <c r="E23" s="71"/>
      <c r="F23" s="71"/>
      <c r="G23" s="72"/>
      <c r="H23" s="72"/>
      <c r="I23" s="156"/>
      <c r="J23" s="157"/>
      <c r="K23" s="157"/>
      <c r="L23" s="157"/>
      <c r="M23" s="157"/>
      <c r="N23" s="157"/>
      <c r="O23" s="115" t="str">
        <f>IF(MAX(I23:K23)&gt;0,IF(MAX(I23:K23)&lt;0,0,TRUNC(MAX(I23:K23)/1)*1),"")</f>
        <v/>
      </c>
      <c r="P23" s="116" t="str">
        <f>IF(MAX(L23:N23)&gt;0,IF(MAX(L23:N23)&lt;0,0,TRUNC(MAX(L23:N23)/1)*1),"")</f>
        <v/>
      </c>
      <c r="Q23" s="117" t="str">
        <f>IF(O23="","",IF(P23="","",IF(SUM(O23:P23)=0,"",SUM(O23:P23))))</f>
        <v/>
      </c>
      <c r="R23" s="118" t="str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119" t="str">
        <f>IF(AD23=1,R23*AG23,"")</f>
        <v/>
      </c>
      <c r="T23" s="73" t="str">
        <f>IF('K9'!G21="","",'K9'!G21)</f>
        <v/>
      </c>
      <c r="U23" s="73" t="str">
        <f>IF('K9'!K21="","",'K9'!K21)</f>
        <v/>
      </c>
      <c r="V23" s="73" t="str">
        <f>IF('K9'!N21="","",'K9'!N21)</f>
        <v/>
      </c>
      <c r="W23" s="120"/>
      <c r="X23" s="121"/>
      <c r="Y23" s="134"/>
      <c r="Z23" s="75"/>
      <c r="AA23" s="123">
        <f>V5</f>
        <v>44451</v>
      </c>
      <c r="AB23" s="177" t="b">
        <f t="shared" ref="AB23" si="19">IF(ISNUMBER(FIND("M",C23)),"m",IF(ISNUMBER(FIND("K",C23)),"k"))</f>
        <v>0</v>
      </c>
      <c r="AC23" s="178">
        <f t="shared" ref="AC23" si="20">IF(OR(E23="",AA23=""),0,(YEAR(AA23)-YEAR(E23)))</f>
        <v>0</v>
      </c>
      <c r="AD23" s="179" t="str">
        <f t="shared" si="2"/>
        <v/>
      </c>
      <c r="AE23" s="180" t="b">
        <f>IF(AD23=1,LOOKUP(AC23,'Meltzer-Faber'!A3:A63,'Meltzer-Faber'!B3:B63))</f>
        <v>0</v>
      </c>
      <c r="AF23" s="180" t="b">
        <f>IF(AD23=1,LOOKUP(AC23,'Meltzer-Faber'!A3:A63,'Meltzer-Faber'!C3:C63))</f>
        <v>0</v>
      </c>
      <c r="AG23" s="180" t="str">
        <f t="shared" ref="AG23" si="21">IF(AB23="m",AE23,IF(AB23="k",AF23,""))</f>
        <v/>
      </c>
    </row>
    <row r="24" spans="1:33" s="21" customFormat="1" ht="18" customHeight="1">
      <c r="A24" s="124"/>
      <c r="B24" s="125"/>
      <c r="C24" s="126"/>
      <c r="D24" s="127"/>
      <c r="E24" s="128"/>
      <c r="F24" s="128"/>
      <c r="G24" s="74"/>
      <c r="H24" s="129"/>
      <c r="I24" s="286"/>
      <c r="J24" s="287"/>
      <c r="K24" s="288"/>
      <c r="L24" s="286"/>
      <c r="M24" s="287"/>
      <c r="N24" s="288"/>
      <c r="O24" s="126"/>
      <c r="P24" s="130"/>
      <c r="Q24" s="289" t="str">
        <f>IF(R23="","",R23*1.2)</f>
        <v/>
      </c>
      <c r="R24" s="289"/>
      <c r="S24" s="131"/>
      <c r="T24" s="132" t="str">
        <f>IF(T23="","",T23*20)</f>
        <v/>
      </c>
      <c r="U24" s="132" t="str">
        <f>IF(U23="","",U23*13)</f>
        <v/>
      </c>
      <c r="V24" s="78" t="str">
        <f>IF(V23="","",IF((80+(8-ROUNDUP(V23,1))*40)&lt;0,0,80+(8-ROUNDUP(V23,1))*40))</f>
        <v/>
      </c>
      <c r="W24" s="78" t="str">
        <f>IF(SUM(T24,U24,V24)&gt;0,SUM(T24,U24,V24),"")</f>
        <v/>
      </c>
      <c r="X24" s="133" t="str">
        <f>IF(OR(Q24="",T24="",U24="",V24=""),"",SUM(Q24,T24,U24,V24))</f>
        <v/>
      </c>
      <c r="Y24" s="79" t="s">
        <v>16</v>
      </c>
      <c r="Z24" s="80"/>
      <c r="AA24" s="123"/>
    </row>
    <row r="25" spans="1:33" s="21" customFormat="1" ht="18" customHeight="1">
      <c r="A25" s="112"/>
      <c r="B25" s="113"/>
      <c r="C25" s="71"/>
      <c r="D25" s="114"/>
      <c r="E25" s="71"/>
      <c r="F25" s="71"/>
      <c r="G25" s="72"/>
      <c r="H25" s="72"/>
      <c r="I25" s="156"/>
      <c r="J25" s="157"/>
      <c r="K25" s="157"/>
      <c r="L25" s="157"/>
      <c r="M25" s="157"/>
      <c r="N25" s="157"/>
      <c r="O25" s="115" t="str">
        <f>IF(MAX(I25:K25)&gt;0,IF(MAX(I25:K25)&lt;0,0,TRUNC(MAX(I25:K25)/1)*1),"")</f>
        <v/>
      </c>
      <c r="P25" s="116" t="str">
        <f>IF(MAX(L25:N25)&gt;0,IF(MAX(L25:N25)&lt;0,0,TRUNC(MAX(L25:N25)/1)*1),"")</f>
        <v/>
      </c>
      <c r="Q25" s="117" t="str">
        <f>IF(O25="","",IF(P25="","",IF(SUM(O25:P25)=0,"",SUM(O25:P25))))</f>
        <v/>
      </c>
      <c r="R25" s="118" t="str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119" t="str">
        <f>IF(AD25=1,R25*AG25,"")</f>
        <v/>
      </c>
      <c r="T25" s="73" t="str">
        <f>IF('K9'!G23="","",'K9'!G23)</f>
        <v/>
      </c>
      <c r="U25" s="73" t="str">
        <f>IF('K9'!K23="","",'K9'!K23)</f>
        <v/>
      </c>
      <c r="V25" s="73" t="str">
        <f>IF('K9'!N23="","",'K9'!N23)</f>
        <v/>
      </c>
      <c r="W25" s="120"/>
      <c r="X25" s="121"/>
      <c r="Y25" s="134"/>
      <c r="Z25" s="75"/>
      <c r="AA25" s="123">
        <f>V5</f>
        <v>44451</v>
      </c>
      <c r="AB25" s="177" t="b">
        <f t="shared" ref="AB25" si="22">IF(ISNUMBER(FIND("M",C25)),"m",IF(ISNUMBER(FIND("K",C25)),"k"))</f>
        <v>0</v>
      </c>
      <c r="AC25" s="178">
        <f t="shared" ref="AC25" si="23">IF(OR(E25="",AA25=""),0,(YEAR(AA25)-YEAR(E25)))</f>
        <v>0</v>
      </c>
      <c r="AD25" s="179" t="str">
        <f t="shared" si="2"/>
        <v/>
      </c>
      <c r="AE25" s="180" t="b">
        <f>IF(AD25=1,LOOKUP(AC25,'Meltzer-Faber'!A3:A63,'Meltzer-Faber'!B3:B63))</f>
        <v>0</v>
      </c>
      <c r="AF25" s="180" t="b">
        <f>IF(AD25=1,LOOKUP(AC25,'Meltzer-Faber'!A3:A63,'Meltzer-Faber'!C3:C63))</f>
        <v>0</v>
      </c>
      <c r="AG25" s="180" t="str">
        <f t="shared" ref="AG25" si="24">IF(AB25="m",AE25,IF(AB25="k",AF25,""))</f>
        <v/>
      </c>
    </row>
    <row r="26" spans="1:33" s="21" customFormat="1" ht="18" customHeight="1">
      <c r="A26" s="124"/>
      <c r="B26" s="125"/>
      <c r="C26" s="135"/>
      <c r="D26" s="127"/>
      <c r="E26" s="128"/>
      <c r="F26" s="128"/>
      <c r="G26" s="74"/>
      <c r="H26" s="129"/>
      <c r="I26" s="286"/>
      <c r="J26" s="287"/>
      <c r="K26" s="288"/>
      <c r="L26" s="286"/>
      <c r="M26" s="287"/>
      <c r="N26" s="288"/>
      <c r="O26" s="126"/>
      <c r="P26" s="130"/>
      <c r="Q26" s="289" t="str">
        <f>IF(R25="","",R25*1.2)</f>
        <v/>
      </c>
      <c r="R26" s="289"/>
      <c r="S26" s="131"/>
      <c r="T26" s="132" t="str">
        <f>IF(T25="","",T25*20)</f>
        <v/>
      </c>
      <c r="U26" s="132" t="str">
        <f>IF(U25="","",U25*13)</f>
        <v/>
      </c>
      <c r="V26" s="78" t="str">
        <f>IF(V25="","",IF((80+(8-ROUNDUP(V25,1))*40)&lt;0,0,80+(8-ROUNDUP(V25,1))*40))</f>
        <v/>
      </c>
      <c r="W26" s="78" t="str">
        <f>IF(SUM(T26,U26,V26)&gt;0,SUM(T26,U26,V26),"")</f>
        <v/>
      </c>
      <c r="X26" s="133" t="str">
        <f>IF(OR(Q26="",T26="",U26="",V26=""),"",SUM(Q26,T26,U26,V26))</f>
        <v/>
      </c>
      <c r="Y26" s="79"/>
      <c r="Z26" s="80"/>
      <c r="AA26" s="123"/>
    </row>
    <row r="27" spans="1:33" s="21" customFormat="1" ht="18" customHeight="1">
      <c r="A27" s="112"/>
      <c r="B27" s="113"/>
      <c r="C27" s="71"/>
      <c r="D27" s="114"/>
      <c r="E27" s="71"/>
      <c r="F27" s="71"/>
      <c r="G27" s="72"/>
      <c r="H27" s="72"/>
      <c r="I27" s="156"/>
      <c r="J27" s="157"/>
      <c r="K27" s="157"/>
      <c r="L27" s="157"/>
      <c r="M27" s="157"/>
      <c r="N27" s="157"/>
      <c r="O27" s="115" t="str">
        <f>IF(MAX(I27:K27)&gt;0,IF(MAX(I27:K27)&lt;0,0,TRUNC(MAX(I27:K27)/1)*1),"")</f>
        <v/>
      </c>
      <c r="P27" s="116" t="str">
        <f>IF(MAX(L27:N27)&gt;0,IF(MAX(L27:N27)&lt;0,0,TRUNC(MAX(L27:N27)/1)*1),"")</f>
        <v/>
      </c>
      <c r="Q27" s="117" t="str">
        <f>IF(O27="","",IF(P27="","",IF(SUM(O27:P27)=0,"",SUM(O27:P27))))</f>
        <v/>
      </c>
      <c r="R27" s="118" t="str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119" t="str">
        <f>IF(AD27=1,R27*AG27,"")</f>
        <v/>
      </c>
      <c r="T27" s="73" t="str">
        <f>IF('K9'!G25="","",'K9'!G25)</f>
        <v/>
      </c>
      <c r="U27" s="73" t="str">
        <f>IF('K9'!K25="","",'K9'!K25)</f>
        <v/>
      </c>
      <c r="V27" s="73" t="str">
        <f>IF('K9'!N25="","",'K9'!N25)</f>
        <v/>
      </c>
      <c r="W27" s="120"/>
      <c r="X27" s="121"/>
      <c r="Y27" s="134"/>
      <c r="Z27" s="75"/>
      <c r="AA27" s="123">
        <f>V5</f>
        <v>44451</v>
      </c>
      <c r="AB27" s="177" t="b">
        <f t="shared" ref="AB27" si="25">IF(ISNUMBER(FIND("M",C27)),"m",IF(ISNUMBER(FIND("K",C27)),"k"))</f>
        <v>0</v>
      </c>
      <c r="AC27" s="178">
        <f t="shared" ref="AC27" si="26">IF(OR(E27="",AA27=""),0,(YEAR(AA27)-YEAR(E27)))</f>
        <v>0</v>
      </c>
      <c r="AD27" s="179" t="str">
        <f t="shared" si="2"/>
        <v/>
      </c>
      <c r="AE27" s="180" t="b">
        <f>IF(AD27=1,LOOKUP(AC27,'Meltzer-Faber'!A3:A63,'Meltzer-Faber'!B3:B63))</f>
        <v>0</v>
      </c>
      <c r="AF27" s="180" t="b">
        <f>IF(AD27=1,LOOKUP(AC27,'Meltzer-Faber'!A3:A63,'Meltzer-Faber'!C3:C63))</f>
        <v>0</v>
      </c>
      <c r="AG27" s="180" t="str">
        <f t="shared" ref="AG27" si="27">IF(AB27="m",AE27,IF(AB27="k",AF27,""))</f>
        <v/>
      </c>
    </row>
    <row r="28" spans="1:33" s="21" customFormat="1" ht="18" customHeight="1">
      <c r="A28" s="124"/>
      <c r="B28" s="125"/>
      <c r="C28" s="126"/>
      <c r="D28" s="127"/>
      <c r="E28" s="128"/>
      <c r="F28" s="128"/>
      <c r="G28" s="74"/>
      <c r="H28" s="129"/>
      <c r="I28" s="286"/>
      <c r="J28" s="287"/>
      <c r="K28" s="288"/>
      <c r="L28" s="286"/>
      <c r="M28" s="287"/>
      <c r="N28" s="288"/>
      <c r="O28" s="126"/>
      <c r="P28" s="130"/>
      <c r="Q28" s="289" t="str">
        <f>IF(R27="","",R27*1.2)</f>
        <v/>
      </c>
      <c r="R28" s="289"/>
      <c r="S28" s="131"/>
      <c r="T28" s="132" t="str">
        <f>IF(T27="","",T27*20)</f>
        <v/>
      </c>
      <c r="U28" s="132" t="str">
        <f>IF(U27="","",U27*13)</f>
        <v/>
      </c>
      <c r="V28" s="78" t="str">
        <f>IF(V27="","",IF((80+(8-ROUNDUP(V27,1))*40)&lt;0,0,80+(8-ROUNDUP(V27,1))*40))</f>
        <v/>
      </c>
      <c r="W28" s="78" t="str">
        <f>IF(SUM(T28,U28,V28)&gt;0,SUM(T28,U28,V28),"")</f>
        <v/>
      </c>
      <c r="X28" s="133" t="str">
        <f>IF(OR(Q28="",T28="",U28="",V28=""),"",SUM(Q28,T28,U28,V28))</f>
        <v/>
      </c>
      <c r="Y28" s="79"/>
      <c r="Z28" s="80"/>
      <c r="AA28" s="123"/>
    </row>
    <row r="29" spans="1:33" s="21" customFormat="1" ht="18" customHeight="1">
      <c r="A29" s="112"/>
      <c r="B29" s="113"/>
      <c r="C29" s="71"/>
      <c r="D29" s="114"/>
      <c r="E29" s="71"/>
      <c r="F29" s="71"/>
      <c r="G29" s="72"/>
      <c r="H29" s="72"/>
      <c r="I29" s="156"/>
      <c r="J29" s="157"/>
      <c r="K29" s="157"/>
      <c r="L29" s="157"/>
      <c r="M29" s="157"/>
      <c r="N29" s="157"/>
      <c r="O29" s="115" t="str">
        <f>IF(MAX(I29:K29)&gt;0,IF(MAX(I29:K29)&lt;0,0,TRUNC(MAX(I29:K29)/1)*1),"")</f>
        <v/>
      </c>
      <c r="P29" s="116" t="str">
        <f>IF(MAX(L29:N29)&gt;0,IF(MAX(L29:N29)&lt;0,0,TRUNC(MAX(L29:N29)/1)*1),"")</f>
        <v/>
      </c>
      <c r="Q29" s="117" t="str">
        <f>IF(O29="","",IF(P29="","",IF(SUM(O29:P29)=0,"",SUM(O29:P29))))</f>
        <v/>
      </c>
      <c r="R29" s="118" t="str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119" t="str">
        <f>IF(AD29=1,R29*AG29,"")</f>
        <v/>
      </c>
      <c r="T29" s="73" t="str">
        <f>IF('K9'!G27="","",'K9'!G27)</f>
        <v/>
      </c>
      <c r="U29" s="73" t="str">
        <f>IF('K9'!K27="","",'K9'!K27)</f>
        <v/>
      </c>
      <c r="V29" s="73" t="str">
        <f>IF('K9'!N27="","",'K9'!N27)</f>
        <v/>
      </c>
      <c r="W29" s="120"/>
      <c r="X29" s="121"/>
      <c r="Y29" s="134"/>
      <c r="Z29" s="75"/>
      <c r="AA29" s="123">
        <f>V5</f>
        <v>44451</v>
      </c>
      <c r="AB29" s="177" t="b">
        <f t="shared" ref="AB29" si="28">IF(ISNUMBER(FIND("M",C29)),"m",IF(ISNUMBER(FIND("K",C29)),"k"))</f>
        <v>0</v>
      </c>
      <c r="AC29" s="178">
        <f t="shared" ref="AC29" si="29">IF(OR(E29="",AA29=""),0,(YEAR(AA29)-YEAR(E29)))</f>
        <v>0</v>
      </c>
      <c r="AD29" s="179" t="str">
        <f t="shared" si="2"/>
        <v/>
      </c>
      <c r="AE29" s="180" t="b">
        <f>IF(AD29=1,LOOKUP(AC29,'Meltzer-Faber'!A3:A63,'Meltzer-Faber'!B3:B63))</f>
        <v>0</v>
      </c>
      <c r="AF29" s="180" t="b">
        <f>IF(AD29=1,LOOKUP(AC29,'Meltzer-Faber'!A3:A63,'Meltzer-Faber'!C3:C63))</f>
        <v>0</v>
      </c>
      <c r="AG29" s="180" t="str">
        <f t="shared" ref="AG29" si="30">IF(AB29="m",AE29,IF(AB29="k",AF29,""))</f>
        <v/>
      </c>
    </row>
    <row r="30" spans="1:33" s="21" customFormat="1" ht="18" customHeight="1">
      <c r="A30" s="124"/>
      <c r="B30" s="125"/>
      <c r="C30" s="126"/>
      <c r="D30" s="127"/>
      <c r="E30" s="128"/>
      <c r="F30" s="264"/>
      <c r="G30" s="74"/>
      <c r="H30" s="129"/>
      <c r="I30" s="286"/>
      <c r="J30" s="287"/>
      <c r="K30" s="288"/>
      <c r="L30" s="286"/>
      <c r="M30" s="287"/>
      <c r="N30" s="288"/>
      <c r="O30" s="126"/>
      <c r="P30" s="130"/>
      <c r="Q30" s="289" t="str">
        <f>IF(R29="","",R29*1.2)</f>
        <v/>
      </c>
      <c r="R30" s="289"/>
      <c r="S30" s="131"/>
      <c r="T30" s="132" t="str">
        <f>IF(T29="","",T29*20)</f>
        <v/>
      </c>
      <c r="U30" s="132" t="str">
        <f>IF(U29="","",U29*13)</f>
        <v/>
      </c>
      <c r="V30" s="78" t="str">
        <f>IF(V29="","",IF((80+(8-ROUNDUP(V29,1))*40)&lt;0,0,80+(8-ROUNDUP(V29,1))*40))</f>
        <v/>
      </c>
      <c r="W30" s="78" t="str">
        <f>IF(SUM(T30,U30,V30)&gt;0,SUM(T30,U30,V30),"")</f>
        <v/>
      </c>
      <c r="X30" s="133" t="str">
        <f>IF(OR(Q30="",T30="",U30="",V30=""),"",SUM(Q30,T30,U30,V30))</f>
        <v/>
      </c>
      <c r="Y30" s="79"/>
      <c r="Z30" s="80"/>
      <c r="AA30" s="123"/>
    </row>
    <row r="31" spans="1:33" s="21" customFormat="1" ht="18" customHeight="1">
      <c r="A31" s="112"/>
      <c r="B31" s="113"/>
      <c r="C31" s="71"/>
      <c r="D31" s="114"/>
      <c r="E31" s="71"/>
      <c r="F31" s="71"/>
      <c r="G31" s="72"/>
      <c r="H31" s="72"/>
      <c r="I31" s="156"/>
      <c r="J31" s="157"/>
      <c r="K31" s="157"/>
      <c r="L31" s="157"/>
      <c r="M31" s="157"/>
      <c r="N31" s="157"/>
      <c r="O31" s="269" t="str">
        <f>IF(MAX(I31:K31)&gt;0,IF(MAX(I31:K31)&lt;0,0,TRUNC(MAX(I31:K31)/1)*1),"")</f>
        <v/>
      </c>
      <c r="P31" s="270" t="str">
        <f>IF(MAX(L31:N31)&gt;0,IF(MAX(L31:N31)&lt;0,0,TRUNC(MAX(L31:N31)/1)*1),"")</f>
        <v/>
      </c>
      <c r="Q31" s="271" t="str">
        <f>IF(O31="","",IF(P31="","",IF(SUM(O31:P31)=0,"",SUM(O31:P31))))</f>
        <v/>
      </c>
      <c r="R31" s="27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21" t="str">
        <f>IF(AD31=1,R31*AG31,"")</f>
        <v/>
      </c>
      <c r="T31" s="73" t="str">
        <f>IF('K9'!G29="","",'K9'!G29)</f>
        <v/>
      </c>
      <c r="U31" s="73" t="str">
        <f>IF('K9'!K29="","",'K9'!K29)</f>
        <v/>
      </c>
      <c r="V31" s="73" t="str">
        <f>IF('K9'!N29="","",'K9'!N29)</f>
        <v/>
      </c>
      <c r="W31" s="120" t="s">
        <v>16</v>
      </c>
      <c r="X31" s="121"/>
      <c r="Y31" s="134"/>
      <c r="Z31" s="75"/>
      <c r="AA31" s="123">
        <f>V5</f>
        <v>44451</v>
      </c>
      <c r="AB31" s="177" t="b">
        <f t="shared" ref="AB31" si="31">IF(ISNUMBER(FIND("M",C31)),"m",IF(ISNUMBER(FIND("K",C31)),"k"))</f>
        <v>0</v>
      </c>
      <c r="AC31" s="178">
        <f t="shared" ref="AC31" si="32">IF(OR(E31="",AA31=""),0,(YEAR(AA31)-YEAR(E31)))</f>
        <v>0</v>
      </c>
      <c r="AD31" s="179" t="str">
        <f t="shared" si="2"/>
        <v/>
      </c>
      <c r="AE31" s="180" t="b">
        <f>IF(AD31=1,LOOKUP(AC31,'Meltzer-Faber'!A3:A63,'Meltzer-Faber'!B3:B63))</f>
        <v>0</v>
      </c>
      <c r="AF31" s="180" t="b">
        <f>IF(AD31=1,LOOKUP(AC31,'Meltzer-Faber'!A3:A63,'Meltzer-Faber'!C3:C63))</f>
        <v>0</v>
      </c>
      <c r="AG31" s="180" t="str">
        <f t="shared" ref="AG31" si="33">IF(AB31="m",AE31,IF(AB31="k",AF31,""))</f>
        <v/>
      </c>
    </row>
    <row r="32" spans="1:33" s="21" customFormat="1" ht="18" customHeight="1">
      <c r="A32" s="124"/>
      <c r="B32" s="125"/>
      <c r="C32" s="126"/>
      <c r="D32" s="127"/>
      <c r="E32" s="128"/>
      <c r="F32" s="264"/>
      <c r="G32" s="274"/>
      <c r="H32" s="275"/>
      <c r="I32" s="290"/>
      <c r="J32" s="291"/>
      <c r="K32" s="292"/>
      <c r="L32" s="290"/>
      <c r="M32" s="291"/>
      <c r="N32" s="292"/>
      <c r="O32" s="273"/>
      <c r="P32" s="276"/>
      <c r="Q32" s="314" t="str">
        <f>IF(R31="","",R31*1.2)</f>
        <v/>
      </c>
      <c r="R32" s="314"/>
      <c r="S32" s="277"/>
      <c r="T32" s="278" t="str">
        <f>IF(T31="","",T31*20)</f>
        <v/>
      </c>
      <c r="U32" s="278" t="str">
        <f>IF(U31="","",U31*13)</f>
        <v/>
      </c>
      <c r="V32" s="279" t="str">
        <f>IF(V31="","",IF((80+(8-ROUNDUP(V31,1))*40)&lt;0,0,80+(8-ROUNDUP(V31,1))*40))</f>
        <v/>
      </c>
      <c r="W32" s="279" t="str">
        <f>IF(SUM(T32,U32,V32)&gt;0,SUM(T32,U32,V32),"")</f>
        <v/>
      </c>
      <c r="X32" s="280" t="str">
        <f>IF(OR(Q32="",T32="",U32="",V32=""),"",SUM(Q32,T32,U32,V32))</f>
        <v/>
      </c>
      <c r="Y32" s="281"/>
      <c r="Z32" s="282"/>
      <c r="AA32" s="123"/>
    </row>
    <row r="33" spans="1:26" s="21" customFormat="1" ht="14">
      <c r="A33" s="136"/>
      <c r="B33" s="136"/>
      <c r="C33" s="136"/>
      <c r="D33" s="137"/>
      <c r="E33" s="138"/>
      <c r="F33" s="138"/>
      <c r="G33" s="139"/>
      <c r="H33" s="139"/>
      <c r="I33" s="140"/>
      <c r="J33" s="140"/>
      <c r="K33" s="140"/>
      <c r="L33" s="140"/>
      <c r="M33" s="140"/>
      <c r="N33" s="140"/>
      <c r="O33" s="136"/>
      <c r="P33" s="136"/>
      <c r="Q33" s="136"/>
      <c r="R33" s="136"/>
      <c r="S33" s="136"/>
      <c r="T33" s="140"/>
      <c r="U33" s="140"/>
      <c r="V33" s="141"/>
      <c r="W33" s="141"/>
      <c r="X33" s="142"/>
      <c r="Y33" s="143"/>
      <c r="Z33" s="208"/>
    </row>
    <row r="34" spans="1:26" s="201" customFormat="1" ht="14">
      <c r="A34" s="201" t="s">
        <v>13</v>
      </c>
      <c r="C34" s="302" t="s">
        <v>205</v>
      </c>
      <c r="D34" s="302"/>
      <c r="E34" s="302"/>
      <c r="F34" s="302"/>
      <c r="G34" s="302"/>
      <c r="H34" s="200" t="s">
        <v>14</v>
      </c>
      <c r="I34" s="145">
        <v>1</v>
      </c>
      <c r="J34" s="302" t="s">
        <v>124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s="201" customFormat="1" ht="14">
      <c r="A35"/>
      <c r="C35" s="303"/>
      <c r="D35" s="303"/>
      <c r="E35" s="303"/>
      <c r="F35" s="303"/>
      <c r="G35" s="303"/>
      <c r="H35" s="205"/>
      <c r="I35" s="145">
        <v>2</v>
      </c>
      <c r="J35" s="302" t="s">
        <v>266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s="201" customFormat="1" ht="14">
      <c r="A36" s="201" t="s">
        <v>49</v>
      </c>
      <c r="C36" s="302"/>
      <c r="D36" s="302"/>
      <c r="E36" s="302"/>
      <c r="F36" s="302"/>
      <c r="G36" s="302"/>
      <c r="H36" s="200"/>
      <c r="I36" s="201">
        <v>3</v>
      </c>
      <c r="J36" s="302" t="s">
        <v>113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s="4" customFormat="1" ht="14">
      <c r="A37"/>
      <c r="B37" s="199"/>
      <c r="C37" s="302"/>
      <c r="D37" s="302"/>
      <c r="E37" s="302"/>
      <c r="F37" s="302"/>
      <c r="G37" s="302"/>
      <c r="H37" s="200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</row>
    <row r="38" spans="1:26" s="4" customFormat="1" ht="14">
      <c r="A38"/>
      <c r="B38" s="201"/>
      <c r="C38" s="302"/>
      <c r="D38" s="302"/>
      <c r="E38" s="302"/>
      <c r="F38" s="302"/>
      <c r="G38" s="302"/>
      <c r="H38" s="147" t="s">
        <v>50</v>
      </c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 spans="1:26" s="4" customFormat="1" ht="14">
      <c r="A39" s="1"/>
      <c r="B39" s="1"/>
      <c r="C39" s="146"/>
      <c r="D39" s="3"/>
      <c r="E39" s="3"/>
      <c r="F39" s="3"/>
      <c r="H39" s="147" t="s">
        <v>51</v>
      </c>
      <c r="I39" s="315" t="s">
        <v>123</v>
      </c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 spans="1:26" s="4" customFormat="1" ht="14">
      <c r="A40" s="201" t="s">
        <v>15</v>
      </c>
      <c r="B40" s="201"/>
      <c r="C40" s="302" t="s">
        <v>101</v>
      </c>
      <c r="D40" s="302"/>
      <c r="E40" s="302"/>
      <c r="F40" s="302"/>
      <c r="G40" s="302"/>
      <c r="H40" s="147" t="s">
        <v>52</v>
      </c>
      <c r="I40" s="315" t="s">
        <v>111</v>
      </c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 spans="1:26" s="4" customFormat="1" ht="14">
      <c r="A41" s="1"/>
      <c r="B41" s="1"/>
      <c r="C41" s="302" t="s">
        <v>106</v>
      </c>
      <c r="D41" s="302"/>
      <c r="E41" s="302"/>
      <c r="F41" s="302"/>
      <c r="G41" s="302"/>
      <c r="H41" s="200"/>
      <c r="I41" s="147"/>
      <c r="J41" s="201"/>
      <c r="K41" s="148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4">
      <c r="A42" s="201" t="s">
        <v>53</v>
      </c>
      <c r="B42" s="201"/>
      <c r="C42" s="302" t="s">
        <v>120</v>
      </c>
      <c r="D42" s="302"/>
      <c r="E42" s="302"/>
      <c r="F42" s="302"/>
      <c r="G42" s="302"/>
      <c r="H42" s="147" t="s">
        <v>18</v>
      </c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 spans="1:26" s="4" customFormat="1" ht="14">
      <c r="A43" s="1"/>
      <c r="B43" s="1"/>
      <c r="C43" s="302"/>
      <c r="D43" s="302"/>
      <c r="E43" s="302"/>
      <c r="F43" s="302"/>
      <c r="G43" s="302"/>
      <c r="H43" s="200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 spans="1:26" s="4" customFormat="1">
      <c r="A44" s="149" t="s">
        <v>17</v>
      </c>
      <c r="B44" s="150" t="s">
        <v>63</v>
      </c>
      <c r="C44" s="150"/>
      <c r="D44" s="151"/>
      <c r="E44" s="151"/>
      <c r="F44" s="151"/>
      <c r="G44" s="152"/>
      <c r="H44" s="152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</row>
    <row r="45" spans="1:26" s="4" customFormat="1">
      <c r="A45" s="1"/>
      <c r="B45" s="1"/>
      <c r="C45" s="150"/>
      <c r="D45" s="3"/>
      <c r="E45" s="3"/>
      <c r="F45" s="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</row>
    <row r="46" spans="1:26" s="4" customFormat="1">
      <c r="A46" s="1"/>
      <c r="B46" s="1"/>
      <c r="C46" s="2"/>
      <c r="D46" s="3"/>
      <c r="E46" s="3"/>
      <c r="F46" s="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</row>
    <row r="47" spans="1:26">
      <c r="K47" s="153"/>
    </row>
    <row r="48" spans="1:26">
      <c r="K48" s="1"/>
    </row>
    <row r="49" spans="11:11">
      <c r="K49" s="1"/>
    </row>
    <row r="50" spans="11:11">
      <c r="K50" s="1"/>
    </row>
  </sheetData>
  <mergeCells count="70">
    <mergeCell ref="C43:G43"/>
    <mergeCell ref="I43:Z43"/>
    <mergeCell ref="I44:Z44"/>
    <mergeCell ref="I45:Z45"/>
    <mergeCell ref="I46:Z46"/>
    <mergeCell ref="C40:G40"/>
    <mergeCell ref="I40:Z40"/>
    <mergeCell ref="C41:G41"/>
    <mergeCell ref="C42:G42"/>
    <mergeCell ref="I42:Z42"/>
    <mergeCell ref="C37:G37"/>
    <mergeCell ref="C38:G38"/>
    <mergeCell ref="I38:Z38"/>
    <mergeCell ref="J37:Z37"/>
    <mergeCell ref="I39:Z39"/>
    <mergeCell ref="C36:G36"/>
    <mergeCell ref="J36:Z36"/>
    <mergeCell ref="I26:K26"/>
    <mergeCell ref="L26:N26"/>
    <mergeCell ref="Q26:R26"/>
    <mergeCell ref="C35:G35"/>
    <mergeCell ref="J35:Z35"/>
    <mergeCell ref="I28:K28"/>
    <mergeCell ref="L28:N28"/>
    <mergeCell ref="Q28:R28"/>
    <mergeCell ref="I30:K30"/>
    <mergeCell ref="L30:N30"/>
    <mergeCell ref="Q30:R30"/>
    <mergeCell ref="I32:K32"/>
    <mergeCell ref="L32:N32"/>
    <mergeCell ref="Q32:R32"/>
    <mergeCell ref="C34:G34"/>
    <mergeCell ref="J34:Z34"/>
    <mergeCell ref="I22:K22"/>
    <mergeCell ref="L22:N22"/>
    <mergeCell ref="Q22:R22"/>
    <mergeCell ref="I24:K24"/>
    <mergeCell ref="L24:N24"/>
    <mergeCell ref="Q24:R24"/>
    <mergeCell ref="I18:K18"/>
    <mergeCell ref="L18:N18"/>
    <mergeCell ref="Q18:R18"/>
    <mergeCell ref="I20:K20"/>
    <mergeCell ref="L20:N20"/>
    <mergeCell ref="Q20:R20"/>
    <mergeCell ref="Q12:R12"/>
    <mergeCell ref="I14:K14"/>
    <mergeCell ref="L14:N14"/>
    <mergeCell ref="Q14:R14"/>
    <mergeCell ref="I16:K16"/>
    <mergeCell ref="L16:N16"/>
    <mergeCell ref="Q16:R16"/>
    <mergeCell ref="I12:K12"/>
    <mergeCell ref="L12:N12"/>
    <mergeCell ref="G2:R2"/>
    <mergeCell ref="G3:R3"/>
    <mergeCell ref="I7:K7"/>
    <mergeCell ref="L7:N7"/>
    <mergeCell ref="O7:R7"/>
    <mergeCell ref="S3:Z3"/>
    <mergeCell ref="A5:B5"/>
    <mergeCell ref="C5:G5"/>
    <mergeCell ref="I5:N5"/>
    <mergeCell ref="P5:T5"/>
    <mergeCell ref="V5:W5"/>
    <mergeCell ref="I10:K10"/>
    <mergeCell ref="L10:N10"/>
    <mergeCell ref="Q10:R10"/>
    <mergeCell ref="I8:K8"/>
    <mergeCell ref="L8:N8"/>
  </mergeCells>
  <conditionalFormatting sqref="I23:N23">
    <cfRule type="cellIs" dxfId="23" priority="41" stopIfTrue="1" operator="between">
      <formula>1</formula>
      <formula>300</formula>
    </cfRule>
    <cfRule type="cellIs" dxfId="22" priority="42" stopIfTrue="1" operator="lessThanOrEqual">
      <formula>0</formula>
    </cfRule>
  </conditionalFormatting>
  <conditionalFormatting sqref="I25:N25">
    <cfRule type="cellIs" dxfId="21" priority="39" stopIfTrue="1" operator="between">
      <formula>1</formula>
      <formula>300</formula>
    </cfRule>
    <cfRule type="cellIs" dxfId="20" priority="40" stopIfTrue="1" operator="lessThanOrEqual">
      <formula>0</formula>
    </cfRule>
  </conditionalFormatting>
  <conditionalFormatting sqref="I27:N27">
    <cfRule type="cellIs" dxfId="19" priority="37" stopIfTrue="1" operator="between">
      <formula>1</formula>
      <formula>300</formula>
    </cfRule>
    <cfRule type="cellIs" dxfId="18" priority="38" stopIfTrue="1" operator="lessThanOrEqual">
      <formula>0</formula>
    </cfRule>
  </conditionalFormatting>
  <conditionalFormatting sqref="I29:N29">
    <cfRule type="cellIs" dxfId="17" priority="35" stopIfTrue="1" operator="between">
      <formula>1</formula>
      <formula>300</formula>
    </cfRule>
    <cfRule type="cellIs" dxfId="16" priority="36" stopIfTrue="1" operator="lessThanOrEqual">
      <formula>0</formula>
    </cfRule>
  </conditionalFormatting>
  <conditionalFormatting sqref="I31:N31">
    <cfRule type="cellIs" dxfId="15" priority="33" stopIfTrue="1" operator="between">
      <formula>1</formula>
      <formula>300</formula>
    </cfRule>
    <cfRule type="cellIs" dxfId="14" priority="34" stopIfTrue="1" operator="lessThanOrEqual">
      <formula>0</formula>
    </cfRule>
  </conditionalFormatting>
  <conditionalFormatting sqref="I19:N19">
    <cfRule type="cellIs" dxfId="13" priority="13" stopIfTrue="1" operator="between">
      <formula>1</formula>
      <formula>300</formula>
    </cfRule>
    <cfRule type="cellIs" dxfId="12" priority="14" stopIfTrue="1" operator="lessThanOrEqual">
      <formula>0</formula>
    </cfRule>
  </conditionalFormatting>
  <conditionalFormatting sqref="I13:N13">
    <cfRule type="cellIs" dxfId="11" priority="11" stopIfTrue="1" operator="between">
      <formula>1</formula>
      <formula>300</formula>
    </cfRule>
    <cfRule type="cellIs" dxfId="10" priority="12" stopIfTrue="1" operator="lessThanOrEqual">
      <formula>0</formula>
    </cfRule>
  </conditionalFormatting>
  <conditionalFormatting sqref="I11:N11">
    <cfRule type="cellIs" dxfId="9" priority="9" stopIfTrue="1" operator="between">
      <formula>1</formula>
      <formula>300</formula>
    </cfRule>
    <cfRule type="cellIs" dxfId="8" priority="10" stopIfTrue="1" operator="lessThanOrEqual">
      <formula>0</formula>
    </cfRule>
  </conditionalFormatting>
  <conditionalFormatting sqref="I21:N21">
    <cfRule type="cellIs" dxfId="7" priority="7" stopIfTrue="1" operator="between">
      <formula>1</formula>
      <formula>300</formula>
    </cfRule>
    <cfRule type="cellIs" dxfId="6" priority="8" stopIfTrue="1" operator="lessThanOrEqual">
      <formula>0</formula>
    </cfRule>
  </conditionalFormatting>
  <conditionalFormatting sqref="I9:N9">
    <cfRule type="cellIs" dxfId="5" priority="5" stopIfTrue="1" operator="between">
      <formula>1</formula>
      <formula>300</formula>
    </cfRule>
    <cfRule type="cellIs" dxfId="4" priority="6" stopIfTrue="1" operator="lessThanOrEqual">
      <formula>0</formula>
    </cfRule>
  </conditionalFormatting>
  <conditionalFormatting sqref="I17:N17">
    <cfRule type="cellIs" dxfId="3" priority="3" stopIfTrue="1" operator="between">
      <formula>1</formula>
      <formula>300</formula>
    </cfRule>
    <cfRule type="cellIs" dxfId="2" priority="4" stopIfTrue="1" operator="lessThanOrEqual">
      <formula>0</formula>
    </cfRule>
  </conditionalFormatting>
  <conditionalFormatting sqref="I15:N15">
    <cfRule type="cellIs" dxfId="1" priority="1" stopIfTrue="1" operator="between">
      <formula>1</formula>
      <formula>300</formula>
    </cfRule>
    <cfRule type="cellIs" dxfId="0" priority="2" stopIfTrue="1" operator="lessThanOrEqual">
      <formula>0</formula>
    </cfRule>
  </conditionalFormatting>
  <dataValidations count="3">
    <dataValidation type="list" allowBlank="1" showInputMessage="1" showErrorMessage="1" errorTitle="Feil_i_vektklasse" error="Feil verddi i vektklasse" sqref="A9 A11 A25 A13 A17 A19 A29 A23 A21 A27 A31" xr:uid="{EB4D96AE-DFB2-A543-9CD5-055F08682FAE}">
      <formula1>"40,45,49,55,59,64,71,76,81,+81,81+,87,+87,87+,49,55,61,67,73,81,89,96,102,+102,102+,109,+109,109+"</formula1>
    </dataValidation>
    <dataValidation type="list" allowBlank="1" showInputMessage="1" showErrorMessage="1" errorTitle="Feil_i_kat.v.løft" error="Feil verdi i kategori vektløfting" sqref="C9 C29 C27 C19 C13 C17 C25 C21 C23 C11 C31" xr:uid="{955167C3-49BA-8E40-A3A6-69CA9CC9FD8E}">
      <formula1>"UM,JM,SM,UK,JK,SK,M1,M2,M3,M4,M5,M6,M7,M8,M9,M10,K1,K2,K3,K4,K5,K6,K7,K8,K9,K10"</formula1>
    </dataValidation>
    <dataValidation type="list" allowBlank="1" showInputMessage="1" showErrorMessage="1" errorTitle="Feil_i_kat. 5-kamp" error="Feil verdi i kategori 5-kamp" sqref="D9 D13 D11 D29 D15 D17 D19 D21 D23 D25 D27 D31" xr:uid="{3BA5C9C4-CB7C-7743-BD82-A1A7B54E9903}">
      <formula1>"13-14,15-16,17-18,19-23,24-34,+35,35+"</formula1>
    </dataValidation>
  </dataValidations>
  <pageMargins left="0.27559055118110198" right="0.27559055118110198" top="0.27559055118110198" bottom="0.27559055118110198" header="0.511811023622047" footer="0.511811023622047"/>
  <pageSetup paperSize="9" scale="60" orientation="landscape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23</vt:i4>
      </vt:variant>
      <vt:variant>
        <vt:lpstr>Navngitte områder</vt:lpstr>
      </vt:variant>
      <vt:variant>
        <vt:i4>22</vt:i4>
      </vt:variant>
    </vt:vector>
  </HeadingPairs>
  <TitlesOfParts>
    <vt:vector size="45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Res NM 5-kamp kategori</vt:lpstr>
      <vt:lpstr>Res NM 5-kamp ranking</vt:lpstr>
      <vt:lpstr>Resultat NC4 U og J</vt:lpstr>
      <vt:lpstr>Res NM 5-kamp lagfinale</vt:lpstr>
      <vt:lpstr>K1</vt:lpstr>
      <vt:lpstr>K2</vt:lpstr>
      <vt:lpstr>K3</vt:lpstr>
      <vt:lpstr>K4</vt:lpstr>
      <vt:lpstr>K5</vt:lpstr>
      <vt:lpstr>K6</vt:lpstr>
      <vt:lpstr>K7</vt:lpstr>
      <vt:lpstr>K8</vt:lpstr>
      <vt:lpstr>K9</vt:lpstr>
      <vt:lpstr>Meltzer-Faber</vt:lpstr>
      <vt:lpstr>'K1'!Utskriftsområde</vt:lpstr>
      <vt:lpstr>'K2'!Utskriftsområde</vt:lpstr>
      <vt:lpstr>'K3'!Utskriftsområde</vt:lpstr>
      <vt:lpstr>'K4'!Utskriftsområde</vt:lpstr>
      <vt:lpstr>'K5'!Utskriftsområde</vt:lpstr>
      <vt:lpstr>'K6'!Utskriftsområde</vt:lpstr>
      <vt:lpstr>'K7'!Utskriftsområde</vt:lpstr>
      <vt:lpstr>'K8'!Utskriftsområde</vt:lpstr>
      <vt:lpstr>'K9'!Utskriftsområde</vt:lpstr>
      <vt:lpstr>'P1'!Utskriftsområde</vt:lpstr>
      <vt:lpstr>'P2'!Utskriftsområde</vt:lpstr>
      <vt:lpstr>'P3'!Utskriftsområde</vt:lpstr>
      <vt:lpstr>'P4'!Utskriftsområde</vt:lpstr>
      <vt:lpstr>'P5'!Utskriftsområde</vt:lpstr>
      <vt:lpstr>'P6'!Utskriftsområde</vt:lpstr>
      <vt:lpstr>'P7'!Utskriftsområde</vt:lpstr>
      <vt:lpstr>'P8'!Utskriftsområde</vt:lpstr>
      <vt:lpstr>'P9'!Utskriftsområde</vt:lpstr>
      <vt:lpstr>'Res NM 5-kamp kategori'!Utskriftsområde</vt:lpstr>
      <vt:lpstr>'Res NM 5-kamp lagfinale'!Utskriftsområde</vt:lpstr>
      <vt:lpstr>'Res NM 5-kamp ranking'!Utskriftsområde</vt:lpstr>
      <vt:lpstr>'Resultat NC4 U og J'!Utskriftsområde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Bj. Hagenes Vigrestad IK</dc:creator>
  <cp:lastModifiedBy>Microsoft Office-bruker</cp:lastModifiedBy>
  <cp:lastPrinted>2021-09-12T13:07:45Z</cp:lastPrinted>
  <dcterms:created xsi:type="dcterms:W3CDTF">2001-08-31T20:44:44Z</dcterms:created>
  <dcterms:modified xsi:type="dcterms:W3CDTF">2021-09-12T13:22:27Z</dcterms:modified>
</cp:coreProperties>
</file>