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rungovil/Downloads/"/>
    </mc:Choice>
  </mc:AlternateContent>
  <xr:revisionPtr revIDLastSave="0" documentId="8_{02A69BB7-D166-204B-9C08-6EDDAB8DC5AD}" xr6:coauthVersionLast="34" xr6:coauthVersionMax="34" xr10:uidLastSave="{00000000-0000-0000-0000-000000000000}"/>
  <bookViews>
    <workbookView xWindow="0" yWindow="460" windowWidth="28800" windowHeight="16740" activeTab="1" xr2:uid="{963F34AA-BBD0-406A-B070-1CCDD8D1675D}"/>
  </bookViews>
  <sheets>
    <sheet name="Year_1" sheetId="1" r:id="rId1"/>
    <sheet name="Year_2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3" l="1"/>
  <c r="R29" i="3"/>
  <c r="P17" i="3"/>
  <c r="R32" i="3"/>
  <c r="R30" i="3"/>
  <c r="R33" i="3" s="1"/>
  <c r="R35" i="3" s="1"/>
  <c r="R26" i="3"/>
  <c r="R27" i="3" s="1"/>
  <c r="R24" i="3"/>
  <c r="R23" i="3"/>
  <c r="R21" i="3"/>
  <c r="R20" i="3"/>
  <c r="R18" i="3"/>
  <c r="R17" i="3"/>
  <c r="R15" i="3"/>
  <c r="R14" i="3"/>
  <c r="R12" i="3"/>
  <c r="R11" i="3"/>
  <c r="R8" i="3"/>
  <c r="R6" i="3"/>
  <c r="R5" i="3"/>
  <c r="R3" i="3"/>
  <c r="R2" i="3"/>
  <c r="D30" i="3"/>
  <c r="D31" i="3" s="1"/>
  <c r="C32" i="3"/>
  <c r="C31" i="3"/>
  <c r="B14" i="3"/>
  <c r="C14" i="3" s="1"/>
  <c r="D14" i="3" s="1"/>
  <c r="F29" i="1"/>
  <c r="E29" i="1"/>
  <c r="J14" i="1"/>
  <c r="M26" i="3"/>
  <c r="K26" i="3"/>
  <c r="M25" i="3"/>
  <c r="K24" i="3"/>
  <c r="C23" i="3"/>
  <c r="C24" i="3" s="1"/>
  <c r="C25" i="3" s="1"/>
  <c r="C26" i="3" s="1"/>
  <c r="I17" i="3"/>
  <c r="B16" i="3"/>
  <c r="C16" i="3" s="1"/>
  <c r="H15" i="3"/>
  <c r="B15" i="3"/>
  <c r="C15" i="3" s="1"/>
  <c r="D15" i="3" s="1"/>
  <c r="H14" i="3"/>
  <c r="M13" i="3"/>
  <c r="B13" i="3"/>
  <c r="C13" i="3" s="1"/>
  <c r="C12" i="3"/>
  <c r="B11" i="3"/>
  <c r="C11" i="3" s="1"/>
  <c r="B10" i="3"/>
  <c r="C10" i="3" s="1"/>
  <c r="H7" i="3"/>
  <c r="H8" i="3" s="1"/>
  <c r="G9" i="3" s="1"/>
  <c r="B2" i="3"/>
  <c r="C2" i="3" s="1"/>
  <c r="D2" i="3" s="1"/>
  <c r="B10" i="1"/>
  <c r="M26" i="1"/>
  <c r="M25" i="1"/>
  <c r="K26" i="1"/>
  <c r="D11" i="3" l="1"/>
  <c r="D12" i="3"/>
  <c r="D16" i="3"/>
  <c r="D13" i="3"/>
  <c r="C17" i="3"/>
  <c r="D17" i="3" s="1"/>
  <c r="D10" i="3"/>
  <c r="K18" i="3"/>
  <c r="B17" i="3"/>
  <c r="K24" i="1"/>
  <c r="M13" i="1"/>
  <c r="C23" i="1"/>
  <c r="C24" i="1" s="1"/>
  <c r="C25" i="1" s="1"/>
  <c r="C26" i="1" s="1"/>
  <c r="C10" i="1"/>
  <c r="B16" i="1"/>
  <c r="C16" i="1" s="1"/>
  <c r="D16" i="1" s="1"/>
  <c r="C12" i="1"/>
  <c r="I17" i="1"/>
  <c r="H15" i="1"/>
  <c r="B15" i="1"/>
  <c r="C15" i="1" s="1"/>
  <c r="B14" i="1"/>
  <c r="C14" i="1" s="1"/>
  <c r="B13" i="1"/>
  <c r="C13" i="1" s="1"/>
  <c r="H14" i="1"/>
  <c r="H7" i="1"/>
  <c r="H8" i="1" s="1"/>
  <c r="G9" i="1" s="1"/>
  <c r="B11" i="1"/>
  <c r="C11" i="1" s="1"/>
  <c r="B2" i="1"/>
  <c r="C2" i="1" s="1"/>
  <c r="D2" i="1" s="1"/>
  <c r="H20" i="3" l="1"/>
  <c r="D23" i="3"/>
  <c r="F19" i="3"/>
  <c r="F18" i="3"/>
  <c r="D26" i="3"/>
  <c r="K18" i="1"/>
  <c r="C17" i="1"/>
  <c r="D15" i="1"/>
  <c r="D14" i="1"/>
  <c r="B17" i="1"/>
  <c r="D10" i="1"/>
  <c r="D13" i="1"/>
  <c r="D11" i="1"/>
  <c r="D12" i="1"/>
  <c r="I21" i="3" l="1"/>
  <c r="I20" i="3"/>
  <c r="I14" i="3" s="1"/>
  <c r="J14" i="3" s="1"/>
  <c r="D17" i="1"/>
  <c r="H20" i="1" s="1"/>
  <c r="B18" i="3" l="1"/>
  <c r="K14" i="3" s="1"/>
  <c r="P5" i="3"/>
  <c r="P2" i="3"/>
  <c r="E23" i="3"/>
  <c r="N20" i="3"/>
  <c r="N19" i="3"/>
  <c r="F26" i="3"/>
  <c r="G26" i="3" s="1"/>
  <c r="K19" i="3" s="1"/>
  <c r="I20" i="1"/>
  <c r="I14" i="1" s="1"/>
  <c r="I21" i="1"/>
  <c r="F18" i="1"/>
  <c r="D23" i="1"/>
  <c r="E23" i="1" s="1"/>
  <c r="D26" i="1"/>
  <c r="F19" i="1"/>
  <c r="N20" i="1" l="1"/>
  <c r="N19" i="1"/>
  <c r="F26" i="1"/>
  <c r="G26" i="1" s="1"/>
  <c r="K19" i="1" s="1"/>
  <c r="P3" i="3"/>
  <c r="P6" i="3" s="1"/>
  <c r="P8" i="3" s="1"/>
  <c r="B19" i="3"/>
  <c r="B20" i="3" s="1"/>
  <c r="P9" i="3" l="1"/>
  <c r="P11" i="3" s="1"/>
  <c r="P12" i="3" s="1"/>
  <c r="P15" i="3" l="1"/>
  <c r="P19" i="3"/>
  <c r="P20" i="3" s="1"/>
</calcChain>
</file>

<file path=xl/sharedStrings.xml><?xml version="1.0" encoding="utf-8"?>
<sst xmlns="http://schemas.openxmlformats.org/spreadsheetml/2006/main" count="77" uniqueCount="47">
  <si>
    <t>Total Distance Traveled</t>
  </si>
  <si>
    <t>Avg Price per mile</t>
  </si>
  <si>
    <t>1 Day</t>
  </si>
  <si>
    <t>Week</t>
  </si>
  <si>
    <t xml:space="preserve">Costs associated with delivery </t>
  </si>
  <si>
    <t>Year</t>
  </si>
  <si>
    <t>Vehicle</t>
  </si>
  <si>
    <t>Parking</t>
  </si>
  <si>
    <t>Insurance</t>
  </si>
  <si>
    <t>Fuel</t>
  </si>
  <si>
    <t>Driver</t>
  </si>
  <si>
    <t>Speaker</t>
  </si>
  <si>
    <t>Maintainance</t>
  </si>
  <si>
    <t>Annual</t>
  </si>
  <si>
    <t>Weekly</t>
  </si>
  <si>
    <t>Overhead</t>
  </si>
  <si>
    <t>Customer</t>
  </si>
  <si>
    <t>Percent Sales Fee</t>
  </si>
  <si>
    <t xml:space="preserve"> </t>
  </si>
  <si>
    <t>what proportion of 53k can we allot and still have enough for profitable</t>
  </si>
  <si>
    <t>Year 1 Profits</t>
  </si>
  <si>
    <t>Year 2 Bank after Annual Fees</t>
  </si>
  <si>
    <t>Year 2 Profits</t>
  </si>
  <si>
    <t>End of Year 2 Bank</t>
  </si>
  <si>
    <t>Year 3 Bank after Annual Fees</t>
  </si>
  <si>
    <t>Year 3 Bank after Vehicle 2 Purchase</t>
  </si>
  <si>
    <t>End of Year 3 Bank</t>
  </si>
  <si>
    <t>Year 4 Bank after Annual Fees</t>
  </si>
  <si>
    <t>End of Year 4 Bank</t>
  </si>
  <si>
    <t>Year 5 Bank after Annual Fees</t>
  </si>
  <si>
    <t>Cost to help 100 households per week</t>
  </si>
  <si>
    <t>Year 4 Weekly allowance</t>
  </si>
  <si>
    <t>Annual Cost to help 100 households</t>
  </si>
  <si>
    <t>No fee for storage</t>
  </si>
  <si>
    <t>Fee for storage</t>
  </si>
  <si>
    <t>-</t>
  </si>
  <si>
    <t>Year 4 Profits</t>
  </si>
  <si>
    <t>Year 5 Bank after Vehicle 2 Purchase</t>
  </si>
  <si>
    <t>End of Year 5 Bank</t>
  </si>
  <si>
    <t>Year 6 Bank after Annual Fees</t>
  </si>
  <si>
    <t>Year 6 Profits</t>
  </si>
  <si>
    <t>End of Year 6 Bank</t>
  </si>
  <si>
    <t>Year 7 Weekly Allowance</t>
  </si>
  <si>
    <t>Year 7 Bank after Annual Fees</t>
  </si>
  <si>
    <t>Year 7 Profits</t>
  </si>
  <si>
    <t>End of Year 7 Bank</t>
  </si>
  <si>
    <t>Yeaar 8 Bank after Annual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</si>
</sst>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D1637-7B88-4603-97D5-D16C73C529AA}">
  <dimension ref="A1:N29"/>
  <sheetViews>
    <sheetView zoomScale="119" zoomScaleNormal="119" workbookViewId="0">
      <selection activeCell="J14" sqref="J14"/>
    </sheetView>
  </sheetViews>
  <sheetFormatPr baseColWidth="10" defaultColWidth="8.83203125" defaultRowHeight="15" x14ac:dyDescent="0.2"/>
  <cols>
    <col min="1" max="1" width="26.1640625" bestFit="1" customWidth="1"/>
    <col min="5" max="5" width="15.1640625" bestFit="1" customWidth="1"/>
  </cols>
  <sheetData>
    <row r="1" spans="1:13" x14ac:dyDescent="0.2">
      <c r="B1" t="s">
        <v>2</v>
      </c>
      <c r="C1" t="s">
        <v>3</v>
      </c>
      <c r="D1" t="s">
        <v>5</v>
      </c>
    </row>
    <row r="2" spans="1:13" x14ac:dyDescent="0.2">
      <c r="A2" t="s">
        <v>0</v>
      </c>
      <c r="B2">
        <f>3+6.7</f>
        <v>9.6999999999999993</v>
      </c>
      <c r="C2">
        <f>B2*2</f>
        <v>19.399999999999999</v>
      </c>
      <c r="D2">
        <f>C2*52</f>
        <v>1008.8</v>
      </c>
    </row>
    <row r="3" spans="1:13" x14ac:dyDescent="0.2">
      <c r="A3" t="s">
        <v>1</v>
      </c>
      <c r="B3">
        <v>1.5920000000000001</v>
      </c>
      <c r="C3">
        <v>1.5920000000000001</v>
      </c>
    </row>
    <row r="4" spans="1:13" x14ac:dyDescent="0.2">
      <c r="A4" t="s">
        <v>4</v>
      </c>
    </row>
    <row r="7" spans="1:13" x14ac:dyDescent="0.2">
      <c r="H7">
        <f>0.76*240000</f>
        <v>182400</v>
      </c>
    </row>
    <row r="8" spans="1:13" x14ac:dyDescent="0.2">
      <c r="H8">
        <f>H7*0.1</f>
        <v>18240</v>
      </c>
    </row>
    <row r="9" spans="1:13" x14ac:dyDescent="0.2">
      <c r="B9" t="s">
        <v>13</v>
      </c>
      <c r="C9" t="s">
        <v>14</v>
      </c>
      <c r="D9" t="s">
        <v>16</v>
      </c>
      <c r="G9">
        <f>H8*0.2</f>
        <v>3648</v>
      </c>
    </row>
    <row r="10" spans="1:13" x14ac:dyDescent="0.2">
      <c r="A10" t="s">
        <v>6</v>
      </c>
      <c r="B10">
        <f>33000/5</f>
        <v>6600</v>
      </c>
      <c r="C10">
        <f>B10/52</f>
        <v>126.92307692307692</v>
      </c>
      <c r="D10">
        <f>C10/$H$14</f>
        <v>0.71627018579614521</v>
      </c>
    </row>
    <row r="11" spans="1:13" x14ac:dyDescent="0.2">
      <c r="A11" t="s">
        <v>7</v>
      </c>
      <c r="B11">
        <f>100*12</f>
        <v>1200</v>
      </c>
      <c r="C11">
        <f t="shared" ref="C11:C15" si="0">B11/52</f>
        <v>23.076923076923077</v>
      </c>
      <c r="D11">
        <f t="shared" ref="D11:D17" si="1">C11/$H$14</f>
        <v>0.13023094287202641</v>
      </c>
    </row>
    <row r="12" spans="1:13" x14ac:dyDescent="0.2">
      <c r="A12" t="s">
        <v>8</v>
      </c>
      <c r="B12">
        <v>1000</v>
      </c>
      <c r="C12">
        <f t="shared" si="0"/>
        <v>19.23076923076923</v>
      </c>
      <c r="D12">
        <f t="shared" si="1"/>
        <v>0.10852578572668867</v>
      </c>
    </row>
    <row r="13" spans="1:13" x14ac:dyDescent="0.2">
      <c r="A13" t="s">
        <v>9</v>
      </c>
      <c r="B13">
        <f>2*10*2*2.5*52</f>
        <v>5200</v>
      </c>
      <c r="C13">
        <f t="shared" si="0"/>
        <v>100</v>
      </c>
      <c r="D13">
        <f t="shared" si="1"/>
        <v>0.56433408577878108</v>
      </c>
      <c r="M13">
        <f>6224/52</f>
        <v>119.69230769230769</v>
      </c>
    </row>
    <row r="14" spans="1:13" x14ac:dyDescent="0.2">
      <c r="A14" t="s">
        <v>10</v>
      </c>
      <c r="B14">
        <f>10*4*2*2*52</f>
        <v>8320</v>
      </c>
      <c r="C14">
        <f t="shared" si="0"/>
        <v>160</v>
      </c>
      <c r="D14">
        <f t="shared" si="1"/>
        <v>0.90293453724604977</v>
      </c>
      <c r="H14">
        <f>886/5</f>
        <v>177.2</v>
      </c>
      <c r="I14">
        <f>H14*I20</f>
        <v>824.96923076923076</v>
      </c>
      <c r="J14" s="1">
        <f>52*I14+12*5*H14</f>
        <v>53530.400000000001</v>
      </c>
    </row>
    <row r="15" spans="1:13" x14ac:dyDescent="0.2">
      <c r="A15" t="s">
        <v>11</v>
      </c>
      <c r="B15">
        <f>10*8*2*52</f>
        <v>8320</v>
      </c>
      <c r="C15">
        <f t="shared" si="0"/>
        <v>160</v>
      </c>
      <c r="D15">
        <f t="shared" si="1"/>
        <v>0.90293453724604977</v>
      </c>
      <c r="H15">
        <f>5/886</f>
        <v>5.6433408577878106E-3</v>
      </c>
    </row>
    <row r="16" spans="1:13" x14ac:dyDescent="0.2">
      <c r="A16" t="s">
        <v>12</v>
      </c>
      <c r="B16">
        <f>0.085*10*2*2*52</f>
        <v>176.8</v>
      </c>
      <c r="C16">
        <f>B16/52</f>
        <v>3.4000000000000004</v>
      </c>
      <c r="D16">
        <f t="shared" si="1"/>
        <v>1.9187358916478558E-2</v>
      </c>
    </row>
    <row r="17" spans="1:14" x14ac:dyDescent="0.2">
      <c r="A17" t="s">
        <v>15</v>
      </c>
      <c r="B17">
        <f>SUM(B10:B16)</f>
        <v>30816.799999999999</v>
      </c>
      <c r="C17">
        <f>SUM(C10:C16)</f>
        <v>592.63076923076926</v>
      </c>
      <c r="D17">
        <f t="shared" si="1"/>
        <v>3.3444174335822194</v>
      </c>
      <c r="I17">
        <f>240*0.05</f>
        <v>12</v>
      </c>
      <c r="K17">
        <v>33000</v>
      </c>
    </row>
    <row r="18" spans="1:14" x14ac:dyDescent="0.2">
      <c r="E18" t="s">
        <v>17</v>
      </c>
      <c r="F18">
        <f>D17/180</f>
        <v>1.8580096853234553E-2</v>
      </c>
      <c r="K18">
        <f>K17-B10</f>
        <v>26400</v>
      </c>
    </row>
    <row r="19" spans="1:14" x14ac:dyDescent="0.2">
      <c r="F19">
        <f>D17*2</f>
        <v>6.6888348671644389</v>
      </c>
      <c r="K19">
        <f>K18-G26</f>
        <v>14318.400000000001</v>
      </c>
      <c r="N19">
        <f>I14/19.04</f>
        <v>43.328215901745317</v>
      </c>
    </row>
    <row r="20" spans="1:14" x14ac:dyDescent="0.2">
      <c r="H20">
        <f>(8-D17)/180</f>
        <v>2.5864347591209893E-2</v>
      </c>
      <c r="I20">
        <f>H20*180</f>
        <v>4.655582566417781</v>
      </c>
      <c r="N20">
        <f>I14/5.04</f>
        <v>163.68437118437117</v>
      </c>
    </row>
    <row r="21" spans="1:14" x14ac:dyDescent="0.2">
      <c r="I21">
        <f>74*H20</f>
        <v>1.9139617217495322</v>
      </c>
    </row>
    <row r="23" spans="1:14" x14ac:dyDescent="0.2">
      <c r="B23">
        <v>3862</v>
      </c>
      <c r="C23">
        <f>B23/52</f>
        <v>74.269230769230774</v>
      </c>
      <c r="D23">
        <f>D17+H20*C23</f>
        <v>5.2653426335293849</v>
      </c>
      <c r="E23">
        <f>I14/D23</f>
        <v>156.6791162869205</v>
      </c>
    </row>
    <row r="24" spans="1:14" x14ac:dyDescent="0.2">
      <c r="C24">
        <f>C23/180</f>
        <v>0.41260683760683764</v>
      </c>
      <c r="K24">
        <f>254/4</f>
        <v>63.5</v>
      </c>
    </row>
    <row r="25" spans="1:14" x14ac:dyDescent="0.2">
      <c r="C25">
        <f>5*C24</f>
        <v>2.0630341880341883</v>
      </c>
      <c r="M25">
        <f>177*5</f>
        <v>885</v>
      </c>
    </row>
    <row r="26" spans="1:14" x14ac:dyDescent="0.2">
      <c r="C26">
        <f>886/C25</f>
        <v>429.46452615225269</v>
      </c>
      <c r="D26">
        <f>886/D17</f>
        <v>264.9190830975312</v>
      </c>
      <c r="F26">
        <f>I14-C17</f>
        <v>232.3384615384615</v>
      </c>
      <c r="G26">
        <f>F26*52</f>
        <v>12081.599999999999</v>
      </c>
      <c r="K26">
        <f>886*52</f>
        <v>46072</v>
      </c>
      <c r="M26">
        <f>177*5*52</f>
        <v>46020</v>
      </c>
    </row>
    <row r="29" spans="1:14" x14ac:dyDescent="0.2">
      <c r="E29">
        <f>D17+C23*H20</f>
        <v>5.2653426335293849</v>
      </c>
      <c r="F29">
        <f>I14/E29</f>
        <v>156.6791162869205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0B381-732B-C445-90F5-899D5BF46C06}">
  <dimension ref="A1:S35"/>
  <sheetViews>
    <sheetView tabSelected="1" zoomScale="119" zoomScaleNormal="119" workbookViewId="0">
      <selection activeCell="P16" sqref="P16"/>
    </sheetView>
  </sheetViews>
  <sheetFormatPr baseColWidth="10" defaultColWidth="8.83203125" defaultRowHeight="15" x14ac:dyDescent="0.2"/>
  <cols>
    <col min="1" max="1" width="26.1640625" bestFit="1" customWidth="1"/>
    <col min="5" max="5" width="15.1640625" bestFit="1" customWidth="1"/>
    <col min="15" max="15" width="28.33203125" bestFit="1" customWidth="1"/>
    <col min="18" max="18" width="12.1640625" bestFit="1" customWidth="1"/>
  </cols>
  <sheetData>
    <row r="1" spans="1:19" x14ac:dyDescent="0.2">
      <c r="B1" t="s">
        <v>2</v>
      </c>
      <c r="C1" t="s">
        <v>3</v>
      </c>
      <c r="D1" t="s">
        <v>5</v>
      </c>
      <c r="P1" t="s">
        <v>33</v>
      </c>
      <c r="R1" t="s">
        <v>34</v>
      </c>
    </row>
    <row r="2" spans="1:19" x14ac:dyDescent="0.2">
      <c r="A2" t="s">
        <v>0</v>
      </c>
      <c r="B2">
        <f>3+6.7</f>
        <v>9.6999999999999993</v>
      </c>
      <c r="C2">
        <f>B2*2</f>
        <v>19.399999999999999</v>
      </c>
      <c r="D2">
        <f>C2*52</f>
        <v>1008.8</v>
      </c>
      <c r="O2" t="s">
        <v>20</v>
      </c>
      <c r="P2">
        <f>J14</f>
        <v>53530.400000000001</v>
      </c>
      <c r="R2">
        <f>J14-B18</f>
        <v>46250.265599999999</v>
      </c>
      <c r="S2" t="s">
        <v>20</v>
      </c>
    </row>
    <row r="3" spans="1:19" x14ac:dyDescent="0.2">
      <c r="A3" t="s">
        <v>1</v>
      </c>
      <c r="B3">
        <v>1.5920000000000001</v>
      </c>
      <c r="C3">
        <v>1.5920000000000001</v>
      </c>
      <c r="O3" t="s">
        <v>21</v>
      </c>
      <c r="P3">
        <f>P2-B17</f>
        <v>22713.600000000002</v>
      </c>
      <c r="R3">
        <f>R2-B17</f>
        <v>15433.4656</v>
      </c>
      <c r="S3" t="s">
        <v>21</v>
      </c>
    </row>
    <row r="4" spans="1:19" x14ac:dyDescent="0.2">
      <c r="A4" t="s">
        <v>4</v>
      </c>
    </row>
    <row r="5" spans="1:19" x14ac:dyDescent="0.2">
      <c r="O5" t="s">
        <v>22</v>
      </c>
      <c r="P5">
        <f>J14</f>
        <v>53530.400000000001</v>
      </c>
      <c r="R5">
        <f>K14</f>
        <v>46250.265599999999</v>
      </c>
      <c r="S5" t="s">
        <v>22</v>
      </c>
    </row>
    <row r="6" spans="1:19" x14ac:dyDescent="0.2">
      <c r="O6" t="s">
        <v>23</v>
      </c>
      <c r="P6">
        <f>P5+P3</f>
        <v>76244</v>
      </c>
      <c r="R6">
        <f>R3+R5</f>
        <v>61683.731199999995</v>
      </c>
      <c r="S6" t="s">
        <v>23</v>
      </c>
    </row>
    <row r="7" spans="1:19" x14ac:dyDescent="0.2">
      <c r="H7">
        <f>0.76*240000</f>
        <v>182400</v>
      </c>
    </row>
    <row r="8" spans="1:19" x14ac:dyDescent="0.2">
      <c r="H8">
        <f>H7*0.1</f>
        <v>18240</v>
      </c>
      <c r="O8" t="s">
        <v>24</v>
      </c>
      <c r="P8">
        <f>P6-B17</f>
        <v>45427.199999999997</v>
      </c>
      <c r="R8">
        <f>R6-B17-B18</f>
        <v>23586.796799999996</v>
      </c>
      <c r="S8" t="s">
        <v>24</v>
      </c>
    </row>
    <row r="9" spans="1:19" x14ac:dyDescent="0.2">
      <c r="B9" t="s">
        <v>13</v>
      </c>
      <c r="C9" t="s">
        <v>14</v>
      </c>
      <c r="D9" t="s">
        <v>16</v>
      </c>
      <c r="G9">
        <f>H8*0.2</f>
        <v>3648</v>
      </c>
      <c r="O9" t="s">
        <v>25</v>
      </c>
      <c r="P9">
        <f>P8-B17</f>
        <v>14610.399999999998</v>
      </c>
      <c r="R9" t="s">
        <v>35</v>
      </c>
      <c r="S9" t="s">
        <v>25</v>
      </c>
    </row>
    <row r="10" spans="1:19" x14ac:dyDescent="0.2">
      <c r="A10" t="s">
        <v>6</v>
      </c>
      <c r="B10">
        <f>33000/5</f>
        <v>6600</v>
      </c>
      <c r="C10">
        <f>B10/52</f>
        <v>126.92307692307692</v>
      </c>
      <c r="D10">
        <f>C10/$H$14</f>
        <v>0.71627018579614521</v>
      </c>
      <c r="E10" t="s">
        <v>18</v>
      </c>
    </row>
    <row r="11" spans="1:19" x14ac:dyDescent="0.2">
      <c r="A11" t="s">
        <v>7</v>
      </c>
      <c r="B11">
        <f>100*12</f>
        <v>1200</v>
      </c>
      <c r="C11">
        <f t="shared" ref="C11:C15" si="0">B11/52</f>
        <v>23.076923076923077</v>
      </c>
      <c r="D11">
        <f t="shared" ref="D11:D17" si="1">C11/$H$14</f>
        <v>0.13023094287202641</v>
      </c>
      <c r="O11" t="s">
        <v>26</v>
      </c>
      <c r="P11">
        <f>P9+J14*2</f>
        <v>121671.2</v>
      </c>
      <c r="R11">
        <f>R8+K14</f>
        <v>69837.062399999995</v>
      </c>
      <c r="S11" t="s">
        <v>26</v>
      </c>
    </row>
    <row r="12" spans="1:19" x14ac:dyDescent="0.2">
      <c r="A12" t="s">
        <v>8</v>
      </c>
      <c r="B12">
        <v>1000</v>
      </c>
      <c r="C12">
        <f t="shared" si="0"/>
        <v>19.23076923076923</v>
      </c>
      <c r="D12">
        <f t="shared" si="1"/>
        <v>0.10852578572668867</v>
      </c>
      <c r="O12" t="s">
        <v>27</v>
      </c>
      <c r="P12">
        <f>P11-2*B17</f>
        <v>60037.599999999999</v>
      </c>
      <c r="R12">
        <f>R11-B17-B18</f>
        <v>31740.12799999999</v>
      </c>
      <c r="S12" t="s">
        <v>27</v>
      </c>
    </row>
    <row r="13" spans="1:19" x14ac:dyDescent="0.2">
      <c r="A13" t="s">
        <v>9</v>
      </c>
      <c r="B13">
        <f>2*10*2*2.5*52</f>
        <v>5200</v>
      </c>
      <c r="C13">
        <f t="shared" si="0"/>
        <v>100</v>
      </c>
      <c r="D13">
        <f t="shared" si="1"/>
        <v>0.56433408577878108</v>
      </c>
      <c r="J13" t="s">
        <v>19</v>
      </c>
      <c r="M13">
        <f>6224/52</f>
        <v>119.69230769230769</v>
      </c>
    </row>
    <row r="14" spans="1:19" x14ac:dyDescent="0.2">
      <c r="A14" t="s">
        <v>10</v>
      </c>
      <c r="B14">
        <f>10*4*2*2*52</f>
        <v>8320</v>
      </c>
      <c r="C14">
        <f t="shared" si="0"/>
        <v>160</v>
      </c>
      <c r="D14">
        <f t="shared" si="1"/>
        <v>0.90293453724604977</v>
      </c>
      <c r="H14">
        <f>886/5</f>
        <v>177.2</v>
      </c>
      <c r="I14" s="1">
        <f>H14*I20</f>
        <v>824.96923076923076</v>
      </c>
      <c r="J14">
        <f>52*I14+12*5*H14</f>
        <v>53530.400000000001</v>
      </c>
      <c r="K14">
        <f>J14-B18</f>
        <v>46250.265599999999</v>
      </c>
      <c r="R14">
        <f>K14</f>
        <v>46250.265599999999</v>
      </c>
      <c r="S14" t="s">
        <v>36</v>
      </c>
    </row>
    <row r="15" spans="1:19" x14ac:dyDescent="0.2">
      <c r="A15" t="s">
        <v>11</v>
      </c>
      <c r="B15">
        <f>10*8*2*52</f>
        <v>8320</v>
      </c>
      <c r="C15">
        <f t="shared" si="0"/>
        <v>160</v>
      </c>
      <c r="D15">
        <f t="shared" si="1"/>
        <v>0.90293453724604977</v>
      </c>
      <c r="H15">
        <f>5/886</f>
        <v>5.6433408577878106E-3</v>
      </c>
      <c r="O15" t="s">
        <v>31</v>
      </c>
      <c r="P15">
        <f>P12/52</f>
        <v>1154.5692307692307</v>
      </c>
      <c r="R15">
        <f>R14+R12</f>
        <v>77990.393599999981</v>
      </c>
      <c r="S15" t="s">
        <v>28</v>
      </c>
    </row>
    <row r="16" spans="1:19" x14ac:dyDescent="0.2">
      <c r="A16" t="s">
        <v>12</v>
      </c>
      <c r="B16">
        <f>0.085*10*2*2*52</f>
        <v>176.8</v>
      </c>
      <c r="C16">
        <f>B16/52</f>
        <v>3.4000000000000004</v>
      </c>
      <c r="D16">
        <f t="shared" si="1"/>
        <v>1.9187358916478558E-2</v>
      </c>
      <c r="O16" t="s">
        <v>30</v>
      </c>
      <c r="P16">
        <f>177*(D17+5/4)</f>
        <v>813.21188574405278</v>
      </c>
    </row>
    <row r="17" spans="1:19" x14ac:dyDescent="0.2">
      <c r="A17" t="s">
        <v>15</v>
      </c>
      <c r="B17">
        <f>SUM(B10:B16)</f>
        <v>30816.799999999999</v>
      </c>
      <c r="C17">
        <f>SUM(C10:C16)</f>
        <v>592.63076923076926</v>
      </c>
      <c r="D17">
        <f t="shared" si="1"/>
        <v>3.3444174335822194</v>
      </c>
      <c r="I17">
        <f>240*0.05</f>
        <v>12</v>
      </c>
      <c r="K17">
        <v>33000</v>
      </c>
      <c r="O17" t="s">
        <v>32</v>
      </c>
      <c r="P17">
        <f>P16*52</f>
        <v>42287.018058690745</v>
      </c>
      <c r="R17">
        <f>R15-B17-B18</f>
        <v>39893.459199999976</v>
      </c>
      <c r="S17" t="s">
        <v>29</v>
      </c>
    </row>
    <row r="18" spans="1:19" x14ac:dyDescent="0.2">
      <c r="B18">
        <f>0.136*J14</f>
        <v>7280.1344000000008</v>
      </c>
      <c r="E18" t="s">
        <v>17</v>
      </c>
      <c r="F18">
        <f>D17/180</f>
        <v>1.8580096853234553E-2</v>
      </c>
      <c r="K18">
        <f>K17-B10</f>
        <v>26400</v>
      </c>
      <c r="R18">
        <f>R17-B17-B18</f>
        <v>1796.5247999999756</v>
      </c>
      <c r="S18" t="s">
        <v>37</v>
      </c>
    </row>
    <row r="19" spans="1:19" x14ac:dyDescent="0.2">
      <c r="B19">
        <f>B18/4</f>
        <v>1820.0336000000002</v>
      </c>
      <c r="F19">
        <f>D17*2</f>
        <v>6.6888348671644389</v>
      </c>
      <c r="K19">
        <f>K18-G26</f>
        <v>14318.400000000001</v>
      </c>
      <c r="N19">
        <f>I14/19.04</f>
        <v>43.328215901745317</v>
      </c>
      <c r="O19" t="s">
        <v>28</v>
      </c>
      <c r="P19">
        <f>J14*2+P12-P17</f>
        <v>124811.38194130926</v>
      </c>
    </row>
    <row r="20" spans="1:19" x14ac:dyDescent="0.2">
      <c r="B20">
        <f>B19/52</f>
        <v>35.000646153846155</v>
      </c>
      <c r="H20">
        <f>(8-D17)/180</f>
        <v>2.5864347591209893E-2</v>
      </c>
      <c r="I20">
        <f>H20*180</f>
        <v>4.655582566417781</v>
      </c>
      <c r="N20">
        <f>I14/5.04</f>
        <v>163.68437118437117</v>
      </c>
      <c r="O20" t="s">
        <v>29</v>
      </c>
      <c r="P20">
        <f>P19-B17*2</f>
        <v>63177.781941309258</v>
      </c>
      <c r="R20">
        <f>R18+K14*2</f>
        <v>94297.055999999968</v>
      </c>
      <c r="S20" t="s">
        <v>38</v>
      </c>
    </row>
    <row r="21" spans="1:19" x14ac:dyDescent="0.2">
      <c r="I21">
        <f>74*H20</f>
        <v>1.9139617217495322</v>
      </c>
      <c r="R21">
        <f>R20-2*(B17+B18)</f>
        <v>18103.187199999971</v>
      </c>
      <c r="S21" t="s">
        <v>39</v>
      </c>
    </row>
    <row r="23" spans="1:19" x14ac:dyDescent="0.2">
      <c r="B23">
        <v>3862</v>
      </c>
      <c r="C23">
        <f>B23/52</f>
        <v>74.269230769230774</v>
      </c>
      <c r="D23">
        <f>D17+H20*C23</f>
        <v>5.2653426335293849</v>
      </c>
      <c r="E23">
        <f>I14/D23</f>
        <v>156.6791162869205</v>
      </c>
      <c r="R23">
        <f>K14*2</f>
        <v>92500.531199999998</v>
      </c>
      <c r="S23" t="s">
        <v>40</v>
      </c>
    </row>
    <row r="24" spans="1:19" x14ac:dyDescent="0.2">
      <c r="C24">
        <f>C23/180</f>
        <v>0.41260683760683764</v>
      </c>
      <c r="K24">
        <f>254/4</f>
        <v>63.5</v>
      </c>
      <c r="R24">
        <f>R21+R23</f>
        <v>110603.71839999997</v>
      </c>
      <c r="S24" t="s">
        <v>41</v>
      </c>
    </row>
    <row r="25" spans="1:19" x14ac:dyDescent="0.2">
      <c r="C25">
        <f>5*C24</f>
        <v>2.0630341880341883</v>
      </c>
      <c r="M25">
        <f>177*5</f>
        <v>885</v>
      </c>
    </row>
    <row r="26" spans="1:19" x14ac:dyDescent="0.2">
      <c r="C26">
        <f>886/C25</f>
        <v>429.46452615225269</v>
      </c>
      <c r="D26">
        <f>886/D17</f>
        <v>264.9190830975312</v>
      </c>
      <c r="F26">
        <f>I14-C17</f>
        <v>232.3384615384615</v>
      </c>
      <c r="G26">
        <f>F26*52</f>
        <v>12081.599999999999</v>
      </c>
      <c r="K26">
        <f>886*52</f>
        <v>46072</v>
      </c>
      <c r="M26">
        <f>177*5*52</f>
        <v>46020</v>
      </c>
      <c r="R26">
        <f>R24-2*(B17+B18)</f>
        <v>34409.849599999972</v>
      </c>
      <c r="S26" t="s">
        <v>43</v>
      </c>
    </row>
    <row r="27" spans="1:19" x14ac:dyDescent="0.2">
      <c r="R27">
        <f>R26/52</f>
        <v>661.72787692307634</v>
      </c>
      <c r="S27" t="s">
        <v>42</v>
      </c>
    </row>
    <row r="29" spans="1:19" x14ac:dyDescent="0.2">
      <c r="R29">
        <f>177*(D17+5/4)</f>
        <v>813.21188574405278</v>
      </c>
      <c r="S29" t="s">
        <v>30</v>
      </c>
    </row>
    <row r="30" spans="1:19" x14ac:dyDescent="0.2">
      <c r="D30">
        <f>22730.4/52</f>
        <v>437.12307692307695</v>
      </c>
      <c r="R30">
        <f>R29*52</f>
        <v>42287.018058690745</v>
      </c>
      <c r="S30" t="s">
        <v>32</v>
      </c>
    </row>
    <row r="31" spans="1:19" x14ac:dyDescent="0.2">
      <c r="C31">
        <f>10000/52</f>
        <v>192.30769230769232</v>
      </c>
      <c r="D31">
        <f>D30/5.04</f>
        <v>86.730769230769241</v>
      </c>
    </row>
    <row r="32" spans="1:19" x14ac:dyDescent="0.2">
      <c r="C32">
        <f>192/5.04</f>
        <v>38.095238095238095</v>
      </c>
      <c r="R32">
        <f>K14*2</f>
        <v>92500.531199999998</v>
      </c>
      <c r="S32" t="s">
        <v>44</v>
      </c>
    </row>
    <row r="33" spans="18:19" x14ac:dyDescent="0.2">
      <c r="R33">
        <f>R32+R26-R30</f>
        <v>84623.362741309218</v>
      </c>
      <c r="S33" t="s">
        <v>45</v>
      </c>
    </row>
    <row r="35" spans="18:19" x14ac:dyDescent="0.2">
      <c r="R35">
        <f>R33-2*(B17+B18)</f>
        <v>8429.4939413092216</v>
      </c>
      <c r="S35" t="s">
        <v>46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Year_1</vt:lpstr>
      <vt:lpstr>Year_2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Akhilesh Yeluru</dc:creator>
  <cp:lastModifiedBy>Microsoft Office User</cp:lastModifiedBy>
  <dcterms:created xsi:type="dcterms:W3CDTF">2018-09-09T00:14:32Z</dcterms:created>
  <dcterms:modified xsi:type="dcterms:W3CDTF">2018-09-09T12:09:14Z</dcterms:modified>
</cp:coreProperties>
</file>