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garmarathe/Desktop/vale/docs project/"/>
    </mc:Choice>
  </mc:AlternateContent>
  <xr:revisionPtr revIDLastSave="0" documentId="13_ncr:1_{ABA88240-F179-514C-9654-450E6A8A169E}" xr6:coauthVersionLast="47" xr6:coauthVersionMax="47" xr10:uidLastSave="{00000000-0000-0000-0000-000000000000}"/>
  <bookViews>
    <workbookView xWindow="0" yWindow="760" windowWidth="30240" windowHeight="17360" activeTab="3" xr2:uid="{00000000-000D-0000-FFFF-FFFF00000000}"/>
  </bookViews>
  <sheets>
    <sheet name="production &amp; revenueforecast" sheetId="3" r:id="rId1"/>
    <sheet name="iron ore prices analysis" sheetId="5" r:id="rId2"/>
    <sheet name="modelling and valuation" sheetId="1" r:id="rId3"/>
    <sheet name="relative valuation" sheetId="4" r:id="rId4"/>
    <sheet name="Relative valuation regression" sheetId="6" r:id="rId5"/>
    <sheet name="Rel valun equation regression " sheetId="7" r:id="rId6"/>
  </sheets>
  <externalReferences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8" i="4" l="1"/>
  <c r="S48" i="4"/>
  <c r="R48" i="4"/>
  <c r="C54" i="4"/>
  <c r="C53" i="4"/>
  <c r="C52" i="4"/>
  <c r="C62" i="4"/>
  <c r="C61" i="4"/>
  <c r="J80" i="4"/>
  <c r="I80" i="4"/>
  <c r="H80" i="4"/>
  <c r="G80" i="4"/>
  <c r="E159" i="1"/>
  <c r="F159" i="1" s="1"/>
  <c r="G159" i="1" s="1"/>
  <c r="H159" i="1" s="1"/>
  <c r="I159" i="1" s="1"/>
  <c r="J159" i="1" s="1"/>
  <c r="K159" i="1" s="1"/>
  <c r="E215" i="1"/>
  <c r="F215" i="1" s="1"/>
  <c r="G215" i="1" s="1"/>
  <c r="H215" i="1" s="1"/>
  <c r="I215" i="1" s="1"/>
  <c r="J215" i="1" s="1"/>
  <c r="K215" i="1" s="1"/>
  <c r="K201" i="1"/>
  <c r="E201" i="1"/>
  <c r="K223" i="1"/>
  <c r="J223" i="1"/>
  <c r="J201" i="1" s="1"/>
  <c r="I223" i="1"/>
  <c r="I201" i="1" s="1"/>
  <c r="H223" i="1"/>
  <c r="H201" i="1" s="1"/>
  <c r="G223" i="1"/>
  <c r="G201" i="1" s="1"/>
  <c r="F223" i="1"/>
  <c r="F201" i="1" s="1"/>
  <c r="E223" i="1"/>
  <c r="E221" i="1"/>
  <c r="E199" i="1" s="1"/>
  <c r="D143" i="1"/>
  <c r="G60" i="1" s="1"/>
  <c r="N39" i="4"/>
  <c r="M48" i="5"/>
  <c r="K45" i="5"/>
  <c r="F45" i="5"/>
  <c r="K44" i="5"/>
  <c r="F44" i="5"/>
  <c r="K43" i="5"/>
  <c r="F43" i="5"/>
  <c r="K42" i="5"/>
  <c r="L42" i="5" s="1"/>
  <c r="F42" i="5"/>
  <c r="I42" i="5" s="1"/>
  <c r="K41" i="5"/>
  <c r="F41" i="5"/>
  <c r="F39" i="5"/>
  <c r="I41" i="5" s="1"/>
  <c r="N38" i="4"/>
  <c r="R44" i="4"/>
  <c r="S44" i="4"/>
  <c r="T44" i="4"/>
  <c r="R45" i="4"/>
  <c r="S45" i="4"/>
  <c r="T45" i="4"/>
  <c r="R46" i="4"/>
  <c r="S46" i="4"/>
  <c r="T46" i="4"/>
  <c r="R47" i="4"/>
  <c r="S47" i="4"/>
  <c r="T47" i="4"/>
  <c r="P47" i="4"/>
  <c r="P46" i="4"/>
  <c r="P45" i="4"/>
  <c r="P44" i="4"/>
  <c r="C31" i="3"/>
  <c r="F39" i="4"/>
  <c r="F40" i="4"/>
  <c r="F38" i="4"/>
  <c r="N262" i="1"/>
  <c r="N261" i="1"/>
  <c r="E222" i="1" l="1"/>
  <c r="E200" i="1" s="1"/>
  <c r="E203" i="1" s="1"/>
  <c r="E225" i="1"/>
  <c r="K60" i="1"/>
  <c r="F60" i="1"/>
  <c r="E60" i="1"/>
  <c r="E143" i="1" s="1"/>
  <c r="J60" i="1"/>
  <c r="I60" i="1"/>
  <c r="H60" i="1"/>
  <c r="U38" i="4"/>
  <c r="C55" i="4" s="1"/>
  <c r="U40" i="4"/>
  <c r="U39" i="4"/>
  <c r="L41" i="5"/>
  <c r="L45" i="5"/>
  <c r="J42" i="5"/>
  <c r="I45" i="5"/>
  <c r="I43" i="5"/>
  <c r="I44" i="5"/>
  <c r="J44" i="5" s="1"/>
  <c r="H264" i="1"/>
  <c r="B261" i="1"/>
  <c r="H257" i="1" s="1"/>
  <c r="F19" i="3"/>
  <c r="G19" i="3"/>
  <c r="H19" i="3"/>
  <c r="I19" i="3"/>
  <c r="J19" i="3"/>
  <c r="K19" i="3"/>
  <c r="E19" i="3"/>
  <c r="F18" i="3"/>
  <c r="G18" i="3"/>
  <c r="H18" i="3"/>
  <c r="I18" i="3"/>
  <c r="J18" i="3"/>
  <c r="K18" i="3"/>
  <c r="E18" i="3"/>
  <c r="E17" i="3"/>
  <c r="H36" i="3"/>
  <c r="G36" i="3"/>
  <c r="F36" i="3"/>
  <c r="E36" i="3"/>
  <c r="D36" i="3"/>
  <c r="C36" i="3"/>
  <c r="C34" i="3"/>
  <c r="D34" i="3" s="1"/>
  <c r="E34" i="3" s="1"/>
  <c r="F34" i="3" s="1"/>
  <c r="G34" i="3" s="1"/>
  <c r="H34" i="3" s="1"/>
  <c r="K17" i="3"/>
  <c r="G17" i="3"/>
  <c r="F16" i="3"/>
  <c r="G16" i="3" s="1"/>
  <c r="H16" i="3" s="1"/>
  <c r="I16" i="3" s="1"/>
  <c r="J16" i="3" s="1"/>
  <c r="K16" i="3" s="1"/>
  <c r="K13" i="3"/>
  <c r="J13" i="3"/>
  <c r="I13" i="3"/>
  <c r="H13" i="3"/>
  <c r="G13" i="3"/>
  <c r="F13" i="3"/>
  <c r="E13" i="3"/>
  <c r="D13" i="3"/>
  <c r="K11" i="3"/>
  <c r="J11" i="3"/>
  <c r="I11" i="3"/>
  <c r="H11" i="3"/>
  <c r="G11" i="3"/>
  <c r="F11" i="3"/>
  <c r="E11" i="3"/>
  <c r="D11" i="3"/>
  <c r="K9" i="3"/>
  <c r="J9" i="3"/>
  <c r="I9" i="3"/>
  <c r="H9" i="3"/>
  <c r="G9" i="3"/>
  <c r="F9" i="3"/>
  <c r="E9" i="3"/>
  <c r="D9" i="3"/>
  <c r="K7" i="3"/>
  <c r="J7" i="3"/>
  <c r="J17" i="3" s="1"/>
  <c r="I7" i="3"/>
  <c r="I17" i="3" s="1"/>
  <c r="H7" i="3"/>
  <c r="H17" i="3" s="1"/>
  <c r="G7" i="3"/>
  <c r="F7" i="3"/>
  <c r="F17" i="3" s="1"/>
  <c r="E7" i="3"/>
  <c r="D7" i="3"/>
  <c r="D5" i="3"/>
  <c r="E5" i="3" s="1"/>
  <c r="F5" i="3" s="1"/>
  <c r="G5" i="3" s="1"/>
  <c r="H5" i="3" s="1"/>
  <c r="I5" i="3" s="1"/>
  <c r="J5" i="3" s="1"/>
  <c r="K5" i="3" s="1"/>
  <c r="F222" i="1" l="1"/>
  <c r="F200" i="1" s="1"/>
  <c r="G222" i="1"/>
  <c r="G200" i="1" s="1"/>
  <c r="F143" i="1"/>
  <c r="G143" i="1" s="1"/>
  <c r="H143" i="1" s="1"/>
  <c r="I143" i="1" s="1"/>
  <c r="J143" i="1" s="1"/>
  <c r="K143" i="1" s="1"/>
  <c r="J43" i="5"/>
  <c r="L43" i="5"/>
  <c r="L44" i="5"/>
  <c r="L48" i="5" s="1"/>
  <c r="J45" i="5"/>
  <c r="J48" i="5"/>
  <c r="I48" i="5"/>
  <c r="K21" i="3"/>
  <c r="H222" i="1" l="1"/>
  <c r="H200" i="1" s="1"/>
  <c r="C351" i="1"/>
  <c r="C353" i="1" s="1"/>
  <c r="C354" i="1" s="1"/>
  <c r="I222" i="1" l="1"/>
  <c r="I200" i="1" s="1"/>
  <c r="B355" i="1"/>
  <c r="B360" i="1" s="1"/>
  <c r="C59" i="4" s="1"/>
  <c r="K222" i="1" l="1"/>
  <c r="K200" i="1" s="1"/>
  <c r="J222" i="1"/>
  <c r="J200" i="1" s="1"/>
  <c r="E313" i="1"/>
  <c r="D313" i="1"/>
  <c r="C313" i="1"/>
  <c r="B313" i="1"/>
  <c r="E311" i="1"/>
  <c r="D311" i="1"/>
  <c r="C311" i="1"/>
  <c r="B311" i="1"/>
  <c r="E312" i="1"/>
  <c r="D312" i="1"/>
  <c r="C312" i="1"/>
  <c r="B312" i="1"/>
  <c r="E314" i="1"/>
  <c r="D314" i="1"/>
  <c r="C314" i="1"/>
  <c r="B314" i="1"/>
  <c r="E315" i="1"/>
  <c r="D315" i="1"/>
  <c r="C315" i="1"/>
  <c r="B315" i="1"/>
  <c r="C310" i="1"/>
  <c r="D310" i="1" s="1"/>
  <c r="E310" i="1" s="1"/>
  <c r="B318" i="1" l="1"/>
  <c r="C318" i="1"/>
  <c r="D318" i="1"/>
  <c r="E318" i="1"/>
  <c r="D317" i="1"/>
  <c r="B317" i="1"/>
  <c r="E317" i="1"/>
  <c r="C317" i="1"/>
  <c r="F317" i="1" l="1"/>
  <c r="F318" i="1"/>
  <c r="B304" i="1" l="1"/>
  <c r="E279" i="1"/>
  <c r="E272" i="1"/>
  <c r="F272" i="1" s="1"/>
  <c r="G272" i="1" s="1"/>
  <c r="H272" i="1" s="1"/>
  <c r="I272" i="1" s="1"/>
  <c r="J272" i="1" s="1"/>
  <c r="K272" i="1" s="1"/>
  <c r="F180" i="1"/>
  <c r="G180" i="1" s="1"/>
  <c r="H180" i="1" s="1"/>
  <c r="I180" i="1" s="1"/>
  <c r="J180" i="1" s="1"/>
  <c r="K180" i="1" s="1"/>
  <c r="E189" i="1"/>
  <c r="E192" i="1" s="1"/>
  <c r="F154" i="1"/>
  <c r="G221" i="1" s="1"/>
  <c r="G154" i="1"/>
  <c r="H221" i="1" s="1"/>
  <c r="H154" i="1"/>
  <c r="I221" i="1" s="1"/>
  <c r="I154" i="1"/>
  <c r="J221" i="1" s="1"/>
  <c r="J154" i="1"/>
  <c r="K221" i="1" s="1"/>
  <c r="K154" i="1"/>
  <c r="E154" i="1"/>
  <c r="F221" i="1" s="1"/>
  <c r="D152" i="1"/>
  <c r="D101" i="1" s="1"/>
  <c r="D134" i="1"/>
  <c r="D94" i="1" s="1"/>
  <c r="D99" i="1"/>
  <c r="D98" i="1"/>
  <c r="D97" i="1"/>
  <c r="D91" i="1"/>
  <c r="D89" i="1"/>
  <c r="D141" i="1"/>
  <c r="D137" i="1"/>
  <c r="D136" i="1"/>
  <c r="J57" i="1"/>
  <c r="K57" i="1"/>
  <c r="I57" i="1"/>
  <c r="H57" i="1"/>
  <c r="G57" i="1"/>
  <c r="F57" i="1"/>
  <c r="E57" i="1"/>
  <c r="E122" i="1"/>
  <c r="E174" i="1" s="1"/>
  <c r="D45" i="1"/>
  <c r="D82" i="1" s="1"/>
  <c r="E45" i="1"/>
  <c r="E82" i="1" s="1"/>
  <c r="D47" i="1"/>
  <c r="A71" i="1"/>
  <c r="E6" i="1"/>
  <c r="D26" i="1"/>
  <c r="D52" i="1" s="1"/>
  <c r="C26" i="1"/>
  <c r="C27" i="1" s="1"/>
  <c r="B26" i="1"/>
  <c r="D24" i="1"/>
  <c r="C24" i="1"/>
  <c r="B24" i="1"/>
  <c r="D38" i="1"/>
  <c r="C38" i="1"/>
  <c r="B38" i="1"/>
  <c r="D21" i="1"/>
  <c r="C21" i="1"/>
  <c r="B21" i="1"/>
  <c r="D16" i="1"/>
  <c r="D48" i="1" s="1"/>
  <c r="D85" i="1" s="1"/>
  <c r="C16" i="1"/>
  <c r="C17" i="1" s="1"/>
  <c r="B16" i="1"/>
  <c r="B17" i="1" s="1"/>
  <c r="D14" i="1"/>
  <c r="C14" i="1"/>
  <c r="B14" i="1"/>
  <c r="D11" i="1"/>
  <c r="C11" i="1"/>
  <c r="B11" i="1"/>
  <c r="D7" i="1"/>
  <c r="C7" i="1"/>
  <c r="F4" i="1"/>
  <c r="G4" i="1" s="1"/>
  <c r="K225" i="1" l="1"/>
  <c r="K199" i="1"/>
  <c r="K203" i="1" s="1"/>
  <c r="J225" i="1"/>
  <c r="J199" i="1"/>
  <c r="J203" i="1" s="1"/>
  <c r="I225" i="1"/>
  <c r="I199" i="1"/>
  <c r="I203" i="1" s="1"/>
  <c r="G225" i="1"/>
  <c r="G199" i="1"/>
  <c r="G203" i="1" s="1"/>
  <c r="H225" i="1"/>
  <c r="H199" i="1"/>
  <c r="H203" i="1" s="1"/>
  <c r="F225" i="1"/>
  <c r="F199" i="1"/>
  <c r="F203" i="1" s="1"/>
  <c r="E271" i="1"/>
  <c r="E211" i="1"/>
  <c r="D17" i="1"/>
  <c r="E47" i="1"/>
  <c r="E84" i="1" s="1"/>
  <c r="D139" i="1"/>
  <c r="D145" i="1" s="1"/>
  <c r="D111" i="1"/>
  <c r="E111" i="1" s="1"/>
  <c r="D113" i="1"/>
  <c r="E113" i="1" s="1"/>
  <c r="F113" i="1" s="1"/>
  <c r="F6" i="1"/>
  <c r="F47" i="1" s="1"/>
  <c r="C30" i="1"/>
  <c r="C31" i="1" s="1"/>
  <c r="E23" i="1"/>
  <c r="D115" i="1"/>
  <c r="E115" i="1" s="1"/>
  <c r="F115" i="1" s="1"/>
  <c r="E13" i="1"/>
  <c r="E10" i="1"/>
  <c r="E136" i="1"/>
  <c r="E20" i="1"/>
  <c r="D117" i="1"/>
  <c r="E117" i="1" s="1"/>
  <c r="F117" i="1" s="1"/>
  <c r="G117" i="1" s="1"/>
  <c r="H117" i="1" s="1"/>
  <c r="D116" i="1"/>
  <c r="E116" i="1" s="1"/>
  <c r="F116" i="1" s="1"/>
  <c r="G45" i="1"/>
  <c r="G82" i="1" s="1"/>
  <c r="H4" i="1"/>
  <c r="B27" i="1"/>
  <c r="B30" i="1"/>
  <c r="D104" i="1"/>
  <c r="D124" i="1" s="1"/>
  <c r="D30" i="1"/>
  <c r="D114" i="1"/>
  <c r="E114" i="1" s="1"/>
  <c r="D27" i="1"/>
  <c r="D50" i="1"/>
  <c r="D54" i="1" s="1"/>
  <c r="D84" i="1"/>
  <c r="D109" i="1" s="1"/>
  <c r="F122" i="1"/>
  <c r="D161" i="1"/>
  <c r="D165" i="1" s="1"/>
  <c r="F45" i="1"/>
  <c r="F82" i="1" s="1"/>
  <c r="D125" i="1" l="1"/>
  <c r="D88" i="1"/>
  <c r="E137" i="1"/>
  <c r="E139" i="1" s="1"/>
  <c r="E26" i="1"/>
  <c r="E27" i="1" s="1"/>
  <c r="D167" i="1"/>
  <c r="F10" i="1"/>
  <c r="F37" i="1"/>
  <c r="F279" i="1" s="1"/>
  <c r="D112" i="1"/>
  <c r="E112" i="1" s="1"/>
  <c r="F112" i="1" s="1"/>
  <c r="G112" i="1" s="1"/>
  <c r="H112" i="1" s="1"/>
  <c r="I112" i="1" s="1"/>
  <c r="J112" i="1" s="1"/>
  <c r="K112" i="1" s="1"/>
  <c r="F20" i="1"/>
  <c r="C34" i="1"/>
  <c r="C35" i="1" s="1"/>
  <c r="F23" i="1"/>
  <c r="C32" i="1"/>
  <c r="E179" i="1"/>
  <c r="E72" i="1"/>
  <c r="E276" i="1" s="1"/>
  <c r="F13" i="1"/>
  <c r="G6" i="1"/>
  <c r="E16" i="1"/>
  <c r="E17" i="1" s="1"/>
  <c r="D34" i="1"/>
  <c r="D35" i="1" s="1"/>
  <c r="D31" i="1"/>
  <c r="D32" i="1"/>
  <c r="G113" i="1"/>
  <c r="F114" i="1"/>
  <c r="I117" i="1"/>
  <c r="B31" i="1"/>
  <c r="B34" i="1"/>
  <c r="B35" i="1" s="1"/>
  <c r="D110" i="1"/>
  <c r="E110" i="1" s="1"/>
  <c r="F110" i="1" s="1"/>
  <c r="G110" i="1" s="1"/>
  <c r="H110" i="1" s="1"/>
  <c r="I110" i="1" s="1"/>
  <c r="J110" i="1" s="1"/>
  <c r="K110" i="1" s="1"/>
  <c r="E109" i="1"/>
  <c r="G116" i="1"/>
  <c r="G115" i="1"/>
  <c r="G122" i="1"/>
  <c r="F174" i="1"/>
  <c r="I4" i="1"/>
  <c r="H45" i="1"/>
  <c r="H82" i="1" s="1"/>
  <c r="F111" i="1"/>
  <c r="F84" i="1"/>
  <c r="E59" i="1" l="1"/>
  <c r="D108" i="1"/>
  <c r="E108" i="1" s="1"/>
  <c r="F108" i="1" s="1"/>
  <c r="G108" i="1" s="1"/>
  <c r="H108" i="1" s="1"/>
  <c r="E235" i="1"/>
  <c r="F271" i="1"/>
  <c r="F211" i="1"/>
  <c r="F189" i="1"/>
  <c r="F192" i="1" s="1"/>
  <c r="E30" i="1"/>
  <c r="E31" i="1" s="1"/>
  <c r="E52" i="1"/>
  <c r="F26" i="1"/>
  <c r="F30" i="1" s="1"/>
  <c r="F136" i="1"/>
  <c r="E48" i="1"/>
  <c r="E50" i="1" s="1"/>
  <c r="F16" i="1"/>
  <c r="F179" i="1"/>
  <c r="F72" i="1"/>
  <c r="F276" i="1" s="1"/>
  <c r="G20" i="1"/>
  <c r="G13" i="1"/>
  <c r="G10" i="1"/>
  <c r="G47" i="1"/>
  <c r="H6" i="1"/>
  <c r="G37" i="1"/>
  <c r="G23" i="1"/>
  <c r="F137" i="1"/>
  <c r="E89" i="1"/>
  <c r="E129" i="1" s="1"/>
  <c r="F109" i="1"/>
  <c r="H113" i="1"/>
  <c r="H116" i="1"/>
  <c r="J117" i="1"/>
  <c r="G114" i="1"/>
  <c r="J4" i="1"/>
  <c r="I45" i="1"/>
  <c r="I82" i="1" s="1"/>
  <c r="H122" i="1"/>
  <c r="G174" i="1"/>
  <c r="G111" i="1"/>
  <c r="H115" i="1"/>
  <c r="G271" i="1" l="1"/>
  <c r="G211" i="1"/>
  <c r="E54" i="1"/>
  <c r="E71" i="1" s="1"/>
  <c r="E32" i="1"/>
  <c r="E34" i="1"/>
  <c r="E35" i="1" s="1"/>
  <c r="F32" i="1"/>
  <c r="F31" i="1"/>
  <c r="E85" i="1"/>
  <c r="E88" i="1" s="1"/>
  <c r="G137" i="1"/>
  <c r="F34" i="1"/>
  <c r="F35" i="1" s="1"/>
  <c r="F27" i="1"/>
  <c r="F52" i="1"/>
  <c r="G136" i="1"/>
  <c r="G26" i="1"/>
  <c r="G30" i="1" s="1"/>
  <c r="F139" i="1"/>
  <c r="H23" i="1"/>
  <c r="H10" i="1"/>
  <c r="H37" i="1"/>
  <c r="H13" i="1"/>
  <c r="I6" i="1"/>
  <c r="H20" i="1"/>
  <c r="H47" i="1"/>
  <c r="H84" i="1" s="1"/>
  <c r="G84" i="1"/>
  <c r="G72" i="1"/>
  <c r="G276" i="1" s="1"/>
  <c r="G179" i="1"/>
  <c r="G16" i="1"/>
  <c r="G189" i="1"/>
  <c r="G192" i="1" s="1"/>
  <c r="G279" i="1"/>
  <c r="F48" i="1"/>
  <c r="F17" i="1"/>
  <c r="I122" i="1"/>
  <c r="H174" i="1"/>
  <c r="I113" i="1"/>
  <c r="I116" i="1"/>
  <c r="F89" i="1"/>
  <c r="G109" i="1"/>
  <c r="K117" i="1"/>
  <c r="I115" i="1"/>
  <c r="K4" i="1"/>
  <c r="K45" i="1" s="1"/>
  <c r="K82" i="1" s="1"/>
  <c r="J45" i="1"/>
  <c r="J82" i="1" s="1"/>
  <c r="I108" i="1"/>
  <c r="H111" i="1"/>
  <c r="H114" i="1"/>
  <c r="H271" i="1" l="1"/>
  <c r="H211" i="1"/>
  <c r="E63" i="1"/>
  <c r="E64" i="1" s="1"/>
  <c r="E282" i="1" s="1"/>
  <c r="E91" i="1"/>
  <c r="E131" i="1" s="1"/>
  <c r="E99" i="1"/>
  <c r="E150" i="1" s="1"/>
  <c r="E97" i="1"/>
  <c r="E148" i="1" s="1"/>
  <c r="E98" i="1"/>
  <c r="E149" i="1" s="1"/>
  <c r="E92" i="1"/>
  <c r="E132" i="1" s="1"/>
  <c r="E90" i="1"/>
  <c r="E130" i="1" s="1"/>
  <c r="G139" i="1"/>
  <c r="H137" i="1"/>
  <c r="H136" i="1"/>
  <c r="G52" i="1"/>
  <c r="G27" i="1"/>
  <c r="H26" i="1"/>
  <c r="H27" i="1" s="1"/>
  <c r="I37" i="1"/>
  <c r="I47" i="1"/>
  <c r="I84" i="1" s="1"/>
  <c r="I13" i="1"/>
  <c r="J6" i="1"/>
  <c r="I23" i="1"/>
  <c r="I10" i="1"/>
  <c r="I20" i="1"/>
  <c r="G17" i="1"/>
  <c r="G48" i="1"/>
  <c r="H72" i="1"/>
  <c r="H276" i="1" s="1"/>
  <c r="H179" i="1"/>
  <c r="H16" i="1"/>
  <c r="F85" i="1"/>
  <c r="F50" i="1"/>
  <c r="F54" i="1" s="1"/>
  <c r="F71" i="1" s="1"/>
  <c r="H189" i="1"/>
  <c r="H192" i="1" s="1"/>
  <c r="H279" i="1"/>
  <c r="G31" i="1"/>
  <c r="G34" i="1"/>
  <c r="G35" i="1" s="1"/>
  <c r="G32" i="1"/>
  <c r="E74" i="1"/>
  <c r="E278" i="1" s="1"/>
  <c r="E275" i="1"/>
  <c r="F129" i="1"/>
  <c r="I111" i="1"/>
  <c r="J115" i="1"/>
  <c r="J116" i="1"/>
  <c r="F59" i="1"/>
  <c r="H109" i="1"/>
  <c r="G89" i="1"/>
  <c r="I114" i="1"/>
  <c r="I174" i="1"/>
  <c r="J122" i="1"/>
  <c r="J108" i="1"/>
  <c r="J113" i="1"/>
  <c r="I271" i="1" l="1"/>
  <c r="I211" i="1"/>
  <c r="H139" i="1"/>
  <c r="E134" i="1"/>
  <c r="E145" i="1" s="1"/>
  <c r="H52" i="1"/>
  <c r="H30" i="1"/>
  <c r="H34" i="1" s="1"/>
  <c r="H35" i="1" s="1"/>
  <c r="E152" i="1"/>
  <c r="E161" i="1" s="1"/>
  <c r="E101" i="1"/>
  <c r="E94" i="1"/>
  <c r="I136" i="1"/>
  <c r="E66" i="1"/>
  <c r="C337" i="1" s="1"/>
  <c r="C340" i="1" s="1"/>
  <c r="F63" i="1"/>
  <c r="F64" i="1" s="1"/>
  <c r="F99" i="1"/>
  <c r="F150" i="1" s="1"/>
  <c r="F88" i="1"/>
  <c r="F92" i="1"/>
  <c r="F132" i="1" s="1"/>
  <c r="F98" i="1"/>
  <c r="F149" i="1" s="1"/>
  <c r="F91" i="1"/>
  <c r="F131" i="1" s="1"/>
  <c r="F97" i="1"/>
  <c r="F90" i="1"/>
  <c r="F130" i="1" s="1"/>
  <c r="H48" i="1"/>
  <c r="H17" i="1"/>
  <c r="K6" i="1"/>
  <c r="J20" i="1"/>
  <c r="J47" i="1"/>
  <c r="J84" i="1" s="1"/>
  <c r="J37" i="1"/>
  <c r="J13" i="1"/>
  <c r="J23" i="1"/>
  <c r="J10" i="1"/>
  <c r="I16" i="1"/>
  <c r="I72" i="1"/>
  <c r="I276" i="1" s="1"/>
  <c r="I137" i="1"/>
  <c r="I179" i="1"/>
  <c r="G85" i="1"/>
  <c r="G50" i="1"/>
  <c r="G54" i="1" s="1"/>
  <c r="I189" i="1"/>
  <c r="I192" i="1" s="1"/>
  <c r="I279" i="1"/>
  <c r="I26" i="1"/>
  <c r="F74" i="1"/>
  <c r="F278" i="1" s="1"/>
  <c r="F281" i="1" s="1"/>
  <c r="F275" i="1"/>
  <c r="E281" i="1"/>
  <c r="J114" i="1"/>
  <c r="K108" i="1"/>
  <c r="K116" i="1"/>
  <c r="K113" i="1"/>
  <c r="G129" i="1"/>
  <c r="I109" i="1"/>
  <c r="H89" i="1"/>
  <c r="H129" i="1" s="1"/>
  <c r="K122" i="1"/>
  <c r="K174" i="1" s="1"/>
  <c r="J174" i="1"/>
  <c r="K115" i="1"/>
  <c r="J111" i="1"/>
  <c r="J271" i="1" l="1"/>
  <c r="J211" i="1"/>
  <c r="K271" i="1"/>
  <c r="K211" i="1"/>
  <c r="E104" i="1"/>
  <c r="H32" i="1"/>
  <c r="H31" i="1"/>
  <c r="E178" i="1"/>
  <c r="E182" i="1" s="1"/>
  <c r="E163" i="1"/>
  <c r="E165" i="1" s="1"/>
  <c r="E167" i="1" s="1"/>
  <c r="I139" i="1"/>
  <c r="E68" i="1"/>
  <c r="J136" i="1"/>
  <c r="F134" i="1"/>
  <c r="F145" i="1" s="1"/>
  <c r="F66" i="1"/>
  <c r="D337" i="1" s="1"/>
  <c r="D340" i="1" s="1"/>
  <c r="F282" i="1"/>
  <c r="H85" i="1"/>
  <c r="H50" i="1"/>
  <c r="H54" i="1" s="1"/>
  <c r="G71" i="1"/>
  <c r="J72" i="1"/>
  <c r="J276" i="1" s="1"/>
  <c r="J179" i="1"/>
  <c r="J16" i="1"/>
  <c r="F101" i="1"/>
  <c r="F148" i="1"/>
  <c r="F152" i="1" s="1"/>
  <c r="F161" i="1" s="1"/>
  <c r="G99" i="1"/>
  <c r="G150" i="1" s="1"/>
  <c r="G92" i="1"/>
  <c r="G132" i="1" s="1"/>
  <c r="G98" i="1"/>
  <c r="G149" i="1" s="1"/>
  <c r="G91" i="1"/>
  <c r="G131" i="1" s="1"/>
  <c r="G88" i="1"/>
  <c r="G90" i="1"/>
  <c r="G130" i="1" s="1"/>
  <c r="G97" i="1"/>
  <c r="J189" i="1"/>
  <c r="J192" i="1" s="1"/>
  <c r="J279" i="1"/>
  <c r="J137" i="1"/>
  <c r="J26" i="1"/>
  <c r="K23" i="1"/>
  <c r="K10" i="1"/>
  <c r="K13" i="1"/>
  <c r="K47" i="1"/>
  <c r="K84" i="1" s="1"/>
  <c r="K37" i="1"/>
  <c r="K20" i="1"/>
  <c r="G59" i="1"/>
  <c r="G63" i="1" s="1"/>
  <c r="G64" i="1" s="1"/>
  <c r="F94" i="1"/>
  <c r="I30" i="1"/>
  <c r="I27" i="1"/>
  <c r="I52" i="1"/>
  <c r="I48" i="1"/>
  <c r="I17" i="1"/>
  <c r="K111" i="1"/>
  <c r="K114" i="1"/>
  <c r="J109" i="1"/>
  <c r="I89" i="1"/>
  <c r="I129" i="1" s="1"/>
  <c r="E105" i="1" l="1"/>
  <c r="E124" i="1"/>
  <c r="E125" i="1" s="1"/>
  <c r="K136" i="1"/>
  <c r="F178" i="1"/>
  <c r="F182" i="1" s="1"/>
  <c r="J139" i="1"/>
  <c r="F104" i="1"/>
  <c r="G134" i="1"/>
  <c r="G145" i="1" s="1"/>
  <c r="F163" i="1"/>
  <c r="F165" i="1" s="1"/>
  <c r="F167" i="1" s="1"/>
  <c r="F68" i="1"/>
  <c r="K26" i="1"/>
  <c r="K30" i="1" s="1"/>
  <c r="J30" i="1"/>
  <c r="J52" i="1"/>
  <c r="J27" i="1"/>
  <c r="H59" i="1"/>
  <c r="H63" i="1" s="1"/>
  <c r="H64" i="1" s="1"/>
  <c r="G94" i="1"/>
  <c r="I85" i="1"/>
  <c r="I50" i="1"/>
  <c r="I54" i="1" s="1"/>
  <c r="K189" i="1"/>
  <c r="K192" i="1" s="1"/>
  <c r="K279" i="1"/>
  <c r="G66" i="1"/>
  <c r="E337" i="1" s="1"/>
  <c r="E340" i="1" s="1"/>
  <c r="G282" i="1"/>
  <c r="G74" i="1"/>
  <c r="G278" i="1" s="1"/>
  <c r="G281" i="1" s="1"/>
  <c r="G275" i="1"/>
  <c r="K137" i="1"/>
  <c r="K72" i="1"/>
  <c r="K276" i="1" s="1"/>
  <c r="K16" i="1"/>
  <c r="K179" i="1"/>
  <c r="H71" i="1"/>
  <c r="E183" i="1"/>
  <c r="E185" i="1" s="1"/>
  <c r="E195" i="1" s="1"/>
  <c r="E205" i="1" s="1"/>
  <c r="E283" i="1"/>
  <c r="E285" i="1" s="1"/>
  <c r="E298" i="1" s="1"/>
  <c r="E300" i="1" s="1"/>
  <c r="I34" i="1"/>
  <c r="I35" i="1" s="1"/>
  <c r="I32" i="1"/>
  <c r="I31" i="1"/>
  <c r="H97" i="1"/>
  <c r="H90" i="1"/>
  <c r="H130" i="1" s="1"/>
  <c r="H88" i="1"/>
  <c r="H92" i="1"/>
  <c r="H132" i="1" s="1"/>
  <c r="H91" i="1"/>
  <c r="H131" i="1" s="1"/>
  <c r="H98" i="1"/>
  <c r="H149" i="1" s="1"/>
  <c r="H99" i="1"/>
  <c r="H150" i="1" s="1"/>
  <c r="G101" i="1"/>
  <c r="G148" i="1"/>
  <c r="G152" i="1" s="1"/>
  <c r="G161" i="1" s="1"/>
  <c r="J48" i="1"/>
  <c r="J17" i="1"/>
  <c r="J89" i="1"/>
  <c r="J129" i="1" s="1"/>
  <c r="K109" i="1"/>
  <c r="K89" i="1" s="1"/>
  <c r="K129" i="1" s="1"/>
  <c r="F235" i="1" l="1"/>
  <c r="B305" i="1"/>
  <c r="E236" i="1"/>
  <c r="E238" i="1" s="1"/>
  <c r="F105" i="1"/>
  <c r="F283" i="1" s="1"/>
  <c r="F285" i="1" s="1"/>
  <c r="F298" i="1" s="1"/>
  <c r="F300" i="1" s="1"/>
  <c r="F124" i="1"/>
  <c r="F125" i="1" s="1"/>
  <c r="G235" i="1" s="1"/>
  <c r="K139" i="1"/>
  <c r="H134" i="1"/>
  <c r="H145" i="1" s="1"/>
  <c r="G163" i="1"/>
  <c r="G165" i="1" s="1"/>
  <c r="G167" i="1" s="1"/>
  <c r="K27" i="1"/>
  <c r="K52" i="1"/>
  <c r="G104" i="1"/>
  <c r="H94" i="1"/>
  <c r="I59" i="1"/>
  <c r="H66" i="1"/>
  <c r="F337" i="1" s="1"/>
  <c r="F340" i="1" s="1"/>
  <c r="H282" i="1"/>
  <c r="K32" i="1"/>
  <c r="K31" i="1"/>
  <c r="K34" i="1"/>
  <c r="K35" i="1" s="1"/>
  <c r="G178" i="1"/>
  <c r="G182" i="1" s="1"/>
  <c r="G68" i="1"/>
  <c r="K17" i="1"/>
  <c r="K48" i="1"/>
  <c r="H74" i="1"/>
  <c r="H278" i="1" s="1"/>
  <c r="H281" i="1" s="1"/>
  <c r="H275" i="1"/>
  <c r="H148" i="1"/>
  <c r="H152" i="1" s="1"/>
  <c r="H161" i="1" s="1"/>
  <c r="H101" i="1"/>
  <c r="J50" i="1"/>
  <c r="J54" i="1" s="1"/>
  <c r="J71" i="1" s="1"/>
  <c r="J85" i="1"/>
  <c r="I63" i="1"/>
  <c r="I71" i="1"/>
  <c r="I97" i="1"/>
  <c r="I90" i="1"/>
  <c r="I130" i="1" s="1"/>
  <c r="I99" i="1"/>
  <c r="I150" i="1" s="1"/>
  <c r="I98" i="1"/>
  <c r="I149" i="1" s="1"/>
  <c r="I92" i="1"/>
  <c r="I132" i="1" s="1"/>
  <c r="I91" i="1"/>
  <c r="I131" i="1" s="1"/>
  <c r="I88" i="1"/>
  <c r="J34" i="1"/>
  <c r="J35" i="1" s="1"/>
  <c r="J31" i="1"/>
  <c r="J32" i="1"/>
  <c r="F183" i="1" l="1"/>
  <c r="F185" i="1" s="1"/>
  <c r="F195" i="1" s="1"/>
  <c r="F205" i="1" s="1"/>
  <c r="G105" i="1"/>
  <c r="G183" i="1" s="1"/>
  <c r="G124" i="1"/>
  <c r="G125" i="1" s="1"/>
  <c r="H235" i="1" s="1"/>
  <c r="G185" i="1"/>
  <c r="G195" i="1" s="1"/>
  <c r="G205" i="1" s="1"/>
  <c r="I148" i="1"/>
  <c r="I152" i="1" s="1"/>
  <c r="I161" i="1" s="1"/>
  <c r="I101" i="1"/>
  <c r="I74" i="1"/>
  <c r="I278" i="1" s="1"/>
  <c r="I281" i="1" s="1"/>
  <c r="I275" i="1"/>
  <c r="K85" i="1"/>
  <c r="K50" i="1"/>
  <c r="K54" i="1" s="1"/>
  <c r="K71" i="1" s="1"/>
  <c r="I64" i="1"/>
  <c r="I282" i="1" s="1"/>
  <c r="J91" i="1"/>
  <c r="J131" i="1" s="1"/>
  <c r="J88" i="1"/>
  <c r="J90" i="1"/>
  <c r="J130" i="1" s="1"/>
  <c r="J97" i="1"/>
  <c r="J99" i="1"/>
  <c r="J150" i="1" s="1"/>
  <c r="J98" i="1"/>
  <c r="J149" i="1" s="1"/>
  <c r="J92" i="1"/>
  <c r="J132" i="1" s="1"/>
  <c r="H68" i="1"/>
  <c r="H178" i="1"/>
  <c r="H182" i="1" s="1"/>
  <c r="I94" i="1"/>
  <c r="J59" i="1"/>
  <c r="J63" i="1" s="1"/>
  <c r="J64" i="1" s="1"/>
  <c r="J74" i="1"/>
  <c r="J278" i="1" s="1"/>
  <c r="J281" i="1" s="1"/>
  <c r="J275" i="1"/>
  <c r="H163" i="1"/>
  <c r="H165" i="1" s="1"/>
  <c r="H167" i="1" s="1"/>
  <c r="I134" i="1"/>
  <c r="I145" i="1" s="1"/>
  <c r="H104" i="1"/>
  <c r="H124" i="1" s="1"/>
  <c r="H125" i="1" s="1"/>
  <c r="I235" i="1" s="1"/>
  <c r="F236" i="1" l="1"/>
  <c r="F238" i="1" s="1"/>
  <c r="G236" i="1"/>
  <c r="G238" i="1" s="1"/>
  <c r="G283" i="1"/>
  <c r="G285" i="1" s="1"/>
  <c r="G298" i="1" s="1"/>
  <c r="G300" i="1" s="1"/>
  <c r="J101" i="1"/>
  <c r="J148" i="1"/>
  <c r="J152" i="1" s="1"/>
  <c r="J161" i="1" s="1"/>
  <c r="J66" i="1"/>
  <c r="H337" i="1" s="1"/>
  <c r="H340" i="1" s="1"/>
  <c r="J282" i="1"/>
  <c r="I104" i="1"/>
  <c r="I124" i="1" s="1"/>
  <c r="I125" i="1" s="1"/>
  <c r="J235" i="1" s="1"/>
  <c r="J134" i="1"/>
  <c r="J145" i="1" s="1"/>
  <c r="K74" i="1"/>
  <c r="K278" i="1" s="1"/>
  <c r="K281" i="1" s="1"/>
  <c r="K275" i="1"/>
  <c r="J94" i="1"/>
  <c r="K59" i="1"/>
  <c r="K63" i="1" s="1"/>
  <c r="K64" i="1" s="1"/>
  <c r="H105" i="1"/>
  <c r="K90" i="1"/>
  <c r="K130" i="1" s="1"/>
  <c r="K88" i="1"/>
  <c r="K98" i="1"/>
  <c r="K149" i="1" s="1"/>
  <c r="K91" i="1"/>
  <c r="K131" i="1" s="1"/>
  <c r="K92" i="1"/>
  <c r="K132" i="1" s="1"/>
  <c r="K99" i="1"/>
  <c r="K150" i="1" s="1"/>
  <c r="K97" i="1"/>
  <c r="I66" i="1"/>
  <c r="G337" i="1" s="1"/>
  <c r="G340" i="1" s="1"/>
  <c r="J104" i="1" l="1"/>
  <c r="I163" i="1"/>
  <c r="J163" i="1" s="1"/>
  <c r="J165" i="1" s="1"/>
  <c r="J167" i="1" s="1"/>
  <c r="K148" i="1"/>
  <c r="K152" i="1" s="1"/>
  <c r="K161" i="1" s="1"/>
  <c r="K101" i="1"/>
  <c r="I105" i="1"/>
  <c r="K66" i="1"/>
  <c r="I337" i="1" s="1"/>
  <c r="K282" i="1"/>
  <c r="H183" i="1"/>
  <c r="H185" i="1" s="1"/>
  <c r="H195" i="1" s="1"/>
  <c r="H205" i="1" s="1"/>
  <c r="H283" i="1"/>
  <c r="H285" i="1" s="1"/>
  <c r="H298" i="1" s="1"/>
  <c r="H300" i="1" s="1"/>
  <c r="J68" i="1"/>
  <c r="J178" i="1"/>
  <c r="J182" i="1" s="1"/>
  <c r="K94" i="1"/>
  <c r="K134" i="1"/>
  <c r="K145" i="1" s="1"/>
  <c r="I68" i="1"/>
  <c r="I178" i="1"/>
  <c r="I182" i="1" s="1"/>
  <c r="H236" i="1" l="1"/>
  <c r="H238" i="1" s="1"/>
  <c r="J105" i="1"/>
  <c r="J183" i="1" s="1"/>
  <c r="J185" i="1" s="1"/>
  <c r="J195" i="1" s="1"/>
  <c r="J205" i="1" s="1"/>
  <c r="J124" i="1"/>
  <c r="J125" i="1" s="1"/>
  <c r="K235" i="1" s="1"/>
  <c r="I165" i="1"/>
  <c r="I167" i="1" s="1"/>
  <c r="J337" i="1"/>
  <c r="I339" i="1" s="1"/>
  <c r="I340" i="1" s="1"/>
  <c r="B341" i="1" s="1"/>
  <c r="B346" i="1" s="1"/>
  <c r="K104" i="1"/>
  <c r="K163" i="1"/>
  <c r="K165" i="1" s="1"/>
  <c r="K167" i="1" s="1"/>
  <c r="K178" i="1"/>
  <c r="K182" i="1" s="1"/>
  <c r="K68" i="1"/>
  <c r="I183" i="1"/>
  <c r="I185" i="1" s="1"/>
  <c r="I195" i="1" s="1"/>
  <c r="I205" i="1" s="1"/>
  <c r="I283" i="1"/>
  <c r="I285" i="1" s="1"/>
  <c r="I298" i="1" s="1"/>
  <c r="I300" i="1" s="1"/>
  <c r="I236" i="1" l="1"/>
  <c r="I238" i="1" s="1"/>
  <c r="J236" i="1"/>
  <c r="J238" i="1" s="1"/>
  <c r="K105" i="1"/>
  <c r="K183" i="1" s="1"/>
  <c r="K124" i="1"/>
  <c r="K125" i="1" s="1"/>
  <c r="J283" i="1"/>
  <c r="J285" i="1" s="1"/>
  <c r="J298" i="1" s="1"/>
  <c r="J300" i="1" s="1"/>
  <c r="O346" i="1"/>
  <c r="L59" i="4"/>
  <c r="C58" i="4"/>
  <c r="K185" i="1"/>
  <c r="K195" i="1" s="1"/>
  <c r="K205" i="1" s="1"/>
  <c r="K236" i="1" l="1"/>
  <c r="K238" i="1" s="1"/>
  <c r="K283" i="1"/>
  <c r="K285" i="1" s="1"/>
  <c r="K291" i="1" s="1"/>
  <c r="K293" i="1" s="1"/>
  <c r="K299" i="1" s="1"/>
  <c r="K298" i="1" l="1"/>
  <c r="K300" i="1" s="1"/>
  <c r="D300" i="1" s="1"/>
  <c r="B303" i="1" s="1"/>
  <c r="B306" i="1" s="1"/>
  <c r="B308" i="1" s="1"/>
  <c r="K294" i="1"/>
  <c r="C308" i="1" l="1"/>
  <c r="C57" i="4"/>
  <c r="E59" i="4"/>
  <c r="F304" i="1"/>
  <c r="I228" i="1" l="1"/>
  <c r="I229" i="1" s="1"/>
  <c r="F228" i="1"/>
  <c r="F229" i="1" s="1"/>
  <c r="F231" i="1" s="1"/>
  <c r="F239" i="1" s="1"/>
  <c r="G228" i="1"/>
  <c r="G229" i="1" s="1"/>
  <c r="K228" i="1"/>
  <c r="K229" i="1" s="1"/>
  <c r="J228" i="1"/>
  <c r="J229" i="1" s="1"/>
  <c r="J231" i="1" s="1"/>
  <c r="H228" i="1"/>
  <c r="H229" i="1" s="1"/>
  <c r="H231" i="1" s="1"/>
  <c r="E228" i="1"/>
  <c r="E229" i="1" s="1"/>
  <c r="E231" i="1" s="1"/>
  <c r="F241" i="1" l="1"/>
  <c r="F243" i="1" s="1"/>
  <c r="I231" i="1"/>
  <c r="I239" i="1" s="1"/>
  <c r="I241" i="1" s="1"/>
  <c r="K231" i="1"/>
  <c r="E239" i="1"/>
  <c r="E241" i="1" s="1"/>
  <c r="E243" i="1" s="1"/>
  <c r="J239" i="1"/>
  <c r="J241" i="1" s="1"/>
  <c r="J243" i="1" s="1"/>
  <c r="H239" i="1"/>
  <c r="H241" i="1" s="1"/>
  <c r="H243" i="1" s="1"/>
  <c r="G231" i="1"/>
  <c r="I243" i="1" l="1"/>
  <c r="K239" i="1"/>
  <c r="K241" i="1" s="1"/>
  <c r="K243" i="1" s="1"/>
  <c r="G239" i="1"/>
  <c r="G241" i="1" s="1"/>
  <c r="G2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DealMaven</author>
  </authors>
  <commentList>
    <comment ref="B30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DealMaven:
</t>
        </r>
        <r>
          <rPr>
            <b/>
            <sz val="8"/>
            <color rgb="FF000000"/>
            <rFont val="Tahoma"/>
            <family val="2"/>
          </rPr>
          <t>Note: If the # of shares changed in the deal, you'd want the PreDeal shares here.</t>
        </r>
      </text>
    </comment>
  </commentList>
</comments>
</file>

<file path=xl/sharedStrings.xml><?xml version="1.0" encoding="utf-8"?>
<sst xmlns="http://schemas.openxmlformats.org/spreadsheetml/2006/main" count="757" uniqueCount="401">
  <si>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</si>
  <si>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</si>
  <si>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</si>
  <si>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</si>
  <si>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</si>
  <si>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</si>
  <si>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</si>
  <si>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</si>
  <si>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</si>
  <si>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</si>
  <si>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</si>
  <si>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</si>
  <si>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</si>
  <si>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</si>
  <si>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</si>
  <si>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</si>
  <si>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</si>
  <si>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</si>
  <si>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</si>
  <si>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Other Expenses</t>
  </si>
  <si>
    <t>INCOME STATEMENTS</t>
  </si>
  <si>
    <t xml:space="preserve">Less: Total COGS </t>
  </si>
  <si>
    <t>Gross Profit</t>
  </si>
  <si>
    <t>Less: Total SG&amp;A</t>
  </si>
  <si>
    <t>EBIT</t>
  </si>
  <si>
    <t>Interest &amp; Other Expense / (Income):</t>
  </si>
  <si>
    <t>Rate</t>
  </si>
  <si>
    <t xml:space="preserve">    Total Interest Expense</t>
  </si>
  <si>
    <t>Less: Interest Income</t>
  </si>
  <si>
    <t xml:space="preserve">  Pretax Income</t>
  </si>
  <si>
    <t xml:space="preserve">  Less: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</si>
  <si>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</si>
  <si>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</si>
  <si>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</si>
  <si>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</si>
  <si>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  EBITDA</t>
  </si>
  <si>
    <t xml:space="preserve">  Plus: Depreciation &amp; Amortisation</t>
  </si>
  <si>
    <t>WORKING CAPITAL ASSUMPTIONS</t>
  </si>
  <si>
    <t>Pro Forma</t>
  </si>
  <si>
    <t>Sales</t>
  </si>
  <si>
    <t>Total COGS</t>
  </si>
  <si>
    <t>Current Assets</t>
  </si>
  <si>
    <t>Required Cash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</si>
  <si>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</si>
  <si>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</si>
  <si>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</si>
  <si>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</si>
  <si>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</si>
  <si>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</si>
  <si>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</si>
  <si>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</si>
  <si>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</si>
  <si>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</si>
  <si>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</si>
  <si>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</si>
  <si>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>Required Cash % of COGS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</si>
  <si>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</si>
  <si>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</si>
  <si>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</si>
  <si>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</si>
  <si>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</si>
  <si>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</si>
  <si>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</si>
  <si>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BALANCE SHEETS</t>
  </si>
  <si>
    <t>ASSETS:</t>
  </si>
  <si>
    <t>Excess Cash</t>
  </si>
  <si>
    <t>Total 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</si>
  <si>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</si>
  <si>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</si>
  <si>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</si>
  <si>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</si>
  <si>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</si>
  <si>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</si>
  <si>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</si>
  <si>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</si>
  <si>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</si>
  <si>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</si>
  <si>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</si>
  <si>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</si>
  <si>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</si>
  <si>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</si>
  <si>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</si>
  <si>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</si>
  <si>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</si>
  <si>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</si>
  <si>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</si>
  <si>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</si>
  <si>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</si>
  <si>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</si>
  <si>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Other</t>
  </si>
  <si>
    <t xml:space="preserve">  Other</t>
  </si>
  <si>
    <t>Other Non-Current assets</t>
  </si>
  <si>
    <t>Long Term Loan</t>
  </si>
  <si>
    <t>Capital Lease Obligations</t>
  </si>
  <si>
    <t>Other Assets % COGS</t>
  </si>
  <si>
    <t>Other Liabilities % COGS</t>
  </si>
  <si>
    <t>CASH FLOW STATEMENTS</t>
  </si>
  <si>
    <t>Operating Activities:</t>
  </si>
  <si>
    <t>Subtotal</t>
  </si>
  <si>
    <t>Changes in Working Capital</t>
  </si>
  <si>
    <t>Cash Flow from Operations</t>
  </si>
  <si>
    <t>Investing Activities:</t>
  </si>
  <si>
    <t>Less: Capital Expenditures</t>
  </si>
  <si>
    <t>Plus: Investment Gains/(Losses)</t>
  </si>
  <si>
    <t>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</si>
  <si>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</si>
  <si>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</si>
  <si>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</si>
  <si>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</si>
  <si>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Non-Cah Expense</t>
  </si>
  <si>
    <t>VALUATION ANALYSIS</t>
  </si>
  <si>
    <t>Free Cash Flow Calculation</t>
  </si>
  <si>
    <t xml:space="preserve">  EBIT</t>
  </si>
  <si>
    <t xml:space="preserve">  Plus: Depreciation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</si>
  <si>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</si>
  <si>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</si>
  <si>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</si>
  <si>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</si>
  <si>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</si>
  <si>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</si>
  <si>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</si>
  <si>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</si>
  <si>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</si>
  <si>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</si>
  <si>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</si>
  <si>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</si>
  <si>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</si>
  <si>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</si>
  <si>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</si>
  <si>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</si>
  <si>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</si>
  <si>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>DCF Equity Sensitivity Analysis</t>
  </si>
  <si>
    <t xml:space="preserve">  DCF Enterprise Value</t>
  </si>
  <si>
    <t>WACC</t>
  </si>
  <si>
    <t xml:space="preserve">  Less: Net Debt (PreDeal)</t>
  </si>
  <si>
    <t xml:space="preserve">  Equity Value</t>
  </si>
  <si>
    <t xml:space="preserve">  Shares (PreDeal)</t>
  </si>
  <si>
    <t xml:space="preserve">  DCF Value per Share</t>
  </si>
  <si>
    <t>Forward</t>
  </si>
  <si>
    <t>PV</t>
  </si>
  <si>
    <t xml:space="preserve">  Add : Excess Cash</t>
  </si>
  <si>
    <t>Growth</t>
  </si>
  <si>
    <t>Assumptions</t>
  </si>
  <si>
    <t>Long-term growth rate</t>
  </si>
  <si>
    <t>Cost of Equity</t>
  </si>
  <si>
    <t>Number of Outstanding shares</t>
  </si>
  <si>
    <t>Output</t>
  </si>
  <si>
    <t>Year</t>
  </si>
  <si>
    <t>2024
Fcst</t>
  </si>
  <si>
    <t>2025
Fcst</t>
  </si>
  <si>
    <t>2026
Fcst</t>
  </si>
  <si>
    <t>2027
Fcst</t>
  </si>
  <si>
    <t>2028
Fcst</t>
  </si>
  <si>
    <t>Dividend</t>
  </si>
  <si>
    <t>Terminal value</t>
  </si>
  <si>
    <t>Dividend + Terminal Value</t>
  </si>
  <si>
    <t>Present value</t>
  </si>
  <si>
    <t>Share Price</t>
  </si>
  <si>
    <t>Dividend History</t>
  </si>
  <si>
    <t>Dividend Yield</t>
  </si>
  <si>
    <t>Dividend Paid per share</t>
  </si>
  <si>
    <t>Diluted Normalised EPS</t>
  </si>
  <si>
    <t>Dividend (2023) (in millions)</t>
  </si>
  <si>
    <t>Ttoal income (in millions)</t>
  </si>
  <si>
    <t>Diluted  Net Income (in millions)</t>
  </si>
  <si>
    <t>Total Dividend paid (in millions)</t>
  </si>
  <si>
    <t>Dividend Gordon Growth Model Based Valuation</t>
  </si>
  <si>
    <t>2023
Act</t>
  </si>
  <si>
    <t>2029
Fcst</t>
  </si>
  <si>
    <t>2030
Fcst</t>
  </si>
  <si>
    <t>2031
Fcst</t>
  </si>
  <si>
    <t>Conservative earnings</t>
  </si>
  <si>
    <t xml:space="preserve">Reasons </t>
  </si>
  <si>
    <t>high capex % taken in consideration</t>
  </si>
  <si>
    <t>low/ optimal growth rate</t>
  </si>
  <si>
    <t>revenue growth optimal ( production growth 6 % ,</t>
  </si>
  <si>
    <t>further 20% contri of energy materials ---&gt; growth of 6.5%</t>
  </si>
  <si>
    <t>haven’t adjusted the chances in expenses after bur dam expenses stop from 2026. ----&gt; net income increase</t>
  </si>
  <si>
    <t>DDM Sensitivity Analysis</t>
  </si>
  <si>
    <t>Dividend Forecast : Finite Horizon</t>
  </si>
  <si>
    <t>Forecasted Dividend payout( historical analysis)</t>
  </si>
  <si>
    <t>Dividend Growth Model</t>
  </si>
  <si>
    <t>Dividend payout ratio (diluted)</t>
  </si>
  <si>
    <t>Dividend payout ratio (total)</t>
  </si>
  <si>
    <t>Chinese GDP growth 2024 and 2025</t>
  </si>
  <si>
    <t>Average rates</t>
  </si>
  <si>
    <t>Beta estimates</t>
  </si>
  <si>
    <t>Risk free rate</t>
  </si>
  <si>
    <t>Source</t>
  </si>
  <si>
    <t>Beta</t>
  </si>
  <si>
    <t>YahooFinance</t>
  </si>
  <si>
    <t>ValueLine</t>
  </si>
  <si>
    <t>TradingView</t>
  </si>
  <si>
    <t>Cost on equity</t>
  </si>
  <si>
    <t>MarketWatch</t>
  </si>
  <si>
    <t>Cost of debt</t>
  </si>
  <si>
    <t>as per MD&amp;A</t>
  </si>
  <si>
    <t>tax rate</t>
  </si>
  <si>
    <t>Average Beta</t>
  </si>
  <si>
    <t>Weightage of debt</t>
  </si>
  <si>
    <t>Weightage of equity</t>
  </si>
  <si>
    <t>Production Forecast</t>
  </si>
  <si>
    <t>Minerals production growth forecast</t>
  </si>
  <si>
    <t>Iron ore solutions</t>
  </si>
  <si>
    <t>Iron ore ( in Mt)</t>
  </si>
  <si>
    <t>Growth rate</t>
  </si>
  <si>
    <t>Iron Pellets (in Mt)</t>
  </si>
  <si>
    <t xml:space="preserve">Energy Transition  </t>
  </si>
  <si>
    <t>Copper (in Kt)</t>
  </si>
  <si>
    <t>minerals</t>
  </si>
  <si>
    <t>Nickel (in Kt)</t>
  </si>
  <si>
    <t>Revenue (by source)</t>
  </si>
  <si>
    <t>percentage</t>
  </si>
  <si>
    <t>Iron Ore Solutions</t>
  </si>
  <si>
    <t>NA</t>
  </si>
  <si>
    <t>Energy Transition Minerals</t>
  </si>
  <si>
    <t>Forecasted Production Growrh</t>
  </si>
  <si>
    <t>AVG GROWTH RATE</t>
  </si>
  <si>
    <t>Revenue ( by country</t>
  </si>
  <si>
    <t>China</t>
  </si>
  <si>
    <t>Brazil</t>
  </si>
  <si>
    <t>Europe ( except Germany)</t>
  </si>
  <si>
    <t>Japan</t>
  </si>
  <si>
    <t>Middle East</t>
  </si>
  <si>
    <t>USA</t>
  </si>
  <si>
    <t>Germany</t>
  </si>
  <si>
    <t>Others</t>
  </si>
  <si>
    <t>Asia ( except  Japan &amp; China)</t>
  </si>
  <si>
    <t>Iron Ore</t>
  </si>
  <si>
    <t>Copper</t>
  </si>
  <si>
    <t>Nickel</t>
  </si>
  <si>
    <t>Region</t>
  </si>
  <si>
    <t>Europe</t>
  </si>
  <si>
    <t>USA + Europe</t>
  </si>
  <si>
    <t>Mineral</t>
  </si>
  <si>
    <t>Maximum % of total Sale</t>
  </si>
  <si>
    <t>Total Shares(in ml)</t>
  </si>
  <si>
    <t>Buyback %</t>
  </si>
  <si>
    <t>Dividend forecasted on historical relation with respect to dividend paid as percent of net income for both diluted and net income</t>
  </si>
  <si>
    <t>production growth rate</t>
  </si>
  <si>
    <t>Revenue growth rate assumption</t>
  </si>
  <si>
    <t>risk free rate</t>
  </si>
  <si>
    <t>MRP</t>
  </si>
  <si>
    <t>Weighted Average</t>
  </si>
  <si>
    <t>Net income average growth from 2024-2030</t>
  </si>
  <si>
    <t>Brazil GDP growth 2024 and 2025</t>
  </si>
  <si>
    <t>CAPM</t>
  </si>
  <si>
    <t>Equity risk premium</t>
  </si>
  <si>
    <t>Extra risk premium</t>
  </si>
  <si>
    <t xml:space="preserve">china slowdown + company operational risk history </t>
  </si>
  <si>
    <t>Extra risk premium.  =</t>
  </si>
  <si>
    <t>Vale SA</t>
  </si>
  <si>
    <t>BHP</t>
  </si>
  <si>
    <t>P/B</t>
  </si>
  <si>
    <t>Tickers</t>
  </si>
  <si>
    <t>BHP Group Limited</t>
  </si>
  <si>
    <t>Rio Tinto PLC</t>
  </si>
  <si>
    <t>RIO</t>
  </si>
  <si>
    <t>VALE</t>
  </si>
  <si>
    <t>Metrics</t>
  </si>
  <si>
    <t>Revenues</t>
  </si>
  <si>
    <t>Full-Time Employees</t>
  </si>
  <si>
    <t>Liquidity Ratios</t>
  </si>
  <si>
    <t>Current Ratio</t>
  </si>
  <si>
    <t>Profitability Ratios</t>
  </si>
  <si>
    <t>Operating Margin</t>
  </si>
  <si>
    <t>Profit Margin</t>
  </si>
  <si>
    <t>ROE</t>
  </si>
  <si>
    <t>ROA</t>
  </si>
  <si>
    <t>Quick Ratio</t>
  </si>
  <si>
    <t>Solvency Ratios</t>
  </si>
  <si>
    <t>Debt to Equity</t>
  </si>
  <si>
    <t>Effeciency Ratios</t>
  </si>
  <si>
    <t>Asset Turnover</t>
  </si>
  <si>
    <t>Inventory Turnover</t>
  </si>
  <si>
    <t>Comparable Company Analysis</t>
  </si>
  <si>
    <t>Company</t>
  </si>
  <si>
    <t>Ticker</t>
  </si>
  <si>
    <t>Share price</t>
  </si>
  <si>
    <t>Shares Outstanding</t>
  </si>
  <si>
    <t>Market Value</t>
  </si>
  <si>
    <t>Net Debt</t>
  </si>
  <si>
    <t>Enterprise Value</t>
  </si>
  <si>
    <t>Market Data</t>
  </si>
  <si>
    <t>Net Income</t>
  </si>
  <si>
    <t>P/FCF</t>
  </si>
  <si>
    <t>EV/EBITDA</t>
  </si>
  <si>
    <t>Valuation</t>
  </si>
  <si>
    <t>Relative Yeild</t>
  </si>
  <si>
    <t>Dividend Yeild</t>
  </si>
  <si>
    <t>Maximum</t>
  </si>
  <si>
    <t>Median</t>
  </si>
  <si>
    <t>Mean</t>
  </si>
  <si>
    <t>Basic Metals and Mining</t>
  </si>
  <si>
    <t>Minimum</t>
  </si>
  <si>
    <t>FRED Graph Observations</t>
  </si>
  <si>
    <t>Federal Reserve Economic Data</t>
  </si>
  <si>
    <t>PIORECRUSDM</t>
  </si>
  <si>
    <t>Global price of Iron Ore, U.S. Dollars per Metric Ton, Monthly, Not Seasonally Adjusted</t>
  </si>
  <si>
    <t>Frequency: Monthly</t>
  </si>
  <si>
    <t>observation_date</t>
  </si>
  <si>
    <t>Average price of iron ore</t>
  </si>
  <si>
    <t>Time frame 2018-2023</t>
  </si>
  <si>
    <t>Normalised revenues</t>
  </si>
  <si>
    <t>growth rate</t>
  </si>
  <si>
    <t>COGS</t>
  </si>
  <si>
    <t>% OF SALES</t>
  </si>
  <si>
    <t>Deprecn/amortisation</t>
  </si>
  <si>
    <t>Average price of iron ore 2019</t>
  </si>
  <si>
    <t>Average price of iron ore 2020</t>
  </si>
  <si>
    <t>Average price of iron ore 2021</t>
  </si>
  <si>
    <t>Average price of iron ore 2022</t>
  </si>
  <si>
    <t>Average price of iron ore 2023</t>
  </si>
  <si>
    <t>Average values</t>
  </si>
  <si>
    <t>Free Cash Flow/Share</t>
  </si>
  <si>
    <t>Book Value/ Share</t>
  </si>
  <si>
    <t>Cash</t>
  </si>
  <si>
    <t xml:space="preserve">Financial Data </t>
  </si>
  <si>
    <t>Relative yeild</t>
  </si>
  <si>
    <t xml:space="preserve"> -------  All values in billions ----------</t>
  </si>
  <si>
    <t>Relative Valuation Calculation</t>
  </si>
  <si>
    <t>DCF Forecast</t>
  </si>
  <si>
    <t>DDM gordon Growth Model</t>
  </si>
  <si>
    <t>DDM (Historical analysis) forecast</t>
  </si>
  <si>
    <t>LTD to Total Assets</t>
  </si>
  <si>
    <t>Valuation Ratios</t>
  </si>
  <si>
    <t>Financing Costs Amortization</t>
  </si>
  <si>
    <t>Financing cost</t>
  </si>
  <si>
    <t>Scheduled Debt Retirement</t>
  </si>
  <si>
    <t>Years to Amortize</t>
  </si>
  <si>
    <t>USES OF FUNDS</t>
  </si>
  <si>
    <t>Required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</si>
  <si>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</si>
  <si>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</si>
  <si>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</si>
  <si>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</si>
  <si>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</si>
  <si>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</si>
  <si>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</si>
  <si>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</si>
  <si>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</si>
  <si>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</si>
  <si>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Monte Carlo simulation based stock prediction over 2 year forecast</t>
  </si>
  <si>
    <t>start date</t>
  </si>
  <si>
    <t>end date</t>
  </si>
  <si>
    <t>Model 1 price</t>
  </si>
  <si>
    <t>Model 2 price</t>
  </si>
  <si>
    <t>Average</t>
  </si>
  <si>
    <t xml:space="preserve">MC </t>
  </si>
  <si>
    <t>MC Model 1 Average</t>
  </si>
  <si>
    <t>MC Model 2 Average</t>
  </si>
  <si>
    <t xml:space="preserve">Trend and pattern analysis </t>
  </si>
  <si>
    <t>Buy zone</t>
  </si>
  <si>
    <t>Sell zone</t>
  </si>
  <si>
    <t>Level 1</t>
  </si>
  <si>
    <t>Level 2</t>
  </si>
  <si>
    <t>11.4 - 12.3</t>
  </si>
  <si>
    <t>9.8 - 11.4</t>
  </si>
  <si>
    <t>Regression based weighted value</t>
  </si>
  <si>
    <t>VALE P/CF</t>
  </si>
  <si>
    <t>VALE P/B</t>
  </si>
  <si>
    <t>VALE EV/ EBITTDA</t>
  </si>
  <si>
    <t>vale</t>
  </si>
  <si>
    <t>avg p/cf</t>
  </si>
  <si>
    <t>AVG EV/EBITDA</t>
  </si>
  <si>
    <t>avg P/B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</si>
  <si>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</si>
  <si>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</si>
  <si>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</si>
  <si>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</si>
  <si>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</si>
  <si>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</si>
  <si>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</si>
  <si>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</si>
  <si>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</si>
  <si>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</si>
  <si>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</si>
  <si>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</si>
  <si>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</si>
  <si>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</si>
  <si>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</si>
  <si>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</si>
  <si>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</si>
  <si>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</si>
  <si>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</si>
  <si>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</si>
  <si>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</si>
  <si>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</si>
  <si>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</si>
  <si>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</si>
  <si>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BHP P/CF</t>
  </si>
  <si>
    <t>RIO P/CF</t>
  </si>
  <si>
    <t>BHP P/B</t>
  </si>
  <si>
    <t>RIO  P/B</t>
  </si>
  <si>
    <t xml:space="preserve">P/CF </t>
  </si>
  <si>
    <t>Equation</t>
  </si>
  <si>
    <t>(0.6555 * Avg P/B) + 0.2944</t>
  </si>
  <si>
    <t>(1.05125* Avg P/CF) - 1.508</t>
  </si>
  <si>
    <t xml:space="preserve"> Model 1 range (ordinary annuity formula) (FV = PV(1+r/m)^(m*t))</t>
  </si>
  <si>
    <t xml:space="preserve"> ( 1.2332 * Avg EV/EBITDA) - 2.1</t>
  </si>
  <si>
    <t xml:space="preserve"> Model 2 range ( continuous compounding model) (FV = PV e^(r*t))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</si>
</sst>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8" formatCode="&quot;£&quot;#,##0.00_);[Red]\(&quot;£&quot;#,##0.00\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#,##0.0_);\(#,##0.0\)"/>
    <numFmt numFmtId="169" formatCode="0.0%;\(0.0%\)"/>
    <numFmt numFmtId="170" formatCode="&quot;$&quot;#,##0.0_);\(&quot;$&quot;#,##0.0\)"/>
    <numFmt numFmtId="171" formatCode="0.0%"/>
    <numFmt numFmtId="172" formatCode="0.0"/>
    <numFmt numFmtId="173" formatCode="0.00%;\(0.00%\)"/>
    <numFmt numFmtId="174" formatCode="0.0%_);\(0.0%\);0.0%_);@_)"/>
    <numFmt numFmtId="175" formatCode="#,##0.000_);\(#,##0.000\)"/>
    <numFmt numFmtId="176" formatCode="&quot;$&quot;#,##0.0_);\(&quot;$&quot;#,##0.0\);&quot;$&quot;#,##0.0_);@_)"/>
    <numFmt numFmtId="177" formatCode="0.0\ &quot;d&quot;"/>
    <numFmt numFmtId="178" formatCode="0.0\x_);&quot;NM&quot;_);0.0\x_);@_)"/>
    <numFmt numFmtId="179" formatCode="&quot;$&quot;#,##0.0_)\ ;\(&quot;$&quot;#,##0.0\)\ "/>
    <numFmt numFmtId="180" formatCode="0.0_);\(0.0\)"/>
    <numFmt numFmtId="181" formatCode="#,##0.0000_);\(#,##0.0000\)"/>
    <numFmt numFmtId="182" formatCode="0.000"/>
    <numFmt numFmtId="183" formatCode="yyyy\-mm"/>
    <numFmt numFmtId="184" formatCode="0.0000000000000"/>
    <numFmt numFmtId="186" formatCode="0.0\ &quot;y&quot;"/>
    <numFmt numFmtId="187" formatCode="0\ &quot;y&quot;"/>
  </numFmts>
  <fonts count="55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i/>
      <u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i/>
      <sz val="10"/>
      <color indexed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theme="1"/>
      <name val="Calibri"/>
      <family val="2"/>
      <scheme val="minor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name val="Times New Roman"/>
      <family val="1"/>
    </font>
    <font>
      <i/>
      <sz val="8"/>
      <color indexed="8"/>
      <name val="times new roman"/>
      <family val="1"/>
    </font>
    <font>
      <b/>
      <sz val="10"/>
      <color indexed="21"/>
      <name val="times new roman"/>
      <family val="1"/>
    </font>
    <font>
      <b/>
      <sz val="8"/>
      <color rgb="FF000000"/>
      <name val="Tahoma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Light"/>
      <family val="2"/>
      <scheme val="major"/>
    </font>
    <font>
      <sz val="8"/>
      <color rgb="FF000000"/>
      <name val="Helvetica"/>
      <family val="2"/>
    </font>
    <font>
      <sz val="12"/>
      <name val="TimesNewRomanPSMT"/>
    </font>
    <font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2"/>
      <color rgb="FF131722"/>
      <name val="Times New Roman"/>
      <family val="1"/>
    </font>
    <font>
      <sz val="12"/>
      <name val="Times New Roman"/>
      <family val="1"/>
    </font>
    <font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double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76" fontId="12" fillId="0" borderId="0" applyNumberFormat="0"/>
    <xf numFmtId="0" fontId="34" fillId="0" borderId="0"/>
    <xf numFmtId="0" fontId="24" fillId="0" borderId="0"/>
  </cellStyleXfs>
  <cellXfs count="450">
    <xf numFmtId="0" fontId="0" fillId="0" borderId="0" xfId="0"/>
    <xf numFmtId="168" fontId="2" fillId="0" borderId="0" xfId="0" applyNumberFormat="1" applyFont="1"/>
    <xf numFmtId="168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8" fontId="7" fillId="0" borderId="0" xfId="0" applyNumberFormat="1" applyFont="1" applyAlignment="1">
      <alignment horizontal="centerContinuous"/>
    </xf>
    <xf numFmtId="168" fontId="2" fillId="0" borderId="0" xfId="0" applyNumberFormat="1" applyFont="1" applyAlignment="1">
      <alignment horizontal="centerContinuous"/>
    </xf>
    <xf numFmtId="168" fontId="8" fillId="0" borderId="0" xfId="0" applyNumberFormat="1" applyFont="1"/>
    <xf numFmtId="169" fontId="9" fillId="0" borderId="0" xfId="0" applyNumberFormat="1" applyFont="1"/>
    <xf numFmtId="169" fontId="10" fillId="0" borderId="0" xfId="0" applyNumberFormat="1" applyFont="1"/>
    <xf numFmtId="168" fontId="9" fillId="0" borderId="0" xfId="0" applyNumberFormat="1" applyFont="1"/>
    <xf numFmtId="168" fontId="11" fillId="0" borderId="0" xfId="0" applyNumberFormat="1" applyFont="1"/>
    <xf numFmtId="170" fontId="8" fillId="0" borderId="0" xfId="0" applyNumberFormat="1" applyFont="1"/>
    <xf numFmtId="170" fontId="0" fillId="0" borderId="0" xfId="0" applyNumberFormat="1"/>
    <xf numFmtId="169" fontId="12" fillId="0" borderId="0" xfId="0" applyNumberFormat="1" applyFont="1"/>
    <xf numFmtId="168" fontId="10" fillId="0" borderId="0" xfId="0" applyNumberFormat="1" applyFont="1"/>
    <xf numFmtId="168" fontId="8" fillId="0" borderId="0" xfId="0" applyNumberFormat="1" applyFont="1" applyAlignment="1">
      <alignment horizontal="left" indent="1"/>
    </xf>
    <xf numFmtId="168" fontId="14" fillId="0" borderId="0" xfId="0" applyNumberFormat="1" applyFont="1" applyAlignment="1">
      <alignment horizontal="right"/>
    </xf>
    <xf numFmtId="1" fontId="8" fillId="0" borderId="0" xfId="0" applyNumberFormat="1" applyFont="1"/>
    <xf numFmtId="1" fontId="0" fillId="0" borderId="0" xfId="0" applyNumberFormat="1"/>
    <xf numFmtId="168" fontId="13" fillId="0" borderId="0" xfId="0" applyNumberFormat="1" applyFont="1"/>
    <xf numFmtId="9" fontId="10" fillId="0" borderId="0" xfId="1" applyFont="1"/>
    <xf numFmtId="171" fontId="10" fillId="0" borderId="0" xfId="1" applyNumberFormat="1" applyFont="1"/>
    <xf numFmtId="0" fontId="8" fillId="0" borderId="0" xfId="0" applyFont="1" applyAlignment="1">
      <alignment horizontal="right"/>
    </xf>
    <xf numFmtId="168" fontId="14" fillId="0" borderId="0" xfId="0" applyNumberFormat="1" applyFont="1"/>
    <xf numFmtId="173" fontId="15" fillId="0" borderId="0" xfId="0" applyNumberFormat="1" applyFont="1" applyAlignment="1">
      <alignment horizontal="center"/>
    </xf>
    <xf numFmtId="173" fontId="9" fillId="0" borderId="0" xfId="0" applyNumberFormat="1" applyFont="1"/>
    <xf numFmtId="168" fontId="16" fillId="0" borderId="0" xfId="0" applyNumberFormat="1" applyFont="1"/>
    <xf numFmtId="174" fontId="17" fillId="0" borderId="0" xfId="0" applyNumberFormat="1" applyFont="1"/>
    <xf numFmtId="176" fontId="13" fillId="0" borderId="0" xfId="0" applyNumberFormat="1" applyFont="1"/>
    <xf numFmtId="168" fontId="15" fillId="0" borderId="0" xfId="0" applyNumberFormat="1" applyFont="1"/>
    <xf numFmtId="175" fontId="0" fillId="0" borderId="0" xfId="0" applyNumberFormat="1"/>
    <xf numFmtId="10" fontId="0" fillId="0" borderId="0" xfId="1" applyNumberFormat="1" applyFont="1"/>
    <xf numFmtId="169" fontId="12" fillId="0" borderId="0" xfId="0" applyNumberFormat="1" applyFont="1" applyAlignment="1">
      <alignment horizontal="centerContinuous"/>
    </xf>
    <xf numFmtId="169" fontId="8" fillId="0" borderId="0" xfId="0" applyNumberFormat="1" applyFont="1"/>
    <xf numFmtId="172" fontId="13" fillId="0" borderId="0" xfId="2" applyNumberFormat="1" applyFont="1"/>
    <xf numFmtId="169" fontId="8" fillId="0" borderId="0" xfId="0" applyNumberFormat="1" applyFont="1" applyAlignment="1">
      <alignment horizontal="left" indent="1"/>
    </xf>
    <xf numFmtId="169" fontId="12" fillId="0" borderId="0" xfId="0" applyNumberFormat="1" applyFont="1" applyAlignment="1">
      <alignment horizontal="left" indent="1"/>
    </xf>
    <xf numFmtId="172" fontId="14" fillId="0" borderId="0" xfId="2" applyNumberFormat="1" applyFont="1"/>
    <xf numFmtId="172" fontId="12" fillId="0" borderId="0" xfId="2" applyNumberFormat="1"/>
    <xf numFmtId="169" fontId="9" fillId="0" borderId="0" xfId="0" applyNumberFormat="1" applyFont="1" applyAlignment="1">
      <alignment horizontal="left" indent="1"/>
    </xf>
    <xf numFmtId="177" fontId="18" fillId="0" borderId="0" xfId="0" applyNumberFormat="1" applyFont="1"/>
    <xf numFmtId="178" fontId="12" fillId="0" borderId="0" xfId="0" applyNumberFormat="1" applyFont="1"/>
    <xf numFmtId="168" fontId="5" fillId="0" borderId="0" xfId="0" applyNumberFormat="1" applyFont="1" applyAlignment="1">
      <alignment horizontal="centerContinuous"/>
    </xf>
    <xf numFmtId="0" fontId="11" fillId="0" borderId="0" xfId="0" applyFont="1"/>
    <xf numFmtId="17" fontId="19" fillId="0" borderId="0" xfId="0" applyNumberFormat="1" applyFont="1"/>
    <xf numFmtId="17" fontId="20" fillId="0" borderId="0" xfId="0" applyNumberFormat="1" applyFont="1"/>
    <xf numFmtId="168" fontId="3" fillId="0" borderId="0" xfId="0" applyNumberFormat="1" applyFont="1"/>
    <xf numFmtId="168" fontId="4" fillId="0" borderId="0" xfId="0" applyNumberFormat="1" applyFont="1"/>
    <xf numFmtId="176" fontId="8" fillId="0" borderId="0" xfId="0" applyNumberFormat="1" applyFont="1"/>
    <xf numFmtId="170" fontId="14" fillId="0" borderId="0" xfId="0" applyNumberFormat="1" applyFont="1"/>
    <xf numFmtId="168" fontId="0" fillId="0" borderId="0" xfId="0" applyNumberFormat="1" applyAlignment="1">
      <alignment horizontal="left" indent="1"/>
    </xf>
    <xf numFmtId="179" fontId="13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left" indent="1"/>
    </xf>
    <xf numFmtId="175" fontId="13" fillId="0" borderId="0" xfId="0" applyNumberFormat="1" applyFont="1"/>
    <xf numFmtId="180" fontId="13" fillId="0" borderId="0" xfId="2" applyNumberFormat="1" applyFont="1"/>
    <xf numFmtId="165" fontId="13" fillId="0" borderId="0" xfId="2" applyNumberFormat="1" applyFont="1"/>
    <xf numFmtId="9" fontId="0" fillId="0" borderId="0" xfId="1" applyFont="1"/>
    <xf numFmtId="0" fontId="8" fillId="0" borderId="0" xfId="0" applyFont="1"/>
    <xf numFmtId="164" fontId="21" fillId="0" borderId="0" xfId="0" applyNumberFormat="1" applyFont="1"/>
    <xf numFmtId="2" fontId="13" fillId="0" borderId="0" xfId="0" applyNumberFormat="1" applyFont="1"/>
    <xf numFmtId="168" fontId="22" fillId="0" borderId="0" xfId="0" applyNumberFormat="1" applyFont="1"/>
    <xf numFmtId="0" fontId="8" fillId="0" borderId="0" xfId="0" applyFont="1" applyAlignment="1">
      <alignment horizontal="left" indent="1"/>
    </xf>
    <xf numFmtId="168" fontId="23" fillId="0" borderId="0" xfId="0" applyNumberFormat="1" applyFont="1"/>
    <xf numFmtId="168" fontId="7" fillId="2" borderId="1" xfId="0" applyNumberFormat="1" applyFont="1" applyFill="1" applyBorder="1" applyAlignment="1">
      <alignment horizontal="centerContinuous"/>
    </xf>
    <xf numFmtId="168" fontId="7" fillId="2" borderId="2" xfId="0" applyNumberFormat="1" applyFont="1" applyFill="1" applyBorder="1" applyAlignment="1">
      <alignment horizontal="centerContinuous"/>
    </xf>
    <xf numFmtId="168" fontId="7" fillId="2" borderId="3" xfId="0" applyNumberFormat="1" applyFont="1" applyFill="1" applyBorder="1" applyAlignment="1">
      <alignment horizontal="centerContinuous"/>
    </xf>
    <xf numFmtId="168" fontId="3" fillId="2" borderId="4" xfId="0" applyNumberFormat="1" applyFont="1" applyFill="1" applyBorder="1"/>
    <xf numFmtId="0" fontId="11" fillId="2" borderId="0" xfId="0" applyFont="1" applyFill="1"/>
    <xf numFmtId="168" fontId="8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centerContinuous"/>
    </xf>
    <xf numFmtId="0" fontId="11" fillId="2" borderId="4" xfId="0" applyFont="1" applyFill="1" applyBorder="1"/>
    <xf numFmtId="0" fontId="4" fillId="2" borderId="0" xfId="0" applyFont="1" applyFill="1"/>
    <xf numFmtId="0" fontId="25" fillId="2" borderId="4" xfId="0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4" xfId="0" applyFont="1" applyFill="1" applyBorder="1"/>
    <xf numFmtId="0" fontId="3" fillId="2" borderId="4" xfId="0" applyFont="1" applyFill="1" applyBorder="1"/>
    <xf numFmtId="168" fontId="8" fillId="2" borderId="4" xfId="0" applyNumberFormat="1" applyFont="1" applyFill="1" applyBorder="1"/>
    <xf numFmtId="168" fontId="11" fillId="2" borderId="0" xfId="0" applyNumberFormat="1" applyFont="1" applyFill="1"/>
    <xf numFmtId="170" fontId="13" fillId="2" borderId="0" xfId="0" applyNumberFormat="1" applyFont="1" applyFill="1"/>
    <xf numFmtId="168" fontId="13" fillId="2" borderId="0" xfId="0" applyNumberFormat="1" applyFont="1" applyFill="1"/>
    <xf numFmtId="168" fontId="14" fillId="2" borderId="0" xfId="0" applyNumberFormat="1" applyFont="1" applyFill="1" applyAlignment="1">
      <alignment horizontal="right"/>
    </xf>
    <xf numFmtId="168" fontId="17" fillId="2" borderId="4" xfId="0" applyNumberFormat="1" applyFont="1" applyFill="1" applyBorder="1"/>
    <xf numFmtId="168" fontId="29" fillId="2" borderId="0" xfId="0" applyNumberFormat="1" applyFont="1" applyFill="1"/>
    <xf numFmtId="168" fontId="16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168" fontId="11" fillId="2" borderId="4" xfId="0" applyNumberFormat="1" applyFont="1" applyFill="1" applyBorder="1"/>
    <xf numFmtId="168" fontId="11" fillId="2" borderId="5" xfId="0" applyNumberFormat="1" applyFont="1" applyFill="1" applyBorder="1"/>
    <xf numFmtId="0" fontId="9" fillId="2" borderId="4" xfId="0" applyFont="1" applyFill="1" applyBorder="1"/>
    <xf numFmtId="168" fontId="9" fillId="2" borderId="4" xfId="0" applyNumberFormat="1" applyFont="1" applyFill="1" applyBorder="1"/>
    <xf numFmtId="168" fontId="8" fillId="2" borderId="6" xfId="0" applyNumberFormat="1" applyFont="1" applyFill="1" applyBorder="1"/>
    <xf numFmtId="168" fontId="11" fillId="2" borderId="7" xfId="0" applyNumberFormat="1" applyFont="1" applyFill="1" applyBorder="1"/>
    <xf numFmtId="168" fontId="16" fillId="2" borderId="7" xfId="0" applyNumberFormat="1" applyFont="1" applyFill="1" applyBorder="1"/>
    <xf numFmtId="168" fontId="13" fillId="2" borderId="7" xfId="0" applyNumberFormat="1" applyFont="1" applyFill="1" applyBorder="1"/>
    <xf numFmtId="168" fontId="5" fillId="2" borderId="1" xfId="0" applyNumberFormat="1" applyFont="1" applyFill="1" applyBorder="1" applyAlignment="1">
      <alignment horizontal="centerContinuous"/>
    </xf>
    <xf numFmtId="168" fontId="22" fillId="2" borderId="2" xfId="0" applyNumberFormat="1" applyFont="1" applyFill="1" applyBorder="1" applyAlignment="1">
      <alignment horizontal="centerContinuous"/>
    </xf>
    <xf numFmtId="168" fontId="22" fillId="2" borderId="3" xfId="0" applyNumberFormat="1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78" fontId="30" fillId="2" borderId="0" xfId="0" applyNumberFormat="1" applyFont="1" applyFill="1" applyAlignment="1">
      <alignment horizontal="centerContinuous"/>
    </xf>
    <xf numFmtId="168" fontId="31" fillId="0" borderId="0" xfId="0" applyNumberFormat="1" applyFont="1"/>
    <xf numFmtId="168" fontId="8" fillId="2" borderId="0" xfId="0" quotePrefix="1" applyNumberFormat="1" applyFont="1" applyFill="1" applyAlignment="1">
      <alignment horizontal="right"/>
    </xf>
    <xf numFmtId="2" fontId="0" fillId="2" borderId="0" xfId="0" applyNumberFormat="1" applyFill="1"/>
    <xf numFmtId="175" fontId="13" fillId="2" borderId="0" xfId="0" applyNumberFormat="1" applyFont="1" applyFill="1" applyAlignment="1">
      <alignment horizontal="right"/>
    </xf>
    <xf numFmtId="174" fontId="8" fillId="2" borderId="6" xfId="0" applyNumberFormat="1" applyFont="1" applyFill="1" applyBorder="1"/>
    <xf numFmtId="178" fontId="30" fillId="2" borderId="7" xfId="0" applyNumberFormat="1" applyFont="1" applyFill="1" applyBorder="1" applyAlignment="1">
      <alignment horizontal="right"/>
    </xf>
    <xf numFmtId="168" fontId="8" fillId="2" borderId="8" xfId="0" applyNumberFormat="1" applyFont="1" applyFill="1" applyBorder="1" applyAlignment="1">
      <alignment horizontal="centerContinuous"/>
    </xf>
    <xf numFmtId="168" fontId="7" fillId="2" borderId="0" xfId="0" applyNumberFormat="1" applyFont="1" applyFill="1" applyAlignment="1">
      <alignment horizontal="centerContinuous"/>
    </xf>
    <xf numFmtId="168" fontId="7" fillId="2" borderId="4" xfId="0" applyNumberFormat="1" applyFont="1" applyFill="1" applyBorder="1" applyAlignment="1">
      <alignment horizontal="centerContinuous"/>
    </xf>
    <xf numFmtId="168" fontId="7" fillId="2" borderId="5" xfId="0" applyNumberFormat="1" applyFont="1" applyFill="1" applyBorder="1" applyAlignment="1">
      <alignment horizontal="centerContinuous"/>
    </xf>
    <xf numFmtId="17" fontId="4" fillId="2" borderId="0" xfId="0" applyNumberFormat="1" applyFont="1" applyFill="1"/>
    <xf numFmtId="174" fontId="8" fillId="2" borderId="10" xfId="0" applyNumberFormat="1" applyFont="1" applyFill="1" applyBorder="1"/>
    <xf numFmtId="174" fontId="8" fillId="2" borderId="7" xfId="0" applyNumberFormat="1" applyFont="1" applyFill="1" applyBorder="1"/>
    <xf numFmtId="174" fontId="8" fillId="2" borderId="8" xfId="0" applyNumberFormat="1" applyFont="1" applyFill="1" applyBorder="1"/>
    <xf numFmtId="2" fontId="13" fillId="2" borderId="0" xfId="0" applyNumberFormat="1" applyFont="1" applyFill="1"/>
    <xf numFmtId="174" fontId="8" fillId="2" borderId="11" xfId="0" applyNumberFormat="1" applyFont="1" applyFill="1" applyBorder="1"/>
    <xf numFmtId="0" fontId="5" fillId="2" borderId="9" xfId="0" applyFont="1" applyFill="1" applyBorder="1" applyAlignment="1">
      <alignment horizontal="centerContinuous"/>
    </xf>
    <xf numFmtId="2" fontId="11" fillId="2" borderId="0" xfId="0" applyNumberFormat="1" applyFont="1" applyFill="1"/>
    <xf numFmtId="166" fontId="5" fillId="2" borderId="9" xfId="0" applyNumberFormat="1" applyFont="1" applyFill="1" applyBorder="1" applyAlignment="1">
      <alignment horizontal="centerContinuous"/>
    </xf>
    <xf numFmtId="2" fontId="0" fillId="2" borderId="0" xfId="0" applyNumberFormat="1" applyFill="1" applyAlignment="1">
      <alignment horizontal="centerContinuous"/>
    </xf>
    <xf numFmtId="2" fontId="0" fillId="2" borderId="5" xfId="0" applyNumberFormat="1" applyFill="1" applyBorder="1" applyAlignment="1">
      <alignment horizontal="centerContinuous"/>
    </xf>
    <xf numFmtId="2" fontId="33" fillId="2" borderId="7" xfId="1" applyNumberFormat="1" applyFont="1" applyFill="1" applyBorder="1"/>
    <xf numFmtId="2" fontId="33" fillId="2" borderId="8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/>
    <xf numFmtId="0" fontId="6" fillId="2" borderId="2" xfId="0" applyFont="1" applyFill="1" applyBorder="1" applyAlignment="1">
      <alignment horizontal="centerContinuous"/>
    </xf>
    <xf numFmtId="168" fontId="16" fillId="2" borderId="5" xfId="0" applyNumberFormat="1" applyFont="1" applyFill="1" applyBorder="1"/>
    <xf numFmtId="10" fontId="7" fillId="2" borderId="5" xfId="1" applyNumberFormat="1" applyFont="1" applyFill="1" applyBorder="1" applyAlignment="1">
      <alignment horizontal="centerContinuous"/>
    </xf>
    <xf numFmtId="49" fontId="35" fillId="3" borderId="12" xfId="3" applyNumberFormat="1" applyFont="1" applyFill="1" applyBorder="1" applyAlignment="1">
      <alignment wrapText="1"/>
    </xf>
    <xf numFmtId="49" fontId="35" fillId="3" borderId="12" xfId="3" applyNumberFormat="1" applyFont="1" applyFill="1" applyBorder="1" applyAlignment="1">
      <alignment horizontal="center" wrapText="1"/>
    </xf>
    <xf numFmtId="0" fontId="36" fillId="3" borderId="12" xfId="3" applyFont="1" applyFill="1" applyBorder="1"/>
    <xf numFmtId="166" fontId="36" fillId="3" borderId="12" xfId="3" applyNumberFormat="1" applyFont="1" applyFill="1" applyBorder="1"/>
    <xf numFmtId="0" fontId="37" fillId="3" borderId="0" xfId="0" applyFont="1" applyFill="1"/>
    <xf numFmtId="0" fontId="38" fillId="4" borderId="0" xfId="0" applyFont="1" applyFill="1"/>
    <xf numFmtId="0" fontId="37" fillId="4" borderId="0" xfId="0" applyFont="1" applyFill="1"/>
    <xf numFmtId="165" fontId="37" fillId="4" borderId="0" xfId="0" applyNumberFormat="1" applyFont="1" applyFill="1"/>
    <xf numFmtId="9" fontId="37" fillId="4" borderId="0" xfId="0" applyNumberFormat="1" applyFont="1" applyFill="1"/>
    <xf numFmtId="0" fontId="37" fillId="3" borderId="7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wrapText="1"/>
    </xf>
    <xf numFmtId="0" fontId="40" fillId="7" borderId="7" xfId="0" applyFont="1" applyFill="1" applyBorder="1" applyAlignment="1">
      <alignment horizontal="center" wrapText="1"/>
    </xf>
    <xf numFmtId="2" fontId="37" fillId="3" borderId="0" xfId="0" applyNumberFormat="1" applyFont="1" applyFill="1" applyAlignment="1">
      <alignment horizontal="left"/>
    </xf>
    <xf numFmtId="165" fontId="37" fillId="3" borderId="0" xfId="0" applyNumberFormat="1" applyFont="1" applyFill="1" applyAlignment="1">
      <alignment horizontal="center"/>
    </xf>
    <xf numFmtId="167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left"/>
    </xf>
    <xf numFmtId="167" fontId="37" fillId="3" borderId="0" xfId="0" applyNumberFormat="1" applyFont="1" applyFill="1" applyAlignment="1">
      <alignment horizontal="left"/>
    </xf>
    <xf numFmtId="0" fontId="37" fillId="3" borderId="0" xfId="0" applyFont="1" applyFill="1" applyAlignment="1">
      <alignment horizontal="center"/>
    </xf>
    <xf numFmtId="0" fontId="37" fillId="3" borderId="13" xfId="0" applyFont="1" applyFill="1" applyBorder="1" applyAlignment="1">
      <alignment horizontal="left"/>
    </xf>
    <xf numFmtId="0" fontId="37" fillId="3" borderId="13" xfId="0" applyFont="1" applyFill="1" applyBorder="1" applyAlignment="1">
      <alignment horizontal="center"/>
    </xf>
    <xf numFmtId="167" fontId="39" fillId="6" borderId="0" xfId="0" applyNumberFormat="1" applyFont="1" applyFill="1" applyAlignment="1">
      <alignment horizontal="center"/>
    </xf>
    <xf numFmtId="167" fontId="41" fillId="6" borderId="0" xfId="0" applyNumberFormat="1" applyFont="1" applyFill="1" applyAlignment="1">
      <alignment horizontal="center" wrapText="1"/>
    </xf>
    <xf numFmtId="167" fontId="39" fillId="3" borderId="0" xfId="0" applyNumberFormat="1" applyFont="1" applyFill="1" applyAlignment="1">
      <alignment horizontal="center"/>
    </xf>
    <xf numFmtId="167" fontId="41" fillId="3" borderId="0" xfId="0" applyNumberFormat="1" applyFont="1" applyFill="1" applyAlignment="1">
      <alignment horizontal="center"/>
    </xf>
    <xf numFmtId="167" fontId="37" fillId="3" borderId="14" xfId="0" applyNumberFormat="1" applyFont="1" applyFill="1" applyBorder="1" applyAlignment="1">
      <alignment horizontal="right"/>
    </xf>
    <xf numFmtId="0" fontId="37" fillId="3" borderId="0" xfId="4" applyFont="1" applyFill="1"/>
    <xf numFmtId="168" fontId="1" fillId="0" borderId="0" xfId="0" applyNumberFormat="1" applyFont="1"/>
    <xf numFmtId="39" fontId="0" fillId="0" borderId="0" xfId="0" applyNumberFormat="1"/>
    <xf numFmtId="168" fontId="0" fillId="0" borderId="5" xfId="0" applyNumberFormat="1" applyBorder="1"/>
    <xf numFmtId="39" fontId="1" fillId="0" borderId="0" xfId="0" applyNumberFormat="1" applyFont="1"/>
    <xf numFmtId="39" fontId="0" fillId="0" borderId="5" xfId="0" applyNumberFormat="1" applyBorder="1"/>
    <xf numFmtId="0" fontId="0" fillId="0" borderId="5" xfId="0" applyBorder="1"/>
    <xf numFmtId="175" fontId="0" fillId="0" borderId="5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0" borderId="15" xfId="0" applyBorder="1"/>
    <xf numFmtId="0" fontId="0" fillId="0" borderId="16" xfId="0" applyBorder="1"/>
    <xf numFmtId="168" fontId="1" fillId="0" borderId="9" xfId="0" applyNumberFormat="1" applyFont="1" applyBorder="1"/>
    <xf numFmtId="168" fontId="1" fillId="0" borderId="11" xfId="0" applyNumberFormat="1" applyFont="1" applyBorder="1"/>
    <xf numFmtId="0" fontId="39" fillId="3" borderId="13" xfId="0" applyFont="1" applyFill="1" applyBorder="1" applyAlignment="1">
      <alignment horizontal="center"/>
    </xf>
    <xf numFmtId="171" fontId="37" fillId="4" borderId="0" xfId="0" applyNumberFormat="1" applyFont="1" applyFill="1"/>
    <xf numFmtId="10" fontId="37" fillId="4" borderId="0" xfId="0" applyNumberFormat="1" applyFont="1" applyFill="1"/>
    <xf numFmtId="0" fontId="40" fillId="0" borderId="0" xfId="0" applyFont="1" applyAlignment="1">
      <alignment horizontal="center" wrapText="1"/>
    </xf>
    <xf numFmtId="171" fontId="0" fillId="0" borderId="0" xfId="1" applyNumberFormat="1" applyFont="1"/>
    <xf numFmtId="9" fontId="37" fillId="3" borderId="0" xfId="0" applyNumberFormat="1" applyFont="1" applyFill="1"/>
    <xf numFmtId="167" fontId="37" fillId="3" borderId="0" xfId="0" applyNumberFormat="1" applyFont="1" applyFill="1"/>
    <xf numFmtId="8" fontId="37" fillId="3" borderId="0" xfId="0" applyNumberFormat="1" applyFont="1" applyFill="1"/>
    <xf numFmtId="172" fontId="37" fillId="3" borderId="0" xfId="0" applyNumberFormat="1" applyFont="1" applyFill="1"/>
    <xf numFmtId="0" fontId="5" fillId="2" borderId="10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5" fillId="2" borderId="9" xfId="0" applyFont="1" applyFill="1" applyBorder="1" applyAlignment="1">
      <alignment horizontal="right"/>
    </xf>
    <xf numFmtId="0" fontId="0" fillId="2" borderId="15" xfId="0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7" fillId="2" borderId="9" xfId="0" applyFont="1" applyFill="1" applyBorder="1" applyAlignment="1">
      <alignment horizontal="centerContinuous" vertical="center"/>
    </xf>
    <xf numFmtId="0" fontId="42" fillId="3" borderId="0" xfId="0" applyFont="1" applyFill="1"/>
    <xf numFmtId="168" fontId="43" fillId="2" borderId="6" xfId="0" applyNumberFormat="1" applyFont="1" applyFill="1" applyBorder="1"/>
    <xf numFmtId="166" fontId="43" fillId="2" borderId="7" xfId="0" applyNumberFormat="1" applyFont="1" applyFill="1" applyBorder="1"/>
    <xf numFmtId="181" fontId="0" fillId="0" borderId="0" xfId="0" applyNumberFormat="1"/>
    <xf numFmtId="2" fontId="37" fillId="3" borderId="0" xfId="0" applyNumberFormat="1" applyFont="1" applyFill="1" applyAlignment="1">
      <alignment horizontal="center"/>
    </xf>
    <xf numFmtId="2" fontId="39" fillId="3" borderId="13" xfId="0" applyNumberFormat="1" applyFont="1" applyFill="1" applyBorder="1" applyAlignment="1">
      <alignment horizontal="center"/>
    </xf>
    <xf numFmtId="167" fontId="37" fillId="0" borderId="0" xfId="0" applyNumberFormat="1" applyFont="1" applyAlignment="1">
      <alignment horizontal="center"/>
    </xf>
    <xf numFmtId="0" fontId="39" fillId="3" borderId="0" xfId="0" applyFont="1" applyFill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168" fontId="1" fillId="0" borderId="7" xfId="0" applyNumberFormat="1" applyFont="1" applyBorder="1"/>
    <xf numFmtId="9" fontId="0" fillId="0" borderId="6" xfId="1" applyFont="1" applyBorder="1"/>
    <xf numFmtId="9" fontId="0" fillId="5" borderId="0" xfId="1" applyFont="1" applyFill="1"/>
    <xf numFmtId="9" fontId="1" fillId="0" borderId="0" xfId="1" applyFont="1"/>
    <xf numFmtId="0" fontId="0" fillId="0" borderId="1" xfId="0" applyBorder="1"/>
    <xf numFmtId="0" fontId="0" fillId="0" borderId="3" xfId="0" applyBorder="1"/>
    <xf numFmtId="10" fontId="0" fillId="0" borderId="3" xfId="0" applyNumberFormat="1" applyBorder="1"/>
    <xf numFmtId="10" fontId="0" fillId="0" borderId="0" xfId="0" applyNumberFormat="1"/>
    <xf numFmtId="0" fontId="0" fillId="0" borderId="17" xfId="0" applyBorder="1"/>
    <xf numFmtId="0" fontId="0" fillId="0" borderId="9" xfId="0" applyBorder="1"/>
    <xf numFmtId="0" fontId="0" fillId="0" borderId="4" xfId="0" applyBorder="1"/>
    <xf numFmtId="10" fontId="0" fillId="0" borderId="5" xfId="0" applyNumberFormat="1" applyBorder="1"/>
    <xf numFmtId="0" fontId="0" fillId="0" borderId="11" xfId="0" applyBorder="1"/>
    <xf numFmtId="10" fontId="0" fillId="0" borderId="5" xfId="1" applyNumberFormat="1" applyFont="1" applyBorder="1"/>
    <xf numFmtId="0" fontId="0" fillId="0" borderId="6" xfId="0" applyBorder="1"/>
    <xf numFmtId="0" fontId="0" fillId="0" borderId="10" xfId="0" applyBorder="1"/>
    <xf numFmtId="9" fontId="0" fillId="0" borderId="5" xfId="0" applyNumberFormat="1" applyBorder="1"/>
    <xf numFmtId="0" fontId="0" fillId="8" borderId="0" xfId="0" applyFill="1"/>
    <xf numFmtId="2" fontId="44" fillId="0" borderId="0" xfId="0" applyNumberFormat="1" applyFont="1"/>
    <xf numFmtId="2" fontId="0" fillId="0" borderId="0" xfId="0" applyNumberFormat="1"/>
    <xf numFmtId="0" fontId="0" fillId="0" borderId="8" xfId="0" applyBorder="1"/>
    <xf numFmtId="0" fontId="0" fillId="8" borderId="17" xfId="0" applyFill="1" applyBorder="1"/>
    <xf numFmtId="0" fontId="0" fillId="8" borderId="15" xfId="0" applyFill="1" applyBorder="1"/>
    <xf numFmtId="0" fontId="45" fillId="0" borderId="0" xfId="0" applyFont="1"/>
    <xf numFmtId="0" fontId="0" fillId="0" borderId="9" xfId="0" applyBorder="1" applyAlignment="1">
      <alignment horizontal="center" wrapText="1"/>
    </xf>
    <xf numFmtId="0" fontId="0" fillId="9" borderId="9" xfId="0" applyFill="1" applyBorder="1"/>
    <xf numFmtId="0" fontId="0" fillId="10" borderId="0" xfId="0" applyFill="1"/>
    <xf numFmtId="10" fontId="44" fillId="0" borderId="9" xfId="1" applyNumberFormat="1" applyFont="1" applyBorder="1"/>
    <xf numFmtId="10" fontId="44" fillId="9" borderId="9" xfId="1" applyNumberFormat="1" applyFont="1" applyFill="1" applyBorder="1"/>
    <xf numFmtId="9" fontId="44" fillId="0" borderId="9" xfId="1" applyFont="1" applyBorder="1"/>
    <xf numFmtId="9" fontId="44" fillId="9" borderId="9" xfId="1" applyFont="1" applyFill="1" applyBorder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46" fillId="0" borderId="9" xfId="0" applyFont="1" applyBorder="1"/>
    <xf numFmtId="9" fontId="0" fillId="0" borderId="9" xfId="0" applyNumberFormat="1" applyBorder="1"/>
    <xf numFmtId="10" fontId="0" fillId="0" borderId="9" xfId="0" applyNumberFormat="1" applyBorder="1"/>
    <xf numFmtId="10" fontId="0" fillId="9" borderId="9" xfId="0" applyNumberFormat="1" applyFill="1" applyBorder="1"/>
    <xf numFmtId="10" fontId="44" fillId="9" borderId="9" xfId="0" applyNumberFormat="1" applyFont="1" applyFill="1" applyBorder="1"/>
    <xf numFmtId="0" fontId="47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0" fillId="0" borderId="18" xfId="0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1" fillId="0" borderId="10" xfId="0" applyFont="1" applyBorder="1"/>
    <xf numFmtId="0" fontId="1" fillId="0" borderId="18" xfId="0" applyFont="1" applyBorder="1"/>
    <xf numFmtId="17" fontId="4" fillId="2" borderId="5" xfId="0" applyNumberFormat="1" applyFont="1" applyFill="1" applyBorder="1"/>
    <xf numFmtId="0" fontId="27" fillId="2" borderId="5" xfId="0" applyFont="1" applyFill="1" applyBorder="1"/>
    <xf numFmtId="2" fontId="13" fillId="2" borderId="5" xfId="0" applyNumberFormat="1" applyFont="1" applyFill="1" applyBorder="1"/>
    <xf numFmtId="168" fontId="13" fillId="2" borderId="5" xfId="0" applyNumberFormat="1" applyFont="1" applyFill="1" applyBorder="1"/>
    <xf numFmtId="168" fontId="14" fillId="2" borderId="5" xfId="0" applyNumberFormat="1" applyFont="1" applyFill="1" applyBorder="1" applyAlignment="1">
      <alignment horizontal="right"/>
    </xf>
    <xf numFmtId="168" fontId="16" fillId="2" borderId="5" xfId="0" applyNumberFormat="1" applyFont="1" applyFill="1" applyBorder="1" applyAlignment="1">
      <alignment horizontal="right"/>
    </xf>
    <xf numFmtId="168" fontId="13" fillId="2" borderId="8" xfId="0" applyNumberFormat="1" applyFont="1" applyFill="1" applyBorder="1"/>
    <xf numFmtId="10" fontId="37" fillId="3" borderId="0" xfId="0" applyNumberFormat="1" applyFont="1" applyFill="1"/>
    <xf numFmtId="10" fontId="1" fillId="0" borderId="5" xfId="1" applyNumberFormat="1" applyFont="1" applyBorder="1"/>
    <xf numFmtId="9" fontId="44" fillId="0" borderId="16" xfId="1" applyFont="1" applyBorder="1"/>
    <xf numFmtId="10" fontId="1" fillId="0" borderId="5" xfId="0" applyNumberFormat="1" applyFont="1" applyBorder="1"/>
    <xf numFmtId="2" fontId="43" fillId="2" borderId="0" xfId="0" applyNumberFormat="1" applyFont="1" applyFill="1"/>
    <xf numFmtId="171" fontId="1" fillId="0" borderId="9" xfId="1" applyNumberFormat="1" applyFont="1" applyBorder="1"/>
    <xf numFmtId="171" fontId="0" fillId="0" borderId="9" xfId="1" applyNumberFormat="1" applyFont="1" applyBorder="1"/>
    <xf numFmtId="171" fontId="0" fillId="0" borderId="10" xfId="1" applyNumberFormat="1" applyFont="1" applyBorder="1"/>
    <xf numFmtId="168" fontId="1" fillId="0" borderId="17" xfId="0" applyNumberFormat="1" applyFont="1" applyBorder="1"/>
    <xf numFmtId="168" fontId="0" fillId="0" borderId="16" xfId="0" applyNumberFormat="1" applyBorder="1"/>
    <xf numFmtId="171" fontId="0" fillId="0" borderId="6" xfId="1" applyNumberFormat="1" applyFont="1" applyBorder="1"/>
    <xf numFmtId="171" fontId="0" fillId="0" borderId="5" xfId="0" applyNumberFormat="1" applyBorder="1"/>
    <xf numFmtId="168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0" fillId="0" borderId="9" xfId="0" applyNumberFormat="1" applyBorder="1"/>
    <xf numFmtId="1" fontId="0" fillId="0" borderId="9" xfId="1" applyNumberFormat="1" applyFont="1" applyBorder="1"/>
    <xf numFmtId="1" fontId="0" fillId="0" borderId="9" xfId="0" applyNumberFormat="1" applyBorder="1"/>
    <xf numFmtId="0" fontId="1" fillId="0" borderId="0" xfId="0" applyFont="1" applyAlignment="1">
      <alignment horizontal="center" wrapText="1"/>
    </xf>
    <xf numFmtId="183" fontId="0" fillId="0" borderId="0" xfId="0" applyNumberFormat="1"/>
    <xf numFmtId="184" fontId="0" fillId="0" borderId="0" xfId="0" applyNumberFormat="1"/>
    <xf numFmtId="0" fontId="34" fillId="0" borderId="0" xfId="0" applyFont="1"/>
    <xf numFmtId="0" fontId="48" fillId="0" borderId="0" xfId="0" applyFont="1"/>
    <xf numFmtId="0" fontId="34" fillId="0" borderId="9" xfId="0" applyFont="1" applyBorder="1"/>
    <xf numFmtId="0" fontId="34" fillId="0" borderId="9" xfId="0" applyFont="1" applyBorder="1" applyAlignment="1">
      <alignment horizontal="center"/>
    </xf>
    <xf numFmtId="0" fontId="34" fillId="0" borderId="4" xfId="0" applyFont="1" applyBorder="1"/>
    <xf numFmtId="0" fontId="34" fillId="0" borderId="0" xfId="0" applyFont="1" applyAlignment="1">
      <alignment horizontal="center"/>
    </xf>
    <xf numFmtId="10" fontId="0" fillId="0" borderId="0" xfId="1" applyNumberFormat="1" applyFont="1" applyBorder="1"/>
    <xf numFmtId="0" fontId="49" fillId="0" borderId="0" xfId="0" applyFont="1"/>
    <xf numFmtId="0" fontId="0" fillId="0" borderId="0" xfId="1" applyNumberFormat="1" applyFont="1" applyBorder="1"/>
    <xf numFmtId="2" fontId="0" fillId="0" borderId="7" xfId="0" applyNumberFormat="1" applyBorder="1"/>
    <xf numFmtId="0" fontId="0" fillId="0" borderId="7" xfId="0" applyBorder="1"/>
    <xf numFmtId="0" fontId="34" fillId="8" borderId="17" xfId="0" applyFont="1" applyFill="1" applyBorder="1"/>
    <xf numFmtId="0" fontId="50" fillId="0" borderId="15" xfId="0" applyFont="1" applyBorder="1"/>
    <xf numFmtId="10" fontId="50" fillId="0" borderId="15" xfId="0" applyNumberFormat="1" applyFont="1" applyBorder="1"/>
    <xf numFmtId="0" fontId="50" fillId="0" borderId="16" xfId="0" applyFont="1" applyBorder="1"/>
    <xf numFmtId="10" fontId="0" fillId="8" borderId="0" xfId="0" applyNumberFormat="1" applyFill="1"/>
    <xf numFmtId="0" fontId="0" fillId="11" borderId="0" xfId="0" applyFill="1"/>
    <xf numFmtId="0" fontId="1" fillId="11" borderId="0" xfId="0" applyFont="1" applyFill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168" fontId="0" fillId="0" borderId="4" xfId="0" applyNumberFormat="1" applyBorder="1"/>
    <xf numFmtId="168" fontId="0" fillId="0" borderId="4" xfId="0" applyNumberFormat="1" applyBorder="1" applyAlignment="1">
      <alignment wrapText="1"/>
    </xf>
    <xf numFmtId="168" fontId="1" fillId="0" borderId="6" xfId="0" applyNumberFormat="1" applyFont="1" applyBorder="1" applyAlignment="1">
      <alignment wrapText="1"/>
    </xf>
    <xf numFmtId="0" fontId="1" fillId="0" borderId="17" xfId="0" applyFont="1" applyBorder="1"/>
    <xf numFmtId="0" fontId="1" fillId="0" borderId="16" xfId="0" applyFont="1" applyBorder="1" applyAlignment="1">
      <alignment wrapText="1"/>
    </xf>
    <xf numFmtId="168" fontId="1" fillId="0" borderId="10" xfId="0" applyNumberFormat="1" applyFont="1" applyBorder="1"/>
    <xf numFmtId="0" fontId="0" fillId="0" borderId="2" xfId="0" applyBorder="1"/>
    <xf numFmtId="182" fontId="1" fillId="0" borderId="0" xfId="0" applyNumberFormat="1" applyFont="1"/>
    <xf numFmtId="0" fontId="1" fillId="0" borderId="0" xfId="0" applyFont="1"/>
    <xf numFmtId="10" fontId="0" fillId="0" borderId="8" xfId="0" applyNumberFormat="1" applyBorder="1"/>
    <xf numFmtId="0" fontId="0" fillId="6" borderId="2" xfId="0" applyFill="1" applyBorder="1"/>
    <xf numFmtId="0" fontId="1" fillId="6" borderId="2" xfId="0" applyFont="1" applyFill="1" applyBorder="1"/>
    <xf numFmtId="10" fontId="0" fillId="6" borderId="2" xfId="0" applyNumberFormat="1" applyFill="1" applyBorder="1"/>
    <xf numFmtId="0" fontId="0" fillId="6" borderId="0" xfId="0" applyFill="1"/>
    <xf numFmtId="10" fontId="0" fillId="6" borderId="0" xfId="0" applyNumberFormat="1" applyFill="1"/>
    <xf numFmtId="0" fontId="0" fillId="6" borderId="7" xfId="0" applyFill="1" applyBorder="1"/>
    <xf numFmtId="168" fontId="1" fillId="8" borderId="20" xfId="0" applyNumberFormat="1" applyFont="1" applyFill="1" applyBorder="1" applyAlignment="1">
      <alignment wrapText="1"/>
    </xf>
    <xf numFmtId="0" fontId="1" fillId="0" borderId="20" xfId="0" applyFont="1" applyBorder="1"/>
    <xf numFmtId="0" fontId="1" fillId="13" borderId="0" xfId="0" applyFont="1" applyFill="1"/>
    <xf numFmtId="168" fontId="1" fillId="6" borderId="21" xfId="0" applyNumberFormat="1" applyFont="1" applyFill="1" applyBorder="1" applyAlignment="1">
      <alignment wrapText="1"/>
    </xf>
    <xf numFmtId="168" fontId="1" fillId="6" borderId="22" xfId="0" applyNumberFormat="1" applyFont="1" applyFill="1" applyBorder="1" applyAlignment="1">
      <alignment wrapText="1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0" fontId="0" fillId="6" borderId="25" xfId="0" applyNumberFormat="1" applyFill="1" applyBorder="1"/>
    <xf numFmtId="10" fontId="0" fillId="6" borderId="26" xfId="0" applyNumberFormat="1" applyFill="1" applyBorder="1"/>
    <xf numFmtId="10" fontId="0" fillId="0" borderId="24" xfId="1" applyNumberFormat="1" applyFont="1" applyFill="1" applyBorder="1"/>
    <xf numFmtId="10" fontId="33" fillId="0" borderId="24" xfId="1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24" xfId="0" applyFont="1" applyBorder="1"/>
    <xf numFmtId="0" fontId="0" fillId="0" borderId="28" xfId="0" applyBorder="1"/>
    <xf numFmtId="168" fontId="1" fillId="0" borderId="24" xfId="0" applyNumberFormat="1" applyFont="1" applyBorder="1"/>
    <xf numFmtId="0" fontId="0" fillId="0" borderId="24" xfId="0" applyBorder="1"/>
    <xf numFmtId="10" fontId="0" fillId="0" borderId="28" xfId="0" applyNumberFormat="1" applyBorder="1"/>
    <xf numFmtId="10" fontId="1" fillId="0" borderId="0" xfId="0" applyNumberFormat="1" applyFont="1"/>
    <xf numFmtId="9" fontId="0" fillId="0" borderId="0" xfId="0" applyNumberFormat="1"/>
    <xf numFmtId="0" fontId="1" fillId="0" borderId="32" xfId="0" applyFont="1" applyBorder="1"/>
    <xf numFmtId="0" fontId="0" fillId="0" borderId="19" xfId="0" applyBorder="1"/>
    <xf numFmtId="0" fontId="0" fillId="0" borderId="33" xfId="0" applyBorder="1"/>
    <xf numFmtId="168" fontId="0" fillId="0" borderId="32" xfId="0" applyNumberFormat="1" applyBorder="1"/>
    <xf numFmtId="168" fontId="0" fillId="0" borderId="19" xfId="0" applyNumberFormat="1" applyBorder="1"/>
    <xf numFmtId="168" fontId="0" fillId="0" borderId="33" xfId="0" applyNumberFormat="1" applyBorder="1"/>
    <xf numFmtId="0" fontId="43" fillId="0" borderId="34" xfId="0" applyFont="1" applyBorder="1"/>
    <xf numFmtId="0" fontId="0" fillId="0" borderId="35" xfId="0" applyBorder="1"/>
    <xf numFmtId="168" fontId="29" fillId="12" borderId="20" xfId="0" applyNumberFormat="1" applyFont="1" applyFill="1" applyBorder="1"/>
    <xf numFmtId="168" fontId="29" fillId="12" borderId="20" xfId="0" applyNumberFormat="1" applyFont="1" applyFill="1" applyBorder="1" applyAlignment="1">
      <alignment wrapText="1"/>
    </xf>
    <xf numFmtId="168" fontId="1" fillId="0" borderId="36" xfId="0" applyNumberFormat="1" applyFont="1" applyBorder="1"/>
    <xf numFmtId="168" fontId="29" fillId="0" borderId="37" xfId="0" applyNumberFormat="1" applyFont="1" applyBorder="1"/>
    <xf numFmtId="168" fontId="29" fillId="0" borderId="38" xfId="0" applyNumberFormat="1" applyFont="1" applyBorder="1"/>
    <xf numFmtId="0" fontId="0" fillId="0" borderId="39" xfId="0" applyBorder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9" fillId="0" borderId="0" xfId="0" applyFont="1"/>
    <xf numFmtId="0" fontId="0" fillId="0" borderId="0" xfId="0"/>
    <xf numFmtId="0" fontId="34" fillId="0" borderId="0" xfId="0" applyFont="1"/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39" fillId="5" borderId="0" xfId="0" applyFont="1" applyFill="1" applyAlignment="1">
      <alignment horizontal="center" vertical="center"/>
    </xf>
    <xf numFmtId="168" fontId="1" fillId="5" borderId="0" xfId="0" applyNumberFormat="1" applyFont="1" applyFill="1" applyAlignment="1">
      <alignment horizontal="center"/>
    </xf>
    <xf numFmtId="171" fontId="0" fillId="0" borderId="17" xfId="1" applyNumberFormat="1" applyFont="1" applyBorder="1" applyAlignment="1">
      <alignment horizontal="center"/>
    </xf>
    <xf numFmtId="171" fontId="0" fillId="0" borderId="16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/>
    </xf>
    <xf numFmtId="171" fontId="0" fillId="0" borderId="8" xfId="1" applyNumberFormat="1" applyFont="1" applyBorder="1" applyAlignment="1">
      <alignment horizontal="center"/>
    </xf>
    <xf numFmtId="0" fontId="1" fillId="8" borderId="5" xfId="0" applyFont="1" applyFill="1" applyBorder="1" applyAlignment="1">
      <alignment horizontal="right" vertical="center" wrapText="1"/>
    </xf>
    <xf numFmtId="0" fontId="1" fillId="11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86" fontId="17" fillId="0" borderId="0" xfId="0" applyNumberFormat="1" applyFont="1"/>
    <xf numFmtId="0" fontId="0" fillId="0" borderId="0" xfId="0" applyNumberFormat="1"/>
    <xf numFmtId="168" fontId="33" fillId="0" borderId="0" xfId="0" applyNumberFormat="1" applyFont="1"/>
    <xf numFmtId="168" fontId="0" fillId="0" borderId="0" xfId="0" applyNumberFormat="1" applyAlignment="1">
      <alignment horizontal="centerContinuous"/>
    </xf>
    <xf numFmtId="0" fontId="15" fillId="0" borderId="0" xfId="0" applyFont="1"/>
    <xf numFmtId="170" fontId="9" fillId="0" borderId="40" xfId="0" applyNumberFormat="1" applyFont="1" applyBorder="1"/>
    <xf numFmtId="170" fontId="10" fillId="0" borderId="41" xfId="0" applyNumberFormat="1" applyFont="1" applyBorder="1"/>
    <xf numFmtId="187" fontId="9" fillId="0" borderId="42" xfId="0" applyNumberFormat="1" applyFont="1" applyBorder="1" applyAlignment="1">
      <alignment horizontal="center"/>
    </xf>
    <xf numFmtId="168" fontId="13" fillId="0" borderId="0" xfId="0" applyNumberFormat="1" applyFont="1" applyAlignment="1">
      <alignment horizontal="right"/>
    </xf>
    <xf numFmtId="168" fontId="17" fillId="0" borderId="0" xfId="0" applyNumberFormat="1" applyFont="1"/>
    <xf numFmtId="170" fontId="13" fillId="0" borderId="0" xfId="0" applyNumberFormat="1" applyFont="1"/>
    <xf numFmtId="17" fontId="4" fillId="0" borderId="0" xfId="0" applyNumberFormat="1" applyFont="1"/>
    <xf numFmtId="37" fontId="0" fillId="0" borderId="0" xfId="0" applyNumberFormat="1"/>
    <xf numFmtId="176" fontId="33" fillId="0" borderId="0" xfId="0" applyNumberFormat="1" applyFont="1"/>
    <xf numFmtId="168" fontId="51" fillId="0" borderId="0" xfId="0" applyNumberFormat="1" applyFont="1"/>
    <xf numFmtId="172" fontId="43" fillId="0" borderId="0" xfId="0" applyNumberFormat="1" applyFont="1"/>
    <xf numFmtId="2" fontId="0" fillId="0" borderId="20" xfId="0" applyNumberFormat="1" applyBorder="1"/>
    <xf numFmtId="14" fontId="0" fillId="0" borderId="0" xfId="0" applyNumberFormat="1"/>
    <xf numFmtId="14" fontId="0" fillId="0" borderId="4" xfId="0" applyNumberFormat="1" applyBorder="1"/>
    <xf numFmtId="14" fontId="0" fillId="0" borderId="0" xfId="0" applyNumberFormat="1" applyBorder="1"/>
    <xf numFmtId="0" fontId="0" fillId="0" borderId="0" xfId="0" applyBorder="1"/>
    <xf numFmtId="14" fontId="0" fillId="0" borderId="6" xfId="0" applyNumberFormat="1" applyBorder="1"/>
    <xf numFmtId="14" fontId="0" fillId="0" borderId="7" xfId="0" applyNumberFormat="1" applyBorder="1"/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43" fillId="12" borderId="0" xfId="0" applyFont="1" applyFill="1"/>
    <xf numFmtId="0" fontId="1" fillId="0" borderId="9" xfId="0" applyFont="1" applyFill="1" applyBorder="1"/>
    <xf numFmtId="0" fontId="1" fillId="0" borderId="0" xfId="0" applyFont="1" applyFill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0" fontId="1" fillId="0" borderId="5" xfId="0" applyFont="1" applyBorder="1"/>
    <xf numFmtId="0" fontId="1" fillId="0" borderId="10" xfId="0" applyFont="1" applyBorder="1" applyAlignment="1">
      <alignment horizontal="center"/>
    </xf>
    <xf numFmtId="0" fontId="1" fillId="12" borderId="9" xfId="0" applyFont="1" applyFill="1" applyBorder="1"/>
    <xf numFmtId="0" fontId="0" fillId="12" borderId="9" xfId="0" applyFill="1" applyBorder="1"/>
    <xf numFmtId="0" fontId="53" fillId="0" borderId="0" xfId="0" applyFont="1"/>
    <xf numFmtId="2" fontId="53" fillId="0" borderId="0" xfId="0" applyNumberFormat="1" applyFont="1"/>
    <xf numFmtId="0" fontId="54" fillId="0" borderId="43" xfId="0" applyFont="1" applyBorder="1" applyAlignment="1">
      <alignment horizontal="centerContinuous"/>
    </xf>
    <xf numFmtId="0" fontId="0" fillId="0" borderId="44" xfId="0" applyBorder="1"/>
    <xf numFmtId="0" fontId="54" fillId="0" borderId="43" xfId="0" applyFont="1" applyBorder="1" applyAlignment="1">
      <alignment horizontal="center"/>
    </xf>
    <xf numFmtId="0" fontId="0" fillId="6" borderId="0" xfId="0" applyFill="1" applyBorder="1"/>
    <xf numFmtId="10" fontId="0" fillId="6" borderId="0" xfId="0" applyNumberFormat="1" applyFill="1" applyBorder="1"/>
    <xf numFmtId="168" fontId="1" fillId="6" borderId="10" xfId="0" applyNumberFormat="1" applyFont="1" applyFill="1" applyBorder="1" applyAlignment="1">
      <alignment wrapText="1"/>
    </xf>
    <xf numFmtId="168" fontId="1" fillId="6" borderId="7" xfId="0" applyNumberFormat="1" applyFont="1" applyFill="1" applyBorder="1"/>
    <xf numFmtId="10" fontId="0" fillId="6" borderId="7" xfId="1" applyNumberFormat="1" applyFont="1" applyFill="1" applyBorder="1"/>
    <xf numFmtId="168" fontId="1" fillId="6" borderId="4" xfId="0" applyNumberFormat="1" applyFont="1" applyFill="1" applyBorder="1" applyAlignment="1">
      <alignment wrapText="1"/>
    </xf>
    <xf numFmtId="0" fontId="0" fillId="6" borderId="4" xfId="0" applyFill="1" applyBorder="1"/>
    <xf numFmtId="0" fontId="0" fillId="6" borderId="10" xfId="0" applyFill="1" applyBorder="1"/>
    <xf numFmtId="10" fontId="43" fillId="6" borderId="4" xfId="0" applyNumberFormat="1" applyFont="1" applyFill="1" applyBorder="1"/>
    <xf numFmtId="10" fontId="33" fillId="6" borderId="11" xfId="0" applyNumberFormat="1" applyFont="1" applyFill="1" applyBorder="1"/>
    <xf numFmtId="2" fontId="33" fillId="6" borderId="7" xfId="0" applyNumberFormat="1" applyFont="1" applyFill="1" applyBorder="1"/>
    <xf numFmtId="2" fontId="33" fillId="6" borderId="27" xfId="0" applyNumberFormat="1" applyFont="1" applyFill="1" applyBorder="1"/>
    <xf numFmtId="2" fontId="33" fillId="6" borderId="45" xfId="0" applyNumberFormat="1" applyFont="1" applyFill="1" applyBorder="1"/>
    <xf numFmtId="2" fontId="43" fillId="6" borderId="17" xfId="0" applyNumberFormat="1" applyFont="1" applyFill="1" applyBorder="1"/>
    <xf numFmtId="2" fontId="43" fillId="6" borderId="9" xfId="0" applyNumberFormat="1" applyFont="1" applyFill="1" applyBorder="1"/>
    <xf numFmtId="2" fontId="43" fillId="6" borderId="16" xfId="0" applyNumberFormat="1" applyFont="1" applyFill="1" applyBorder="1"/>
    <xf numFmtId="0" fontId="1" fillId="8" borderId="0" xfId="0" applyFont="1" applyFill="1"/>
    <xf numFmtId="0" fontId="53" fillId="0" borderId="9" xfId="0" applyFont="1" applyBorder="1"/>
    <xf numFmtId="0" fontId="53" fillId="0" borderId="4" xfId="0" applyFont="1" applyBorder="1"/>
    <xf numFmtId="0" fontId="53" fillId="0" borderId="0" xfId="0" applyFont="1" applyBorder="1"/>
    <xf numFmtId="0" fontId="53" fillId="0" borderId="5" xfId="0" applyFont="1" applyBorder="1"/>
    <xf numFmtId="0" fontId="53" fillId="0" borderId="6" xfId="0" applyFont="1" applyBorder="1"/>
    <xf numFmtId="0" fontId="53" fillId="0" borderId="7" xfId="0" applyFont="1" applyBorder="1"/>
    <xf numFmtId="0" fontId="53" fillId="0" borderId="8" xfId="0" applyFont="1" applyBorder="1"/>
    <xf numFmtId="0" fontId="53" fillId="0" borderId="1" xfId="0" applyFont="1" applyBorder="1"/>
    <xf numFmtId="0" fontId="52" fillId="0" borderId="0" xfId="0" applyFont="1" applyBorder="1"/>
    <xf numFmtId="0" fontId="52" fillId="0" borderId="7" xfId="0" applyFont="1" applyBorder="1"/>
    <xf numFmtId="0" fontId="53" fillId="0" borderId="9" xfId="0" applyFont="1" applyBorder="1" applyAlignment="1">
      <alignment horizontal="center" wrapText="1"/>
    </xf>
    <xf numFmtId="2" fontId="53" fillId="0" borderId="9" xfId="0" applyNumberFormat="1" applyFont="1" applyBorder="1" applyAlignment="1">
      <alignment horizontal="center" wrapText="1"/>
    </xf>
    <xf numFmtId="2" fontId="53" fillId="0" borderId="5" xfId="0" applyNumberFormat="1" applyFont="1" applyBorder="1"/>
    <xf numFmtId="2" fontId="53" fillId="0" borderId="8" xfId="0" applyNumberFormat="1" applyFont="1" applyBorder="1"/>
    <xf numFmtId="2" fontId="53" fillId="0" borderId="9" xfId="0" applyNumberFormat="1" applyFont="1" applyBorder="1"/>
    <xf numFmtId="0" fontId="53" fillId="0" borderId="17" xfId="0" applyFont="1" applyBorder="1" applyAlignment="1">
      <alignment horizontal="center" wrapText="1"/>
    </xf>
    <xf numFmtId="0" fontId="53" fillId="0" borderId="10" xfId="0" applyFont="1" applyBorder="1"/>
    <xf numFmtId="0" fontId="53" fillId="0" borderId="18" xfId="0" applyFont="1" applyBorder="1"/>
  </cellXfs>
  <cellStyles count="5">
    <cellStyle name="Normal" xfId="0" builtinId="0"/>
    <cellStyle name="Normal 10" xfId="4" xr:uid="{00000000-0005-0000-0000-000001000000}"/>
    <cellStyle name="Normal 2" xfId="3" xr:uid="{00000000-0005-0000-0000-000002000000}"/>
    <cellStyle name="Per cent" xfId="1" builtinId="5"/>
    <cellStyle name="t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74242110771697E-2"/>
          <c:y val="0.14216786529550748"/>
          <c:w val="0.59341078741645437"/>
          <c:h val="0.75474405881124274"/>
        </c:manualLayout>
      </c:layout>
      <c:doughnutChart>
        <c:varyColors val="1"/>
        <c:ser>
          <c:idx val="0"/>
          <c:order val="0"/>
          <c:tx>
            <c:strRef>
              <c:f>[1]Sheet1!$C$23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C-4D40-8C2B-F20EB984A5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C-4D40-8C2B-F20EB984A5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C-4D40-8C2B-F20EB984A5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C-4D40-8C2B-F20EB984A5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9C-4D40-8C2B-F20EB984A5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9C-4D40-8C2B-F20EB984A5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9C-4D40-8C2B-F20EB984A5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9C-4D40-8C2B-F20EB984A5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9C-4D40-8C2B-F20EB984A556}"/>
              </c:ext>
            </c:extLst>
          </c:dPt>
          <c:dLbls>
            <c:dLbl>
              <c:idx val="0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129451719771619E-2"/>
                      <c:h val="0.13132680759427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9C-4D40-8C2B-F20EB984A556}"/>
                </c:ext>
              </c:extLst>
            </c:dLbl>
            <c:dLbl>
              <c:idx val="1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6.56527241704234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09C-4D40-8C2B-F20EB984A556}"/>
                </c:ext>
              </c:extLst>
            </c:dLbl>
            <c:dLbl>
              <c:idx val="2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77753090317507E-2"/>
                      <c:h val="7.13635140333667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09C-4D40-8C2B-F20EB984A556}"/>
                </c:ext>
              </c:extLst>
            </c:dLbl>
            <c:dLbl>
              <c:idx val="3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497637858468789E-2"/>
                      <c:h val="5.4231144444536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09C-4D40-8C2B-F20EB984A556}"/>
                </c:ext>
              </c:extLst>
            </c:dLbl>
            <c:dLbl>
              <c:idx val="4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110209878374238E-2"/>
                      <c:h val="7.42189089648384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09C-4D40-8C2B-F20EB984A556}"/>
                </c:ext>
              </c:extLst>
            </c:dLbl>
            <c:dLbl>
              <c:idx val="5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45296302260776E-2"/>
                      <c:h val="6.7080421636159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09C-4D40-8C2B-F20EB984A5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09C-4D40-8C2B-F20EB984A556}"/>
                </c:ext>
              </c:extLst>
            </c:dLbl>
            <c:dLbl>
              <c:idx val="7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8.8495883622196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09C-4D40-8C2B-F20EB984A556}"/>
                </c:ext>
              </c:extLst>
            </c:dLbl>
            <c:dLbl>
              <c:idx val="8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09C-4D40-8C2B-F20EB984A556}"/>
                </c:ext>
              </c:extLst>
            </c:dLbl>
            <c:spPr>
              <a:noFill/>
              <a:ln>
                <a:solidFill>
                  <a:srgbClr val="156082">
                    <a:alpha val="61000"/>
                  </a:srgbClr>
                </a:solidFill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[1]Sheet1!$B$24:$B$32</c:f>
              <c:strCache>
                <c:ptCount val="9"/>
                <c:pt idx="0">
                  <c:v>China</c:v>
                </c:pt>
                <c:pt idx="1">
                  <c:v>Brazil</c:v>
                </c:pt>
                <c:pt idx="2">
                  <c:v>Europe ( except Germany)</c:v>
                </c:pt>
                <c:pt idx="3">
                  <c:v>Asia ( except Japan &amp; China)</c:v>
                </c:pt>
                <c:pt idx="4">
                  <c:v>Japan</c:v>
                </c:pt>
                <c:pt idx="5">
                  <c:v>Middle East</c:v>
                </c:pt>
                <c:pt idx="6">
                  <c:v>USA</c:v>
                </c:pt>
                <c:pt idx="7">
                  <c:v>Germany</c:v>
                </c:pt>
                <c:pt idx="8">
                  <c:v>Others</c:v>
                </c:pt>
              </c:strCache>
            </c:strRef>
          </c:cat>
          <c:val>
            <c:numRef>
              <c:f>[1]Sheet1!$C$24:$C$32</c:f>
              <c:numCache>
                <c:formatCode>General</c:formatCode>
                <c:ptCount val="9"/>
                <c:pt idx="0">
                  <c:v>0.51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7.6999999999999999E-2</c:v>
                </c:pt>
                <c:pt idx="5">
                  <c:v>5.7000000000000002E-2</c:v>
                </c:pt>
                <c:pt idx="6">
                  <c:v>0.04</c:v>
                </c:pt>
                <c:pt idx="7">
                  <c:v>3.3000000000000002E-2</c:v>
                </c:pt>
                <c:pt idx="8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9C-4D40-8C2B-F20EB984A5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7334087022964"/>
          <c:y val="4.6275981904264615E-2"/>
          <c:w val="0.3058427390623466"/>
          <c:h val="0.898314604276455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500" cap="all" spc="-100" baseline="30000">
              <a:solidFill>
                <a:schemeClr val="dk1">
                  <a:lumMod val="65000"/>
                  <a:lumOff val="35000"/>
                </a:schemeClr>
              </a:solidFill>
              <a:latin typeface="Al Tarikh" pitchFamily="2" charset="-78"/>
              <a:ea typeface="+mn-ea"/>
              <a:cs typeface="AL BAYAN PLA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[1]Sheet1!$E$18:$K$18</c:f>
              <c:numCache>
                <c:formatCode>General</c:formatCode>
                <c:ptCount val="7"/>
                <c:pt idx="0">
                  <c:v>1.2162162162162172E-2</c:v>
                </c:pt>
                <c:pt idx="1">
                  <c:v>7.1086448598130847E-2</c:v>
                </c:pt>
                <c:pt idx="2">
                  <c:v>4.7101449275362306E-2</c:v>
                </c:pt>
                <c:pt idx="3">
                  <c:v>4.4166666666666729E-2</c:v>
                </c:pt>
                <c:pt idx="4">
                  <c:v>4.1636363636363645E-2</c:v>
                </c:pt>
                <c:pt idx="5">
                  <c:v>3.942307692307697E-2</c:v>
                </c:pt>
                <c:pt idx="6">
                  <c:v>3.7464387464387412E-2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0440-B718-0566C476EBD1}"/>
            </c:ext>
          </c:extLst>
        </c:ser>
        <c:ser>
          <c:idx val="1"/>
          <c:order val="1"/>
          <c:tx>
            <c:strRef>
              <c:f>[1]Sheet1!$B$19</c:f>
              <c:strCache>
                <c:ptCount val="1"/>
                <c:pt idx="0">
                  <c:v>Energy Transition Minerals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[1]Sheet1!$E$19:$K$19</c:f>
              <c:numCache>
                <c:formatCode>General</c:formatCode>
                <c:ptCount val="7"/>
                <c:pt idx="0">
                  <c:v>1.3094245204336953E-2</c:v>
                </c:pt>
                <c:pt idx="1">
                  <c:v>1.7142857142857126E-2</c:v>
                </c:pt>
                <c:pt idx="2">
                  <c:v>2.1052631578947368E-2</c:v>
                </c:pt>
                <c:pt idx="3">
                  <c:v>3.4090909090909081E-2</c:v>
                </c:pt>
                <c:pt idx="4">
                  <c:v>2.8333333333333321E-2</c:v>
                </c:pt>
                <c:pt idx="5">
                  <c:v>2.4358974358974363E-2</c:v>
                </c:pt>
                <c:pt idx="6">
                  <c:v>3.5714285714285719E-2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0440-B718-0566C476EBD1}"/>
            </c:ext>
          </c:extLst>
        </c:ser>
        <c:ser>
          <c:idx val="2"/>
          <c:order val="2"/>
          <c:tx>
            <c:v>Forecasted total Growth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[1]Sheet1!$E$20:$K$20</c:f>
              <c:numCache>
                <c:formatCode>General</c:formatCode>
                <c:ptCount val="7"/>
                <c:pt idx="0">
                  <c:v>2.5256407366499124E-2</c:v>
                </c:pt>
                <c:pt idx="1">
                  <c:v>8.8229305740987973E-2</c:v>
                </c:pt>
                <c:pt idx="2">
                  <c:v>6.815408085430967E-2</c:v>
                </c:pt>
                <c:pt idx="3">
                  <c:v>7.8257575757575804E-2</c:v>
                </c:pt>
                <c:pt idx="4">
                  <c:v>6.996969696969696E-2</c:v>
                </c:pt>
                <c:pt idx="5">
                  <c:v>6.3782051282051333E-2</c:v>
                </c:pt>
                <c:pt idx="6">
                  <c:v>7.3178673178673131E-2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5-0440-B718-0566C47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29823"/>
        <c:axId val="1922901583"/>
      </c:lineChart>
      <c:dateAx>
        <c:axId val="1962129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01583"/>
        <c:crosses val="autoZero"/>
        <c:auto val="0"/>
        <c:lblOffset val="100"/>
        <c:baseTimeUnit val="days"/>
        <c:majorUnit val="1"/>
      </c:dateAx>
      <c:valAx>
        <c:axId val="192290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Iron ore price (01-2018 to 02-2024)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'[2]FRED Graph'!$A$8:$A$83</c:f>
              <c:numCache>
                <c:formatCode>General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</c:numCache>
            </c:numRef>
          </c:cat>
          <c:val>
            <c:numRef>
              <c:f>'[2]FRED Graph'!$B$8:$B$83</c:f>
              <c:numCache>
                <c:formatCode>General</c:formatCode>
                <c:ptCount val="76"/>
                <c:pt idx="0">
                  <c:v>75.7826086956522</c:v>
                </c:pt>
                <c:pt idx="1">
                  <c:v>77.650000000000006</c:v>
                </c:pt>
                <c:pt idx="2">
                  <c:v>71.318181818181799</c:v>
                </c:pt>
                <c:pt idx="3">
                  <c:v>66.3333333333333</c:v>
                </c:pt>
                <c:pt idx="4">
                  <c:v>66.630434782608702</c:v>
                </c:pt>
                <c:pt idx="5">
                  <c:v>66.857142857142904</c:v>
                </c:pt>
                <c:pt idx="6">
                  <c:v>67.045454545454504</c:v>
                </c:pt>
                <c:pt idx="7">
                  <c:v>68.021739130434796</c:v>
                </c:pt>
                <c:pt idx="8">
                  <c:v>68.8</c:v>
                </c:pt>
                <c:pt idx="9">
                  <c:v>72.021739130434796</c:v>
                </c:pt>
                <c:pt idx="10">
                  <c:v>72.295454545454504</c:v>
                </c:pt>
                <c:pt idx="11">
                  <c:v>68.904761904761898</c:v>
                </c:pt>
                <c:pt idx="12">
                  <c:v>75.2</c:v>
                </c:pt>
                <c:pt idx="13">
                  <c:v>87.59</c:v>
                </c:pt>
                <c:pt idx="14">
                  <c:v>87.071428571428598</c:v>
                </c:pt>
                <c:pt idx="15">
                  <c:v>94.5</c:v>
                </c:pt>
                <c:pt idx="16">
                  <c:v>101.76086956521701</c:v>
                </c:pt>
                <c:pt idx="17">
                  <c:v>109.55</c:v>
                </c:pt>
                <c:pt idx="18">
                  <c:v>119.586956521739</c:v>
                </c:pt>
                <c:pt idx="19">
                  <c:v>93.5</c:v>
                </c:pt>
                <c:pt idx="20">
                  <c:v>92.261904761904802</c:v>
                </c:pt>
                <c:pt idx="21">
                  <c:v>88.586956521739097</c:v>
                </c:pt>
                <c:pt idx="22">
                  <c:v>82.904761904761898</c:v>
                </c:pt>
                <c:pt idx="23">
                  <c:v>90.977272727272705</c:v>
                </c:pt>
                <c:pt idx="24">
                  <c:v>95.2173913043478</c:v>
                </c:pt>
                <c:pt idx="25">
                  <c:v>87.625</c:v>
                </c:pt>
                <c:pt idx="26">
                  <c:v>88.659090909090907</c:v>
                </c:pt>
                <c:pt idx="27">
                  <c:v>83.75</c:v>
                </c:pt>
                <c:pt idx="28">
                  <c:v>91.3333333333333</c:v>
                </c:pt>
                <c:pt idx="29">
                  <c:v>103.34090909090899</c:v>
                </c:pt>
                <c:pt idx="30">
                  <c:v>108.02173913043499</c:v>
                </c:pt>
                <c:pt idx="31">
                  <c:v>120.071428571429</c:v>
                </c:pt>
                <c:pt idx="32">
                  <c:v>123</c:v>
                </c:pt>
                <c:pt idx="33">
                  <c:v>119.25</c:v>
                </c:pt>
                <c:pt idx="34">
                  <c:v>123.52380952381</c:v>
                </c:pt>
                <c:pt idx="35">
                  <c:v>153.065217391304</c:v>
                </c:pt>
                <c:pt idx="36">
                  <c:v>166.73809523809501</c:v>
                </c:pt>
                <c:pt idx="37">
                  <c:v>162.32499999999999</c:v>
                </c:pt>
                <c:pt idx="38">
                  <c:v>166.73913043478299</c:v>
                </c:pt>
                <c:pt idx="39">
                  <c:v>178.25</c:v>
                </c:pt>
                <c:pt idx="40">
                  <c:v>202.857142857143</c:v>
                </c:pt>
                <c:pt idx="41">
                  <c:v>215.81578947368399</c:v>
                </c:pt>
                <c:pt idx="42">
                  <c:v>214.34090909090901</c:v>
                </c:pt>
                <c:pt idx="43">
                  <c:v>162.09090909090901</c:v>
                </c:pt>
                <c:pt idx="44">
                  <c:v>113.71875</c:v>
                </c:pt>
                <c:pt idx="45">
                  <c:v>114.47619047619</c:v>
                </c:pt>
                <c:pt idx="46">
                  <c:v>90.131578947368396</c:v>
                </c:pt>
                <c:pt idx="47">
                  <c:v>110.45652173913</c:v>
                </c:pt>
                <c:pt idx="48">
                  <c:v>133.04545454545499</c:v>
                </c:pt>
                <c:pt idx="49">
                  <c:v>139.69999999999999</c:v>
                </c:pt>
                <c:pt idx="50">
                  <c:v>147.34782608695701</c:v>
                </c:pt>
                <c:pt idx="51">
                  <c:v>146.666666666667</c:v>
                </c:pt>
                <c:pt idx="52">
                  <c:v>131.09090909090901</c:v>
                </c:pt>
                <c:pt idx="53">
                  <c:v>131.04545454545499</c:v>
                </c:pt>
                <c:pt idx="54">
                  <c:v>109.04761904761899</c:v>
                </c:pt>
                <c:pt idx="55">
                  <c:v>109.065217391304</c:v>
                </c:pt>
                <c:pt idx="56">
                  <c:v>100.84090909090899</c:v>
                </c:pt>
                <c:pt idx="57">
                  <c:v>94.619047619047606</c:v>
                </c:pt>
                <c:pt idx="58">
                  <c:v>94.568181818181799</c:v>
                </c:pt>
                <c:pt idx="59">
                  <c:v>111.40909090909101</c:v>
                </c:pt>
                <c:pt idx="60">
                  <c:v>122.431818181818</c:v>
                </c:pt>
                <c:pt idx="61">
                  <c:v>127.075</c:v>
                </c:pt>
                <c:pt idx="62">
                  <c:v>127.97826086956501</c:v>
                </c:pt>
                <c:pt idx="63">
                  <c:v>117.125</c:v>
                </c:pt>
                <c:pt idx="64">
                  <c:v>104.52173913043499</c:v>
                </c:pt>
                <c:pt idx="65">
                  <c:v>113.09090909090899</c:v>
                </c:pt>
                <c:pt idx="66">
                  <c:v>113.97619047619</c:v>
                </c:pt>
                <c:pt idx="67">
                  <c:v>109.60869565217401</c:v>
                </c:pt>
                <c:pt idx="68">
                  <c:v>120.428571428571</c:v>
                </c:pt>
                <c:pt idx="69">
                  <c:v>118.75</c:v>
                </c:pt>
                <c:pt idx="70">
                  <c:v>131.25</c:v>
                </c:pt>
                <c:pt idx="71">
                  <c:v>137.54761904761901</c:v>
                </c:pt>
                <c:pt idx="72">
                  <c:v>136.58695652173901</c:v>
                </c:pt>
                <c:pt idx="73">
                  <c:v>125.928571428571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DE49-A5C4-C8A01CFF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4799"/>
        <c:axId val="1"/>
      </c:lineChart>
      <c:catAx>
        <c:axId val="732074799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4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2127950025664267E-2"/>
          <c:y val="0.91194711316823096"/>
          <c:w val="0.93012231480773644"/>
          <c:h val="8.80528868317690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P//CF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regression'!$B$3</c:f>
              <c:strCache>
                <c:ptCount val="1"/>
                <c:pt idx="0">
                  <c:v>VALE P/CF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regression'!$B$4:$B$11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FB48-B950-699C9EBCA7EB}"/>
            </c:ext>
          </c:extLst>
        </c:ser>
        <c:ser>
          <c:idx val="1"/>
          <c:order val="1"/>
          <c:tx>
            <c:strRef>
              <c:f>'Relative valuation regression'!$C$3</c:f>
              <c:strCache>
                <c:ptCount val="1"/>
                <c:pt idx="0">
                  <c:v>BHP P/CF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regression'!$C$4:$C$11</c:f>
              <c:numCache>
                <c:formatCode>General</c:formatCode>
                <c:ptCount val="8"/>
                <c:pt idx="0">
                  <c:v>5.65</c:v>
                </c:pt>
                <c:pt idx="1">
                  <c:v>7.23</c:v>
                </c:pt>
                <c:pt idx="2">
                  <c:v>8.44</c:v>
                </c:pt>
                <c:pt idx="3">
                  <c:v>8.0299999999999994</c:v>
                </c:pt>
                <c:pt idx="4">
                  <c:v>6.78</c:v>
                </c:pt>
                <c:pt idx="5">
                  <c:v>4.43</c:v>
                </c:pt>
                <c:pt idx="6">
                  <c:v>8.09</c:v>
                </c:pt>
                <c:pt idx="7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FB48-B950-699C9EBCA7EB}"/>
            </c:ext>
          </c:extLst>
        </c:ser>
        <c:ser>
          <c:idx val="2"/>
          <c:order val="2"/>
          <c:tx>
            <c:strRef>
              <c:f>'Relative valuation regression'!$D$3</c:f>
              <c:strCache>
                <c:ptCount val="1"/>
                <c:pt idx="0">
                  <c:v>RIO P/CF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regression'!$D$4:$D$11</c:f>
              <c:numCache>
                <c:formatCode>General</c:formatCode>
                <c:ptCount val="8"/>
                <c:pt idx="0">
                  <c:v>6.67</c:v>
                </c:pt>
                <c:pt idx="1">
                  <c:v>6.86</c:v>
                </c:pt>
                <c:pt idx="2">
                  <c:v>6.38</c:v>
                </c:pt>
                <c:pt idx="3">
                  <c:v>7.4</c:v>
                </c:pt>
                <c:pt idx="4">
                  <c:v>4.12</c:v>
                </c:pt>
                <c:pt idx="5">
                  <c:v>7.01</c:v>
                </c:pt>
                <c:pt idx="6">
                  <c:v>7.78</c:v>
                </c:pt>
                <c:pt idx="7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F-FB48-B950-699C9EBC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3808"/>
        <c:axId val="216609392"/>
      </c:lineChart>
      <c:catAx>
        <c:axId val="634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9392"/>
        <c:crosses val="autoZero"/>
        <c:auto val="1"/>
        <c:lblAlgn val="ctr"/>
        <c:lblOffset val="100"/>
        <c:noMultiLvlLbl val="0"/>
      </c:catAx>
      <c:valAx>
        <c:axId val="21660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P/B 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Analysis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regression'!$B$17</c:f>
              <c:strCache>
                <c:ptCount val="1"/>
                <c:pt idx="0">
                  <c:v>VALE P/B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regression'!$B$18:$B$25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8-DF49-8B04-283430659886}"/>
            </c:ext>
          </c:extLst>
        </c:ser>
        <c:ser>
          <c:idx val="1"/>
          <c:order val="1"/>
          <c:tx>
            <c:strRef>
              <c:f>'Relative valuation regression'!$C$17</c:f>
              <c:strCache>
                <c:ptCount val="1"/>
                <c:pt idx="0">
                  <c:v>BHP P/B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regression'!$C$18:$C$25</c:f>
              <c:numCache>
                <c:formatCode>General</c:formatCode>
                <c:ptCount val="8"/>
                <c:pt idx="0">
                  <c:v>1</c:v>
                </c:pt>
                <c:pt idx="1">
                  <c:v>2.39</c:v>
                </c:pt>
                <c:pt idx="2">
                  <c:v>3.11</c:v>
                </c:pt>
                <c:pt idx="3">
                  <c:v>2.63</c:v>
                </c:pt>
                <c:pt idx="4">
                  <c:v>3.59</c:v>
                </c:pt>
                <c:pt idx="5">
                  <c:v>3.16</c:v>
                </c:pt>
                <c:pt idx="6">
                  <c:v>3.4</c:v>
                </c:pt>
                <c:pt idx="7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8-DF49-8B04-283430659886}"/>
            </c:ext>
          </c:extLst>
        </c:ser>
        <c:ser>
          <c:idx val="2"/>
          <c:order val="2"/>
          <c:tx>
            <c:strRef>
              <c:f>'Relative valuation regression'!$D$17</c:f>
              <c:strCache>
                <c:ptCount val="1"/>
                <c:pt idx="0">
                  <c:v>RIO  P/B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regression'!$D$18:$D$25</c:f>
              <c:numCache>
                <c:formatCode>General</c:formatCode>
                <c:ptCount val="8"/>
                <c:pt idx="0">
                  <c:v>2.08</c:v>
                </c:pt>
                <c:pt idx="1">
                  <c:v>1.83</c:v>
                </c:pt>
                <c:pt idx="2">
                  <c:v>2.37</c:v>
                </c:pt>
                <c:pt idx="3">
                  <c:v>2.58</c:v>
                </c:pt>
                <c:pt idx="4">
                  <c:v>2.11</c:v>
                </c:pt>
                <c:pt idx="5">
                  <c:v>2.2799999999999998</c:v>
                </c:pt>
                <c:pt idx="6">
                  <c:v>2.21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8-DF49-8B04-28343065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79232"/>
        <c:axId val="328955120"/>
      </c:lineChart>
      <c:catAx>
        <c:axId val="3289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5120"/>
        <c:crosses val="autoZero"/>
        <c:auto val="1"/>
        <c:lblAlgn val="ctr"/>
        <c:lblOffset val="100"/>
        <c:noMultiLvlLbl val="0"/>
      </c:catAx>
      <c:valAx>
        <c:axId val="3289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EV/ EBITDA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regression'!$B$27:$B$28</c:f>
              <c:strCache>
                <c:ptCount val="2"/>
                <c:pt idx="0">
                  <c:v>VALE EV/ EBITTDA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regression'!$B$29:$B$36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0-5F4E-B3AD-129E15699AEF}"/>
            </c:ext>
          </c:extLst>
        </c:ser>
        <c:ser>
          <c:idx val="1"/>
          <c:order val="1"/>
          <c:tx>
            <c:strRef>
              <c:f>'Relative valuation regression'!$C$27:$C$28</c:f>
              <c:strCache>
                <c:ptCount val="2"/>
                <c:pt idx="0">
                  <c:v>VALE EV/ EBITTDA</c:v>
                </c:pt>
                <c:pt idx="1">
                  <c:v>BHP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regression'!$C$29:$C$36</c:f>
              <c:numCache>
                <c:formatCode>General</c:formatCode>
                <c:ptCount val="8"/>
                <c:pt idx="0">
                  <c:v>6.42</c:v>
                </c:pt>
                <c:pt idx="1">
                  <c:v>6.74</c:v>
                </c:pt>
                <c:pt idx="2">
                  <c:v>7.39</c:v>
                </c:pt>
                <c:pt idx="3">
                  <c:v>6.61</c:v>
                </c:pt>
                <c:pt idx="4">
                  <c:v>5.2</c:v>
                </c:pt>
                <c:pt idx="5">
                  <c:v>3.76</c:v>
                </c:pt>
                <c:pt idx="6">
                  <c:v>6.09</c:v>
                </c:pt>
                <c:pt idx="7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0-5F4E-B3AD-129E15699AEF}"/>
            </c:ext>
          </c:extLst>
        </c:ser>
        <c:ser>
          <c:idx val="2"/>
          <c:order val="2"/>
          <c:tx>
            <c:strRef>
              <c:f>'Relative valuation regression'!$D$27:$D$28</c:f>
              <c:strCache>
                <c:ptCount val="2"/>
                <c:pt idx="0">
                  <c:v>VALE EV/ EBITTDA</c:v>
                </c:pt>
                <c:pt idx="1">
                  <c:v>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'Relative valuation regression'!$D$29:$D$36</c:f>
              <c:numCache>
                <c:formatCode>General</c:formatCode>
                <c:ptCount val="8"/>
                <c:pt idx="0">
                  <c:v>6.56</c:v>
                </c:pt>
                <c:pt idx="1">
                  <c:v>5.83</c:v>
                </c:pt>
                <c:pt idx="2">
                  <c:v>5.61</c:v>
                </c:pt>
                <c:pt idx="3">
                  <c:v>5.92</c:v>
                </c:pt>
                <c:pt idx="4">
                  <c:v>3.35</c:v>
                </c:pt>
                <c:pt idx="5">
                  <c:v>5.22</c:v>
                </c:pt>
                <c:pt idx="6">
                  <c:v>6.27</c:v>
                </c:pt>
                <c:pt idx="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0-5F4E-B3AD-129E1569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9232"/>
        <c:axId val="340085760"/>
      </c:lineChart>
      <c:catAx>
        <c:axId val="3401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5760"/>
        <c:crosses val="autoZero"/>
        <c:auto val="1"/>
        <c:lblAlgn val="ctr"/>
        <c:lblOffset val="100"/>
        <c:noMultiLvlLbl val="0"/>
      </c:catAx>
      <c:valAx>
        <c:axId val="340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74E8855-8C9D-F04C-B122-048C6D244D75}" type="doc">
      <dgm:prSet loTypeId="urn:microsoft.com/office/officeart/2005/8/layout/hierarchy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7B77E5E6-E98D-2B43-91BC-05769AF10A4A}">
      <dgm:prSet phldrT="[Text]" custT="1"/>
      <dgm:spPr/>
      <dgm:t>
        <a:bodyPr/>
        <a:lstStyle/>
        <a:p>
          <a:r>
            <a:rPr lang="en-GB" sz="1400"/>
            <a:t>ROE  (20.91%)</a:t>
          </a:r>
        </a:p>
      </dgm:t>
    </dgm:pt>
    <dgm:pt modelId="{7F4B58ED-2EB8-324E-84AF-8873798BE420}" type="parTrans" cxnId="{1ACA1BBD-2B0F-834D-B9F0-1238FE56DA4B}">
      <dgm:prSet/>
      <dgm:spPr/>
      <dgm:t>
        <a:bodyPr/>
        <a:lstStyle/>
        <a:p>
          <a:endParaRPr lang="en-GB"/>
        </a:p>
      </dgm:t>
    </dgm:pt>
    <dgm:pt modelId="{76A1AC68-F7B7-2D4D-9470-CEB0D02C988A}" type="sibTrans" cxnId="{1ACA1BBD-2B0F-834D-B9F0-1238FE56DA4B}">
      <dgm:prSet/>
      <dgm:spPr/>
      <dgm:t>
        <a:bodyPr/>
        <a:lstStyle/>
        <a:p>
          <a:endParaRPr lang="en-GB"/>
        </a:p>
      </dgm:t>
    </dgm:pt>
    <dgm:pt modelId="{4B3F3D12-A940-E744-A6EB-245F7A141D53}">
      <dgm:prSet phldrT="[Text]" custT="1"/>
      <dgm:spPr/>
      <dgm:t>
        <a:bodyPr/>
        <a:lstStyle/>
        <a:p>
          <a:r>
            <a:rPr lang="en-GB" sz="1200"/>
            <a:t>Net Profit Margin  (19.2%)</a:t>
          </a:r>
        </a:p>
      </dgm:t>
    </dgm:pt>
    <dgm:pt modelId="{354D8682-C6A7-8C48-B9F7-93BF23D9519C}" type="parTrans" cxnId="{02AEA69E-8F47-514B-B5D4-80AA9245775F}">
      <dgm:prSet/>
      <dgm:spPr/>
      <dgm:t>
        <a:bodyPr/>
        <a:lstStyle/>
        <a:p>
          <a:endParaRPr lang="en-GB"/>
        </a:p>
      </dgm:t>
    </dgm:pt>
    <dgm:pt modelId="{C7B358A3-EFF2-2D4C-A4AF-5261878F5751}" type="sibTrans" cxnId="{02AEA69E-8F47-514B-B5D4-80AA9245775F}">
      <dgm:prSet/>
      <dgm:spPr/>
      <dgm:t>
        <a:bodyPr/>
        <a:lstStyle/>
        <a:p>
          <a:endParaRPr lang="en-GB"/>
        </a:p>
      </dgm:t>
    </dgm:pt>
    <dgm:pt modelId="{B93F2EFA-FAA0-7049-AFA7-A1A9D7C42618}">
      <dgm:prSet phldrT="[Text]" custT="1"/>
      <dgm:spPr/>
      <dgm:t>
        <a:bodyPr/>
        <a:lstStyle/>
        <a:p>
          <a:r>
            <a:rPr lang="en-GB" sz="1100"/>
            <a:t>Operating Margin (31.37%)</a:t>
          </a:r>
          <a:endParaRPr lang="en-GB" sz="1300"/>
        </a:p>
      </dgm:t>
    </dgm:pt>
    <dgm:pt modelId="{F6EAA074-3FC8-CE4B-90EE-C1619F9C5B70}" type="parTrans" cxnId="{CF7EFF3C-6681-924F-8640-30ADC0074C8D}">
      <dgm:prSet/>
      <dgm:spPr/>
      <dgm:t>
        <a:bodyPr/>
        <a:lstStyle/>
        <a:p>
          <a:endParaRPr lang="en-GB"/>
        </a:p>
      </dgm:t>
    </dgm:pt>
    <dgm:pt modelId="{8BBA4B70-08EB-4141-9FED-36E870961481}" type="sibTrans" cxnId="{CF7EFF3C-6681-924F-8640-30ADC0074C8D}">
      <dgm:prSet/>
      <dgm:spPr/>
      <dgm:t>
        <a:bodyPr/>
        <a:lstStyle/>
        <a:p>
          <a:endParaRPr lang="en-GB"/>
        </a:p>
      </dgm:t>
    </dgm:pt>
    <dgm:pt modelId="{9D21AE1F-B349-624E-BBBA-AAD8555A6220}">
      <dgm:prSet phldrT="[Text]" custT="1"/>
      <dgm:spPr/>
      <dgm:t>
        <a:bodyPr/>
        <a:lstStyle/>
        <a:p>
          <a:r>
            <a:rPr lang="en-GB" sz="1100"/>
            <a:t>(EBT/EBIT) Interest burden (0.88)</a:t>
          </a:r>
          <a:endParaRPr lang="en-GB" sz="1200"/>
        </a:p>
      </dgm:t>
    </dgm:pt>
    <dgm:pt modelId="{13FE9E03-5D12-7E40-891F-269B5532ABFB}" type="parTrans" cxnId="{F0A28A23-71FC-FC4B-8754-1E8F023CCBA2}">
      <dgm:prSet/>
      <dgm:spPr/>
      <dgm:t>
        <a:bodyPr/>
        <a:lstStyle/>
        <a:p>
          <a:endParaRPr lang="en-GB"/>
        </a:p>
      </dgm:t>
    </dgm:pt>
    <dgm:pt modelId="{C2F9797F-6E6C-1347-A185-E1691DFD2F0D}" type="sibTrans" cxnId="{F0A28A23-71FC-FC4B-8754-1E8F023CCBA2}">
      <dgm:prSet/>
      <dgm:spPr/>
      <dgm:t>
        <a:bodyPr/>
        <a:lstStyle/>
        <a:p>
          <a:endParaRPr lang="en-GB"/>
        </a:p>
      </dgm:t>
    </dgm:pt>
    <dgm:pt modelId="{117BB29B-AF7D-7043-8BAA-7B43CBB4FB82}">
      <dgm:prSet phldrT="[Text]" custT="1"/>
      <dgm:spPr/>
      <dgm:t>
        <a:bodyPr/>
        <a:lstStyle/>
        <a:p>
          <a:r>
            <a:rPr lang="en-GB" sz="1200"/>
            <a:t>Asset Turnover  (0.46)</a:t>
          </a:r>
        </a:p>
      </dgm:t>
    </dgm:pt>
    <dgm:pt modelId="{C127FFE0-7DA0-F447-B868-A70CE8A78D91}" type="parTrans" cxnId="{91ACCCC4-8546-0B45-8C91-E452973CE971}">
      <dgm:prSet/>
      <dgm:spPr/>
      <dgm:t>
        <a:bodyPr/>
        <a:lstStyle/>
        <a:p>
          <a:endParaRPr lang="en-GB"/>
        </a:p>
      </dgm:t>
    </dgm:pt>
    <dgm:pt modelId="{3114C935-1295-624F-AF51-B96B49DD886B}" type="sibTrans" cxnId="{91ACCCC4-8546-0B45-8C91-E452973CE971}">
      <dgm:prSet/>
      <dgm:spPr/>
      <dgm:t>
        <a:bodyPr/>
        <a:lstStyle/>
        <a:p>
          <a:endParaRPr lang="en-GB"/>
        </a:p>
      </dgm:t>
    </dgm:pt>
    <dgm:pt modelId="{DE6C055E-5084-0B40-BECB-290535090C69}">
      <dgm:prSet custT="1"/>
      <dgm:spPr/>
      <dgm:t>
        <a:bodyPr/>
        <a:lstStyle/>
        <a:p>
          <a:r>
            <a:rPr lang="en-GB" sz="1200"/>
            <a:t>Financial leverage ratio (2.33)</a:t>
          </a:r>
        </a:p>
      </dgm:t>
    </dgm:pt>
    <dgm:pt modelId="{A0F7932C-49EC-924A-BAA0-36A04CC35900}" type="parTrans" cxnId="{89CFE544-B5A7-1C40-8D48-657A9BF510C1}">
      <dgm:prSet/>
      <dgm:spPr/>
      <dgm:t>
        <a:bodyPr/>
        <a:lstStyle/>
        <a:p>
          <a:endParaRPr lang="en-GB"/>
        </a:p>
      </dgm:t>
    </dgm:pt>
    <dgm:pt modelId="{CB309853-04B0-FC4F-A3F3-E0212CCD3378}" type="sibTrans" cxnId="{89CFE544-B5A7-1C40-8D48-657A9BF510C1}">
      <dgm:prSet/>
      <dgm:spPr/>
      <dgm:t>
        <a:bodyPr/>
        <a:lstStyle/>
        <a:p>
          <a:endParaRPr lang="en-GB"/>
        </a:p>
      </dgm:t>
    </dgm:pt>
    <dgm:pt modelId="{D001597F-BAFC-0946-8B74-9A38BA98DFC9}">
      <dgm:prSet custT="1"/>
      <dgm:spPr/>
      <dgm:t>
        <a:bodyPr/>
        <a:lstStyle/>
        <a:p>
          <a:r>
            <a:rPr lang="en-GB" sz="1100"/>
            <a:t>(NI/EBT)               Tax burd</a:t>
          </a:r>
          <a:r>
            <a:rPr lang="en-GB" sz="1200"/>
            <a:t>en   </a:t>
          </a:r>
          <a:r>
            <a:rPr lang="en-GB" sz="1100"/>
            <a:t>(0.73)</a:t>
          </a:r>
          <a:endParaRPr lang="en-GB" sz="1200"/>
        </a:p>
      </dgm:t>
    </dgm:pt>
    <dgm:pt modelId="{442216AE-ECCA-E74D-95AE-7056B400F486}" type="parTrans" cxnId="{C8FA531D-1CB4-E944-96EA-41677ED750D0}">
      <dgm:prSet/>
      <dgm:spPr/>
      <dgm:t>
        <a:bodyPr/>
        <a:lstStyle/>
        <a:p>
          <a:endParaRPr lang="en-GB"/>
        </a:p>
      </dgm:t>
    </dgm:pt>
    <dgm:pt modelId="{0B3F3A39-DF2F-DA49-AD78-15B939FA216D}" type="sibTrans" cxnId="{C8FA531D-1CB4-E944-96EA-41677ED750D0}">
      <dgm:prSet/>
      <dgm:spPr/>
      <dgm:t>
        <a:bodyPr/>
        <a:lstStyle/>
        <a:p>
          <a:endParaRPr lang="en-GB"/>
        </a:p>
      </dgm:t>
    </dgm:pt>
    <dgm:pt modelId="{AE83104B-934C-F141-B41F-E31466A41B8E}" type="pres">
      <dgm:prSet presAssocID="{C74E8855-8C9D-F04C-B122-048C6D244D75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F796AA87-F4E6-3347-84B8-4476CE4B0795}" type="pres">
      <dgm:prSet presAssocID="{7B77E5E6-E98D-2B43-91BC-05769AF10A4A}" presName="hierRoot1" presStyleCnt="0"/>
      <dgm:spPr/>
    </dgm:pt>
    <dgm:pt modelId="{F9FDA0B5-5364-6A4F-923D-9E69BCA53D25}" type="pres">
      <dgm:prSet presAssocID="{7B77E5E6-E98D-2B43-91BC-05769AF10A4A}" presName="composite" presStyleCnt="0"/>
      <dgm:spPr/>
    </dgm:pt>
    <dgm:pt modelId="{BE8F4FB6-E1B2-3D42-8996-A8674287C778}" type="pres">
      <dgm:prSet presAssocID="{7B77E5E6-E98D-2B43-91BC-05769AF10A4A}" presName="background" presStyleLbl="node0" presStyleIdx="0" presStyleCnt="1"/>
      <dgm:spPr/>
    </dgm:pt>
    <dgm:pt modelId="{3FA98399-3081-B44C-B185-E2808F754C54}" type="pres">
      <dgm:prSet presAssocID="{7B77E5E6-E98D-2B43-91BC-05769AF10A4A}" presName="text" presStyleLbl="fgAcc0" presStyleIdx="0" presStyleCnt="1">
        <dgm:presLayoutVars>
          <dgm:chPref val="3"/>
        </dgm:presLayoutVars>
      </dgm:prSet>
      <dgm:spPr/>
    </dgm:pt>
    <dgm:pt modelId="{F03303C2-3975-7D43-B462-3F8087250C18}" type="pres">
      <dgm:prSet presAssocID="{7B77E5E6-E98D-2B43-91BC-05769AF10A4A}" presName="hierChild2" presStyleCnt="0"/>
      <dgm:spPr/>
    </dgm:pt>
    <dgm:pt modelId="{4DB8DCD2-BA13-F54F-B4DF-EC4C95948F70}" type="pres">
      <dgm:prSet presAssocID="{C127FFE0-7DA0-F447-B868-A70CE8A78D91}" presName="Name10" presStyleLbl="parChTrans1D2" presStyleIdx="0" presStyleCnt="3"/>
      <dgm:spPr/>
    </dgm:pt>
    <dgm:pt modelId="{B22B5447-FC72-D542-9067-F0311C48B55E}" type="pres">
      <dgm:prSet presAssocID="{117BB29B-AF7D-7043-8BAA-7B43CBB4FB82}" presName="hierRoot2" presStyleCnt="0"/>
      <dgm:spPr/>
    </dgm:pt>
    <dgm:pt modelId="{7A6C0126-D3FE-1A4B-9210-623DCB05FBBF}" type="pres">
      <dgm:prSet presAssocID="{117BB29B-AF7D-7043-8BAA-7B43CBB4FB82}" presName="composite2" presStyleCnt="0"/>
      <dgm:spPr/>
    </dgm:pt>
    <dgm:pt modelId="{CAAA1266-81E1-1647-8928-448F9ACB8836}" type="pres">
      <dgm:prSet presAssocID="{117BB29B-AF7D-7043-8BAA-7B43CBB4FB82}" presName="background2" presStyleLbl="node2" presStyleIdx="0" presStyleCnt="3"/>
      <dgm:spPr/>
    </dgm:pt>
    <dgm:pt modelId="{B96AE2B5-738B-DF4E-9CA6-157B7E8F640B}" type="pres">
      <dgm:prSet presAssocID="{117BB29B-AF7D-7043-8BAA-7B43CBB4FB82}" presName="text2" presStyleLbl="fgAcc2" presStyleIdx="0" presStyleCnt="3">
        <dgm:presLayoutVars>
          <dgm:chPref val="3"/>
        </dgm:presLayoutVars>
      </dgm:prSet>
      <dgm:spPr/>
    </dgm:pt>
    <dgm:pt modelId="{D6671554-6D6E-B941-B7C5-4B20B7A95896}" type="pres">
      <dgm:prSet presAssocID="{117BB29B-AF7D-7043-8BAA-7B43CBB4FB82}" presName="hierChild3" presStyleCnt="0"/>
      <dgm:spPr/>
    </dgm:pt>
    <dgm:pt modelId="{65D9A8D1-62D3-7D44-AF79-A52854D0F8B9}" type="pres">
      <dgm:prSet presAssocID="{354D8682-C6A7-8C48-B9F7-93BF23D9519C}" presName="Name10" presStyleLbl="parChTrans1D2" presStyleIdx="1" presStyleCnt="3"/>
      <dgm:spPr/>
    </dgm:pt>
    <dgm:pt modelId="{580E20E6-CE65-D04F-A95B-836057EB28E0}" type="pres">
      <dgm:prSet presAssocID="{4B3F3D12-A940-E744-A6EB-245F7A141D53}" presName="hierRoot2" presStyleCnt="0"/>
      <dgm:spPr/>
    </dgm:pt>
    <dgm:pt modelId="{90353786-EC45-4248-9D9E-E67087743D0F}" type="pres">
      <dgm:prSet presAssocID="{4B3F3D12-A940-E744-A6EB-245F7A141D53}" presName="composite2" presStyleCnt="0"/>
      <dgm:spPr/>
    </dgm:pt>
    <dgm:pt modelId="{8FA949FC-4B5B-5C4A-A310-054BAA318A66}" type="pres">
      <dgm:prSet presAssocID="{4B3F3D12-A940-E744-A6EB-245F7A141D53}" presName="background2" presStyleLbl="node2" presStyleIdx="1" presStyleCnt="3"/>
      <dgm:spPr/>
    </dgm:pt>
    <dgm:pt modelId="{97B9BDAB-F6FB-7D43-A9E4-F183C25373AD}" type="pres">
      <dgm:prSet presAssocID="{4B3F3D12-A940-E744-A6EB-245F7A141D53}" presName="text2" presStyleLbl="fgAcc2" presStyleIdx="1" presStyleCnt="3" custLinFactNeighborX="-14058" custLinFactNeighborY="-9366">
        <dgm:presLayoutVars>
          <dgm:chPref val="3"/>
        </dgm:presLayoutVars>
      </dgm:prSet>
      <dgm:spPr/>
    </dgm:pt>
    <dgm:pt modelId="{474FECE9-C62F-7048-A39E-913089D0B1DF}" type="pres">
      <dgm:prSet presAssocID="{4B3F3D12-A940-E744-A6EB-245F7A141D53}" presName="hierChild3" presStyleCnt="0"/>
      <dgm:spPr/>
    </dgm:pt>
    <dgm:pt modelId="{E012FE5B-A579-8947-8E86-7217EA8E4C52}" type="pres">
      <dgm:prSet presAssocID="{F6EAA074-3FC8-CE4B-90EE-C1619F9C5B70}" presName="Name17" presStyleLbl="parChTrans1D3" presStyleIdx="0" presStyleCnt="3"/>
      <dgm:spPr/>
    </dgm:pt>
    <dgm:pt modelId="{45AAD202-1802-F744-9A40-E33EBD6334A2}" type="pres">
      <dgm:prSet presAssocID="{B93F2EFA-FAA0-7049-AFA7-A1A9D7C42618}" presName="hierRoot3" presStyleCnt="0"/>
      <dgm:spPr/>
    </dgm:pt>
    <dgm:pt modelId="{CFADC6A8-F51D-CF42-86D4-07E115EC0721}" type="pres">
      <dgm:prSet presAssocID="{B93F2EFA-FAA0-7049-AFA7-A1A9D7C42618}" presName="composite3" presStyleCnt="0"/>
      <dgm:spPr/>
    </dgm:pt>
    <dgm:pt modelId="{2952B6BC-9376-9947-A412-CD7C4D440FC1}" type="pres">
      <dgm:prSet presAssocID="{B93F2EFA-FAA0-7049-AFA7-A1A9D7C42618}" presName="background3" presStyleLbl="node3" presStyleIdx="0" presStyleCnt="3"/>
      <dgm:spPr/>
    </dgm:pt>
    <dgm:pt modelId="{4FD46659-3258-6F4B-963D-3A48E8832FA1}" type="pres">
      <dgm:prSet presAssocID="{B93F2EFA-FAA0-7049-AFA7-A1A9D7C42618}" presName="text3" presStyleLbl="fgAcc3" presStyleIdx="0" presStyleCnt="3">
        <dgm:presLayoutVars>
          <dgm:chPref val="3"/>
        </dgm:presLayoutVars>
      </dgm:prSet>
      <dgm:spPr/>
    </dgm:pt>
    <dgm:pt modelId="{DD629AE3-3796-0241-B443-27F9F3A19BA4}" type="pres">
      <dgm:prSet presAssocID="{B93F2EFA-FAA0-7049-AFA7-A1A9D7C42618}" presName="hierChild4" presStyleCnt="0"/>
      <dgm:spPr/>
    </dgm:pt>
    <dgm:pt modelId="{EC600654-67CB-944A-891F-6F443B24D6FD}" type="pres">
      <dgm:prSet presAssocID="{13FE9E03-5D12-7E40-891F-269B5532ABFB}" presName="Name17" presStyleLbl="parChTrans1D3" presStyleIdx="1" presStyleCnt="3"/>
      <dgm:spPr/>
    </dgm:pt>
    <dgm:pt modelId="{C00D5691-CD8F-E14E-90D9-5CFFE06079A2}" type="pres">
      <dgm:prSet presAssocID="{9D21AE1F-B349-624E-BBBA-AAD8555A6220}" presName="hierRoot3" presStyleCnt="0"/>
      <dgm:spPr/>
    </dgm:pt>
    <dgm:pt modelId="{99C9CDED-1AED-9643-B412-E70800AFC7A0}" type="pres">
      <dgm:prSet presAssocID="{9D21AE1F-B349-624E-BBBA-AAD8555A6220}" presName="composite3" presStyleCnt="0"/>
      <dgm:spPr/>
    </dgm:pt>
    <dgm:pt modelId="{93431F02-D65A-1A46-96E0-290E51C9A50B}" type="pres">
      <dgm:prSet presAssocID="{9D21AE1F-B349-624E-BBBA-AAD8555A6220}" presName="background3" presStyleLbl="node3" presStyleIdx="1" presStyleCnt="3"/>
      <dgm:spPr/>
    </dgm:pt>
    <dgm:pt modelId="{EC816274-E0E0-A740-90B2-82416D7D1036}" type="pres">
      <dgm:prSet presAssocID="{9D21AE1F-B349-624E-BBBA-AAD8555A6220}" presName="text3" presStyleLbl="fgAcc3" presStyleIdx="1" presStyleCnt="3">
        <dgm:presLayoutVars>
          <dgm:chPref val="3"/>
        </dgm:presLayoutVars>
      </dgm:prSet>
      <dgm:spPr/>
    </dgm:pt>
    <dgm:pt modelId="{E634C4CC-2849-BC4A-8AB1-9E08996D3180}" type="pres">
      <dgm:prSet presAssocID="{9D21AE1F-B349-624E-BBBA-AAD8555A6220}" presName="hierChild4" presStyleCnt="0"/>
      <dgm:spPr/>
    </dgm:pt>
    <dgm:pt modelId="{E2EC1474-13BB-B24C-8234-A75ECC5D6955}" type="pres">
      <dgm:prSet presAssocID="{442216AE-ECCA-E74D-95AE-7056B400F486}" presName="Name17" presStyleLbl="parChTrans1D3" presStyleIdx="2" presStyleCnt="3"/>
      <dgm:spPr/>
    </dgm:pt>
    <dgm:pt modelId="{0A11126E-2EA8-AB46-9ABD-750802690F53}" type="pres">
      <dgm:prSet presAssocID="{D001597F-BAFC-0946-8B74-9A38BA98DFC9}" presName="hierRoot3" presStyleCnt="0"/>
      <dgm:spPr/>
    </dgm:pt>
    <dgm:pt modelId="{08FDCD86-3E00-784C-84E2-59AB9C4279BA}" type="pres">
      <dgm:prSet presAssocID="{D001597F-BAFC-0946-8B74-9A38BA98DFC9}" presName="composite3" presStyleCnt="0"/>
      <dgm:spPr/>
    </dgm:pt>
    <dgm:pt modelId="{07597668-F054-3E43-9EDF-D331C79C3C39}" type="pres">
      <dgm:prSet presAssocID="{D001597F-BAFC-0946-8B74-9A38BA98DFC9}" presName="background3" presStyleLbl="node3" presStyleIdx="2" presStyleCnt="3"/>
      <dgm:spPr/>
    </dgm:pt>
    <dgm:pt modelId="{496377A0-5D52-0E42-BBD7-6980F45FBC50}" type="pres">
      <dgm:prSet presAssocID="{D001597F-BAFC-0946-8B74-9A38BA98DFC9}" presName="text3" presStyleLbl="fgAcc3" presStyleIdx="2" presStyleCnt="3">
        <dgm:presLayoutVars>
          <dgm:chPref val="3"/>
        </dgm:presLayoutVars>
      </dgm:prSet>
      <dgm:spPr/>
    </dgm:pt>
    <dgm:pt modelId="{3FB1A270-665A-D441-AB73-750F4219BA41}" type="pres">
      <dgm:prSet presAssocID="{D001597F-BAFC-0946-8B74-9A38BA98DFC9}" presName="hierChild4" presStyleCnt="0"/>
      <dgm:spPr/>
    </dgm:pt>
    <dgm:pt modelId="{231BBB20-8494-C649-9550-FB76A19BCC07}" type="pres">
      <dgm:prSet presAssocID="{A0F7932C-49EC-924A-BAA0-36A04CC35900}" presName="Name10" presStyleLbl="parChTrans1D2" presStyleIdx="2" presStyleCnt="3"/>
      <dgm:spPr/>
    </dgm:pt>
    <dgm:pt modelId="{3692F25C-9788-2045-89C0-3BCA359260DD}" type="pres">
      <dgm:prSet presAssocID="{DE6C055E-5084-0B40-BECB-290535090C69}" presName="hierRoot2" presStyleCnt="0"/>
      <dgm:spPr/>
    </dgm:pt>
    <dgm:pt modelId="{F9D5E2D7-F892-C241-B364-55A40FF94053}" type="pres">
      <dgm:prSet presAssocID="{DE6C055E-5084-0B40-BECB-290535090C69}" presName="composite2" presStyleCnt="0"/>
      <dgm:spPr/>
    </dgm:pt>
    <dgm:pt modelId="{49CE53C5-51B5-B248-89D3-1C8EE06A09E8}" type="pres">
      <dgm:prSet presAssocID="{DE6C055E-5084-0B40-BECB-290535090C69}" presName="background2" presStyleLbl="node2" presStyleIdx="2" presStyleCnt="3"/>
      <dgm:spPr/>
    </dgm:pt>
    <dgm:pt modelId="{181521A3-B57D-B846-A94C-1AD07B30B7DE}" type="pres">
      <dgm:prSet presAssocID="{DE6C055E-5084-0B40-BECB-290535090C69}" presName="text2" presStyleLbl="fgAcc2" presStyleIdx="2" presStyleCnt="3">
        <dgm:presLayoutVars>
          <dgm:chPref val="3"/>
        </dgm:presLayoutVars>
      </dgm:prSet>
      <dgm:spPr/>
    </dgm:pt>
    <dgm:pt modelId="{D0D09C0B-E244-4E4D-9A3B-D97FC1883EDE}" type="pres">
      <dgm:prSet presAssocID="{DE6C055E-5084-0B40-BECB-290535090C69}" presName="hierChild3" presStyleCnt="0"/>
      <dgm:spPr/>
    </dgm:pt>
  </dgm:ptLst>
  <dgm:cxnLst>
    <dgm:cxn modelId="{8CB1E00D-DC1D-EB45-8AD4-D54C2CDF8C60}" type="presOf" srcId="{117BB29B-AF7D-7043-8BAA-7B43CBB4FB82}" destId="{B96AE2B5-738B-DF4E-9CA6-157B7E8F640B}" srcOrd="0" destOrd="0" presId="urn:microsoft.com/office/officeart/2005/8/layout/hierarchy1"/>
    <dgm:cxn modelId="{C8FA531D-1CB4-E944-96EA-41677ED750D0}" srcId="{4B3F3D12-A940-E744-A6EB-245F7A141D53}" destId="{D001597F-BAFC-0946-8B74-9A38BA98DFC9}" srcOrd="2" destOrd="0" parTransId="{442216AE-ECCA-E74D-95AE-7056B400F486}" sibTransId="{0B3F3A39-DF2F-DA49-AD78-15B939FA216D}"/>
    <dgm:cxn modelId="{F0A28A23-71FC-FC4B-8754-1E8F023CCBA2}" srcId="{4B3F3D12-A940-E744-A6EB-245F7A141D53}" destId="{9D21AE1F-B349-624E-BBBA-AAD8555A6220}" srcOrd="1" destOrd="0" parTransId="{13FE9E03-5D12-7E40-891F-269B5532ABFB}" sibTransId="{C2F9797F-6E6C-1347-A185-E1691DFD2F0D}"/>
    <dgm:cxn modelId="{8C014637-013E-8340-ABEE-794D6FA057E4}" type="presOf" srcId="{C127FFE0-7DA0-F447-B868-A70CE8A78D91}" destId="{4DB8DCD2-BA13-F54F-B4DF-EC4C95948F70}" srcOrd="0" destOrd="0" presId="urn:microsoft.com/office/officeart/2005/8/layout/hierarchy1"/>
    <dgm:cxn modelId="{54576F37-4EF0-0342-AE4D-AF3AE0944A0E}" type="presOf" srcId="{D001597F-BAFC-0946-8B74-9A38BA98DFC9}" destId="{496377A0-5D52-0E42-BBD7-6980F45FBC50}" srcOrd="0" destOrd="0" presId="urn:microsoft.com/office/officeart/2005/8/layout/hierarchy1"/>
    <dgm:cxn modelId="{CF7EFF3C-6681-924F-8640-30ADC0074C8D}" srcId="{4B3F3D12-A940-E744-A6EB-245F7A141D53}" destId="{B93F2EFA-FAA0-7049-AFA7-A1A9D7C42618}" srcOrd="0" destOrd="0" parTransId="{F6EAA074-3FC8-CE4B-90EE-C1619F9C5B70}" sibTransId="{8BBA4B70-08EB-4141-9FED-36E870961481}"/>
    <dgm:cxn modelId="{89CFE544-B5A7-1C40-8D48-657A9BF510C1}" srcId="{7B77E5E6-E98D-2B43-91BC-05769AF10A4A}" destId="{DE6C055E-5084-0B40-BECB-290535090C69}" srcOrd="2" destOrd="0" parTransId="{A0F7932C-49EC-924A-BAA0-36A04CC35900}" sibTransId="{CB309853-04B0-FC4F-A3F3-E0212CCD3378}"/>
    <dgm:cxn modelId="{A8B06445-E928-D94A-8F0E-93A4FE41B5B4}" type="presOf" srcId="{A0F7932C-49EC-924A-BAA0-36A04CC35900}" destId="{231BBB20-8494-C649-9550-FB76A19BCC07}" srcOrd="0" destOrd="0" presId="urn:microsoft.com/office/officeart/2005/8/layout/hierarchy1"/>
    <dgm:cxn modelId="{D5CFBE54-A922-3B41-B683-56FF4242D01E}" type="presOf" srcId="{354D8682-C6A7-8C48-B9F7-93BF23D9519C}" destId="{65D9A8D1-62D3-7D44-AF79-A52854D0F8B9}" srcOrd="0" destOrd="0" presId="urn:microsoft.com/office/officeart/2005/8/layout/hierarchy1"/>
    <dgm:cxn modelId="{6022C162-FD1B-6140-86F9-DBD064C3E189}" type="presOf" srcId="{C74E8855-8C9D-F04C-B122-048C6D244D75}" destId="{AE83104B-934C-F141-B41F-E31466A41B8E}" srcOrd="0" destOrd="0" presId="urn:microsoft.com/office/officeart/2005/8/layout/hierarchy1"/>
    <dgm:cxn modelId="{B7D8E676-F1E7-584A-A38B-3112E509A75B}" type="presOf" srcId="{442216AE-ECCA-E74D-95AE-7056B400F486}" destId="{E2EC1474-13BB-B24C-8234-A75ECC5D6955}" srcOrd="0" destOrd="0" presId="urn:microsoft.com/office/officeart/2005/8/layout/hierarchy1"/>
    <dgm:cxn modelId="{CE22B192-12B7-7348-A33B-7D567803FB92}" type="presOf" srcId="{9D21AE1F-B349-624E-BBBA-AAD8555A6220}" destId="{EC816274-E0E0-A740-90B2-82416D7D1036}" srcOrd="0" destOrd="0" presId="urn:microsoft.com/office/officeart/2005/8/layout/hierarchy1"/>
    <dgm:cxn modelId="{02AEA69E-8F47-514B-B5D4-80AA9245775F}" srcId="{7B77E5E6-E98D-2B43-91BC-05769AF10A4A}" destId="{4B3F3D12-A940-E744-A6EB-245F7A141D53}" srcOrd="1" destOrd="0" parTransId="{354D8682-C6A7-8C48-B9F7-93BF23D9519C}" sibTransId="{C7B358A3-EFF2-2D4C-A4AF-5261878F5751}"/>
    <dgm:cxn modelId="{3D95A1AE-4332-6745-8493-9AB07D9BA89D}" type="presOf" srcId="{13FE9E03-5D12-7E40-891F-269B5532ABFB}" destId="{EC600654-67CB-944A-891F-6F443B24D6FD}" srcOrd="0" destOrd="0" presId="urn:microsoft.com/office/officeart/2005/8/layout/hierarchy1"/>
    <dgm:cxn modelId="{E5688FAF-5B3B-E941-9FA4-077A309A42AF}" type="presOf" srcId="{7B77E5E6-E98D-2B43-91BC-05769AF10A4A}" destId="{3FA98399-3081-B44C-B185-E2808F754C54}" srcOrd="0" destOrd="0" presId="urn:microsoft.com/office/officeart/2005/8/layout/hierarchy1"/>
    <dgm:cxn modelId="{1ACA1BBD-2B0F-834D-B9F0-1238FE56DA4B}" srcId="{C74E8855-8C9D-F04C-B122-048C6D244D75}" destId="{7B77E5E6-E98D-2B43-91BC-05769AF10A4A}" srcOrd="0" destOrd="0" parTransId="{7F4B58ED-2EB8-324E-84AF-8873798BE420}" sibTransId="{76A1AC68-F7B7-2D4D-9470-CEB0D02C988A}"/>
    <dgm:cxn modelId="{91ACCCC4-8546-0B45-8C91-E452973CE971}" srcId="{7B77E5E6-E98D-2B43-91BC-05769AF10A4A}" destId="{117BB29B-AF7D-7043-8BAA-7B43CBB4FB82}" srcOrd="0" destOrd="0" parTransId="{C127FFE0-7DA0-F447-B868-A70CE8A78D91}" sibTransId="{3114C935-1295-624F-AF51-B96B49DD886B}"/>
    <dgm:cxn modelId="{FEBF96D9-0CB5-514B-ADCE-133A02BB2E54}" type="presOf" srcId="{F6EAA074-3FC8-CE4B-90EE-C1619F9C5B70}" destId="{E012FE5B-A579-8947-8E86-7217EA8E4C52}" srcOrd="0" destOrd="0" presId="urn:microsoft.com/office/officeart/2005/8/layout/hierarchy1"/>
    <dgm:cxn modelId="{9CAAD5E0-C52B-9E4E-9F27-06319DA9A260}" type="presOf" srcId="{4B3F3D12-A940-E744-A6EB-245F7A141D53}" destId="{97B9BDAB-F6FB-7D43-A9E4-F183C25373AD}" srcOrd="0" destOrd="0" presId="urn:microsoft.com/office/officeart/2005/8/layout/hierarchy1"/>
    <dgm:cxn modelId="{D07B91E3-BE7C-2E47-B0E0-B5765F9DADCC}" type="presOf" srcId="{B93F2EFA-FAA0-7049-AFA7-A1A9D7C42618}" destId="{4FD46659-3258-6F4B-963D-3A48E8832FA1}" srcOrd="0" destOrd="0" presId="urn:microsoft.com/office/officeart/2005/8/layout/hierarchy1"/>
    <dgm:cxn modelId="{39AB10FA-F24B-A947-8CA6-8A7EE5208EDB}" type="presOf" srcId="{DE6C055E-5084-0B40-BECB-290535090C69}" destId="{181521A3-B57D-B846-A94C-1AD07B30B7DE}" srcOrd="0" destOrd="0" presId="urn:microsoft.com/office/officeart/2005/8/layout/hierarchy1"/>
    <dgm:cxn modelId="{1C60D9EB-0199-DC44-A726-670BB437DD58}" type="presParOf" srcId="{AE83104B-934C-F141-B41F-E31466A41B8E}" destId="{F796AA87-F4E6-3347-84B8-4476CE4B0795}" srcOrd="0" destOrd="0" presId="urn:microsoft.com/office/officeart/2005/8/layout/hierarchy1"/>
    <dgm:cxn modelId="{8E027A44-8E48-304E-83A3-9EF6D93393D1}" type="presParOf" srcId="{F796AA87-F4E6-3347-84B8-4476CE4B0795}" destId="{F9FDA0B5-5364-6A4F-923D-9E69BCA53D25}" srcOrd="0" destOrd="0" presId="urn:microsoft.com/office/officeart/2005/8/layout/hierarchy1"/>
    <dgm:cxn modelId="{07696263-AE66-004E-9B7F-CA5D18FEDBEB}" type="presParOf" srcId="{F9FDA0B5-5364-6A4F-923D-9E69BCA53D25}" destId="{BE8F4FB6-E1B2-3D42-8996-A8674287C778}" srcOrd="0" destOrd="0" presId="urn:microsoft.com/office/officeart/2005/8/layout/hierarchy1"/>
    <dgm:cxn modelId="{34B76C86-EC79-FF4C-818A-C281F76B5B4B}" type="presParOf" srcId="{F9FDA0B5-5364-6A4F-923D-9E69BCA53D25}" destId="{3FA98399-3081-B44C-B185-E2808F754C54}" srcOrd="1" destOrd="0" presId="urn:microsoft.com/office/officeart/2005/8/layout/hierarchy1"/>
    <dgm:cxn modelId="{B2C4DE81-6739-9141-8585-B9710F911678}" type="presParOf" srcId="{F796AA87-F4E6-3347-84B8-4476CE4B0795}" destId="{F03303C2-3975-7D43-B462-3F8087250C18}" srcOrd="1" destOrd="0" presId="urn:microsoft.com/office/officeart/2005/8/layout/hierarchy1"/>
    <dgm:cxn modelId="{73A28BB2-AF4E-5D42-9F48-F9AE15ACF267}" type="presParOf" srcId="{F03303C2-3975-7D43-B462-3F8087250C18}" destId="{4DB8DCD2-BA13-F54F-B4DF-EC4C95948F70}" srcOrd="0" destOrd="0" presId="urn:microsoft.com/office/officeart/2005/8/layout/hierarchy1"/>
    <dgm:cxn modelId="{E2EC3B1C-4F6D-2E4E-9104-B11501C501DF}" type="presParOf" srcId="{F03303C2-3975-7D43-B462-3F8087250C18}" destId="{B22B5447-FC72-D542-9067-F0311C48B55E}" srcOrd="1" destOrd="0" presId="urn:microsoft.com/office/officeart/2005/8/layout/hierarchy1"/>
    <dgm:cxn modelId="{B939494D-2DFA-AB4F-8263-B95B55449EC8}" type="presParOf" srcId="{B22B5447-FC72-D542-9067-F0311C48B55E}" destId="{7A6C0126-D3FE-1A4B-9210-623DCB05FBBF}" srcOrd="0" destOrd="0" presId="urn:microsoft.com/office/officeart/2005/8/layout/hierarchy1"/>
    <dgm:cxn modelId="{CB1583EE-4AF7-504A-884F-78A27B569393}" type="presParOf" srcId="{7A6C0126-D3FE-1A4B-9210-623DCB05FBBF}" destId="{CAAA1266-81E1-1647-8928-448F9ACB8836}" srcOrd="0" destOrd="0" presId="urn:microsoft.com/office/officeart/2005/8/layout/hierarchy1"/>
    <dgm:cxn modelId="{57942D34-4053-8944-842C-EA337B929BE6}" type="presParOf" srcId="{7A6C0126-D3FE-1A4B-9210-623DCB05FBBF}" destId="{B96AE2B5-738B-DF4E-9CA6-157B7E8F640B}" srcOrd="1" destOrd="0" presId="urn:microsoft.com/office/officeart/2005/8/layout/hierarchy1"/>
    <dgm:cxn modelId="{EBBAD6B5-0F2F-BC41-A912-8052F642CB09}" type="presParOf" srcId="{B22B5447-FC72-D542-9067-F0311C48B55E}" destId="{D6671554-6D6E-B941-B7C5-4B20B7A95896}" srcOrd="1" destOrd="0" presId="urn:microsoft.com/office/officeart/2005/8/layout/hierarchy1"/>
    <dgm:cxn modelId="{402E3614-CFCF-B748-B21F-19A94240D2A4}" type="presParOf" srcId="{F03303C2-3975-7D43-B462-3F8087250C18}" destId="{65D9A8D1-62D3-7D44-AF79-A52854D0F8B9}" srcOrd="2" destOrd="0" presId="urn:microsoft.com/office/officeart/2005/8/layout/hierarchy1"/>
    <dgm:cxn modelId="{F24423FE-4708-B946-ACCF-1726286729A9}" type="presParOf" srcId="{F03303C2-3975-7D43-B462-3F8087250C18}" destId="{580E20E6-CE65-D04F-A95B-836057EB28E0}" srcOrd="3" destOrd="0" presId="urn:microsoft.com/office/officeart/2005/8/layout/hierarchy1"/>
    <dgm:cxn modelId="{A1BD7A64-AF53-5949-814E-AB8858D89CBE}" type="presParOf" srcId="{580E20E6-CE65-D04F-A95B-836057EB28E0}" destId="{90353786-EC45-4248-9D9E-E67087743D0F}" srcOrd="0" destOrd="0" presId="urn:microsoft.com/office/officeart/2005/8/layout/hierarchy1"/>
    <dgm:cxn modelId="{98C87614-C6B7-A34D-A37B-3617C7BCA32E}" type="presParOf" srcId="{90353786-EC45-4248-9D9E-E67087743D0F}" destId="{8FA949FC-4B5B-5C4A-A310-054BAA318A66}" srcOrd="0" destOrd="0" presId="urn:microsoft.com/office/officeart/2005/8/layout/hierarchy1"/>
    <dgm:cxn modelId="{293E9699-23D1-A14E-9A05-14A72D46A4A5}" type="presParOf" srcId="{90353786-EC45-4248-9D9E-E67087743D0F}" destId="{97B9BDAB-F6FB-7D43-A9E4-F183C25373AD}" srcOrd="1" destOrd="0" presId="urn:microsoft.com/office/officeart/2005/8/layout/hierarchy1"/>
    <dgm:cxn modelId="{C7FB54A8-D99F-3245-ADBD-10825D395B6D}" type="presParOf" srcId="{580E20E6-CE65-D04F-A95B-836057EB28E0}" destId="{474FECE9-C62F-7048-A39E-913089D0B1DF}" srcOrd="1" destOrd="0" presId="urn:microsoft.com/office/officeart/2005/8/layout/hierarchy1"/>
    <dgm:cxn modelId="{6B36DFAF-E607-CD40-A539-1F15862D484C}" type="presParOf" srcId="{474FECE9-C62F-7048-A39E-913089D0B1DF}" destId="{E012FE5B-A579-8947-8E86-7217EA8E4C52}" srcOrd="0" destOrd="0" presId="urn:microsoft.com/office/officeart/2005/8/layout/hierarchy1"/>
    <dgm:cxn modelId="{43542A0C-D000-6540-8B2E-64FA664E0A0B}" type="presParOf" srcId="{474FECE9-C62F-7048-A39E-913089D0B1DF}" destId="{45AAD202-1802-F744-9A40-E33EBD6334A2}" srcOrd="1" destOrd="0" presId="urn:microsoft.com/office/officeart/2005/8/layout/hierarchy1"/>
    <dgm:cxn modelId="{7DCFE96D-9E3E-8044-9937-3BCFE57EC104}" type="presParOf" srcId="{45AAD202-1802-F744-9A40-E33EBD6334A2}" destId="{CFADC6A8-F51D-CF42-86D4-07E115EC0721}" srcOrd="0" destOrd="0" presId="urn:microsoft.com/office/officeart/2005/8/layout/hierarchy1"/>
    <dgm:cxn modelId="{18617B8C-D213-E646-B3E9-66A37ECC997B}" type="presParOf" srcId="{CFADC6A8-F51D-CF42-86D4-07E115EC0721}" destId="{2952B6BC-9376-9947-A412-CD7C4D440FC1}" srcOrd="0" destOrd="0" presId="urn:microsoft.com/office/officeart/2005/8/layout/hierarchy1"/>
    <dgm:cxn modelId="{0E01F75B-A1EA-4745-8DDC-FF9ED0AA51C2}" type="presParOf" srcId="{CFADC6A8-F51D-CF42-86D4-07E115EC0721}" destId="{4FD46659-3258-6F4B-963D-3A48E8832FA1}" srcOrd="1" destOrd="0" presId="urn:microsoft.com/office/officeart/2005/8/layout/hierarchy1"/>
    <dgm:cxn modelId="{64AFB500-4FBB-9A45-A6DA-7D38076F31D3}" type="presParOf" srcId="{45AAD202-1802-F744-9A40-E33EBD6334A2}" destId="{DD629AE3-3796-0241-B443-27F9F3A19BA4}" srcOrd="1" destOrd="0" presId="urn:microsoft.com/office/officeart/2005/8/layout/hierarchy1"/>
    <dgm:cxn modelId="{1A57CEAE-1C0D-6F48-A608-937D48B4C9D1}" type="presParOf" srcId="{474FECE9-C62F-7048-A39E-913089D0B1DF}" destId="{EC600654-67CB-944A-891F-6F443B24D6FD}" srcOrd="2" destOrd="0" presId="urn:microsoft.com/office/officeart/2005/8/layout/hierarchy1"/>
    <dgm:cxn modelId="{9CFFA4A2-FAD8-A942-AB38-5453B4B22B3D}" type="presParOf" srcId="{474FECE9-C62F-7048-A39E-913089D0B1DF}" destId="{C00D5691-CD8F-E14E-90D9-5CFFE06079A2}" srcOrd="3" destOrd="0" presId="urn:microsoft.com/office/officeart/2005/8/layout/hierarchy1"/>
    <dgm:cxn modelId="{62046910-67A7-944F-8544-34E9619214F9}" type="presParOf" srcId="{C00D5691-CD8F-E14E-90D9-5CFFE06079A2}" destId="{99C9CDED-1AED-9643-B412-E70800AFC7A0}" srcOrd="0" destOrd="0" presId="urn:microsoft.com/office/officeart/2005/8/layout/hierarchy1"/>
    <dgm:cxn modelId="{383C3C9C-7437-B848-A1C8-F81A83267985}" type="presParOf" srcId="{99C9CDED-1AED-9643-B412-E70800AFC7A0}" destId="{93431F02-D65A-1A46-96E0-290E51C9A50B}" srcOrd="0" destOrd="0" presId="urn:microsoft.com/office/officeart/2005/8/layout/hierarchy1"/>
    <dgm:cxn modelId="{36B03345-428F-C849-AAD2-3F8ACDD71653}" type="presParOf" srcId="{99C9CDED-1AED-9643-B412-E70800AFC7A0}" destId="{EC816274-E0E0-A740-90B2-82416D7D1036}" srcOrd="1" destOrd="0" presId="urn:microsoft.com/office/officeart/2005/8/layout/hierarchy1"/>
    <dgm:cxn modelId="{07C03654-1FB1-4D49-B5A6-B65F7F2C8563}" type="presParOf" srcId="{C00D5691-CD8F-E14E-90D9-5CFFE06079A2}" destId="{E634C4CC-2849-BC4A-8AB1-9E08996D3180}" srcOrd="1" destOrd="0" presId="urn:microsoft.com/office/officeart/2005/8/layout/hierarchy1"/>
    <dgm:cxn modelId="{61A6ED34-B574-9842-B12F-03D6DBB7253D}" type="presParOf" srcId="{474FECE9-C62F-7048-A39E-913089D0B1DF}" destId="{E2EC1474-13BB-B24C-8234-A75ECC5D6955}" srcOrd="4" destOrd="0" presId="urn:microsoft.com/office/officeart/2005/8/layout/hierarchy1"/>
    <dgm:cxn modelId="{56542C2D-F1AB-C641-AA21-87B19619C36A}" type="presParOf" srcId="{474FECE9-C62F-7048-A39E-913089D0B1DF}" destId="{0A11126E-2EA8-AB46-9ABD-750802690F53}" srcOrd="5" destOrd="0" presId="urn:microsoft.com/office/officeart/2005/8/layout/hierarchy1"/>
    <dgm:cxn modelId="{E582D64A-9635-F04B-A069-CB8101D525C8}" type="presParOf" srcId="{0A11126E-2EA8-AB46-9ABD-750802690F53}" destId="{08FDCD86-3E00-784C-84E2-59AB9C4279BA}" srcOrd="0" destOrd="0" presId="urn:microsoft.com/office/officeart/2005/8/layout/hierarchy1"/>
    <dgm:cxn modelId="{3E3663B7-931E-B048-A0FB-900BE8333281}" type="presParOf" srcId="{08FDCD86-3E00-784C-84E2-59AB9C4279BA}" destId="{07597668-F054-3E43-9EDF-D331C79C3C39}" srcOrd="0" destOrd="0" presId="urn:microsoft.com/office/officeart/2005/8/layout/hierarchy1"/>
    <dgm:cxn modelId="{14F8598B-06D7-B345-B1EF-46D643C7CFAA}" type="presParOf" srcId="{08FDCD86-3E00-784C-84E2-59AB9C4279BA}" destId="{496377A0-5D52-0E42-BBD7-6980F45FBC50}" srcOrd="1" destOrd="0" presId="urn:microsoft.com/office/officeart/2005/8/layout/hierarchy1"/>
    <dgm:cxn modelId="{BE7D967B-E871-2748-8ABA-7E94C9B03B42}" type="presParOf" srcId="{0A11126E-2EA8-AB46-9ABD-750802690F53}" destId="{3FB1A270-665A-D441-AB73-750F4219BA41}" srcOrd="1" destOrd="0" presId="urn:microsoft.com/office/officeart/2005/8/layout/hierarchy1"/>
    <dgm:cxn modelId="{BDE55BBC-CEF5-A44B-8EB0-DB495EAB5798}" type="presParOf" srcId="{F03303C2-3975-7D43-B462-3F8087250C18}" destId="{231BBB20-8494-C649-9550-FB76A19BCC07}" srcOrd="4" destOrd="0" presId="urn:microsoft.com/office/officeart/2005/8/layout/hierarchy1"/>
    <dgm:cxn modelId="{D29908EE-CBC4-F84A-95C4-89817834BD09}" type="presParOf" srcId="{F03303C2-3975-7D43-B462-3F8087250C18}" destId="{3692F25C-9788-2045-89C0-3BCA359260DD}" srcOrd="5" destOrd="0" presId="urn:microsoft.com/office/officeart/2005/8/layout/hierarchy1"/>
    <dgm:cxn modelId="{6F92AABE-ABAC-3D49-B22A-60C173E31F74}" type="presParOf" srcId="{3692F25C-9788-2045-89C0-3BCA359260DD}" destId="{F9D5E2D7-F892-C241-B364-55A40FF94053}" srcOrd="0" destOrd="0" presId="urn:microsoft.com/office/officeart/2005/8/layout/hierarchy1"/>
    <dgm:cxn modelId="{586146F6-707B-A044-A537-248E2EB33CCF}" type="presParOf" srcId="{F9D5E2D7-F892-C241-B364-55A40FF94053}" destId="{49CE53C5-51B5-B248-89D3-1C8EE06A09E8}" srcOrd="0" destOrd="0" presId="urn:microsoft.com/office/officeart/2005/8/layout/hierarchy1"/>
    <dgm:cxn modelId="{B9A57B0C-6D95-C546-A03E-642436E53172}" type="presParOf" srcId="{F9D5E2D7-F892-C241-B364-55A40FF94053}" destId="{181521A3-B57D-B846-A94C-1AD07B30B7DE}" srcOrd="1" destOrd="0" presId="urn:microsoft.com/office/officeart/2005/8/layout/hierarchy1"/>
    <dgm:cxn modelId="{37008A1B-1B3B-7142-BC7F-1483697A94E5}" type="presParOf" srcId="{3692F25C-9788-2045-89C0-3BCA359260DD}" destId="{D0D09C0B-E244-4E4D-9A3B-D97FC1883EDE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1BBB20-8494-C649-9550-FB76A19BCC07}">
      <dsp:nvSpPr>
        <dsp:cNvPr id="0" name=""/>
        <dsp:cNvSpPr/>
      </dsp:nvSpPr>
      <dsp:spPr>
        <a:xfrm>
          <a:off x="3082119" y="815343"/>
          <a:ext cx="1568390" cy="3732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4328"/>
              </a:lnTo>
              <a:lnTo>
                <a:pt x="1568390" y="254328"/>
              </a:lnTo>
              <a:lnTo>
                <a:pt x="1568390" y="373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EC1474-13BB-B24C-8234-A75ECC5D6955}">
      <dsp:nvSpPr>
        <dsp:cNvPr id="0" name=""/>
        <dsp:cNvSpPr/>
      </dsp:nvSpPr>
      <dsp:spPr>
        <a:xfrm>
          <a:off x="2901723" y="1927080"/>
          <a:ext cx="1748786" cy="4495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0647"/>
              </a:lnTo>
              <a:lnTo>
                <a:pt x="1748786" y="330647"/>
              </a:lnTo>
              <a:lnTo>
                <a:pt x="1748786" y="4495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600654-67CB-944A-891F-6F443B24D6FD}">
      <dsp:nvSpPr>
        <dsp:cNvPr id="0" name=""/>
        <dsp:cNvSpPr/>
      </dsp:nvSpPr>
      <dsp:spPr>
        <a:xfrm>
          <a:off x="2901723" y="1927080"/>
          <a:ext cx="180396" cy="44952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30647"/>
              </a:lnTo>
              <a:lnTo>
                <a:pt x="180396" y="330647"/>
              </a:lnTo>
              <a:lnTo>
                <a:pt x="180396" y="4495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12FE5B-A579-8947-8E86-7217EA8E4C52}">
      <dsp:nvSpPr>
        <dsp:cNvPr id="0" name=""/>
        <dsp:cNvSpPr/>
      </dsp:nvSpPr>
      <dsp:spPr>
        <a:xfrm>
          <a:off x="1513729" y="1927080"/>
          <a:ext cx="1387994" cy="449524"/>
        </a:xfrm>
        <a:custGeom>
          <a:avLst/>
          <a:gdLst/>
          <a:ahLst/>
          <a:cxnLst/>
          <a:rect l="0" t="0" r="0" b="0"/>
          <a:pathLst>
            <a:path>
              <a:moveTo>
                <a:pt x="1387994" y="0"/>
              </a:moveTo>
              <a:lnTo>
                <a:pt x="1387994" y="330647"/>
              </a:lnTo>
              <a:lnTo>
                <a:pt x="0" y="330647"/>
              </a:lnTo>
              <a:lnTo>
                <a:pt x="0" y="449524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9A8D1-62D3-7D44-AF79-A52854D0F8B9}">
      <dsp:nvSpPr>
        <dsp:cNvPr id="0" name=""/>
        <dsp:cNvSpPr/>
      </dsp:nvSpPr>
      <dsp:spPr>
        <a:xfrm>
          <a:off x="2901723" y="815343"/>
          <a:ext cx="180396" cy="296886"/>
        </a:xfrm>
        <a:custGeom>
          <a:avLst/>
          <a:gdLst/>
          <a:ahLst/>
          <a:cxnLst/>
          <a:rect l="0" t="0" r="0" b="0"/>
          <a:pathLst>
            <a:path>
              <a:moveTo>
                <a:pt x="180396" y="0"/>
              </a:moveTo>
              <a:lnTo>
                <a:pt x="180396" y="178009"/>
              </a:lnTo>
              <a:lnTo>
                <a:pt x="0" y="178009"/>
              </a:lnTo>
              <a:lnTo>
                <a:pt x="0" y="29688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B8DCD2-BA13-F54F-B4DF-EC4C95948F70}">
      <dsp:nvSpPr>
        <dsp:cNvPr id="0" name=""/>
        <dsp:cNvSpPr/>
      </dsp:nvSpPr>
      <dsp:spPr>
        <a:xfrm>
          <a:off x="1513729" y="815343"/>
          <a:ext cx="1568390" cy="373205"/>
        </a:xfrm>
        <a:custGeom>
          <a:avLst/>
          <a:gdLst/>
          <a:ahLst/>
          <a:cxnLst/>
          <a:rect l="0" t="0" r="0" b="0"/>
          <a:pathLst>
            <a:path>
              <a:moveTo>
                <a:pt x="1568390" y="0"/>
              </a:moveTo>
              <a:lnTo>
                <a:pt x="1568390" y="254328"/>
              </a:lnTo>
              <a:lnTo>
                <a:pt x="0" y="254328"/>
              </a:lnTo>
              <a:lnTo>
                <a:pt x="0" y="373205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8F4FB6-E1B2-3D42-8996-A8674287C778}">
      <dsp:nvSpPr>
        <dsp:cNvPr id="0" name=""/>
        <dsp:cNvSpPr/>
      </dsp:nvSpPr>
      <dsp:spPr>
        <a:xfrm>
          <a:off x="2440505" y="493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A98399-3081-B44C-B185-E2808F754C54}">
      <dsp:nvSpPr>
        <dsp:cNvPr id="0" name=""/>
        <dsp:cNvSpPr/>
      </dsp:nvSpPr>
      <dsp:spPr>
        <a:xfrm>
          <a:off x="2583086" y="135945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ROE  (20.91%)</a:t>
          </a:r>
        </a:p>
      </dsp:txBody>
      <dsp:txXfrm>
        <a:off x="2606952" y="159811"/>
        <a:ext cx="1235496" cy="767118"/>
      </dsp:txXfrm>
    </dsp:sp>
    <dsp:sp modelId="{CAAA1266-81E1-1647-8928-448F9ACB8836}">
      <dsp:nvSpPr>
        <dsp:cNvPr id="0" name=""/>
        <dsp:cNvSpPr/>
      </dsp:nvSpPr>
      <dsp:spPr>
        <a:xfrm>
          <a:off x="872114" y="1188549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96AE2B5-738B-DF4E-9CA6-157B7E8F640B}">
      <dsp:nvSpPr>
        <dsp:cNvPr id="0" name=""/>
        <dsp:cNvSpPr/>
      </dsp:nvSpPr>
      <dsp:spPr>
        <a:xfrm>
          <a:off x="1014695" y="1324000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Asset Turnover  (0.46)</a:t>
          </a:r>
        </a:p>
      </dsp:txBody>
      <dsp:txXfrm>
        <a:off x="1038561" y="1347866"/>
        <a:ext cx="1235496" cy="767118"/>
      </dsp:txXfrm>
    </dsp:sp>
    <dsp:sp modelId="{8FA949FC-4B5B-5C4A-A310-054BAA318A66}">
      <dsp:nvSpPr>
        <dsp:cNvPr id="0" name=""/>
        <dsp:cNvSpPr/>
      </dsp:nvSpPr>
      <dsp:spPr>
        <a:xfrm>
          <a:off x="2260109" y="1112230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7B9BDAB-F6FB-7D43-A9E4-F183C25373AD}">
      <dsp:nvSpPr>
        <dsp:cNvPr id="0" name=""/>
        <dsp:cNvSpPr/>
      </dsp:nvSpPr>
      <dsp:spPr>
        <a:xfrm>
          <a:off x="2402689" y="1247682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Net Profit Margin  (19.2%)</a:t>
          </a:r>
        </a:p>
      </dsp:txBody>
      <dsp:txXfrm>
        <a:off x="2426555" y="1271548"/>
        <a:ext cx="1235496" cy="767118"/>
      </dsp:txXfrm>
    </dsp:sp>
    <dsp:sp modelId="{2952B6BC-9376-9947-A412-CD7C4D440FC1}">
      <dsp:nvSpPr>
        <dsp:cNvPr id="0" name=""/>
        <dsp:cNvSpPr/>
      </dsp:nvSpPr>
      <dsp:spPr>
        <a:xfrm>
          <a:off x="872114" y="2376604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D46659-3258-6F4B-963D-3A48E8832FA1}">
      <dsp:nvSpPr>
        <dsp:cNvPr id="0" name=""/>
        <dsp:cNvSpPr/>
      </dsp:nvSpPr>
      <dsp:spPr>
        <a:xfrm>
          <a:off x="1014695" y="2512056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Operating Margin (31.37%)</a:t>
          </a:r>
          <a:endParaRPr lang="en-GB" sz="1300" kern="1200"/>
        </a:p>
      </dsp:txBody>
      <dsp:txXfrm>
        <a:off x="1038561" y="2535922"/>
        <a:ext cx="1235496" cy="767118"/>
      </dsp:txXfrm>
    </dsp:sp>
    <dsp:sp modelId="{93431F02-D65A-1A46-96E0-290E51C9A50B}">
      <dsp:nvSpPr>
        <dsp:cNvPr id="0" name=""/>
        <dsp:cNvSpPr/>
      </dsp:nvSpPr>
      <dsp:spPr>
        <a:xfrm>
          <a:off x="2440505" y="2376604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C816274-E0E0-A740-90B2-82416D7D1036}">
      <dsp:nvSpPr>
        <dsp:cNvPr id="0" name=""/>
        <dsp:cNvSpPr/>
      </dsp:nvSpPr>
      <dsp:spPr>
        <a:xfrm>
          <a:off x="2583086" y="2512056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(EBT/EBIT) Interest burden (0.88)</a:t>
          </a:r>
          <a:endParaRPr lang="en-GB" sz="1200" kern="1200"/>
        </a:p>
      </dsp:txBody>
      <dsp:txXfrm>
        <a:off x="2606952" y="2535922"/>
        <a:ext cx="1235496" cy="767118"/>
      </dsp:txXfrm>
    </dsp:sp>
    <dsp:sp modelId="{07597668-F054-3E43-9EDF-D331C79C3C39}">
      <dsp:nvSpPr>
        <dsp:cNvPr id="0" name=""/>
        <dsp:cNvSpPr/>
      </dsp:nvSpPr>
      <dsp:spPr>
        <a:xfrm>
          <a:off x="4008895" y="2376604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6377A0-5D52-0E42-BBD7-6980F45FBC50}">
      <dsp:nvSpPr>
        <dsp:cNvPr id="0" name=""/>
        <dsp:cNvSpPr/>
      </dsp:nvSpPr>
      <dsp:spPr>
        <a:xfrm>
          <a:off x="4151476" y="2512056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(NI/EBT)               Tax burd</a:t>
          </a:r>
          <a:r>
            <a:rPr lang="en-GB" sz="1200" kern="1200"/>
            <a:t>en   </a:t>
          </a:r>
          <a:r>
            <a:rPr lang="en-GB" sz="1100" kern="1200"/>
            <a:t>(0.73)</a:t>
          </a:r>
          <a:endParaRPr lang="en-GB" sz="1200" kern="1200"/>
        </a:p>
      </dsp:txBody>
      <dsp:txXfrm>
        <a:off x="4175342" y="2535922"/>
        <a:ext cx="1235496" cy="767118"/>
      </dsp:txXfrm>
    </dsp:sp>
    <dsp:sp modelId="{49CE53C5-51B5-B248-89D3-1C8EE06A09E8}">
      <dsp:nvSpPr>
        <dsp:cNvPr id="0" name=""/>
        <dsp:cNvSpPr/>
      </dsp:nvSpPr>
      <dsp:spPr>
        <a:xfrm>
          <a:off x="4008895" y="1188549"/>
          <a:ext cx="1283228" cy="81485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1521A3-B57D-B846-A94C-1AD07B30B7DE}">
      <dsp:nvSpPr>
        <dsp:cNvPr id="0" name=""/>
        <dsp:cNvSpPr/>
      </dsp:nvSpPr>
      <dsp:spPr>
        <a:xfrm>
          <a:off x="4151476" y="1324000"/>
          <a:ext cx="1283228" cy="814850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Financial leverage ratio (2.33)</a:t>
          </a:r>
        </a:p>
      </dsp:txBody>
      <dsp:txXfrm>
        <a:off x="4175342" y="1347866"/>
        <a:ext cx="1235496" cy="76711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71</xdr:row>
      <xdr:rowOff>135081</xdr:rowOff>
    </xdr:from>
    <xdr:to>
      <xdr:col>14</xdr:col>
      <xdr:colOff>191655</xdr:colOff>
      <xdr:row>111</xdr:row>
      <xdr:rowOff>34634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128B-6233-B64F-9DE5-A8F4B7D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189182</xdr:colOff>
      <xdr:row>39</xdr:row>
      <xdr:rowOff>118094</xdr:rowOff>
    </xdr:from>
    <xdr:to>
      <xdr:col>13</xdr:col>
      <xdr:colOff>487218</xdr:colOff>
      <xdr:row>66</xdr:row>
      <xdr:rowOff>164111</xdr:rowOff>
    </xdr:to>
    <xdr:graphicFrame macro="">
      <xdr:nvGraphicFramePr>
        <xdr:cNvPr id="3" name="Chart 2" descr="2024 2025&#10;">
          <a:extLst>
            <a:ext uri="{FF2B5EF4-FFF2-40B4-BE49-F238E27FC236}">
              <a16:creationId xmlns:a16="http://schemas.microsoft.com/office/drawing/2014/main" id="{E3535486-BF57-9D4D-A181-403EF4E8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1536700</xdr:colOff>
      <xdr:row>6</xdr:row>
      <xdr:rowOff>25400</xdr:rowOff>
    </xdr:from>
    <xdr:to>
      <xdr:col>8</xdr:col>
      <xdr:colOff>914400</xdr:colOff>
      <xdr:row>36</xdr:row>
      <xdr:rowOff>25400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7F190D6-06A6-7541-B7BE-44990C24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602403</xdr:colOff>
      <xdr:row>23</xdr:row>
      <xdr:rowOff>78317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05AA66-D767-E1B7-EC88-875D407B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88900</xdr:rowOff>
    </xdr:from>
    <xdr:to>
      <xdr:col>17</xdr:col>
      <xdr:colOff>622300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A504-6968-6B0C-2C92-CAEC10F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25400</xdr:rowOff>
    </xdr:from>
    <xdr:to>
      <xdr:col>18</xdr:col>
      <xdr:colOff>50800</xdr:colOff>
      <xdr:row>27</xdr:row>
      <xdr:rowOff>393700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18675-B601-703E-6C9F-C9663CB3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29</xdr:row>
      <xdr:rowOff>0</xdr:rowOff>
    </xdr:from>
    <xdr:to>
      <xdr:col>18</xdr:col>
      <xdr:colOff>63500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A3375-3FDF-142B-C0C3-8E8A38BD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production%20forecasts.xlsx" TargetMode="External"/><Relationship Id="rId1" Type="http://schemas.openxmlformats.org/officeDocument/2006/relationships/externalLinkPath" Target="production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Iron%20ore%20%20price%20analysis.xls" TargetMode="External"/><Relationship Id="rId1" Type="http://schemas.openxmlformats.org/officeDocument/2006/relationships/externalLinkPath" Target="Iron%20ore%20%20price%20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ownloads/f4eqtjihz690forb.csv" TargetMode="External"/><Relationship Id="rId1" Type="http://schemas.openxmlformats.org/officeDocument/2006/relationships/externalLinkPath" Target="/Users/sagarmarathe/Downloads/f4eqtjihz690forb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7">
          <cell r="E17">
            <v>2024</v>
          </cell>
          <cell r="F17">
            <v>2025</v>
          </cell>
          <cell r="G17">
            <v>2026</v>
          </cell>
          <cell r="H17">
            <v>2027</v>
          </cell>
          <cell r="I17">
            <v>2028</v>
          </cell>
          <cell r="J17">
            <v>2029</v>
          </cell>
          <cell r="K17">
            <v>2030</v>
          </cell>
        </row>
        <row r="18">
          <cell r="E18">
            <v>1.2162162162162172E-2</v>
          </cell>
          <cell r="F18">
            <v>7.1086448598130847E-2</v>
          </cell>
          <cell r="G18">
            <v>4.7101449275362306E-2</v>
          </cell>
          <cell r="H18">
            <v>4.4166666666666729E-2</v>
          </cell>
          <cell r="I18">
            <v>4.1636363636363645E-2</v>
          </cell>
          <cell r="J18">
            <v>3.942307692307697E-2</v>
          </cell>
          <cell r="K18">
            <v>3.7464387464387412E-2</v>
          </cell>
        </row>
        <row r="19">
          <cell r="B19" t="str">
            <v>Energy Transition Minerals</v>
          </cell>
          <cell r="E19">
            <v>1.3094245204336953E-2</v>
          </cell>
          <cell r="F19">
            <v>1.7142857142857126E-2</v>
          </cell>
          <cell r="G19">
            <v>2.1052631578947368E-2</v>
          </cell>
          <cell r="H19">
            <v>3.4090909090909081E-2</v>
          </cell>
          <cell r="I19">
            <v>2.8333333333333321E-2</v>
          </cell>
          <cell r="J19">
            <v>2.4358974358974363E-2</v>
          </cell>
          <cell r="K19">
            <v>3.5714285714285719E-2</v>
          </cell>
        </row>
        <row r="20">
          <cell r="E20">
            <v>2.5256407366499124E-2</v>
          </cell>
          <cell r="F20">
            <v>8.8229305740987973E-2</v>
          </cell>
          <cell r="G20">
            <v>6.815408085430967E-2</v>
          </cell>
          <cell r="H20">
            <v>7.8257575757575804E-2</v>
          </cell>
          <cell r="I20">
            <v>6.996969696969696E-2</v>
          </cell>
          <cell r="J20">
            <v>6.3782051282051333E-2</v>
          </cell>
          <cell r="K20">
            <v>7.3178673178673131E-2</v>
          </cell>
        </row>
        <row r="23">
          <cell r="C23" t="str">
            <v>percentage</v>
          </cell>
        </row>
        <row r="24">
          <cell r="B24" t="str">
            <v>China</v>
          </cell>
          <cell r="C24">
            <v>0.51</v>
          </cell>
        </row>
        <row r="25">
          <cell r="B25" t="str">
            <v>Brazil</v>
          </cell>
          <cell r="C25">
            <v>0.09</v>
          </cell>
        </row>
        <row r="26">
          <cell r="B26" t="str">
            <v>Europe ( except Germany)</v>
          </cell>
          <cell r="C26">
            <v>0.09</v>
          </cell>
        </row>
        <row r="27">
          <cell r="B27" t="str">
            <v>Asia ( except Japan &amp; China)</v>
          </cell>
          <cell r="C27">
            <v>0.08</v>
          </cell>
        </row>
        <row r="28">
          <cell r="B28" t="str">
            <v>Japan</v>
          </cell>
          <cell r="C28">
            <v>7.6999999999999999E-2</v>
          </cell>
        </row>
        <row r="29">
          <cell r="B29" t="str">
            <v>Middle East</v>
          </cell>
          <cell r="C29">
            <v>5.7000000000000002E-2</v>
          </cell>
        </row>
        <row r="30">
          <cell r="B30" t="str">
            <v>USA</v>
          </cell>
          <cell r="C30">
            <v>0.04</v>
          </cell>
        </row>
        <row r="31">
          <cell r="B31" t="str">
            <v>Germany</v>
          </cell>
          <cell r="C31">
            <v>3.3000000000000002E-2</v>
          </cell>
        </row>
        <row r="32">
          <cell r="B32" t="str">
            <v>Others</v>
          </cell>
          <cell r="C32">
            <v>2.300000000000002E-2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"/>
      <sheetName val="FRED Graph"/>
    </sheetNames>
    <sheetDataSet>
      <sheetData sheetId="0"/>
      <sheetData sheetId="1">
        <row r="8">
          <cell r="A8">
            <v>43101</v>
          </cell>
          <cell r="B8">
            <v>75.7826086956522</v>
          </cell>
        </row>
        <row r="9">
          <cell r="A9">
            <v>43132</v>
          </cell>
          <cell r="B9">
            <v>77.650000000000006</v>
          </cell>
        </row>
        <row r="10">
          <cell r="A10">
            <v>43160</v>
          </cell>
          <cell r="B10">
            <v>71.318181818181799</v>
          </cell>
        </row>
        <row r="11">
          <cell r="A11">
            <v>43191</v>
          </cell>
          <cell r="B11">
            <v>66.3333333333333</v>
          </cell>
        </row>
        <row r="12">
          <cell r="A12">
            <v>43221</v>
          </cell>
          <cell r="B12">
            <v>66.630434782608702</v>
          </cell>
        </row>
        <row r="13">
          <cell r="A13">
            <v>43252</v>
          </cell>
          <cell r="B13">
            <v>66.857142857142904</v>
          </cell>
        </row>
        <row r="14">
          <cell r="A14">
            <v>43282</v>
          </cell>
          <cell r="B14">
            <v>67.045454545454504</v>
          </cell>
        </row>
        <row r="15">
          <cell r="A15">
            <v>43313</v>
          </cell>
          <cell r="B15">
            <v>68.021739130434796</v>
          </cell>
        </row>
        <row r="16">
          <cell r="A16">
            <v>43344</v>
          </cell>
          <cell r="B16">
            <v>68.8</v>
          </cell>
        </row>
        <row r="17">
          <cell r="A17">
            <v>43374</v>
          </cell>
          <cell r="B17">
            <v>72.021739130434796</v>
          </cell>
        </row>
        <row r="18">
          <cell r="A18">
            <v>43405</v>
          </cell>
          <cell r="B18">
            <v>72.295454545454504</v>
          </cell>
        </row>
        <row r="19">
          <cell r="A19">
            <v>43435</v>
          </cell>
          <cell r="B19">
            <v>68.904761904761898</v>
          </cell>
        </row>
        <row r="20">
          <cell r="A20">
            <v>43466</v>
          </cell>
          <cell r="B20">
            <v>75.2</v>
          </cell>
        </row>
        <row r="21">
          <cell r="A21">
            <v>43497</v>
          </cell>
          <cell r="B21">
            <v>87.59</v>
          </cell>
        </row>
        <row r="22">
          <cell r="A22">
            <v>43525</v>
          </cell>
          <cell r="B22">
            <v>87.071428571428598</v>
          </cell>
        </row>
        <row r="23">
          <cell r="A23">
            <v>43556</v>
          </cell>
          <cell r="B23">
            <v>94.5</v>
          </cell>
        </row>
        <row r="24">
          <cell r="A24">
            <v>43586</v>
          </cell>
          <cell r="B24">
            <v>101.76086956521701</v>
          </cell>
        </row>
        <row r="25">
          <cell r="A25">
            <v>43617</v>
          </cell>
          <cell r="B25">
            <v>109.55</v>
          </cell>
        </row>
        <row r="26">
          <cell r="A26">
            <v>43647</v>
          </cell>
          <cell r="B26">
            <v>119.586956521739</v>
          </cell>
        </row>
        <row r="27">
          <cell r="A27">
            <v>43678</v>
          </cell>
          <cell r="B27">
            <v>93.5</v>
          </cell>
        </row>
        <row r="28">
          <cell r="A28">
            <v>43709</v>
          </cell>
          <cell r="B28">
            <v>92.261904761904802</v>
          </cell>
        </row>
        <row r="29">
          <cell r="A29">
            <v>43739</v>
          </cell>
          <cell r="B29">
            <v>88.586956521739097</v>
          </cell>
        </row>
        <row r="30">
          <cell r="A30">
            <v>43770</v>
          </cell>
          <cell r="B30">
            <v>82.904761904761898</v>
          </cell>
        </row>
        <row r="31">
          <cell r="A31">
            <v>43800</v>
          </cell>
          <cell r="B31">
            <v>90.977272727272705</v>
          </cell>
        </row>
        <row r="32">
          <cell r="A32">
            <v>43831</v>
          </cell>
          <cell r="B32">
            <v>95.2173913043478</v>
          </cell>
        </row>
        <row r="33">
          <cell r="A33">
            <v>43862</v>
          </cell>
          <cell r="B33">
            <v>87.625</v>
          </cell>
        </row>
        <row r="34">
          <cell r="A34">
            <v>43891</v>
          </cell>
          <cell r="B34">
            <v>88.659090909090907</v>
          </cell>
        </row>
        <row r="35">
          <cell r="A35">
            <v>43922</v>
          </cell>
          <cell r="B35">
            <v>83.75</v>
          </cell>
        </row>
        <row r="36">
          <cell r="A36">
            <v>43952</v>
          </cell>
          <cell r="B36">
            <v>91.3333333333333</v>
          </cell>
        </row>
        <row r="37">
          <cell r="A37">
            <v>43983</v>
          </cell>
          <cell r="B37">
            <v>103.34090909090899</v>
          </cell>
        </row>
        <row r="38">
          <cell r="A38">
            <v>44013</v>
          </cell>
          <cell r="B38">
            <v>108.02173913043499</v>
          </cell>
        </row>
        <row r="39">
          <cell r="A39">
            <v>44044</v>
          </cell>
          <cell r="B39">
            <v>120.071428571429</v>
          </cell>
        </row>
        <row r="40">
          <cell r="A40">
            <v>44075</v>
          </cell>
          <cell r="B40">
            <v>123</v>
          </cell>
        </row>
        <row r="41">
          <cell r="A41">
            <v>44105</v>
          </cell>
          <cell r="B41">
            <v>119.25</v>
          </cell>
        </row>
        <row r="42">
          <cell r="A42">
            <v>44136</v>
          </cell>
          <cell r="B42">
            <v>123.52380952381</v>
          </cell>
        </row>
        <row r="43">
          <cell r="A43">
            <v>44166</v>
          </cell>
          <cell r="B43">
            <v>153.065217391304</v>
          </cell>
        </row>
        <row r="44">
          <cell r="A44">
            <v>44197</v>
          </cell>
          <cell r="B44">
            <v>166.73809523809501</v>
          </cell>
        </row>
        <row r="45">
          <cell r="A45">
            <v>44228</v>
          </cell>
          <cell r="B45">
            <v>162.32499999999999</v>
          </cell>
        </row>
        <row r="46">
          <cell r="A46">
            <v>44256</v>
          </cell>
          <cell r="B46">
            <v>166.73913043478299</v>
          </cell>
        </row>
        <row r="47">
          <cell r="A47">
            <v>44287</v>
          </cell>
          <cell r="B47">
            <v>178.25</v>
          </cell>
        </row>
        <row r="48">
          <cell r="A48">
            <v>44317</v>
          </cell>
          <cell r="B48">
            <v>202.857142857143</v>
          </cell>
        </row>
        <row r="49">
          <cell r="A49">
            <v>44348</v>
          </cell>
          <cell r="B49">
            <v>215.81578947368399</v>
          </cell>
        </row>
        <row r="50">
          <cell r="A50">
            <v>44378</v>
          </cell>
          <cell r="B50">
            <v>214.34090909090901</v>
          </cell>
        </row>
        <row r="51">
          <cell r="A51">
            <v>44409</v>
          </cell>
          <cell r="B51">
            <v>162.09090909090901</v>
          </cell>
        </row>
        <row r="52">
          <cell r="A52">
            <v>44440</v>
          </cell>
          <cell r="B52">
            <v>113.71875</v>
          </cell>
        </row>
        <row r="53">
          <cell r="A53">
            <v>44470</v>
          </cell>
          <cell r="B53">
            <v>114.47619047619</v>
          </cell>
        </row>
        <row r="54">
          <cell r="A54">
            <v>44501</v>
          </cell>
          <cell r="B54">
            <v>90.131578947368396</v>
          </cell>
        </row>
        <row r="55">
          <cell r="A55">
            <v>44531</v>
          </cell>
          <cell r="B55">
            <v>110.45652173913</v>
          </cell>
        </row>
        <row r="56">
          <cell r="A56">
            <v>44562</v>
          </cell>
          <cell r="B56">
            <v>133.04545454545499</v>
          </cell>
        </row>
        <row r="57">
          <cell r="A57">
            <v>44593</v>
          </cell>
          <cell r="B57">
            <v>139.69999999999999</v>
          </cell>
        </row>
        <row r="58">
          <cell r="A58">
            <v>44621</v>
          </cell>
          <cell r="B58">
            <v>147.34782608695701</v>
          </cell>
        </row>
        <row r="59">
          <cell r="A59">
            <v>44652</v>
          </cell>
          <cell r="B59">
            <v>146.666666666667</v>
          </cell>
        </row>
        <row r="60">
          <cell r="A60">
            <v>44682</v>
          </cell>
          <cell r="B60">
            <v>131.09090909090901</v>
          </cell>
        </row>
        <row r="61">
          <cell r="A61">
            <v>44713</v>
          </cell>
          <cell r="B61">
            <v>131.04545454545499</v>
          </cell>
        </row>
        <row r="62">
          <cell r="A62">
            <v>44743</v>
          </cell>
          <cell r="B62">
            <v>109.04761904761899</v>
          </cell>
        </row>
        <row r="63">
          <cell r="A63">
            <v>44774</v>
          </cell>
          <cell r="B63">
            <v>109.065217391304</v>
          </cell>
        </row>
        <row r="64">
          <cell r="A64">
            <v>44805</v>
          </cell>
          <cell r="B64">
            <v>100.84090909090899</v>
          </cell>
        </row>
        <row r="65">
          <cell r="A65">
            <v>44835</v>
          </cell>
          <cell r="B65">
            <v>94.619047619047606</v>
          </cell>
        </row>
        <row r="66">
          <cell r="A66">
            <v>44866</v>
          </cell>
          <cell r="B66">
            <v>94.568181818181799</v>
          </cell>
        </row>
        <row r="67">
          <cell r="A67">
            <v>44896</v>
          </cell>
          <cell r="B67">
            <v>111.40909090909101</v>
          </cell>
        </row>
        <row r="68">
          <cell r="A68">
            <v>44927</v>
          </cell>
          <cell r="B68">
            <v>122.431818181818</v>
          </cell>
        </row>
        <row r="69">
          <cell r="A69">
            <v>44958</v>
          </cell>
          <cell r="B69">
            <v>127.075</v>
          </cell>
        </row>
        <row r="70">
          <cell r="A70">
            <v>44986</v>
          </cell>
          <cell r="B70">
            <v>127.97826086956501</v>
          </cell>
        </row>
        <row r="71">
          <cell r="A71">
            <v>45017</v>
          </cell>
          <cell r="B71">
            <v>117.125</v>
          </cell>
        </row>
        <row r="72">
          <cell r="A72">
            <v>45047</v>
          </cell>
          <cell r="B72">
            <v>104.52173913043499</v>
          </cell>
        </row>
        <row r="73">
          <cell r="A73">
            <v>45078</v>
          </cell>
          <cell r="B73">
            <v>113.09090909090899</v>
          </cell>
        </row>
        <row r="74">
          <cell r="A74">
            <v>45108</v>
          </cell>
          <cell r="B74">
            <v>113.97619047619</v>
          </cell>
        </row>
        <row r="75">
          <cell r="A75">
            <v>45139</v>
          </cell>
          <cell r="B75">
            <v>109.60869565217401</v>
          </cell>
        </row>
        <row r="76">
          <cell r="A76">
            <v>45170</v>
          </cell>
          <cell r="B76">
            <v>120.428571428571</v>
          </cell>
        </row>
        <row r="77">
          <cell r="A77">
            <v>45200</v>
          </cell>
          <cell r="B77">
            <v>118.75</v>
          </cell>
        </row>
        <row r="78">
          <cell r="A78">
            <v>45231</v>
          </cell>
          <cell r="B78">
            <v>131.25</v>
          </cell>
        </row>
        <row r="79">
          <cell r="A79">
            <v>45261</v>
          </cell>
          <cell r="B79">
            <v>137.54761904761901</v>
          </cell>
        </row>
        <row r="80">
          <cell r="A80">
            <v>45292</v>
          </cell>
          <cell r="B80">
            <v>136.58695652173901</v>
          </cell>
        </row>
        <row r="81">
          <cell r="A81">
            <v>45323</v>
          </cell>
          <cell r="B81">
            <v>125.928571428571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4eqtjihz690forb"/>
      <sheetName val="Sheet4"/>
      <sheetName val="Sheet5"/>
      <sheetName val="Sheet6"/>
      <sheetName val="Sheet1"/>
    </sheetNames>
    <sheetDataSet>
      <sheetData sheetId="0"/>
      <sheetData sheetId="1"/>
      <sheetData sheetId="2"/>
      <sheetData sheetId="3"/>
      <sheetData sheetId="4">
        <row r="29">
          <cell r="H29" t="str">
            <v>VALE P/B</v>
          </cell>
          <cell r="I29" t="str">
            <v>bhp P/B</v>
          </cell>
          <cell r="J29" t="str">
            <v>rio  P/B</v>
          </cell>
        </row>
        <row r="30">
          <cell r="H30">
            <v>1.47</v>
          </cell>
          <cell r="I30">
            <v>1</v>
          </cell>
          <cell r="J30">
            <v>2.08</v>
          </cell>
        </row>
        <row r="31">
          <cell r="H31">
            <v>1.54</v>
          </cell>
          <cell r="I31">
            <v>2.39</v>
          </cell>
          <cell r="J31">
            <v>1.83</v>
          </cell>
        </row>
        <row r="32">
          <cell r="H32">
            <v>1.69</v>
          </cell>
          <cell r="I32">
            <v>3.11</v>
          </cell>
          <cell r="J32">
            <v>2.37</v>
          </cell>
        </row>
        <row r="33">
          <cell r="H33">
            <v>2.4</v>
          </cell>
          <cell r="I33">
            <v>2.63</v>
          </cell>
          <cell r="J33">
            <v>2.58</v>
          </cell>
        </row>
        <row r="34">
          <cell r="H34">
            <v>1.96</v>
          </cell>
          <cell r="I34">
            <v>3.59</v>
          </cell>
          <cell r="J34">
            <v>2.11</v>
          </cell>
        </row>
        <row r="35">
          <cell r="H35">
            <v>2.15</v>
          </cell>
          <cell r="I35">
            <v>3.16</v>
          </cell>
          <cell r="J35">
            <v>2.2799999999999998</v>
          </cell>
        </row>
        <row r="36">
          <cell r="H36">
            <v>1.73</v>
          </cell>
          <cell r="I36">
            <v>3.4</v>
          </cell>
          <cell r="J36">
            <v>2.21</v>
          </cell>
        </row>
        <row r="37">
          <cell r="H37">
            <v>1.3</v>
          </cell>
          <cell r="I37">
            <v>3.53</v>
          </cell>
          <cell r="J37">
            <v>1.88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FA4-52FD-744C-B3ED-26E43E400353}">
  <dimension ref="A2:N65"/>
  <sheetViews>
    <sheetView zoomScaleNormal="100" workbookViewId="0">
      <selection activeCell="E17" sqref="E17"/>
    </sheetView>
  </sheetViews>
  <sheetFormatPr baseColWidth="10" defaultRowHeight="13"/>
  <cols>
    <col min="1" max="1" width="16.796875" bestFit="1" customWidth="1"/>
    <col min="2" max="2" width="26.19921875" bestFit="1" customWidth="1"/>
    <col min="13" max="13" width="21" bestFit="1" customWidth="1"/>
  </cols>
  <sheetData>
    <row r="2" spans="1:11" ht="24">
      <c r="F2" s="222" t="s">
        <v>201</v>
      </c>
    </row>
    <row r="5" spans="1:11" ht="28">
      <c r="B5" s="223" t="s">
        <v>202</v>
      </c>
      <c r="C5" s="208">
        <v>2022</v>
      </c>
      <c r="D5" s="208">
        <f>C5 +1</f>
        <v>2023</v>
      </c>
      <c r="E5" s="224">
        <f t="shared" ref="E5:K5" si="0">D5 +1</f>
        <v>2024</v>
      </c>
      <c r="F5" s="224">
        <f t="shared" si="0"/>
        <v>2025</v>
      </c>
      <c r="G5" s="224">
        <f t="shared" si="0"/>
        <v>2026</v>
      </c>
      <c r="H5" s="224">
        <f t="shared" si="0"/>
        <v>2027</v>
      </c>
      <c r="I5" s="224">
        <f t="shared" si="0"/>
        <v>2028</v>
      </c>
      <c r="J5" s="224">
        <f t="shared" si="0"/>
        <v>2029</v>
      </c>
      <c r="K5" s="224">
        <f t="shared" si="0"/>
        <v>2030</v>
      </c>
    </row>
    <row r="6" spans="1:11">
      <c r="A6" s="225" t="s">
        <v>203</v>
      </c>
      <c r="B6" s="208" t="s">
        <v>204</v>
      </c>
      <c r="C6" s="208">
        <v>308</v>
      </c>
      <c r="D6" s="208">
        <v>321</v>
      </c>
      <c r="E6" s="224">
        <v>321</v>
      </c>
      <c r="F6" s="224">
        <v>345</v>
      </c>
      <c r="G6" s="224">
        <v>360</v>
      </c>
      <c r="H6" s="224">
        <v>375</v>
      </c>
      <c r="I6" s="224">
        <v>390</v>
      </c>
      <c r="J6" s="224">
        <v>405</v>
      </c>
      <c r="K6" s="224">
        <v>420</v>
      </c>
    </row>
    <row r="7" spans="1:11" ht="16">
      <c r="A7" s="225"/>
      <c r="B7" s="208" t="s">
        <v>205</v>
      </c>
      <c r="C7" s="208"/>
      <c r="D7" s="226">
        <f>(D6/C6)-1</f>
        <v>4.2207792207792139E-2</v>
      </c>
      <c r="E7" s="227">
        <f>(E6/D6)-1</f>
        <v>0</v>
      </c>
      <c r="F7" s="227">
        <f t="shared" ref="F7:K7" si="1">(F6/E6)-1</f>
        <v>7.4766355140186924E-2</v>
      </c>
      <c r="G7" s="227">
        <f t="shared" si="1"/>
        <v>4.3478260869565188E-2</v>
      </c>
      <c r="H7" s="227">
        <f t="shared" si="1"/>
        <v>4.1666666666666741E-2</v>
      </c>
      <c r="I7" s="227">
        <f t="shared" si="1"/>
        <v>4.0000000000000036E-2</v>
      </c>
      <c r="J7" s="227">
        <f t="shared" si="1"/>
        <v>3.8461538461538547E-2</v>
      </c>
      <c r="K7" s="227">
        <f t="shared" si="1"/>
        <v>3.7037037037036979E-2</v>
      </c>
    </row>
    <row r="8" spans="1:11">
      <c r="A8" s="225"/>
      <c r="B8" s="208" t="s">
        <v>206</v>
      </c>
      <c r="C8" s="208">
        <v>33</v>
      </c>
      <c r="D8" s="208">
        <v>37</v>
      </c>
      <c r="E8" s="224">
        <v>40</v>
      </c>
      <c r="F8" s="224">
        <v>45</v>
      </c>
      <c r="G8" s="224">
        <v>50</v>
      </c>
      <c r="H8" s="224">
        <v>55</v>
      </c>
      <c r="I8" s="224">
        <v>60</v>
      </c>
      <c r="J8" s="224">
        <v>65</v>
      </c>
      <c r="K8" s="224">
        <v>70</v>
      </c>
    </row>
    <row r="9" spans="1:11" ht="16">
      <c r="A9" s="225"/>
      <c r="B9" s="208" t="s">
        <v>205</v>
      </c>
      <c r="C9" s="208"/>
      <c r="D9" s="228">
        <f>(D8/C8)-1</f>
        <v>0.1212121212121211</v>
      </c>
      <c r="E9" s="229">
        <f>(E8/D8)-1</f>
        <v>8.1081081081081141E-2</v>
      </c>
      <c r="F9" s="229">
        <f t="shared" ref="F9:K9" si="2">(F8/E8)-1</f>
        <v>0.125</v>
      </c>
      <c r="G9" s="229">
        <f t="shared" si="2"/>
        <v>0.11111111111111116</v>
      </c>
      <c r="H9" s="229">
        <f t="shared" si="2"/>
        <v>0.10000000000000009</v>
      </c>
      <c r="I9" s="229">
        <f t="shared" si="2"/>
        <v>9.0909090909090828E-2</v>
      </c>
      <c r="J9" s="229">
        <f t="shared" si="2"/>
        <v>8.3333333333333259E-2</v>
      </c>
      <c r="K9" s="229">
        <f t="shared" si="2"/>
        <v>7.6923076923076872E-2</v>
      </c>
    </row>
    <row r="10" spans="1:11" ht="14">
      <c r="A10" s="230" t="s">
        <v>207</v>
      </c>
      <c r="B10" s="208" t="s">
        <v>208</v>
      </c>
      <c r="C10" s="208">
        <v>253</v>
      </c>
      <c r="D10" s="208">
        <v>327</v>
      </c>
      <c r="E10" s="224">
        <v>350</v>
      </c>
      <c r="F10" s="224">
        <v>380</v>
      </c>
      <c r="G10" s="224">
        <v>400</v>
      </c>
      <c r="H10" s="224">
        <v>500</v>
      </c>
      <c r="I10" s="224">
        <v>600</v>
      </c>
      <c r="J10" s="224">
        <v>700</v>
      </c>
      <c r="K10" s="224">
        <v>900</v>
      </c>
    </row>
    <row r="11" spans="1:11" ht="16">
      <c r="A11" s="231" t="s">
        <v>209</v>
      </c>
      <c r="B11" s="208" t="s">
        <v>205</v>
      </c>
      <c r="C11" s="208"/>
      <c r="D11" s="226">
        <f>(D10/C10)-1</f>
        <v>0.29249011857707519</v>
      </c>
      <c r="E11" s="227">
        <f>(E10/D10)-1</f>
        <v>7.0336391437308965E-2</v>
      </c>
      <c r="F11" s="227">
        <f t="shared" ref="F11:J11" si="3">(F10/E10)-1</f>
        <v>8.5714285714285632E-2</v>
      </c>
      <c r="G11" s="227">
        <f t="shared" si="3"/>
        <v>5.2631578947368363E-2</v>
      </c>
      <c r="H11" s="227">
        <f t="shared" si="3"/>
        <v>0.25</v>
      </c>
      <c r="I11" s="227">
        <f t="shared" si="3"/>
        <v>0.19999999999999996</v>
      </c>
      <c r="J11" s="227">
        <f t="shared" si="3"/>
        <v>0.16666666666666674</v>
      </c>
      <c r="K11" s="227">
        <f>(K10/J10)-1</f>
        <v>0.28571428571428581</v>
      </c>
    </row>
    <row r="12" spans="1:11">
      <c r="A12" s="216"/>
      <c r="B12" s="208" t="s">
        <v>210</v>
      </c>
      <c r="C12" s="208">
        <v>179</v>
      </c>
      <c r="D12" s="208">
        <v>165</v>
      </c>
      <c r="E12" s="224">
        <v>175</v>
      </c>
      <c r="F12" s="224">
        <v>190</v>
      </c>
      <c r="G12" s="224">
        <v>220</v>
      </c>
      <c r="H12" s="224">
        <v>240</v>
      </c>
      <c r="I12" s="224">
        <v>260</v>
      </c>
      <c r="J12" s="224">
        <v>280</v>
      </c>
      <c r="K12" s="224">
        <v>300</v>
      </c>
    </row>
    <row r="13" spans="1:11" ht="16">
      <c r="A13" s="216"/>
      <c r="B13" s="232" t="s">
        <v>205</v>
      </c>
      <c r="C13" s="208"/>
      <c r="D13" s="226">
        <f>(D12/C12)-1</f>
        <v>-7.8212290502793325E-2</v>
      </c>
      <c r="E13" s="227">
        <f>(E12/D12)-1</f>
        <v>6.0606060606060552E-2</v>
      </c>
      <c r="F13" s="227">
        <f t="shared" ref="F13:K13" si="4">(F12/E12)-1</f>
        <v>8.5714285714285632E-2</v>
      </c>
      <c r="G13" s="227">
        <f t="shared" si="4"/>
        <v>0.15789473684210531</v>
      </c>
      <c r="H13" s="227">
        <f t="shared" si="4"/>
        <v>9.0909090909090828E-2</v>
      </c>
      <c r="I13" s="227">
        <f t="shared" si="4"/>
        <v>8.3333333333333259E-2</v>
      </c>
      <c r="J13" s="227">
        <f t="shared" si="4"/>
        <v>7.6923076923076872E-2</v>
      </c>
      <c r="K13" s="227">
        <f t="shared" si="4"/>
        <v>7.1428571428571397E-2</v>
      </c>
    </row>
    <row r="16" spans="1:11">
      <c r="B16" s="208" t="s">
        <v>211</v>
      </c>
      <c r="C16" s="208" t="s">
        <v>212</v>
      </c>
      <c r="D16" s="208">
        <v>2023</v>
      </c>
      <c r="E16" s="224">
        <v>2024</v>
      </c>
      <c r="F16" s="224">
        <f>E16+1</f>
        <v>2025</v>
      </c>
      <c r="G16" s="224">
        <f t="shared" ref="G16:K16" si="5">F16+1</f>
        <v>2026</v>
      </c>
      <c r="H16" s="224">
        <f t="shared" si="5"/>
        <v>2027</v>
      </c>
      <c r="I16" s="224">
        <f t="shared" si="5"/>
        <v>2028</v>
      </c>
      <c r="J16" s="224">
        <f t="shared" si="5"/>
        <v>2029</v>
      </c>
      <c r="K16" s="224">
        <f t="shared" si="5"/>
        <v>2030</v>
      </c>
    </row>
    <row r="17" spans="2:14">
      <c r="B17" s="208" t="s">
        <v>213</v>
      </c>
      <c r="C17" s="233">
        <v>0.85</v>
      </c>
      <c r="D17" s="234" t="s">
        <v>214</v>
      </c>
      <c r="E17" s="235">
        <f>(0.7*E7)+(0.15*E9)</f>
        <v>1.2162162162162172E-2</v>
      </c>
      <c r="F17" s="235">
        <f t="shared" ref="F17:K17" si="6">(0.7*F7)+(0.15*F9)</f>
        <v>7.1086448598130847E-2</v>
      </c>
      <c r="G17" s="235">
        <f t="shared" si="6"/>
        <v>4.7101449275362306E-2</v>
      </c>
      <c r="H17" s="235">
        <f t="shared" si="6"/>
        <v>4.4166666666666729E-2</v>
      </c>
      <c r="I17" s="235">
        <f t="shared" si="6"/>
        <v>4.1636363636363645E-2</v>
      </c>
      <c r="J17" s="235">
        <f t="shared" si="6"/>
        <v>3.942307692307697E-2</v>
      </c>
      <c r="K17" s="235">
        <f t="shared" si="6"/>
        <v>3.7464387464387412E-2</v>
      </c>
    </row>
    <row r="18" spans="2:14">
      <c r="B18" s="208" t="s">
        <v>215</v>
      </c>
      <c r="C18" s="233">
        <v>0.15</v>
      </c>
      <c r="D18" s="234" t="s">
        <v>214</v>
      </c>
      <c r="E18" s="235">
        <f>$C$18*(AVERAGE(E11,E13))</f>
        <v>9.8206839032527141E-3</v>
      </c>
      <c r="F18" s="235">
        <f t="shared" ref="F18:K18" si="7">$C$18*(AVERAGE(F11,F13))</f>
        <v>1.2857142857142845E-2</v>
      </c>
      <c r="G18" s="235">
        <f t="shared" si="7"/>
        <v>1.5789473684210523E-2</v>
      </c>
      <c r="H18" s="235">
        <f t="shared" si="7"/>
        <v>2.5568181818181813E-2</v>
      </c>
      <c r="I18" s="235">
        <f t="shared" si="7"/>
        <v>2.1249999999999991E-2</v>
      </c>
      <c r="J18" s="235">
        <f t="shared" si="7"/>
        <v>1.826923076923077E-2</v>
      </c>
      <c r="K18" s="235">
        <f t="shared" si="7"/>
        <v>2.6785714285714291E-2</v>
      </c>
    </row>
    <row r="19" spans="2:14" ht="16">
      <c r="B19" s="208" t="s">
        <v>216</v>
      </c>
      <c r="C19" s="233">
        <v>1</v>
      </c>
      <c r="D19" s="234" t="s">
        <v>214</v>
      </c>
      <c r="E19" s="236">
        <f>SUM(E17:E18)</f>
        <v>2.1982846065414886E-2</v>
      </c>
      <c r="F19" s="236">
        <f t="shared" ref="F19:K19" si="8">SUM(F17:F18)</f>
        <v>8.3943591455273692E-2</v>
      </c>
      <c r="G19" s="236">
        <f t="shared" si="8"/>
        <v>6.2890922959572826E-2</v>
      </c>
      <c r="H19" s="236">
        <f t="shared" si="8"/>
        <v>6.9734848484848538E-2</v>
      </c>
      <c r="I19" s="236">
        <f t="shared" si="8"/>
        <v>6.2886363636363629E-2</v>
      </c>
      <c r="J19" s="236">
        <f t="shared" si="8"/>
        <v>5.7692307692307737E-2</v>
      </c>
      <c r="K19" s="236">
        <f t="shared" si="8"/>
        <v>6.4250101750101707E-2</v>
      </c>
      <c r="N19" s="206"/>
    </row>
    <row r="21" spans="2:14">
      <c r="I21" s="216" t="s">
        <v>217</v>
      </c>
      <c r="J21" s="216"/>
      <c r="K21" s="292">
        <f>AVERAGE(E19:K19)</f>
        <v>6.0482997434840424E-2</v>
      </c>
    </row>
    <row r="22" spans="2:14">
      <c r="B22" s="208" t="s">
        <v>218</v>
      </c>
      <c r="C22" s="208" t="s">
        <v>212</v>
      </c>
    </row>
    <row r="23" spans="2:14">
      <c r="B23" s="208" t="s">
        <v>219</v>
      </c>
      <c r="C23" s="272">
        <v>51</v>
      </c>
      <c r="G23" s="238" t="s">
        <v>234</v>
      </c>
      <c r="H23" s="352" t="s">
        <v>235</v>
      </c>
      <c r="I23" s="352"/>
      <c r="J23" s="352" t="s">
        <v>231</v>
      </c>
      <c r="K23" s="352"/>
    </row>
    <row r="24" spans="2:14">
      <c r="B24" s="208" t="s">
        <v>220</v>
      </c>
      <c r="C24" s="273">
        <v>9</v>
      </c>
      <c r="G24" s="240" t="s">
        <v>228</v>
      </c>
      <c r="H24" s="353">
        <v>0.7</v>
      </c>
      <c r="I24" s="354"/>
      <c r="J24" s="360" t="s">
        <v>219</v>
      </c>
      <c r="K24" s="356"/>
    </row>
    <row r="25" spans="2:14">
      <c r="B25" s="208" t="s">
        <v>221</v>
      </c>
      <c r="C25" s="273">
        <v>9</v>
      </c>
      <c r="G25" s="240" t="s">
        <v>229</v>
      </c>
      <c r="H25" s="355">
        <v>0.5</v>
      </c>
      <c r="I25" s="356"/>
      <c r="J25" s="356" t="s">
        <v>232</v>
      </c>
      <c r="K25" s="356"/>
    </row>
    <row r="26" spans="2:14">
      <c r="B26" s="238" t="s">
        <v>227</v>
      </c>
      <c r="C26" s="273">
        <v>8</v>
      </c>
      <c r="G26" s="241" t="s">
        <v>230</v>
      </c>
      <c r="H26" s="357">
        <v>0.65</v>
      </c>
      <c r="I26" s="358"/>
      <c r="J26" s="359" t="s">
        <v>233</v>
      </c>
      <c r="K26" s="358"/>
    </row>
    <row r="27" spans="2:14">
      <c r="B27" s="208" t="s">
        <v>222</v>
      </c>
      <c r="C27" s="273">
        <v>8</v>
      </c>
    </row>
    <row r="28" spans="2:14">
      <c r="B28" s="208" t="s">
        <v>223</v>
      </c>
      <c r="C28" s="273">
        <v>6</v>
      </c>
    </row>
    <row r="29" spans="2:14">
      <c r="B29" s="208" t="s">
        <v>224</v>
      </c>
      <c r="C29" s="273">
        <v>4</v>
      </c>
    </row>
    <row r="30" spans="2:14">
      <c r="B30" s="208" t="s">
        <v>225</v>
      </c>
      <c r="C30" s="273">
        <v>3</v>
      </c>
    </row>
    <row r="31" spans="2:14">
      <c r="B31" s="208" t="s">
        <v>226</v>
      </c>
      <c r="C31" s="273">
        <f>100 - SUM(C23:C30)</f>
        <v>2</v>
      </c>
    </row>
    <row r="34" spans="1:8">
      <c r="B34" s="242">
        <v>2019</v>
      </c>
      <c r="C34" s="242">
        <f>B34+1</f>
        <v>2020</v>
      </c>
      <c r="D34" s="242">
        <f t="shared" ref="D34" si="9">C34+1</f>
        <v>2021</v>
      </c>
      <c r="E34" s="242">
        <f t="shared" ref="E34" si="10">D34+1</f>
        <v>2022</v>
      </c>
      <c r="F34" s="242">
        <f t="shared" ref="F34" si="11">E34+1</f>
        <v>2023</v>
      </c>
      <c r="G34" s="242">
        <f t="shared" ref="G34" si="12">F34+1</f>
        <v>2024</v>
      </c>
      <c r="H34" s="242">
        <f t="shared" ref="H34" si="13">G34+1</f>
        <v>2025</v>
      </c>
    </row>
    <row r="35" spans="1:8">
      <c r="A35" s="249" t="s">
        <v>236</v>
      </c>
      <c r="B35" s="243">
        <v>5128</v>
      </c>
      <c r="C35" s="243">
        <v>5130</v>
      </c>
      <c r="D35" s="243">
        <v>5012</v>
      </c>
      <c r="E35" s="243">
        <v>4642</v>
      </c>
      <c r="F35" s="243">
        <v>4366</v>
      </c>
      <c r="G35" s="243">
        <v>4280</v>
      </c>
      <c r="H35" s="244">
        <v>4216</v>
      </c>
    </row>
    <row r="36" spans="1:8">
      <c r="A36" s="248" t="s">
        <v>237</v>
      </c>
      <c r="B36" s="245"/>
      <c r="C36" s="246">
        <f>(B35-C35)/B35</f>
        <v>-3.9001560062402497E-4</v>
      </c>
      <c r="D36" s="246">
        <f t="shared" ref="D36" si="14">(C35-D35)/C35</f>
        <v>2.3001949317738791E-2</v>
      </c>
      <c r="E36" s="246">
        <f t="shared" ref="E36" si="15">(D35-E35)/D35</f>
        <v>7.3822825219473268E-2</v>
      </c>
      <c r="F36" s="246">
        <f t="shared" ref="F36" si="16">(E35-F35)/E35</f>
        <v>5.9457130547177939E-2</v>
      </c>
      <c r="G36" s="246">
        <f t="shared" ref="G36" si="17">(F35-G35)/F35</f>
        <v>1.9697663765460376E-2</v>
      </c>
      <c r="H36" s="247">
        <f t="shared" ref="H36" si="18">(G35-H35)/G35</f>
        <v>1.4953271028037384E-2</v>
      </c>
    </row>
    <row r="62" spans="2:8" ht="19">
      <c r="B62" s="237"/>
    </row>
    <row r="64" spans="2:8">
      <c r="B64" s="2"/>
      <c r="C64" s="2"/>
      <c r="D64" s="2"/>
      <c r="E64" s="2"/>
      <c r="F64" s="2"/>
      <c r="G64" s="2"/>
      <c r="H64" s="2"/>
    </row>
    <row r="65" spans="2:8">
      <c r="B65" s="2"/>
      <c r="C65" s="34"/>
      <c r="D65" s="34"/>
      <c r="E65" s="34"/>
      <c r="F65" s="34"/>
      <c r="G65" s="34"/>
      <c r="H65" s="34"/>
    </row>
  </sheetData>
  <mergeCells count="8">
    <mergeCell ref="H23:I23"/>
    <mergeCell ref="H24:I24"/>
    <mergeCell ref="H25:I25"/>
    <mergeCell ref="H26:I26"/>
    <mergeCell ref="J26:K26"/>
    <mergeCell ref="J25:K25"/>
    <mergeCell ref="J24:K24"/>
    <mergeCell ref="J23:K2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7ACA-445A-F24D-8480-1758A4AD5E6B}">
  <dimension ref="A1:Z81"/>
  <sheetViews>
    <sheetView topLeftCell="C6" workbookViewId="0">
      <selection activeCell="D33" sqref="D33"/>
    </sheetView>
  </sheetViews>
  <sheetFormatPr baseColWidth="10" defaultColWidth="24.796875" defaultRowHeight="13"/>
  <cols>
    <col min="5" max="5" width="30" bestFit="1" customWidth="1"/>
    <col min="261" max="261" width="30" bestFit="1" customWidth="1"/>
    <col min="517" max="517" width="30" bestFit="1" customWidth="1"/>
    <col min="773" max="773" width="30" bestFit="1" customWidth="1"/>
    <col min="1029" max="1029" width="30" bestFit="1" customWidth="1"/>
    <col min="1285" max="1285" width="30" bestFit="1" customWidth="1"/>
    <col min="1541" max="1541" width="30" bestFit="1" customWidth="1"/>
    <col min="1797" max="1797" width="30" bestFit="1" customWidth="1"/>
    <col min="2053" max="2053" width="30" bestFit="1" customWidth="1"/>
    <col min="2309" max="2309" width="30" bestFit="1" customWidth="1"/>
    <col min="2565" max="2565" width="30" bestFit="1" customWidth="1"/>
    <col min="2821" max="2821" width="30" bestFit="1" customWidth="1"/>
    <col min="3077" max="3077" width="30" bestFit="1" customWidth="1"/>
    <col min="3333" max="3333" width="30" bestFit="1" customWidth="1"/>
    <col min="3589" max="3589" width="30" bestFit="1" customWidth="1"/>
    <col min="3845" max="3845" width="30" bestFit="1" customWidth="1"/>
    <col min="4101" max="4101" width="30" bestFit="1" customWidth="1"/>
    <col min="4357" max="4357" width="30" bestFit="1" customWidth="1"/>
    <col min="4613" max="4613" width="30" bestFit="1" customWidth="1"/>
    <col min="4869" max="4869" width="30" bestFit="1" customWidth="1"/>
    <col min="5125" max="5125" width="30" bestFit="1" customWidth="1"/>
    <col min="5381" max="5381" width="30" bestFit="1" customWidth="1"/>
    <col min="5637" max="5637" width="30" bestFit="1" customWidth="1"/>
    <col min="5893" max="5893" width="30" bestFit="1" customWidth="1"/>
    <col min="6149" max="6149" width="30" bestFit="1" customWidth="1"/>
    <col min="6405" max="6405" width="30" bestFit="1" customWidth="1"/>
    <col min="6661" max="6661" width="30" bestFit="1" customWidth="1"/>
    <col min="6917" max="6917" width="30" bestFit="1" customWidth="1"/>
    <col min="7173" max="7173" width="30" bestFit="1" customWidth="1"/>
    <col min="7429" max="7429" width="30" bestFit="1" customWidth="1"/>
    <col min="7685" max="7685" width="30" bestFit="1" customWidth="1"/>
    <col min="7941" max="7941" width="30" bestFit="1" customWidth="1"/>
    <col min="8197" max="8197" width="30" bestFit="1" customWidth="1"/>
    <col min="8453" max="8453" width="30" bestFit="1" customWidth="1"/>
    <col min="8709" max="8709" width="30" bestFit="1" customWidth="1"/>
    <col min="8965" max="8965" width="30" bestFit="1" customWidth="1"/>
    <col min="9221" max="9221" width="30" bestFit="1" customWidth="1"/>
    <col min="9477" max="9477" width="30" bestFit="1" customWidth="1"/>
    <col min="9733" max="9733" width="30" bestFit="1" customWidth="1"/>
    <col min="9989" max="9989" width="30" bestFit="1" customWidth="1"/>
    <col min="10245" max="10245" width="30" bestFit="1" customWidth="1"/>
    <col min="10501" max="10501" width="30" bestFit="1" customWidth="1"/>
    <col min="10757" max="10757" width="30" bestFit="1" customWidth="1"/>
    <col min="11013" max="11013" width="30" bestFit="1" customWidth="1"/>
    <col min="11269" max="11269" width="30" bestFit="1" customWidth="1"/>
    <col min="11525" max="11525" width="30" bestFit="1" customWidth="1"/>
    <col min="11781" max="11781" width="30" bestFit="1" customWidth="1"/>
    <col min="12037" max="12037" width="30" bestFit="1" customWidth="1"/>
    <col min="12293" max="12293" width="30" bestFit="1" customWidth="1"/>
    <col min="12549" max="12549" width="30" bestFit="1" customWidth="1"/>
    <col min="12805" max="12805" width="30" bestFit="1" customWidth="1"/>
    <col min="13061" max="13061" width="30" bestFit="1" customWidth="1"/>
    <col min="13317" max="13317" width="30" bestFit="1" customWidth="1"/>
    <col min="13573" max="13573" width="30" bestFit="1" customWidth="1"/>
    <col min="13829" max="13829" width="30" bestFit="1" customWidth="1"/>
    <col min="14085" max="14085" width="30" bestFit="1" customWidth="1"/>
    <col min="14341" max="14341" width="30" bestFit="1" customWidth="1"/>
    <col min="14597" max="14597" width="30" bestFit="1" customWidth="1"/>
    <col min="14853" max="14853" width="30" bestFit="1" customWidth="1"/>
    <col min="15109" max="15109" width="30" bestFit="1" customWidth="1"/>
    <col min="15365" max="15365" width="30" bestFit="1" customWidth="1"/>
    <col min="15621" max="15621" width="30" bestFit="1" customWidth="1"/>
    <col min="15877" max="15877" width="30" bestFit="1" customWidth="1"/>
    <col min="16133" max="16133" width="30" bestFit="1" customWidth="1"/>
  </cols>
  <sheetData>
    <row r="1" spans="1:2">
      <c r="A1" t="s">
        <v>295</v>
      </c>
    </row>
    <row r="2" spans="1:2">
      <c r="A2" t="s">
        <v>296</v>
      </c>
    </row>
    <row r="4" spans="1:2">
      <c r="A4" t="s">
        <v>297</v>
      </c>
      <c r="B4" t="s">
        <v>298</v>
      </c>
    </row>
    <row r="6" spans="1:2">
      <c r="A6" t="s">
        <v>299</v>
      </c>
    </row>
    <row r="7" spans="1:2">
      <c r="A7" t="s">
        <v>300</v>
      </c>
      <c r="B7" t="s">
        <v>297</v>
      </c>
    </row>
    <row r="8" spans="1:2">
      <c r="A8" s="275">
        <v>43101</v>
      </c>
      <c r="B8" s="276">
        <v>75.7826086956522</v>
      </c>
    </row>
    <row r="9" spans="1:2">
      <c r="A9" s="275">
        <v>43132</v>
      </c>
      <c r="B9" s="276">
        <v>77.650000000000006</v>
      </c>
    </row>
    <row r="10" spans="1:2">
      <c r="A10" s="275">
        <v>43160</v>
      </c>
      <c r="B10" s="276">
        <v>71.318181818181799</v>
      </c>
    </row>
    <row r="11" spans="1:2">
      <c r="A11" s="275">
        <v>43191</v>
      </c>
      <c r="B11" s="276">
        <v>66.3333333333333</v>
      </c>
    </row>
    <row r="12" spans="1:2">
      <c r="A12" s="275">
        <v>43221</v>
      </c>
      <c r="B12" s="276">
        <v>66.630434782608702</v>
      </c>
    </row>
    <row r="13" spans="1:2">
      <c r="A13" s="275">
        <v>43252</v>
      </c>
      <c r="B13" s="276">
        <v>66.857142857142904</v>
      </c>
    </row>
    <row r="14" spans="1:2">
      <c r="A14" s="275">
        <v>43282</v>
      </c>
      <c r="B14" s="276">
        <v>67.045454545454504</v>
      </c>
    </row>
    <row r="15" spans="1:2">
      <c r="A15" s="275">
        <v>43313</v>
      </c>
      <c r="B15" s="276">
        <v>68.021739130434796</v>
      </c>
    </row>
    <row r="16" spans="1:2">
      <c r="A16" s="275">
        <v>43344</v>
      </c>
      <c r="B16" s="276">
        <v>68.8</v>
      </c>
    </row>
    <row r="17" spans="1:21">
      <c r="A17" s="275">
        <v>43374</v>
      </c>
      <c r="B17" s="276">
        <v>72.021739130434796</v>
      </c>
    </row>
    <row r="18" spans="1:21">
      <c r="A18" s="275">
        <v>43405</v>
      </c>
      <c r="B18" s="276">
        <v>72.295454545454504</v>
      </c>
    </row>
    <row r="19" spans="1:21">
      <c r="A19" s="275">
        <v>43435</v>
      </c>
      <c r="B19" s="276">
        <v>68.904761904761898</v>
      </c>
    </row>
    <row r="20" spans="1:21">
      <c r="A20" s="275">
        <v>43466</v>
      </c>
      <c r="B20" s="276">
        <v>75.2</v>
      </c>
    </row>
    <row r="21" spans="1:21">
      <c r="A21" s="275">
        <v>43497</v>
      </c>
      <c r="B21" s="276">
        <v>87.59</v>
      </c>
    </row>
    <row r="22" spans="1:21">
      <c r="A22" s="275">
        <v>43525</v>
      </c>
      <c r="B22" s="276">
        <v>87.071428571428598</v>
      </c>
    </row>
    <row r="23" spans="1:21">
      <c r="A23" s="275">
        <v>43556</v>
      </c>
      <c r="B23" s="276">
        <v>94.5</v>
      </c>
    </row>
    <row r="24" spans="1:21">
      <c r="A24" s="275">
        <v>43586</v>
      </c>
      <c r="B24" s="276">
        <v>101.76086956521701</v>
      </c>
      <c r="Q24" s="277"/>
    </row>
    <row r="25" spans="1:21">
      <c r="A25" s="275">
        <v>43617</v>
      </c>
      <c r="B25" s="276">
        <v>109.55</v>
      </c>
      <c r="Q25" s="277"/>
    </row>
    <row r="26" spans="1:21">
      <c r="A26" s="275">
        <v>43647</v>
      </c>
      <c r="B26" s="276">
        <v>119.586956521739</v>
      </c>
      <c r="Q26" s="277"/>
    </row>
    <row r="27" spans="1:21">
      <c r="A27" s="275">
        <v>43678</v>
      </c>
      <c r="B27" s="276">
        <v>93.5</v>
      </c>
      <c r="Q27" s="277"/>
      <c r="U27" s="278"/>
    </row>
    <row r="28" spans="1:21">
      <c r="A28" s="275">
        <v>43709</v>
      </c>
      <c r="B28" s="276">
        <v>92.261904761904802</v>
      </c>
      <c r="Q28" s="363"/>
    </row>
    <row r="29" spans="1:21">
      <c r="A29" s="275">
        <v>43739</v>
      </c>
      <c r="B29" s="276">
        <v>88.586956521739097</v>
      </c>
      <c r="Q29" s="363"/>
    </row>
    <row r="30" spans="1:21">
      <c r="A30" s="275">
        <v>43770</v>
      </c>
      <c r="B30" s="276">
        <v>82.904761904761898</v>
      </c>
    </row>
    <row r="31" spans="1:21">
      <c r="A31" s="275">
        <v>43800</v>
      </c>
      <c r="B31" s="276">
        <v>90.977272727272705</v>
      </c>
    </row>
    <row r="32" spans="1:21">
      <c r="A32" s="275">
        <v>43831</v>
      </c>
      <c r="B32" s="276">
        <v>95.2173913043478</v>
      </c>
    </row>
    <row r="33" spans="1:24">
      <c r="A33" s="275">
        <v>43862</v>
      </c>
      <c r="B33" s="276">
        <v>87.625</v>
      </c>
    </row>
    <row r="34" spans="1:24">
      <c r="A34" s="275">
        <v>43891</v>
      </c>
      <c r="B34" s="276">
        <v>88.659090909090907</v>
      </c>
    </row>
    <row r="35" spans="1:24">
      <c r="A35" s="275">
        <v>43922</v>
      </c>
      <c r="B35" s="276">
        <v>83.75</v>
      </c>
    </row>
    <row r="36" spans="1:24">
      <c r="A36" s="275">
        <v>43952</v>
      </c>
      <c r="B36" s="276">
        <v>91.3333333333333</v>
      </c>
    </row>
    <row r="37" spans="1:24">
      <c r="A37" s="275">
        <v>43983</v>
      </c>
      <c r="B37" s="276">
        <v>103.34090909090899</v>
      </c>
    </row>
    <row r="38" spans="1:24">
      <c r="A38" s="275">
        <v>44013</v>
      </c>
      <c r="B38" s="276">
        <v>108.02173913043499</v>
      </c>
    </row>
    <row r="39" spans="1:24">
      <c r="A39" s="275">
        <v>44044</v>
      </c>
      <c r="B39" s="276">
        <v>120.071428571429</v>
      </c>
      <c r="E39" s="279" t="s">
        <v>301</v>
      </c>
      <c r="F39" s="271">
        <f>AVERAGE(B20:B81)</f>
        <v>120.53280315832451</v>
      </c>
      <c r="G39" s="279" t="s">
        <v>302</v>
      </c>
      <c r="H39" s="280" t="s">
        <v>260</v>
      </c>
      <c r="I39" s="280" t="s">
        <v>303</v>
      </c>
      <c r="J39" s="280" t="s">
        <v>304</v>
      </c>
      <c r="K39" s="280" t="s">
        <v>305</v>
      </c>
      <c r="L39" s="280" t="s">
        <v>306</v>
      </c>
      <c r="M39" s="280" t="s">
        <v>307</v>
      </c>
    </row>
    <row r="40" spans="1:24">
      <c r="A40" s="275">
        <v>44075</v>
      </c>
      <c r="B40" s="276">
        <v>123</v>
      </c>
      <c r="E40" s="281"/>
      <c r="F40" s="218"/>
      <c r="H40" s="282"/>
      <c r="M40" s="164"/>
      <c r="O40" s="277"/>
      <c r="P40" s="277"/>
      <c r="Q40" s="277"/>
    </row>
    <row r="41" spans="1:24">
      <c r="A41" s="275">
        <v>44105</v>
      </c>
      <c r="B41" s="276">
        <v>119.25</v>
      </c>
      <c r="E41" s="281" t="s">
        <v>308</v>
      </c>
      <c r="F41" s="218">
        <f>AVERAGE(B20:B31)</f>
        <v>93.624179214505261</v>
      </c>
      <c r="G41">
        <v>2019</v>
      </c>
      <c r="H41">
        <v>28927</v>
      </c>
      <c r="I41">
        <f>($F$39/F41)*H41</f>
        <v>37240.939533071643</v>
      </c>
      <c r="K41">
        <f>76437/5</f>
        <v>15287.4</v>
      </c>
      <c r="L41" s="283">
        <f>K41/I41</f>
        <v>0.41049984752463337</v>
      </c>
      <c r="M41" s="164">
        <v>2762.8</v>
      </c>
      <c r="N41" s="34"/>
      <c r="R41" s="362"/>
      <c r="S41" s="362"/>
      <c r="T41" s="361"/>
      <c r="U41" s="361"/>
      <c r="V41" s="361"/>
      <c r="W41" s="361"/>
      <c r="X41" s="361"/>
    </row>
    <row r="42" spans="1:24">
      <c r="A42" s="275">
        <v>44136</v>
      </c>
      <c r="B42" s="276">
        <v>123.52380952381</v>
      </c>
      <c r="E42" s="281" t="s">
        <v>309</v>
      </c>
      <c r="F42" s="218">
        <f>AVERAGE(B32:B43)</f>
        <v>108.07149327122158</v>
      </c>
      <c r="G42">
        <v>2020</v>
      </c>
      <c r="H42">
        <v>41219.599999999999</v>
      </c>
      <c r="I42">
        <f>($F$39/F42)*H42</f>
        <v>45972.474171298309</v>
      </c>
      <c r="J42" s="283">
        <f>I42/I41-1</f>
        <v>0.2344606432518348</v>
      </c>
      <c r="K42" s="285">
        <f>90948/5</f>
        <v>18189.599999999999</v>
      </c>
      <c r="L42" s="283">
        <f>K42/I42</f>
        <v>0.39566284669003504</v>
      </c>
      <c r="M42" s="164">
        <v>3319.4</v>
      </c>
      <c r="N42" s="34"/>
      <c r="R42" s="362"/>
      <c r="S42" s="362"/>
      <c r="T42" s="361"/>
      <c r="U42" s="361"/>
      <c r="V42" s="361"/>
      <c r="W42" s="361"/>
      <c r="X42" s="361"/>
    </row>
    <row r="43" spans="1:24">
      <c r="A43" s="275">
        <v>44166</v>
      </c>
      <c r="B43" s="276">
        <v>153.065217391304</v>
      </c>
      <c r="E43" s="281" t="s">
        <v>310</v>
      </c>
      <c r="F43" s="218">
        <f>AVERAGE(B44:B55)</f>
        <v>158.16166811235095</v>
      </c>
      <c r="G43">
        <v>2021</v>
      </c>
      <c r="H43">
        <v>58704.800000000003</v>
      </c>
      <c r="I43">
        <f>($F$39/F43)*H43</f>
        <v>44738.109981379559</v>
      </c>
      <c r="J43" s="283">
        <f>I43/I42-1</f>
        <v>-2.6850070877616372E-2</v>
      </c>
      <c r="K43" s="285">
        <f>117267/5</f>
        <v>23453.4</v>
      </c>
      <c r="L43" s="283">
        <f>K43/I43</f>
        <v>0.52423761329572338</v>
      </c>
      <c r="M43" s="164">
        <v>3275.8</v>
      </c>
      <c r="N43" s="34"/>
    </row>
    <row r="44" spans="1:24">
      <c r="A44" s="275">
        <v>44197</v>
      </c>
      <c r="B44" s="276">
        <v>166.73809523809501</v>
      </c>
      <c r="E44" s="281" t="s">
        <v>311</v>
      </c>
      <c r="F44" s="218">
        <f>AVERAGE(B56:B67)</f>
        <v>120.70386473429961</v>
      </c>
      <c r="G44">
        <v>2022</v>
      </c>
      <c r="H44">
        <v>45301.599999999999</v>
      </c>
      <c r="I44">
        <f>($F$39/F44)*H44</f>
        <v>45237.398550384016</v>
      </c>
      <c r="J44" s="283">
        <f>I44/I43-1</f>
        <v>1.1160251723022485E-2</v>
      </c>
      <c r="K44" s="285">
        <f>124195/5</f>
        <v>24839</v>
      </c>
      <c r="L44" s="283">
        <f>K44/I44</f>
        <v>0.54908108768312769</v>
      </c>
      <c r="M44" s="164">
        <v>3277.2</v>
      </c>
      <c r="N44" s="34"/>
    </row>
    <row r="45" spans="1:24" ht="13" customHeight="1">
      <c r="A45" s="275">
        <v>44228</v>
      </c>
      <c r="B45" s="276">
        <v>162.32499999999999</v>
      </c>
      <c r="E45" s="213" t="s">
        <v>312</v>
      </c>
      <c r="F45" s="286">
        <f>AVERAGE(B68:B79)</f>
        <v>120.31531698977342</v>
      </c>
      <c r="G45" s="287">
        <v>2023</v>
      </c>
      <c r="H45" s="287">
        <v>41613.199999999997</v>
      </c>
      <c r="I45" s="287">
        <f>($F$39/F45)*H45</f>
        <v>41688.421473504648</v>
      </c>
      <c r="J45" s="246">
        <f>I45/I44-1</f>
        <v>-7.8452280427368626E-2</v>
      </c>
      <c r="K45" s="287">
        <f>120016/5</f>
        <v>24003.200000000001</v>
      </c>
      <c r="L45" s="246">
        <f>K45/I45</f>
        <v>0.57577617841096218</v>
      </c>
      <c r="M45" s="219">
        <v>3060</v>
      </c>
      <c r="N45" s="34"/>
      <c r="O45" s="277"/>
      <c r="P45" s="362"/>
      <c r="Q45" s="362"/>
    </row>
    <row r="46" spans="1:24" ht="13" customHeight="1">
      <c r="A46" s="275">
        <v>44256</v>
      </c>
      <c r="B46" s="276">
        <v>166.73913043478299</v>
      </c>
      <c r="P46" s="362"/>
      <c r="Q46" s="362"/>
    </row>
    <row r="47" spans="1:24">
      <c r="A47" s="275">
        <v>44287</v>
      </c>
      <c r="B47" s="276">
        <v>178.25</v>
      </c>
    </row>
    <row r="48" spans="1:24">
      <c r="A48" s="275">
        <v>44317</v>
      </c>
      <c r="B48" s="276">
        <v>202.857142857143</v>
      </c>
      <c r="E48" s="288" t="s">
        <v>313</v>
      </c>
      <c r="F48" s="168"/>
      <c r="G48" s="168"/>
      <c r="H48" s="168"/>
      <c r="I48" s="289">
        <f>AVERAGE(I41:I45)</f>
        <v>42975.468741927631</v>
      </c>
      <c r="J48" s="290">
        <f>AVERAGE(J42:J45)</f>
        <v>3.5079635917468072E-2</v>
      </c>
      <c r="K48" s="168"/>
      <c r="L48" s="290">
        <f>AVERAGE(L41:L45)</f>
        <v>0.49105151472089636</v>
      </c>
      <c r="M48" s="291">
        <f>AVERAGE(M41:M45)</f>
        <v>3139.04</v>
      </c>
    </row>
    <row r="49" spans="1:26">
      <c r="A49" s="275">
        <v>44348</v>
      </c>
      <c r="B49" s="276">
        <v>215.81578947368399</v>
      </c>
      <c r="L49" s="206"/>
    </row>
    <row r="50" spans="1:26">
      <c r="A50" s="275">
        <v>44378</v>
      </c>
      <c r="B50" s="276">
        <v>214.34090909090901</v>
      </c>
    </row>
    <row r="51" spans="1:26">
      <c r="A51" s="275">
        <v>44409</v>
      </c>
      <c r="B51" s="276">
        <v>162.09090909090901</v>
      </c>
    </row>
    <row r="52" spans="1:26">
      <c r="A52" s="275">
        <v>44440</v>
      </c>
      <c r="B52" s="276">
        <v>113.71875</v>
      </c>
    </row>
    <row r="53" spans="1:26">
      <c r="A53" s="275">
        <v>44470</v>
      </c>
      <c r="B53" s="276">
        <v>114.47619047619</v>
      </c>
      <c r="Q53" s="362"/>
      <c r="R53" s="362"/>
      <c r="S53" s="361"/>
      <c r="T53" s="361"/>
      <c r="U53" s="361"/>
      <c r="V53" s="361"/>
      <c r="W53" s="361"/>
    </row>
    <row r="54" spans="1:26">
      <c r="A54" s="275">
        <v>44501</v>
      </c>
      <c r="B54" s="276">
        <v>90.131578947368396</v>
      </c>
      <c r="Q54" s="362"/>
      <c r="R54" s="362"/>
      <c r="S54" s="361"/>
      <c r="T54" s="361"/>
      <c r="U54" s="361"/>
      <c r="V54" s="361"/>
      <c r="W54" s="361"/>
    </row>
    <row r="55" spans="1:26" ht="16">
      <c r="A55" s="275">
        <v>44531</v>
      </c>
      <c r="B55" s="276">
        <v>110.45652173913</v>
      </c>
      <c r="H55" s="284"/>
      <c r="X55" s="361"/>
      <c r="Y55" s="361"/>
      <c r="Z55" s="361">
        <v>-29446</v>
      </c>
    </row>
    <row r="56" spans="1:26" ht="13" customHeight="1">
      <c r="A56" s="275">
        <v>44562</v>
      </c>
      <c r="B56" s="276">
        <v>133.04545454545499</v>
      </c>
      <c r="K56" s="362"/>
      <c r="L56" s="362"/>
      <c r="M56" s="361"/>
      <c r="N56" s="361"/>
      <c r="O56" s="361"/>
      <c r="P56" s="361"/>
      <c r="X56" s="361"/>
      <c r="Y56" s="361"/>
      <c r="Z56" s="361"/>
    </row>
    <row r="57" spans="1:26" ht="13" customHeight="1">
      <c r="A57" s="275">
        <v>44593</v>
      </c>
      <c r="B57" s="276">
        <v>139.69999999999999</v>
      </c>
      <c r="K57" s="362"/>
      <c r="L57" s="362"/>
      <c r="M57" s="361"/>
      <c r="N57" s="361"/>
      <c r="O57" s="361"/>
      <c r="P57" s="361"/>
    </row>
    <row r="58" spans="1:26">
      <c r="A58" s="275">
        <v>44621</v>
      </c>
      <c r="B58" s="276">
        <v>147.34782608695701</v>
      </c>
    </row>
    <row r="59" spans="1:26">
      <c r="A59" s="275">
        <v>44652</v>
      </c>
      <c r="B59" s="276">
        <v>146.666666666667</v>
      </c>
    </row>
    <row r="60" spans="1:26">
      <c r="A60" s="275">
        <v>44682</v>
      </c>
      <c r="B60" s="276">
        <v>131.09090909090901</v>
      </c>
    </row>
    <row r="61" spans="1:26">
      <c r="A61" s="275">
        <v>44713</v>
      </c>
      <c r="B61" s="276">
        <v>131.04545454545499</v>
      </c>
    </row>
    <row r="62" spans="1:26">
      <c r="A62" s="275">
        <v>44743</v>
      </c>
      <c r="B62" s="276">
        <v>109.04761904761899</v>
      </c>
    </row>
    <row r="63" spans="1:26">
      <c r="A63" s="275">
        <v>44774</v>
      </c>
      <c r="B63" s="276">
        <v>109.065217391304</v>
      </c>
    </row>
    <row r="64" spans="1:26">
      <c r="A64" s="275">
        <v>44805</v>
      </c>
      <c r="B64" s="276">
        <v>100.84090909090899</v>
      </c>
    </row>
    <row r="65" spans="1:2">
      <c r="A65" s="275">
        <v>44835</v>
      </c>
      <c r="B65" s="276">
        <v>94.619047619047606</v>
      </c>
    </row>
    <row r="66" spans="1:2">
      <c r="A66" s="275">
        <v>44866</v>
      </c>
      <c r="B66" s="276">
        <v>94.568181818181799</v>
      </c>
    </row>
    <row r="67" spans="1:2">
      <c r="A67" s="275">
        <v>44896</v>
      </c>
      <c r="B67" s="276">
        <v>111.40909090909101</v>
      </c>
    </row>
    <row r="68" spans="1:2">
      <c r="A68" s="275">
        <v>44927</v>
      </c>
      <c r="B68" s="276">
        <v>122.431818181818</v>
      </c>
    </row>
    <row r="69" spans="1:2">
      <c r="A69" s="275">
        <v>44958</v>
      </c>
      <c r="B69" s="276">
        <v>127.075</v>
      </c>
    </row>
    <row r="70" spans="1:2">
      <c r="A70" s="275">
        <v>44986</v>
      </c>
      <c r="B70" s="276">
        <v>127.97826086956501</v>
      </c>
    </row>
    <row r="71" spans="1:2">
      <c r="A71" s="275">
        <v>45017</v>
      </c>
      <c r="B71" s="276">
        <v>117.125</v>
      </c>
    </row>
    <row r="72" spans="1:2">
      <c r="A72" s="275">
        <v>45047</v>
      </c>
      <c r="B72" s="276">
        <v>104.52173913043499</v>
      </c>
    </row>
    <row r="73" spans="1:2">
      <c r="A73" s="275">
        <v>45078</v>
      </c>
      <c r="B73" s="276">
        <v>113.09090909090899</v>
      </c>
    </row>
    <row r="74" spans="1:2">
      <c r="A74" s="275">
        <v>45108</v>
      </c>
      <c r="B74" s="276">
        <v>113.97619047619</v>
      </c>
    </row>
    <row r="75" spans="1:2">
      <c r="A75" s="275">
        <v>45139</v>
      </c>
      <c r="B75" s="276">
        <v>109.60869565217401</v>
      </c>
    </row>
    <row r="76" spans="1:2">
      <c r="A76" s="275">
        <v>45170</v>
      </c>
      <c r="B76" s="276">
        <v>120.428571428571</v>
      </c>
    </row>
    <row r="77" spans="1:2">
      <c r="A77" s="275">
        <v>45200</v>
      </c>
      <c r="B77" s="276">
        <v>118.75</v>
      </c>
    </row>
    <row r="78" spans="1:2">
      <c r="A78" s="275">
        <v>45231</v>
      </c>
      <c r="B78" s="276">
        <v>131.25</v>
      </c>
    </row>
    <row r="79" spans="1:2">
      <c r="A79" s="275">
        <v>45261</v>
      </c>
      <c r="B79" s="276">
        <v>137.54761904761901</v>
      </c>
    </row>
    <row r="80" spans="1:2">
      <c r="A80" s="275">
        <v>45292</v>
      </c>
      <c r="B80" s="276">
        <v>136.58695652173901</v>
      </c>
    </row>
    <row r="81" spans="1:2">
      <c r="A81" s="275">
        <v>45323</v>
      </c>
      <c r="B81" s="276">
        <v>125.928571428571</v>
      </c>
    </row>
  </sheetData>
  <mergeCells count="26">
    <mergeCell ref="Q28:Q29"/>
    <mergeCell ref="R41:R42"/>
    <mergeCell ref="S41:S42"/>
    <mergeCell ref="T41:T42"/>
    <mergeCell ref="U41:U42"/>
    <mergeCell ref="W41:W42"/>
    <mergeCell ref="X41:X42"/>
    <mergeCell ref="P45:P46"/>
    <mergeCell ref="Q45:Q46"/>
    <mergeCell ref="Q53:Q54"/>
    <mergeCell ref="R53:R54"/>
    <mergeCell ref="S53:S54"/>
    <mergeCell ref="T53:T54"/>
    <mergeCell ref="U53:U54"/>
    <mergeCell ref="V53:V54"/>
    <mergeCell ref="V41:V42"/>
    <mergeCell ref="W53:W54"/>
    <mergeCell ref="X55:X56"/>
    <mergeCell ref="Y55:Y56"/>
    <mergeCell ref="Z55:Z56"/>
    <mergeCell ref="K56:K57"/>
    <mergeCell ref="L56:L57"/>
    <mergeCell ref="M56:M57"/>
    <mergeCell ref="N56:N57"/>
    <mergeCell ref="O56:O57"/>
    <mergeCell ref="P56:P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368"/>
  <sheetViews>
    <sheetView showGridLines="0" topLeftCell="A208" zoomScale="110" zoomScaleNormal="110" workbookViewId="0">
      <selection activeCell="O267" sqref="O267"/>
    </sheetView>
  </sheetViews>
  <sheetFormatPr baseColWidth="10" defaultColWidth="9.3984375" defaultRowHeight="13"/>
  <cols>
    <col min="1" max="1" width="30.19921875" style="2" customWidth="1"/>
    <col min="2" max="2" width="12" style="2" customWidth="1"/>
    <col min="3" max="3" width="22.19921875" style="2" bestFit="1" customWidth="1"/>
    <col min="4" max="4" width="19.3984375" style="2" bestFit="1" customWidth="1"/>
    <col min="5" max="7" width="10.19921875" style="2" bestFit="1" customWidth="1"/>
    <col min="8" max="8" width="11.19921875" style="2" bestFit="1" customWidth="1"/>
    <col min="9" max="9" width="12.796875" style="2" bestFit="1" customWidth="1"/>
    <col min="10" max="10" width="10.19921875" style="2" bestFit="1" customWidth="1"/>
    <col min="11" max="11" width="13.796875" style="2" bestFit="1" customWidth="1"/>
    <col min="12" max="16384" width="9.3984375" style="2"/>
  </cols>
  <sheetData>
    <row r="1" spans="1:19" s="1" customFormat="1" ht="18">
      <c r="A1" s="7" t="s">
        <v>2</v>
      </c>
      <c r="B1" s="8"/>
      <c r="C1" s="8"/>
      <c r="D1" s="8"/>
      <c r="E1" s="8"/>
      <c r="F1" s="8"/>
      <c r="G1" s="8"/>
      <c r="H1" s="8"/>
      <c r="I1" s="8"/>
      <c r="J1"/>
    </row>
    <row r="3" spans="1:19" ht="16">
      <c r="A3"/>
      <c r="B3" s="5" t="s">
        <v>0</v>
      </c>
      <c r="C3" s="6"/>
      <c r="D3" s="6"/>
      <c r="E3" s="5" t="s">
        <v>1</v>
      </c>
      <c r="F3" s="5"/>
      <c r="G3" s="5"/>
      <c r="H3" s="5"/>
      <c r="I3" s="5"/>
      <c r="J3" s="5"/>
      <c r="K3" s="5"/>
    </row>
    <row r="4" spans="1:19">
      <c r="A4"/>
      <c r="B4" s="4">
        <v>2021</v>
      </c>
      <c r="C4" s="4">
        <v>2022</v>
      </c>
      <c r="D4" s="4">
        <v>2023</v>
      </c>
      <c r="E4" s="3">
        <v>2024</v>
      </c>
      <c r="F4" s="4">
        <f t="shared" ref="F4:K4" si="0">E4+1</f>
        <v>2025</v>
      </c>
      <c r="G4" s="4">
        <f t="shared" si="0"/>
        <v>2026</v>
      </c>
      <c r="H4" s="4">
        <f t="shared" si="0"/>
        <v>2027</v>
      </c>
      <c r="I4" s="4">
        <f t="shared" si="0"/>
        <v>2028</v>
      </c>
      <c r="J4" s="4">
        <f t="shared" si="0"/>
        <v>2029</v>
      </c>
      <c r="K4" s="4">
        <f t="shared" si="0"/>
        <v>2030</v>
      </c>
    </row>
    <row r="5" spans="1:19" ht="6" customHeight="1"/>
    <row r="6" spans="1:19" s="15" customFormat="1">
      <c r="A6" s="14" t="s">
        <v>3</v>
      </c>
      <c r="B6" s="20">
        <v>44737</v>
      </c>
      <c r="C6" s="21">
        <v>45302</v>
      </c>
      <c r="D6" s="21">
        <v>41613</v>
      </c>
      <c r="E6">
        <f>D6*(1+E7)</f>
        <v>43485.584999999999</v>
      </c>
      <c r="F6">
        <f t="shared" ref="F6:K6" si="1">E6+(E6*F7)</f>
        <v>45442.436325000002</v>
      </c>
      <c r="G6">
        <f t="shared" si="1"/>
        <v>47487.345959625003</v>
      </c>
      <c r="H6">
        <f t="shared" si="1"/>
        <v>49624.276527808128</v>
      </c>
      <c r="I6">
        <f t="shared" si="1"/>
        <v>51857.368971559496</v>
      </c>
      <c r="J6">
        <f t="shared" si="1"/>
        <v>54190.950575279676</v>
      </c>
      <c r="K6">
        <f t="shared" si="1"/>
        <v>56629.54335116726</v>
      </c>
    </row>
    <row r="7" spans="1:19" s="11" customFormat="1">
      <c r="A7" s="10" t="s">
        <v>4</v>
      </c>
      <c r="B7" s="16"/>
      <c r="C7" s="16">
        <f>(C6/B6)-1</f>
        <v>1.2629367190468699E-2</v>
      </c>
      <c r="D7" s="16">
        <f>(D6/C6)-1</f>
        <v>-8.1431283387046971E-2</v>
      </c>
      <c r="E7" s="10">
        <v>4.4999999999999998E-2</v>
      </c>
      <c r="F7" s="10">
        <v>4.4999999999999998E-2</v>
      </c>
      <c r="G7" s="10">
        <v>4.4999999999999998E-2</v>
      </c>
      <c r="H7" s="10">
        <v>4.4999999999999998E-2</v>
      </c>
      <c r="I7" s="10">
        <v>4.4999999999999998E-2</v>
      </c>
      <c r="J7" s="10">
        <v>4.4999999999999998E-2</v>
      </c>
      <c r="K7" s="10">
        <v>4.4999999999999998E-2</v>
      </c>
    </row>
    <row r="8" spans="1:19" ht="6" customHeight="1"/>
    <row r="9" spans="1:19">
      <c r="A9" s="12" t="s">
        <v>5</v>
      </c>
    </row>
    <row r="10" spans="1:19">
      <c r="A10" s="9" t="s">
        <v>6</v>
      </c>
      <c r="B10" s="9">
        <v>23453</v>
      </c>
      <c r="C10" s="2">
        <v>24839</v>
      </c>
      <c r="D10" s="2">
        <v>24003</v>
      </c>
      <c r="E10" s="2">
        <f>E6*E11</f>
        <v>23047.360049999999</v>
      </c>
      <c r="F10" s="2">
        <f t="shared" ref="F10:K10" si="2">F6*F11</f>
        <v>24084.491252250002</v>
      </c>
      <c r="G10" s="2">
        <f t="shared" si="2"/>
        <v>25168.293358601251</v>
      </c>
      <c r="H10" s="2">
        <f t="shared" si="2"/>
        <v>26300.866559738308</v>
      </c>
      <c r="I10" s="2">
        <f t="shared" si="2"/>
        <v>27484.405554926532</v>
      </c>
      <c r="J10" s="2">
        <f t="shared" si="2"/>
        <v>28721.203804898229</v>
      </c>
      <c r="K10" s="2">
        <f t="shared" si="2"/>
        <v>30013.657976118648</v>
      </c>
    </row>
    <row r="11" spans="1:19" s="17" customFormat="1">
      <c r="A11" s="10" t="s">
        <v>7</v>
      </c>
      <c r="B11" s="16">
        <f>B10/B6</f>
        <v>0.52424167914701481</v>
      </c>
      <c r="C11" s="16">
        <f>C10/C6</f>
        <v>0.5482980883846188</v>
      </c>
      <c r="D11" s="16">
        <f>D10/D6</f>
        <v>0.57681493763967995</v>
      </c>
      <c r="E11" s="23">
        <v>0.53</v>
      </c>
      <c r="F11" s="23">
        <v>0.53</v>
      </c>
      <c r="G11" s="23">
        <v>0.53</v>
      </c>
      <c r="H11" s="23">
        <v>0.53</v>
      </c>
      <c r="I11" s="23">
        <v>0.53</v>
      </c>
      <c r="J11" s="23">
        <v>0.53</v>
      </c>
      <c r="K11" s="23">
        <v>0.53</v>
      </c>
      <c r="S11" s="17" t="s">
        <v>172</v>
      </c>
    </row>
    <row r="12" spans="1:19" ht="6" customHeight="1">
      <c r="A12" s="13"/>
    </row>
    <row r="13" spans="1:19">
      <c r="A13" s="9" t="s">
        <v>8</v>
      </c>
      <c r="B13" s="9">
        <v>3275.8</v>
      </c>
      <c r="C13" s="2">
        <v>3277.2</v>
      </c>
      <c r="D13" s="2">
        <v>3060</v>
      </c>
      <c r="E13" s="2">
        <f>E6*E14</f>
        <v>3174.4477049999996</v>
      </c>
      <c r="F13" s="2">
        <f t="shared" ref="F13:K13" si="3">F6*F14</f>
        <v>3317.2978517249999</v>
      </c>
      <c r="G13" s="2">
        <f t="shared" si="3"/>
        <v>3466.5762550526251</v>
      </c>
      <c r="H13" s="2">
        <f t="shared" si="3"/>
        <v>3622.5721865299929</v>
      </c>
      <c r="I13" s="2">
        <f t="shared" si="3"/>
        <v>3785.587934923843</v>
      </c>
      <c r="J13" s="2">
        <f t="shared" si="3"/>
        <v>3955.9393919954159</v>
      </c>
      <c r="K13" s="2">
        <f t="shared" si="3"/>
        <v>4133.9566646352096</v>
      </c>
      <c r="Q13" s="159" t="s">
        <v>171</v>
      </c>
      <c r="S13" s="159" t="s">
        <v>173</v>
      </c>
    </row>
    <row r="14" spans="1:19" s="17" customFormat="1">
      <c r="A14" s="10" t="s">
        <v>7</v>
      </c>
      <c r="B14" s="16">
        <f>B13/B6</f>
        <v>7.3223506269977881E-2</v>
      </c>
      <c r="C14" s="16">
        <f>C13/C6</f>
        <v>7.234117698997837E-2</v>
      </c>
      <c r="D14" s="16">
        <f>D13/D6</f>
        <v>7.3534712709970446E-2</v>
      </c>
      <c r="E14" s="24">
        <v>7.2999999999999995E-2</v>
      </c>
      <c r="F14" s="24">
        <v>7.2999999999999995E-2</v>
      </c>
      <c r="G14" s="24">
        <v>7.2999999999999995E-2</v>
      </c>
      <c r="H14" s="24">
        <v>7.2999999999999995E-2</v>
      </c>
      <c r="I14" s="24">
        <v>7.2999999999999995E-2</v>
      </c>
      <c r="J14" s="24">
        <v>7.2999999999999995E-2</v>
      </c>
      <c r="K14" s="24">
        <v>7.2999999999999995E-2</v>
      </c>
      <c r="S14" s="17" t="s">
        <v>174</v>
      </c>
    </row>
    <row r="15" spans="1:19" ht="4.5" customHeight="1">
      <c r="A15" s="13"/>
      <c r="B15" s="19" t="s">
        <v>17</v>
      </c>
      <c r="C15" s="19" t="s">
        <v>17</v>
      </c>
      <c r="D15" s="19" t="s">
        <v>17</v>
      </c>
      <c r="E15" s="19" t="s">
        <v>17</v>
      </c>
      <c r="F15" s="19" t="s">
        <v>17</v>
      </c>
      <c r="G15" s="19" t="s">
        <v>17</v>
      </c>
      <c r="H15" s="19" t="s">
        <v>17</v>
      </c>
      <c r="I15" s="19" t="s">
        <v>17</v>
      </c>
      <c r="J15" s="19" t="s">
        <v>17</v>
      </c>
      <c r="K15" s="19" t="s">
        <v>17</v>
      </c>
    </row>
    <row r="16" spans="1:19">
      <c r="A16" s="9" t="s">
        <v>9</v>
      </c>
      <c r="B16" s="22">
        <f>SUM(B13,B10)</f>
        <v>26728.799999999999</v>
      </c>
      <c r="C16" s="22">
        <f>SUM(C13,C10)</f>
        <v>28116.2</v>
      </c>
      <c r="D16" s="22">
        <f>SUM(D13,D10)</f>
        <v>27063</v>
      </c>
      <c r="E16" s="22">
        <f t="shared" ref="E16:K16" si="4">SUM(E13,E10)</f>
        <v>26221.807754999998</v>
      </c>
      <c r="F16" s="22">
        <f t="shared" si="4"/>
        <v>27401.789103975003</v>
      </c>
      <c r="G16" s="22">
        <f t="shared" si="4"/>
        <v>28634.869613653878</v>
      </c>
      <c r="H16" s="22">
        <f t="shared" si="4"/>
        <v>29923.438746268301</v>
      </c>
      <c r="I16" s="22">
        <f t="shared" si="4"/>
        <v>31269.993489850374</v>
      </c>
      <c r="J16" s="22">
        <f t="shared" si="4"/>
        <v>32677.143196893645</v>
      </c>
      <c r="K16" s="22">
        <f t="shared" si="4"/>
        <v>34147.614640753854</v>
      </c>
      <c r="S16" s="159" t="s">
        <v>175</v>
      </c>
    </row>
    <row r="17" spans="1:19" s="17" customFormat="1">
      <c r="A17" s="10" t="s">
        <v>7</v>
      </c>
      <c r="B17" s="16">
        <f>B16/B6</f>
        <v>0.59746518541699267</v>
      </c>
      <c r="C17" s="16">
        <f>C16/C6</f>
        <v>0.62063926537459713</v>
      </c>
      <c r="D17" s="16">
        <f>D16/D6</f>
        <v>0.65034965034965031</v>
      </c>
      <c r="E17" s="16">
        <f t="shared" ref="E17:K17" si="5">E16/E6</f>
        <v>0.60299999999999998</v>
      </c>
      <c r="F17" s="16">
        <f t="shared" si="5"/>
        <v>0.60299999999999998</v>
      </c>
      <c r="G17" s="16">
        <f t="shared" si="5"/>
        <v>0.60299999999999998</v>
      </c>
      <c r="H17" s="16">
        <f t="shared" si="5"/>
        <v>0.60299999999999998</v>
      </c>
      <c r="I17" s="16">
        <f t="shared" si="5"/>
        <v>0.60299999999999998</v>
      </c>
      <c r="J17" s="16">
        <f t="shared" si="5"/>
        <v>0.60299999999999998</v>
      </c>
      <c r="K17" s="16">
        <f t="shared" si="5"/>
        <v>0.60299999999999998</v>
      </c>
      <c r="S17" s="17" t="s">
        <v>176</v>
      </c>
    </row>
    <row r="18" spans="1:19" ht="6" customHeight="1">
      <c r="A18" s="13"/>
    </row>
    <row r="19" spans="1:19">
      <c r="A19" s="12" t="s">
        <v>16</v>
      </c>
      <c r="S19" s="159" t="s">
        <v>177</v>
      </c>
    </row>
    <row r="20" spans="1:19">
      <c r="A20" s="9" t="s">
        <v>15</v>
      </c>
      <c r="B20" s="9">
        <v>474.8</v>
      </c>
      <c r="C20" s="2">
        <v>489.4</v>
      </c>
      <c r="D20" s="2">
        <v>504.6</v>
      </c>
      <c r="E20" s="2">
        <f>E6*E21</f>
        <v>521.82701999999995</v>
      </c>
      <c r="F20" s="2">
        <f t="shared" ref="F20:K20" si="6">F6*F21</f>
        <v>545.30923590000009</v>
      </c>
      <c r="G20" s="2">
        <f t="shared" si="6"/>
        <v>569.84815151550004</v>
      </c>
      <c r="H20" s="2">
        <f t="shared" si="6"/>
        <v>595.49131833369756</v>
      </c>
      <c r="I20" s="2">
        <f t="shared" si="6"/>
        <v>622.288427658714</v>
      </c>
      <c r="J20" s="2">
        <f t="shared" si="6"/>
        <v>650.29140690335612</v>
      </c>
      <c r="K20" s="2">
        <f t="shared" si="6"/>
        <v>679.55452021400708</v>
      </c>
    </row>
    <row r="21" spans="1:19" s="17" customFormat="1">
      <c r="A21" s="10" t="s">
        <v>7</v>
      </c>
      <c r="B21" s="16">
        <f>B20/B6</f>
        <v>1.0613139012450545E-2</v>
      </c>
      <c r="C21" s="16">
        <f>C20/C6</f>
        <v>1.0803055052757053E-2</v>
      </c>
      <c r="D21" s="16">
        <f>D20/D6</f>
        <v>1.2126018311585322E-2</v>
      </c>
      <c r="E21" s="24">
        <v>1.2E-2</v>
      </c>
      <c r="F21" s="24">
        <v>1.2E-2</v>
      </c>
      <c r="G21" s="24">
        <v>1.2E-2</v>
      </c>
      <c r="H21" s="24">
        <v>1.2E-2</v>
      </c>
      <c r="I21" s="24">
        <v>1.2E-2</v>
      </c>
      <c r="J21" s="24">
        <v>1.2E-2</v>
      </c>
      <c r="K21" s="24">
        <v>1.2E-2</v>
      </c>
      <c r="P21" s="23"/>
      <c r="Q21" s="23"/>
      <c r="R21" s="23"/>
    </row>
    <row r="22" spans="1:19" ht="6" customHeight="1">
      <c r="A22" s="13"/>
    </row>
    <row r="23" spans="1:19">
      <c r="A23" s="18" t="s">
        <v>19</v>
      </c>
      <c r="B23" s="9">
        <v>1748</v>
      </c>
      <c r="C23" s="2">
        <v>1762</v>
      </c>
      <c r="D23" s="2">
        <v>1500</v>
      </c>
      <c r="E23" s="2">
        <f>E6*E24</f>
        <v>1565.4810599999998</v>
      </c>
      <c r="F23" s="2">
        <f t="shared" ref="F23:K23" si="7">F6*F24</f>
        <v>1635.9277076999999</v>
      </c>
      <c r="G23" s="2">
        <f t="shared" si="7"/>
        <v>1709.5444545465</v>
      </c>
      <c r="H23" s="2">
        <f t="shared" si="7"/>
        <v>1786.4739550010925</v>
      </c>
      <c r="I23" s="2">
        <f t="shared" si="7"/>
        <v>1866.8652829761418</v>
      </c>
      <c r="J23" s="2">
        <f t="shared" si="7"/>
        <v>1950.8742207100681</v>
      </c>
      <c r="K23" s="2">
        <f t="shared" si="7"/>
        <v>2038.6635606420211</v>
      </c>
    </row>
    <row r="24" spans="1:19" s="17" customFormat="1">
      <c r="A24" s="10" t="s">
        <v>7</v>
      </c>
      <c r="B24" s="16">
        <f>B23/B6</f>
        <v>3.9072803272459038E-2</v>
      </c>
      <c r="C24" s="16">
        <f>C23/C6</f>
        <v>3.8894530042823713E-2</v>
      </c>
      <c r="D24" s="16">
        <f>D23/D6</f>
        <v>3.6046427799005118E-2</v>
      </c>
      <c r="E24" s="24">
        <v>3.5999999999999997E-2</v>
      </c>
      <c r="F24" s="24">
        <v>3.5999999999999997E-2</v>
      </c>
      <c r="G24" s="24">
        <v>3.5999999999999997E-2</v>
      </c>
      <c r="H24" s="24">
        <v>3.5999999999999997E-2</v>
      </c>
      <c r="I24" s="24">
        <v>3.5999999999999997E-2</v>
      </c>
      <c r="J24" s="24">
        <v>3.5999999999999997E-2</v>
      </c>
      <c r="K24" s="24">
        <v>3.5999999999999997E-2</v>
      </c>
    </row>
    <row r="25" spans="1:19" ht="6" customHeight="1">
      <c r="A25" s="13"/>
      <c r="B25" s="19" t="s">
        <v>17</v>
      </c>
      <c r="C25" s="19" t="s">
        <v>17</v>
      </c>
      <c r="D25" s="19" t="s">
        <v>17</v>
      </c>
      <c r="E25" s="19" t="s">
        <v>17</v>
      </c>
      <c r="F25" s="19" t="s">
        <v>17</v>
      </c>
      <c r="G25" s="19" t="s">
        <v>17</v>
      </c>
      <c r="H25" s="19" t="s">
        <v>17</v>
      </c>
      <c r="I25" s="19" t="s">
        <v>17</v>
      </c>
      <c r="J25" s="19" t="s">
        <v>17</v>
      </c>
      <c r="K25" s="19" t="s">
        <v>17</v>
      </c>
    </row>
    <row r="26" spans="1:19">
      <c r="A26" s="9" t="s">
        <v>14</v>
      </c>
      <c r="B26" s="22">
        <f>SUM(B23,B20)</f>
        <v>2222.8000000000002</v>
      </c>
      <c r="C26" s="22">
        <f>SUM(C23,C20)</f>
        <v>2251.4</v>
      </c>
      <c r="D26" s="22">
        <f>SUM(D23,D20)</f>
        <v>2004.6</v>
      </c>
      <c r="E26" s="2">
        <f>SUM(E20,E23)</f>
        <v>2087.3080799999998</v>
      </c>
      <c r="F26" s="2">
        <f t="shared" ref="F26:K26" si="8">SUM(F20,F23)</f>
        <v>2181.2369435999999</v>
      </c>
      <c r="G26" s="2">
        <f t="shared" si="8"/>
        <v>2279.3926060620001</v>
      </c>
      <c r="H26" s="2">
        <f t="shared" si="8"/>
        <v>2381.9652733347903</v>
      </c>
      <c r="I26" s="2">
        <f t="shared" si="8"/>
        <v>2489.153710634856</v>
      </c>
      <c r="J26" s="2">
        <f t="shared" si="8"/>
        <v>2601.1656276134245</v>
      </c>
      <c r="K26" s="2">
        <f t="shared" si="8"/>
        <v>2718.2180808560283</v>
      </c>
    </row>
    <row r="27" spans="1:19" s="17" customFormat="1">
      <c r="A27" s="10" t="s">
        <v>7</v>
      </c>
      <c r="B27" s="16">
        <f>B26/B6</f>
        <v>4.9685942284909586E-2</v>
      </c>
      <c r="C27" s="16">
        <f>C26/C6</f>
        <v>4.9697585095580768E-2</v>
      </c>
      <c r="D27" s="16">
        <f>D26/D6</f>
        <v>4.817244611059044E-2</v>
      </c>
      <c r="E27" s="23">
        <f>E26/E6</f>
        <v>4.7999999999999994E-2</v>
      </c>
      <c r="F27" s="23">
        <f t="shared" ref="F27:K27" si="9">F26/F6</f>
        <v>4.7999999999999994E-2</v>
      </c>
      <c r="G27" s="23">
        <f t="shared" si="9"/>
        <v>4.8000000000000001E-2</v>
      </c>
      <c r="H27" s="23">
        <f t="shared" si="9"/>
        <v>4.8000000000000001E-2</v>
      </c>
      <c r="I27" s="23">
        <f t="shared" si="9"/>
        <v>4.8000000000000001E-2</v>
      </c>
      <c r="J27" s="23">
        <f t="shared" si="9"/>
        <v>4.8000000000000001E-2</v>
      </c>
      <c r="K27" s="23">
        <f t="shared" si="9"/>
        <v>4.7999999999999994E-2</v>
      </c>
    </row>
    <row r="28" spans="1:19" ht="6" customHeight="1">
      <c r="A28" s="13"/>
    </row>
    <row r="29" spans="1:19" ht="6" customHeight="1">
      <c r="A29" s="13"/>
    </row>
    <row r="30" spans="1:19">
      <c r="A30" s="9" t="s">
        <v>10</v>
      </c>
      <c r="B30" s="22">
        <f>B6-SUM(B10,B26)</f>
        <v>19061.2</v>
      </c>
      <c r="C30" s="22">
        <f t="shared" ref="C30:K30" si="10">C6-SUM(C10,C26)</f>
        <v>18211.599999999999</v>
      </c>
      <c r="D30" s="22">
        <f t="shared" si="10"/>
        <v>15605.400000000001</v>
      </c>
      <c r="E30" s="22">
        <f t="shared" si="10"/>
        <v>18350.916870000001</v>
      </c>
      <c r="F30" s="22">
        <f t="shared" si="10"/>
        <v>19176.70812915</v>
      </c>
      <c r="G30" s="22">
        <f t="shared" si="10"/>
        <v>20039.659994961752</v>
      </c>
      <c r="H30" s="22">
        <f t="shared" si="10"/>
        <v>20941.44469473503</v>
      </c>
      <c r="I30" s="22">
        <f t="shared" si="10"/>
        <v>21883.809705998108</v>
      </c>
      <c r="J30" s="22">
        <f t="shared" si="10"/>
        <v>22868.581142768024</v>
      </c>
      <c r="K30" s="22">
        <f t="shared" si="10"/>
        <v>23897.667294192583</v>
      </c>
    </row>
    <row r="31" spans="1:19" s="17" customFormat="1">
      <c r="A31" s="10" t="s">
        <v>11</v>
      </c>
      <c r="B31" s="16">
        <f>B30/B6</f>
        <v>0.42607237856807567</v>
      </c>
      <c r="C31" s="16">
        <f>C30/C6</f>
        <v>0.40200432651980039</v>
      </c>
      <c r="D31" s="16">
        <f>D30/D6</f>
        <v>0.3750126162497297</v>
      </c>
      <c r="E31" s="16">
        <f t="shared" ref="E31:K31" si="11">E30/E6</f>
        <v>0.42200000000000004</v>
      </c>
      <c r="F31" s="16">
        <f t="shared" si="11"/>
        <v>0.42199999999999999</v>
      </c>
      <c r="G31" s="16">
        <f t="shared" si="11"/>
        <v>0.42200000000000004</v>
      </c>
      <c r="H31" s="16">
        <f t="shared" si="11"/>
        <v>0.42199999999999999</v>
      </c>
      <c r="I31" s="16">
        <f t="shared" si="11"/>
        <v>0.42200000000000004</v>
      </c>
      <c r="J31" s="16">
        <f t="shared" si="11"/>
        <v>0.42199999999999999</v>
      </c>
      <c r="K31" s="16">
        <f t="shared" si="11"/>
        <v>0.42199999999999999</v>
      </c>
    </row>
    <row r="32" spans="1:19" s="17" customFormat="1">
      <c r="A32" s="10" t="s">
        <v>4</v>
      </c>
      <c r="B32" s="16"/>
      <c r="C32" s="16">
        <f>C30/B30-1</f>
        <v>-4.4572220007135011E-2</v>
      </c>
      <c r="D32" s="16">
        <f>D30/C30-1</f>
        <v>-0.1431065914032813</v>
      </c>
      <c r="E32" s="16">
        <f t="shared" ref="E32:K32" si="12">E30/D30-1</f>
        <v>0.1759337710023452</v>
      </c>
      <c r="F32" s="16">
        <f t="shared" si="12"/>
        <v>4.4999999999999929E-2</v>
      </c>
      <c r="G32" s="16">
        <f t="shared" si="12"/>
        <v>4.5000000000000151E-2</v>
      </c>
      <c r="H32" s="16">
        <f t="shared" si="12"/>
        <v>4.4999999999999929E-2</v>
      </c>
      <c r="I32" s="16">
        <f t="shared" si="12"/>
        <v>4.5000000000000151E-2</v>
      </c>
      <c r="J32" s="16">
        <f t="shared" si="12"/>
        <v>4.4999999999999929E-2</v>
      </c>
      <c r="K32" s="16">
        <f t="shared" si="12"/>
        <v>4.4999999999999929E-2</v>
      </c>
    </row>
    <row r="33" spans="1:11" ht="6" customHeight="1">
      <c r="A33" s="9"/>
    </row>
    <row r="34" spans="1:11">
      <c r="A34" s="9" t="s">
        <v>12</v>
      </c>
      <c r="B34" s="22">
        <f>B30-B13</f>
        <v>15785.400000000001</v>
      </c>
      <c r="C34" s="22">
        <f>C30-C13</f>
        <v>14934.399999999998</v>
      </c>
      <c r="D34" s="22">
        <f>D30-D13</f>
        <v>12545.400000000001</v>
      </c>
      <c r="E34" s="22">
        <f t="shared" ref="E34:K34" si="13">E30-E13</f>
        <v>15176.469165000002</v>
      </c>
      <c r="F34" s="22">
        <f t="shared" si="13"/>
        <v>15859.410277425</v>
      </c>
      <c r="G34" s="22">
        <f t="shared" si="13"/>
        <v>16573.083739909125</v>
      </c>
      <c r="H34" s="22">
        <f t="shared" si="13"/>
        <v>17318.872508205037</v>
      </c>
      <c r="I34" s="22">
        <f t="shared" si="13"/>
        <v>18098.221771074266</v>
      </c>
      <c r="J34" s="22">
        <f t="shared" si="13"/>
        <v>18912.641750772607</v>
      </c>
      <c r="K34" s="22">
        <f t="shared" si="13"/>
        <v>19763.710629557372</v>
      </c>
    </row>
    <row r="35" spans="1:11" s="17" customFormat="1">
      <c r="A35" s="10" t="s">
        <v>11</v>
      </c>
      <c r="B35" s="16">
        <f>B34/B6</f>
        <v>0.3528488722980978</v>
      </c>
      <c r="C35" s="16">
        <f>C34/C6</f>
        <v>0.32966314952982201</v>
      </c>
      <c r="D35" s="16">
        <f>D34/D6</f>
        <v>0.30147790353975923</v>
      </c>
      <c r="E35" s="16">
        <f t="shared" ref="E35:K35" si="14">E34/E6</f>
        <v>0.34900000000000003</v>
      </c>
      <c r="F35" s="16">
        <f t="shared" si="14"/>
        <v>0.34899999999999998</v>
      </c>
      <c r="G35" s="16">
        <f t="shared" si="14"/>
        <v>0.34899999999999998</v>
      </c>
      <c r="H35" s="16">
        <f t="shared" si="14"/>
        <v>0.34900000000000003</v>
      </c>
      <c r="I35" s="16">
        <f t="shared" si="14"/>
        <v>0.34900000000000003</v>
      </c>
      <c r="J35" s="16">
        <f t="shared" si="14"/>
        <v>0.34900000000000003</v>
      </c>
      <c r="K35" s="16">
        <f t="shared" si="14"/>
        <v>0.34899999999999998</v>
      </c>
    </row>
    <row r="36" spans="1:11" ht="6" customHeight="1">
      <c r="A36" s="9"/>
    </row>
    <row r="37" spans="1:11">
      <c r="A37" s="9" t="s">
        <v>18</v>
      </c>
      <c r="B37" s="9">
        <v>5460.2</v>
      </c>
      <c r="C37" s="2">
        <v>5636.8</v>
      </c>
      <c r="D37" s="2">
        <v>5889.2</v>
      </c>
      <c r="E37" s="2">
        <v>6500</v>
      </c>
      <c r="F37" s="2">
        <f t="shared" ref="F37:K37" si="15">F6*F38</f>
        <v>6816.3654487499998</v>
      </c>
      <c r="G37" s="2">
        <f t="shared" si="15"/>
        <v>7123.1018939437499</v>
      </c>
      <c r="H37" s="2">
        <f t="shared" si="15"/>
        <v>7443.6414791712186</v>
      </c>
      <c r="I37" s="2">
        <f t="shared" si="15"/>
        <v>7778.605345733924</v>
      </c>
      <c r="J37" s="2">
        <f t="shared" si="15"/>
        <v>8128.6425862919514</v>
      </c>
      <c r="K37" s="2">
        <f t="shared" si="15"/>
        <v>8494.4315026750883</v>
      </c>
    </row>
    <row r="38" spans="1:11" s="17" customFormat="1">
      <c r="A38" s="10" t="s">
        <v>13</v>
      </c>
      <c r="B38" s="16">
        <f>B37/B6</f>
        <v>0.12205109864318126</v>
      </c>
      <c r="C38" s="16">
        <f>C37/C6</f>
        <v>0.12442717760805262</v>
      </c>
      <c r="D38" s="16">
        <f>D37/D6</f>
        <v>0.14152308172926728</v>
      </c>
      <c r="E38" s="23">
        <v>0.15</v>
      </c>
      <c r="F38" s="23">
        <v>0.15</v>
      </c>
      <c r="G38" s="23">
        <v>0.15</v>
      </c>
      <c r="H38" s="23">
        <v>0.15</v>
      </c>
      <c r="I38" s="23">
        <v>0.15</v>
      </c>
      <c r="J38" s="23">
        <v>0.15</v>
      </c>
      <c r="K38" s="23">
        <v>0.15</v>
      </c>
    </row>
    <row r="39" spans="1:11" s="17" customFormat="1">
      <c r="A39" s="10"/>
      <c r="B39" s="16"/>
      <c r="C39" s="16"/>
      <c r="D39" s="16"/>
    </row>
    <row r="40" spans="1:11" s="17" customFormat="1">
      <c r="A40" s="10"/>
      <c r="B40" s="16"/>
      <c r="C40" s="16"/>
      <c r="D40" s="16"/>
    </row>
    <row r="41" spans="1:11" s="17" customFormat="1">
      <c r="A41" s="10"/>
      <c r="B41" s="16"/>
      <c r="C41" s="16"/>
      <c r="D41" s="16"/>
    </row>
    <row r="42" spans="1:11" ht="18">
      <c r="A42" s="7" t="s">
        <v>20</v>
      </c>
      <c r="B42" s="8"/>
      <c r="C42" s="8"/>
      <c r="D42" s="8"/>
      <c r="E42" s="8"/>
      <c r="F42" s="8"/>
      <c r="G42" s="8"/>
      <c r="H42" s="8"/>
      <c r="I42" s="8"/>
    </row>
    <row r="44" spans="1:11" ht="16">
      <c r="A44"/>
      <c r="B44"/>
      <c r="C44"/>
      <c r="D44" s="25" t="s">
        <v>0</v>
      </c>
      <c r="E44" s="5" t="s">
        <v>1</v>
      </c>
      <c r="F44" s="5"/>
      <c r="G44" s="5"/>
      <c r="H44" s="5"/>
      <c r="I44" s="5"/>
    </row>
    <row r="45" spans="1:11">
      <c r="A45"/>
      <c r="B45"/>
      <c r="C45"/>
      <c r="D45" s="4">
        <f t="shared" ref="D45:K45" si="16">D4</f>
        <v>2023</v>
      </c>
      <c r="E45" s="4">
        <f t="shared" si="16"/>
        <v>2024</v>
      </c>
      <c r="F45" s="4">
        <f t="shared" si="16"/>
        <v>2025</v>
      </c>
      <c r="G45" s="4">
        <f t="shared" si="16"/>
        <v>2026</v>
      </c>
      <c r="H45" s="4">
        <f t="shared" si="16"/>
        <v>2027</v>
      </c>
      <c r="I45" s="4">
        <f t="shared" si="16"/>
        <v>2028</v>
      </c>
      <c r="J45" s="4">
        <f t="shared" si="16"/>
        <v>2029</v>
      </c>
      <c r="K45" s="4">
        <f t="shared" si="16"/>
        <v>2030</v>
      </c>
    </row>
    <row r="47" spans="1:11">
      <c r="A47" s="9" t="s">
        <v>3</v>
      </c>
      <c r="D47" s="22">
        <f t="shared" ref="D47:I47" si="17">D6</f>
        <v>41613</v>
      </c>
      <c r="E47" s="22">
        <f t="shared" si="17"/>
        <v>43485.584999999999</v>
      </c>
      <c r="F47" s="22">
        <f t="shared" si="17"/>
        <v>45442.436325000002</v>
      </c>
      <c r="G47" s="22">
        <f t="shared" si="17"/>
        <v>47487.345959625003</v>
      </c>
      <c r="H47" s="22">
        <f t="shared" si="17"/>
        <v>49624.276527808128</v>
      </c>
      <c r="I47" s="22">
        <f t="shared" si="17"/>
        <v>51857.368971559496</v>
      </c>
      <c r="J47" s="22">
        <f>J6</f>
        <v>54190.950575279676</v>
      </c>
      <c r="K47" s="22">
        <f>K6</f>
        <v>56629.54335116726</v>
      </c>
    </row>
    <row r="48" spans="1:11">
      <c r="A48" s="9" t="s">
        <v>21</v>
      </c>
      <c r="D48" s="22">
        <f t="shared" ref="D48:I48" si="18">-D16</f>
        <v>-27063</v>
      </c>
      <c r="E48" s="22">
        <f t="shared" si="18"/>
        <v>-26221.807754999998</v>
      </c>
      <c r="F48" s="22">
        <f t="shared" si="18"/>
        <v>-27401.789103975003</v>
      </c>
      <c r="G48" s="22">
        <f t="shared" si="18"/>
        <v>-28634.869613653878</v>
      </c>
      <c r="H48" s="22">
        <f t="shared" si="18"/>
        <v>-29923.438746268301</v>
      </c>
      <c r="I48" s="22">
        <f t="shared" si="18"/>
        <v>-31269.993489850374</v>
      </c>
      <c r="J48" s="22">
        <f>-J16</f>
        <v>-32677.143196893645</v>
      </c>
      <c r="K48" s="22">
        <f>-K16</f>
        <v>-34147.614640753854</v>
      </c>
    </row>
    <row r="49" spans="1:21" ht="16">
      <c r="A49" s="9"/>
      <c r="D49" s="26" t="s">
        <v>17</v>
      </c>
      <c r="E49" s="26" t="s">
        <v>17</v>
      </c>
      <c r="F49" s="26" t="s">
        <v>17</v>
      </c>
      <c r="G49" s="26" t="s">
        <v>17</v>
      </c>
      <c r="H49" s="26" t="s">
        <v>17</v>
      </c>
      <c r="I49" s="26" t="s">
        <v>17</v>
      </c>
      <c r="J49" s="26" t="s">
        <v>17</v>
      </c>
      <c r="K49" s="26" t="s">
        <v>17</v>
      </c>
    </row>
    <row r="50" spans="1:21">
      <c r="A50" s="9" t="s">
        <v>22</v>
      </c>
      <c r="D50" s="22">
        <f t="shared" ref="D50:I50" si="19">SUM(D47:D49)</f>
        <v>14550</v>
      </c>
      <c r="E50" s="22">
        <f t="shared" si="19"/>
        <v>17263.777245000001</v>
      </c>
      <c r="F50" s="22">
        <f t="shared" si="19"/>
        <v>18040.647221024999</v>
      </c>
      <c r="G50" s="22">
        <f t="shared" si="19"/>
        <v>18852.476345971125</v>
      </c>
      <c r="H50" s="22">
        <f t="shared" si="19"/>
        <v>19700.837781539827</v>
      </c>
      <c r="I50" s="22">
        <f t="shared" si="19"/>
        <v>20587.375481709121</v>
      </c>
      <c r="J50" s="22">
        <f>SUM(J47:J49)</f>
        <v>21513.807378386031</v>
      </c>
      <c r="K50" s="22">
        <f>SUM(K47:K49)</f>
        <v>22481.928710413405</v>
      </c>
    </row>
    <row r="51" spans="1:21">
      <c r="A51" s="9"/>
      <c r="E51" s="13"/>
      <c r="F51" s="13"/>
      <c r="G51" s="13"/>
      <c r="H51" s="13"/>
      <c r="I51" s="13"/>
      <c r="J51" s="13"/>
      <c r="K51" s="13"/>
    </row>
    <row r="52" spans="1:21">
      <c r="A52" s="9" t="s">
        <v>23</v>
      </c>
      <c r="D52" s="22">
        <f t="shared" ref="D52:I52" si="20">-D26</f>
        <v>-2004.6</v>
      </c>
      <c r="E52" s="22">
        <f t="shared" si="20"/>
        <v>-2087.3080799999998</v>
      </c>
      <c r="F52" s="22">
        <f t="shared" si="20"/>
        <v>-2181.2369435999999</v>
      </c>
      <c r="G52" s="22">
        <f t="shared" si="20"/>
        <v>-2279.3926060620001</v>
      </c>
      <c r="H52" s="22">
        <f t="shared" si="20"/>
        <v>-2381.9652733347903</v>
      </c>
      <c r="I52" s="22">
        <f t="shared" si="20"/>
        <v>-2489.153710634856</v>
      </c>
      <c r="J52" s="22">
        <f>-J26</f>
        <v>-2601.1656276134245</v>
      </c>
      <c r="K52" s="22">
        <f>-K26</f>
        <v>-2718.2180808560283</v>
      </c>
    </row>
    <row r="53" spans="1:21" ht="16">
      <c r="A53" s="9"/>
      <c r="D53" s="26" t="s">
        <v>17</v>
      </c>
      <c r="E53" s="26" t="s">
        <v>17</v>
      </c>
      <c r="F53" s="26" t="s">
        <v>17</v>
      </c>
      <c r="G53" s="26" t="s">
        <v>17</v>
      </c>
      <c r="H53" s="26" t="s">
        <v>17</v>
      </c>
      <c r="I53" s="26" t="s">
        <v>17</v>
      </c>
      <c r="J53" s="26" t="s">
        <v>17</v>
      </c>
      <c r="K53" s="26" t="s">
        <v>17</v>
      </c>
    </row>
    <row r="54" spans="1:21">
      <c r="A54" s="9" t="s">
        <v>24</v>
      </c>
      <c r="D54" s="22">
        <f t="shared" ref="D54:I54" si="21">SUM(D50:D52)</f>
        <v>12545.4</v>
      </c>
      <c r="E54" s="22">
        <f t="shared" si="21"/>
        <v>15176.469165000002</v>
      </c>
      <c r="F54" s="22">
        <f t="shared" si="21"/>
        <v>15859.410277424999</v>
      </c>
      <c r="G54" s="22">
        <f t="shared" si="21"/>
        <v>16573.083739909125</v>
      </c>
      <c r="H54" s="22">
        <f t="shared" si="21"/>
        <v>17318.872508205037</v>
      </c>
      <c r="I54" s="22">
        <f t="shared" si="21"/>
        <v>18098.221771074266</v>
      </c>
      <c r="J54" s="22">
        <f>SUM(J50:J52)</f>
        <v>18912.641750772607</v>
      </c>
      <c r="K54" s="22">
        <f>SUM(K50:K52)</f>
        <v>19763.710629557376</v>
      </c>
      <c r="P54" s="34"/>
      <c r="Q54" s="34"/>
      <c r="R54" s="34"/>
      <c r="S54" s="34"/>
      <c r="T54" s="34"/>
      <c r="U54" s="34"/>
    </row>
    <row r="55" spans="1:21">
      <c r="A55" s="9"/>
      <c r="P55" s="34"/>
      <c r="Q55" s="34"/>
      <c r="R55" s="34"/>
      <c r="S55" s="34"/>
      <c r="T55" s="34"/>
      <c r="U55" s="34"/>
    </row>
    <row r="56" spans="1:21">
      <c r="A56" s="12" t="s">
        <v>25</v>
      </c>
      <c r="C56" s="27" t="s">
        <v>26</v>
      </c>
    </row>
    <row r="57" spans="1:21">
      <c r="A57" s="9" t="s">
        <v>27</v>
      </c>
      <c r="C57" s="30">
        <v>5.8000000000000003E-2</v>
      </c>
      <c r="E57" s="22">
        <f>6963/5</f>
        <v>1392.6</v>
      </c>
      <c r="F57" s="22">
        <f>5825/5</f>
        <v>1165</v>
      </c>
      <c r="G57" s="22">
        <f>6276/5</f>
        <v>1255.2</v>
      </c>
      <c r="H57" s="22">
        <f>11256/5</f>
        <v>2251.1999999999998</v>
      </c>
      <c r="I57" s="22">
        <f>7767/5</f>
        <v>1553.4</v>
      </c>
      <c r="J57" s="22">
        <f>7767/5</f>
        <v>1553.4</v>
      </c>
      <c r="K57" s="22">
        <f>7767/5</f>
        <v>1553.4</v>
      </c>
    </row>
    <row r="58" spans="1:21">
      <c r="A58" s="9"/>
    </row>
    <row r="59" spans="1:21">
      <c r="A59" s="9" t="s">
        <v>28</v>
      </c>
      <c r="C59" s="30">
        <v>0.04</v>
      </c>
      <c r="E59" s="29">
        <f>-$C59*D88</f>
        <v>-93.9696</v>
      </c>
      <c r="F59" s="29">
        <f t="shared" ref="F59:K59" si="22">-$C59*E88</f>
        <v>-91.04876717341935</v>
      </c>
      <c r="G59" s="29">
        <f t="shared" si="22"/>
        <v>-95.145961696223239</v>
      </c>
      <c r="H59" s="29">
        <f t="shared" si="22"/>
        <v>-99.427529972553273</v>
      </c>
      <c r="I59" s="29">
        <f t="shared" si="22"/>
        <v>-103.90176882131817</v>
      </c>
      <c r="J59" s="29">
        <f t="shared" si="22"/>
        <v>-108.5773484182775</v>
      </c>
      <c r="K59" s="29">
        <f t="shared" si="22"/>
        <v>-113.46332909709997</v>
      </c>
    </row>
    <row r="60" spans="1:21">
      <c r="A60" s="9" t="s">
        <v>326</v>
      </c>
      <c r="C60" s="375">
        <v>7</v>
      </c>
      <c r="E60" s="29">
        <f>$D$143 /$C$60</f>
        <v>17.09714285714286</v>
      </c>
      <c r="F60" s="29">
        <f t="shared" ref="F60:K60" si="23">$D$143 /$C$60</f>
        <v>17.09714285714286</v>
      </c>
      <c r="G60" s="29">
        <f t="shared" si="23"/>
        <v>17.09714285714286</v>
      </c>
      <c r="H60" s="29">
        <f t="shared" si="23"/>
        <v>17.09714285714286</v>
      </c>
      <c r="I60" s="29">
        <f t="shared" si="23"/>
        <v>17.09714285714286</v>
      </c>
      <c r="J60" s="29">
        <f t="shared" si="23"/>
        <v>17.09714285714286</v>
      </c>
      <c r="K60" s="29">
        <f t="shared" si="23"/>
        <v>17.09714285714286</v>
      </c>
    </row>
    <row r="61" spans="1:21" ht="16">
      <c r="A61" s="9"/>
      <c r="C61" s="375"/>
      <c r="E61" s="26"/>
      <c r="F61" s="26" t="s">
        <v>17</v>
      </c>
      <c r="G61" s="26" t="s">
        <v>17</v>
      </c>
      <c r="H61" s="26" t="s">
        <v>17</v>
      </c>
      <c r="I61" s="26" t="s">
        <v>17</v>
      </c>
      <c r="J61" s="26" t="s">
        <v>17</v>
      </c>
      <c r="K61" s="26" t="s">
        <v>17</v>
      </c>
    </row>
    <row r="62" spans="1:21" ht="16">
      <c r="A62" s="9"/>
      <c r="C62" s="375"/>
      <c r="E62" s="26"/>
      <c r="F62" s="26"/>
      <c r="G62" s="26"/>
      <c r="H62" s="26"/>
      <c r="I62" s="26"/>
      <c r="J62" s="26"/>
      <c r="K62" s="26"/>
    </row>
    <row r="63" spans="1:21">
      <c r="A63" s="9" t="s">
        <v>29</v>
      </c>
      <c r="E63" s="22">
        <f t="shared" ref="E63:K63" si="24">E54-SUM(E57:E61)</f>
        <v>13860.741622142859</v>
      </c>
      <c r="F63" s="22">
        <f t="shared" si="24"/>
        <v>14768.361901741275</v>
      </c>
      <c r="G63" s="22">
        <f t="shared" si="24"/>
        <v>15395.932558748205</v>
      </c>
      <c r="H63" s="22">
        <f t="shared" si="24"/>
        <v>15150.002895320447</v>
      </c>
      <c r="I63" s="22">
        <f t="shared" si="24"/>
        <v>16631.626397038443</v>
      </c>
      <c r="J63" s="22">
        <f t="shared" si="24"/>
        <v>17450.721956333742</v>
      </c>
      <c r="K63" s="22">
        <f t="shared" si="24"/>
        <v>18306.676815797335</v>
      </c>
    </row>
    <row r="64" spans="1:21">
      <c r="A64" s="9" t="s">
        <v>30</v>
      </c>
      <c r="C64" s="28">
        <v>0.34</v>
      </c>
      <c r="E64" s="22">
        <f t="shared" ref="E64:K64" si="25">-E63*$C$64</f>
        <v>-4712.6521515285722</v>
      </c>
      <c r="F64" s="22">
        <f t="shared" si="25"/>
        <v>-5021.2430465920334</v>
      </c>
      <c r="G64" s="22">
        <f t="shared" si="25"/>
        <v>-5234.6170699743898</v>
      </c>
      <c r="H64" s="22">
        <f t="shared" si="25"/>
        <v>-5151.0009844089527</v>
      </c>
      <c r="I64" s="22">
        <f t="shared" si="25"/>
        <v>-5654.7529749930709</v>
      </c>
      <c r="J64" s="22">
        <f t="shared" si="25"/>
        <v>-5933.2454651534727</v>
      </c>
      <c r="K64" s="22">
        <f t="shared" si="25"/>
        <v>-6224.2701173710939</v>
      </c>
    </row>
    <row r="65" spans="1:13" ht="16">
      <c r="A65" s="13"/>
      <c r="E65" s="26" t="s">
        <v>17</v>
      </c>
      <c r="F65" s="26" t="s">
        <v>17</v>
      </c>
      <c r="G65" s="26" t="s">
        <v>17</v>
      </c>
      <c r="H65" s="26" t="s">
        <v>17</v>
      </c>
      <c r="I65" s="26" t="s">
        <v>17</v>
      </c>
      <c r="J65" s="26" t="s">
        <v>17</v>
      </c>
      <c r="K65" s="26" t="s">
        <v>17</v>
      </c>
    </row>
    <row r="66" spans="1:13">
      <c r="A66" s="9" t="s">
        <v>31</v>
      </c>
      <c r="E66" s="22">
        <f t="shared" ref="E66:K66" si="26">SUM(E63:E65)</f>
        <v>9148.0894706142863</v>
      </c>
      <c r="F66" s="22">
        <f t="shared" si="26"/>
        <v>9747.1188551492414</v>
      </c>
      <c r="G66" s="22">
        <f t="shared" si="26"/>
        <v>10161.315488773816</v>
      </c>
      <c r="H66" s="22">
        <f t="shared" si="26"/>
        <v>9999.0019109114946</v>
      </c>
      <c r="I66" s="22">
        <f t="shared" si="26"/>
        <v>10976.873422045372</v>
      </c>
      <c r="J66" s="22">
        <f t="shared" si="26"/>
        <v>11517.47649118027</v>
      </c>
      <c r="K66" s="22">
        <f t="shared" si="26"/>
        <v>12082.406698426241</v>
      </c>
    </row>
    <row r="67" spans="1:13">
      <c r="A67" s="9" t="s">
        <v>32</v>
      </c>
      <c r="E67" s="60">
        <v>4300</v>
      </c>
      <c r="F67" s="60">
        <v>4300</v>
      </c>
      <c r="G67" s="60">
        <v>4300</v>
      </c>
      <c r="H67" s="60">
        <v>4300</v>
      </c>
      <c r="I67" s="60">
        <v>4300</v>
      </c>
      <c r="J67" s="60">
        <v>4300</v>
      </c>
      <c r="K67" s="60">
        <v>4300</v>
      </c>
    </row>
    <row r="68" spans="1:13">
      <c r="A68" s="9" t="s">
        <v>33</v>
      </c>
      <c r="E68" s="31">
        <f t="shared" ref="E68:K68" si="27">E66/E67</f>
        <v>2.1274626675847177</v>
      </c>
      <c r="F68" s="31">
        <f t="shared" si="27"/>
        <v>2.2667718267788932</v>
      </c>
      <c r="G68" s="31">
        <f t="shared" si="27"/>
        <v>2.3630966252962362</v>
      </c>
      <c r="H68" s="31">
        <f t="shared" si="27"/>
        <v>2.3253492816073242</v>
      </c>
      <c r="I68" s="31">
        <f t="shared" si="27"/>
        <v>2.5527612609407839</v>
      </c>
      <c r="J68" s="31">
        <f t="shared" si="27"/>
        <v>2.6784829049256444</v>
      </c>
      <c r="K68" s="31">
        <f t="shared" si="27"/>
        <v>2.8098620228898232</v>
      </c>
    </row>
    <row r="69" spans="1:13">
      <c r="A69" s="13"/>
      <c r="E69" s="33"/>
    </row>
    <row r="70" spans="1:13">
      <c r="A70" s="32" t="s">
        <v>34</v>
      </c>
    </row>
    <row r="71" spans="1:13">
      <c r="A71" s="22" t="str">
        <f>"  "&amp;A54</f>
        <v xml:space="preserve">  EBIT</v>
      </c>
      <c r="E71" s="22">
        <f t="shared" ref="E71:K71" si="28">E54</f>
        <v>15176.469165000002</v>
      </c>
      <c r="F71" s="22">
        <f t="shared" si="28"/>
        <v>15859.410277424999</v>
      </c>
      <c r="G71" s="22">
        <f t="shared" si="28"/>
        <v>16573.083739909125</v>
      </c>
      <c r="H71" s="22">
        <f t="shared" si="28"/>
        <v>17318.872508205037</v>
      </c>
      <c r="I71" s="22">
        <f t="shared" si="28"/>
        <v>18098.221771074266</v>
      </c>
      <c r="J71" s="22">
        <f t="shared" si="28"/>
        <v>18912.641750772607</v>
      </c>
      <c r="K71" s="22">
        <f t="shared" si="28"/>
        <v>19763.710629557376</v>
      </c>
    </row>
    <row r="72" spans="1:13">
      <c r="A72" s="9" t="s">
        <v>36</v>
      </c>
      <c r="E72" s="22">
        <f t="shared" ref="E72:K72" si="29">E13</f>
        <v>3174.4477049999996</v>
      </c>
      <c r="F72" s="22">
        <f t="shared" si="29"/>
        <v>3317.2978517249999</v>
      </c>
      <c r="G72" s="22">
        <f t="shared" si="29"/>
        <v>3466.5762550526251</v>
      </c>
      <c r="H72" s="22">
        <f t="shared" si="29"/>
        <v>3622.5721865299929</v>
      </c>
      <c r="I72" s="22">
        <f t="shared" si="29"/>
        <v>3785.587934923843</v>
      </c>
      <c r="J72" s="22">
        <f t="shared" si="29"/>
        <v>3955.9393919954159</v>
      </c>
      <c r="K72" s="22">
        <f t="shared" si="29"/>
        <v>4133.9566646352096</v>
      </c>
    </row>
    <row r="73" spans="1:13" ht="16">
      <c r="A73" s="13"/>
      <c r="D73" s="26"/>
      <c r="E73" s="26" t="s">
        <v>17</v>
      </c>
      <c r="F73" s="26" t="s">
        <v>17</v>
      </c>
      <c r="G73" s="26" t="s">
        <v>17</v>
      </c>
      <c r="H73" s="26" t="s">
        <v>17</v>
      </c>
      <c r="I73" s="26" t="s">
        <v>17</v>
      </c>
      <c r="J73" s="26" t="s">
        <v>17</v>
      </c>
      <c r="K73" s="26" t="s">
        <v>17</v>
      </c>
    </row>
    <row r="74" spans="1:13">
      <c r="A74" s="9" t="s">
        <v>35</v>
      </c>
      <c r="E74" s="22">
        <f t="shared" ref="E74:K74" si="30">SUM(E71:E73)</f>
        <v>18350.916870000001</v>
      </c>
      <c r="F74" s="22">
        <f t="shared" si="30"/>
        <v>19176.70812915</v>
      </c>
      <c r="G74" s="22">
        <f t="shared" si="30"/>
        <v>20039.659994961752</v>
      </c>
      <c r="H74" s="22">
        <f t="shared" si="30"/>
        <v>20941.44469473503</v>
      </c>
      <c r="I74" s="22">
        <f t="shared" si="30"/>
        <v>21883.809705998108</v>
      </c>
      <c r="J74" s="22">
        <f t="shared" si="30"/>
        <v>22868.581142768024</v>
      </c>
      <c r="K74" s="22">
        <f t="shared" si="30"/>
        <v>23897.667294192586</v>
      </c>
    </row>
    <row r="77" spans="1:13">
      <c r="F77" s="59"/>
      <c r="G77" s="59"/>
      <c r="H77" s="59"/>
      <c r="I77" s="59"/>
      <c r="J77" s="59"/>
      <c r="K77" s="59"/>
      <c r="M77" s="176"/>
    </row>
    <row r="79" spans="1:13" ht="18">
      <c r="A79" s="7" t="s">
        <v>37</v>
      </c>
      <c r="B79" s="8"/>
      <c r="C79" s="8"/>
      <c r="D79" s="8"/>
      <c r="E79" s="8"/>
      <c r="F79" s="16"/>
      <c r="G79" s="16"/>
      <c r="H79" s="16"/>
      <c r="I79" s="16"/>
    </row>
    <row r="80" spans="1:13">
      <c r="F80" s="16"/>
      <c r="G80" s="16"/>
      <c r="H80" s="16"/>
      <c r="I80" s="16"/>
    </row>
    <row r="81" spans="1:11" ht="16">
      <c r="A81"/>
      <c r="B81" s="5"/>
      <c r="C81" s="6"/>
      <c r="D81" s="6" t="s">
        <v>38</v>
      </c>
      <c r="E81" s="5" t="s">
        <v>1</v>
      </c>
      <c r="F81" s="35"/>
      <c r="G81" s="35"/>
      <c r="H81" s="35"/>
      <c r="I81" s="35"/>
      <c r="J81" s="35"/>
      <c r="K81" s="35"/>
    </row>
    <row r="82" spans="1:11">
      <c r="A82" s="10"/>
      <c r="B82" s="16"/>
      <c r="C82" s="16"/>
      <c r="D82" s="4">
        <f t="shared" ref="D82:K82" si="31">D45</f>
        <v>2023</v>
      </c>
      <c r="E82" s="4">
        <f t="shared" si="31"/>
        <v>2024</v>
      </c>
      <c r="F82" s="4">
        <f t="shared" si="31"/>
        <v>2025</v>
      </c>
      <c r="G82" s="4">
        <f t="shared" si="31"/>
        <v>2026</v>
      </c>
      <c r="H82" s="4">
        <f t="shared" si="31"/>
        <v>2027</v>
      </c>
      <c r="I82" s="4">
        <f t="shared" si="31"/>
        <v>2028</v>
      </c>
      <c r="J82" s="4">
        <f t="shared" si="31"/>
        <v>2029</v>
      </c>
      <c r="K82" s="4">
        <f t="shared" si="31"/>
        <v>2030</v>
      </c>
    </row>
    <row r="83" spans="1:11">
      <c r="A83" s="10"/>
      <c r="B83" s="16"/>
      <c r="C83" s="16"/>
      <c r="D83" s="16"/>
      <c r="E83" s="16"/>
      <c r="F83" s="16"/>
      <c r="G83" s="16"/>
      <c r="H83" s="16"/>
      <c r="I83" s="16"/>
    </row>
    <row r="84" spans="1:11">
      <c r="A84" s="36" t="s">
        <v>39</v>
      </c>
      <c r="B84" s="16"/>
      <c r="C84" s="16"/>
      <c r="D84" s="58">
        <f>D47</f>
        <v>41613</v>
      </c>
      <c r="E84" s="58">
        <f t="shared" ref="E84:K84" si="32">E47</f>
        <v>43485.584999999999</v>
      </c>
      <c r="F84" s="58">
        <f t="shared" si="32"/>
        <v>45442.436325000002</v>
      </c>
      <c r="G84" s="58">
        <f t="shared" si="32"/>
        <v>47487.345959625003</v>
      </c>
      <c r="H84" s="58">
        <f t="shared" si="32"/>
        <v>49624.276527808128</v>
      </c>
      <c r="I84" s="58">
        <f t="shared" si="32"/>
        <v>51857.368971559496</v>
      </c>
      <c r="J84" s="58">
        <f t="shared" si="32"/>
        <v>54190.950575279676</v>
      </c>
      <c r="K84" s="58">
        <f t="shared" si="32"/>
        <v>56629.54335116726</v>
      </c>
    </row>
    <row r="85" spans="1:11">
      <c r="A85" s="36" t="s">
        <v>40</v>
      </c>
      <c r="B85" s="16"/>
      <c r="C85" s="16"/>
      <c r="D85" s="57">
        <f>D48</f>
        <v>-27063</v>
      </c>
      <c r="E85" s="57">
        <f t="shared" ref="E85:K85" si="33">E48</f>
        <v>-26221.807754999998</v>
      </c>
      <c r="F85" s="57">
        <f t="shared" si="33"/>
        <v>-27401.789103975003</v>
      </c>
      <c r="G85" s="57">
        <f t="shared" si="33"/>
        <v>-28634.869613653878</v>
      </c>
      <c r="H85" s="57">
        <f t="shared" si="33"/>
        <v>-29923.438746268301</v>
      </c>
      <c r="I85" s="57">
        <f t="shared" si="33"/>
        <v>-31269.993489850374</v>
      </c>
      <c r="J85" s="57">
        <f t="shared" si="33"/>
        <v>-32677.143196893645</v>
      </c>
      <c r="K85" s="57">
        <f t="shared" si="33"/>
        <v>-34147.614640753854</v>
      </c>
    </row>
    <row r="86" spans="1:11">
      <c r="A86" s="36"/>
      <c r="B86" s="16"/>
      <c r="C86" s="16"/>
      <c r="D86" s="37"/>
      <c r="E86" s="37"/>
      <c r="F86" s="37"/>
      <c r="G86" s="37"/>
      <c r="H86" s="37"/>
      <c r="I86" s="37"/>
    </row>
    <row r="87" spans="1:11">
      <c r="A87" s="36" t="s">
        <v>41</v>
      </c>
      <c r="B87" s="16"/>
      <c r="C87" s="16"/>
      <c r="D87" s="37"/>
      <c r="E87" s="37"/>
      <c r="F87" s="37"/>
      <c r="G87" s="37"/>
      <c r="H87" s="37"/>
      <c r="I87" s="37"/>
    </row>
    <row r="88" spans="1:11">
      <c r="A88" s="38" t="s">
        <v>42</v>
      </c>
      <c r="B88" s="39"/>
      <c r="C88" s="39"/>
      <c r="D88" s="37">
        <f>D124</f>
        <v>2349.2399999999998</v>
      </c>
      <c r="E88" s="37">
        <f>-E108*E85</f>
        <v>2276.2191793354837</v>
      </c>
      <c r="F88" s="37">
        <f t="shared" ref="F88:K88" si="34">-F108*F85</f>
        <v>2378.649042405581</v>
      </c>
      <c r="G88" s="37">
        <f t="shared" si="34"/>
        <v>2485.6882493138319</v>
      </c>
      <c r="H88" s="37">
        <f t="shared" si="34"/>
        <v>2597.5442205329541</v>
      </c>
      <c r="I88" s="37">
        <f t="shared" si="34"/>
        <v>2714.4337104569372</v>
      </c>
      <c r="J88" s="37">
        <f t="shared" si="34"/>
        <v>2836.5832274274994</v>
      </c>
      <c r="K88" s="37">
        <f t="shared" si="34"/>
        <v>2964.2294726617365</v>
      </c>
    </row>
    <row r="89" spans="1:11">
      <c r="A89" s="36" t="s">
        <v>43</v>
      </c>
      <c r="B89" s="16"/>
      <c r="C89" s="16"/>
      <c r="D89" s="37">
        <f>D129</f>
        <v>4063</v>
      </c>
      <c r="E89" s="37">
        <f>E109*E84</f>
        <v>4245.835</v>
      </c>
      <c r="F89" s="37">
        <f t="shared" ref="F89:K89" si="35">F109*F84</f>
        <v>4436.897575</v>
      </c>
      <c r="G89" s="37">
        <f t="shared" si="35"/>
        <v>4636.5579658750003</v>
      </c>
      <c r="H89" s="37">
        <f t="shared" si="35"/>
        <v>4845.2030743393752</v>
      </c>
      <c r="I89" s="37">
        <f t="shared" si="35"/>
        <v>5063.2372126846476</v>
      </c>
      <c r="J89" s="37">
        <f t="shared" si="35"/>
        <v>5291.0828872554566</v>
      </c>
      <c r="K89" s="37">
        <f t="shared" si="35"/>
        <v>5529.1816171819528</v>
      </c>
    </row>
    <row r="90" spans="1:11">
      <c r="A90" s="36" t="s">
        <v>44</v>
      </c>
      <c r="B90" s="16"/>
      <c r="C90" s="16"/>
      <c r="D90" s="37">
        <v>4536</v>
      </c>
      <c r="E90" s="37">
        <f>-E111*E85</f>
        <v>4395.0086825806447</v>
      </c>
      <c r="F90" s="37">
        <f t="shared" ref="F90:K90" si="36">-F111*F85</f>
        <v>4592.7840732967743</v>
      </c>
      <c r="G90" s="37">
        <f t="shared" si="36"/>
        <v>4799.4593565951291</v>
      </c>
      <c r="H90" s="37">
        <f t="shared" si="36"/>
        <v>5015.43502764191</v>
      </c>
      <c r="I90" s="37">
        <f t="shared" si="36"/>
        <v>5241.1296038857954</v>
      </c>
      <c r="J90" s="37">
        <f t="shared" si="36"/>
        <v>5476.9804360606577</v>
      </c>
      <c r="K90" s="37">
        <f t="shared" si="36"/>
        <v>5723.4445556833862</v>
      </c>
    </row>
    <row r="91" spans="1:11">
      <c r="A91" s="36" t="s">
        <v>45</v>
      </c>
      <c r="B91" s="16"/>
      <c r="C91" s="16"/>
      <c r="D91" s="37">
        <f>D131</f>
        <v>429</v>
      </c>
      <c r="E91" s="37">
        <f>-E113*E85</f>
        <v>415.66550370967741</v>
      </c>
      <c r="F91" s="37">
        <f t="shared" ref="F91:K91" si="37">-F113*F85</f>
        <v>434.37045137661295</v>
      </c>
      <c r="G91" s="37">
        <f t="shared" si="37"/>
        <v>453.91712168856054</v>
      </c>
      <c r="H91" s="37">
        <f t="shared" si="37"/>
        <v>474.34339216454572</v>
      </c>
      <c r="I91" s="37">
        <f t="shared" si="37"/>
        <v>495.68884481195028</v>
      </c>
      <c r="J91" s="37">
        <f t="shared" si="37"/>
        <v>517.99484282848812</v>
      </c>
      <c r="K91" s="37">
        <f t="shared" si="37"/>
        <v>541.30461075577</v>
      </c>
    </row>
    <row r="92" spans="1:11">
      <c r="A92" s="36" t="s">
        <v>90</v>
      </c>
      <c r="B92" s="16"/>
      <c r="C92" s="16"/>
      <c r="D92" s="37">
        <v>7577</v>
      </c>
      <c r="E92" s="37">
        <f>-E116*E85</f>
        <v>7341.4860643548382</v>
      </c>
      <c r="F92" s="37">
        <f t="shared" ref="F92:K92" si="38">-F116*F85</f>
        <v>7671.8529372508074</v>
      </c>
      <c r="G92" s="37">
        <f t="shared" si="38"/>
        <v>8017.0863194270942</v>
      </c>
      <c r="H92" s="37">
        <f t="shared" si="38"/>
        <v>8377.8552038013131</v>
      </c>
      <c r="I92" s="37">
        <f t="shared" si="38"/>
        <v>8754.8586879723716</v>
      </c>
      <c r="J92" s="37">
        <f t="shared" si="38"/>
        <v>9148.8273289311292</v>
      </c>
      <c r="K92" s="37">
        <f t="shared" si="38"/>
        <v>9560.5245587330301</v>
      </c>
    </row>
    <row r="93" spans="1:11" ht="16">
      <c r="A93" s="36"/>
      <c r="B93" s="16"/>
      <c r="C93" s="16"/>
      <c r="D93" s="40" t="s">
        <v>17</v>
      </c>
      <c r="E93" s="40" t="s">
        <v>17</v>
      </c>
      <c r="F93" s="40" t="s">
        <v>17</v>
      </c>
      <c r="G93" s="40" t="s">
        <v>17</v>
      </c>
      <c r="H93" s="40" t="s">
        <v>17</v>
      </c>
      <c r="I93" s="40" t="s">
        <v>17</v>
      </c>
      <c r="J93" s="40" t="s">
        <v>17</v>
      </c>
      <c r="K93" s="40" t="s">
        <v>17</v>
      </c>
    </row>
    <row r="94" spans="1:11">
      <c r="A94" s="36" t="s">
        <v>46</v>
      </c>
      <c r="B94" s="16"/>
      <c r="C94" s="16"/>
      <c r="D94" s="37">
        <f>D134</f>
        <v>18105</v>
      </c>
      <c r="E94" s="37">
        <f>SUM(E88:E92)</f>
        <v>18674.214429980646</v>
      </c>
      <c r="F94" s="37">
        <f t="shared" ref="F94:K94" si="39">SUM(F88:F92)</f>
        <v>19514.554079329777</v>
      </c>
      <c r="G94" s="37">
        <f t="shared" si="39"/>
        <v>20392.709012899617</v>
      </c>
      <c r="H94" s="37">
        <f t="shared" si="39"/>
        <v>21310.380918480099</v>
      </c>
      <c r="I94" s="37">
        <f t="shared" si="39"/>
        <v>22269.348059811702</v>
      </c>
      <c r="J94" s="37">
        <f t="shared" si="39"/>
        <v>23271.468722503232</v>
      </c>
      <c r="K94" s="37">
        <f t="shared" si="39"/>
        <v>24318.684815015873</v>
      </c>
    </row>
    <row r="95" spans="1:11">
      <c r="A95" s="36"/>
      <c r="B95" s="16"/>
      <c r="C95" s="16"/>
      <c r="D95" s="37"/>
      <c r="E95" s="37"/>
      <c r="F95" s="37"/>
      <c r="G95" s="37"/>
      <c r="H95" s="37"/>
      <c r="I95" s="37"/>
      <c r="J95" s="37"/>
      <c r="K95" s="37"/>
    </row>
    <row r="96" spans="1:11">
      <c r="A96" s="36" t="s">
        <v>47</v>
      </c>
      <c r="B96" s="16"/>
      <c r="C96" s="16"/>
      <c r="D96" s="37"/>
      <c r="E96" s="37"/>
      <c r="F96" s="37"/>
      <c r="G96" s="37"/>
      <c r="H96" s="37"/>
      <c r="I96" s="37"/>
      <c r="J96" s="37"/>
      <c r="K96" s="37"/>
    </row>
    <row r="97" spans="1:11">
      <c r="A97" s="36" t="s">
        <v>48</v>
      </c>
      <c r="B97" s="16"/>
      <c r="C97" s="16"/>
      <c r="D97" s="37">
        <f>D148</f>
        <v>4101</v>
      </c>
      <c r="E97" s="37">
        <f>-E114*E85</f>
        <v>3973.5296753225807</v>
      </c>
      <c r="F97" s="37">
        <f t="shared" ref="F97:K97" si="40">-F114*F85</f>
        <v>4152.3385107120976</v>
      </c>
      <c r="G97" s="37">
        <f t="shared" si="40"/>
        <v>4339.1937436941416</v>
      </c>
      <c r="H97" s="37">
        <f t="shared" si="40"/>
        <v>4534.4574621603779</v>
      </c>
      <c r="I97" s="37">
        <f t="shared" si="40"/>
        <v>4738.5080479575954</v>
      </c>
      <c r="J97" s="37">
        <f t="shared" si="40"/>
        <v>4951.7409101156873</v>
      </c>
      <c r="K97" s="37">
        <f t="shared" si="40"/>
        <v>5174.5692510708923</v>
      </c>
    </row>
    <row r="98" spans="1:11">
      <c r="A98" s="36" t="s">
        <v>49</v>
      </c>
      <c r="B98" s="16"/>
      <c r="C98" s="16"/>
      <c r="D98" s="37">
        <f>D149</f>
        <v>637</v>
      </c>
      <c r="E98" s="37">
        <f>-E115*E85</f>
        <v>617.20029338709674</v>
      </c>
      <c r="F98" s="37">
        <f t="shared" ref="F98:K98" si="41">-F115*F85</f>
        <v>644.97430658951623</v>
      </c>
      <c r="G98" s="37">
        <f t="shared" si="41"/>
        <v>673.99815038604447</v>
      </c>
      <c r="H98" s="37">
        <f t="shared" si="41"/>
        <v>704.32806715341633</v>
      </c>
      <c r="I98" s="37">
        <f t="shared" si="41"/>
        <v>736.02283017532011</v>
      </c>
      <c r="J98" s="37">
        <f t="shared" si="41"/>
        <v>769.1438575332096</v>
      </c>
      <c r="K98" s="37">
        <f t="shared" si="41"/>
        <v>803.75533112220398</v>
      </c>
    </row>
    <row r="99" spans="1:11">
      <c r="A99" s="36" t="s">
        <v>90</v>
      </c>
      <c r="B99" s="16"/>
      <c r="C99" s="16"/>
      <c r="D99" s="37">
        <f>D150</f>
        <v>9451.6</v>
      </c>
      <c r="E99" s="37">
        <f>-E117*E85</f>
        <v>9157.8183563225793</v>
      </c>
      <c r="F99" s="37">
        <f t="shared" ref="F99:K99" si="42">-F117*F85</f>
        <v>9569.9201823570984</v>
      </c>
      <c r="G99" s="37">
        <f t="shared" si="42"/>
        <v>10000.566590563167</v>
      </c>
      <c r="H99" s="37">
        <f t="shared" si="42"/>
        <v>10450.59208713851</v>
      </c>
      <c r="I99" s="37">
        <f t="shared" si="42"/>
        <v>10920.868731059742</v>
      </c>
      <c r="J99" s="37">
        <f t="shared" si="42"/>
        <v>11412.307823957432</v>
      </c>
      <c r="K99" s="37">
        <f t="shared" si="42"/>
        <v>11925.861676035514</v>
      </c>
    </row>
    <row r="100" spans="1:11" ht="16">
      <c r="B100" s="16"/>
      <c r="C100" s="16"/>
      <c r="D100" s="40" t="s">
        <v>17</v>
      </c>
      <c r="E100" s="40" t="s">
        <v>17</v>
      </c>
      <c r="F100" s="40" t="s">
        <v>17</v>
      </c>
      <c r="G100" s="40" t="s">
        <v>17</v>
      </c>
      <c r="H100" s="40" t="s">
        <v>17</v>
      </c>
      <c r="I100" s="40" t="s">
        <v>17</v>
      </c>
      <c r="J100" s="40" t="s">
        <v>17</v>
      </c>
      <c r="K100" s="40" t="s">
        <v>17</v>
      </c>
    </row>
    <row r="101" spans="1:11">
      <c r="A101" s="36" t="s">
        <v>50</v>
      </c>
      <c r="B101" s="16"/>
      <c r="C101" s="16"/>
      <c r="D101" s="37">
        <f>D152</f>
        <v>14189.6</v>
      </c>
      <c r="E101" s="37">
        <f>SUM(E97:E99)</f>
        <v>13748.548325032258</v>
      </c>
      <c r="F101" s="37">
        <f t="shared" ref="F101:K101" si="43">SUM(F97:F99)</f>
        <v>14367.232999658712</v>
      </c>
      <c r="G101" s="37">
        <f t="shared" si="43"/>
        <v>15013.758484643353</v>
      </c>
      <c r="H101" s="37">
        <f t="shared" si="43"/>
        <v>15689.377616452304</v>
      </c>
      <c r="I101" s="37">
        <f t="shared" si="43"/>
        <v>16395.399609192656</v>
      </c>
      <c r="J101" s="37">
        <f t="shared" si="43"/>
        <v>17133.192591606326</v>
      </c>
      <c r="K101" s="37">
        <f t="shared" si="43"/>
        <v>17904.186258228612</v>
      </c>
    </row>
    <row r="102" spans="1:11">
      <c r="A102" s="36"/>
      <c r="B102" s="16"/>
      <c r="C102" s="16"/>
      <c r="D102" s="41"/>
      <c r="E102" s="41"/>
      <c r="F102" s="41"/>
      <c r="G102" s="41"/>
      <c r="H102" s="41"/>
      <c r="I102" s="41"/>
    </row>
    <row r="103" spans="1:11">
      <c r="A103" s="36" t="s">
        <v>51</v>
      </c>
      <c r="B103" s="16"/>
      <c r="C103" s="16"/>
      <c r="D103" s="41"/>
      <c r="E103" s="41"/>
      <c r="F103" s="41"/>
      <c r="G103" s="41"/>
      <c r="H103" s="41"/>
      <c r="I103" s="41"/>
    </row>
    <row r="104" spans="1:11">
      <c r="A104" s="36" t="s">
        <v>52</v>
      </c>
      <c r="B104" s="16"/>
      <c r="C104" s="16"/>
      <c r="D104" s="41">
        <f>D94-D101</f>
        <v>3915.3999999999996</v>
      </c>
      <c r="E104" s="41">
        <f t="shared" ref="E104:K104" si="44">E94-E101</f>
        <v>4925.6661049483882</v>
      </c>
      <c r="F104" s="41">
        <f t="shared" si="44"/>
        <v>5147.3210796710646</v>
      </c>
      <c r="G104" s="41">
        <f t="shared" si="44"/>
        <v>5378.9505282562641</v>
      </c>
      <c r="H104" s="41">
        <f t="shared" si="44"/>
        <v>5621.0033020277951</v>
      </c>
      <c r="I104" s="41">
        <f t="shared" si="44"/>
        <v>5873.9484506190456</v>
      </c>
      <c r="J104" s="41">
        <f t="shared" si="44"/>
        <v>6138.2761308969057</v>
      </c>
      <c r="K104" s="41">
        <f t="shared" si="44"/>
        <v>6414.4985567872609</v>
      </c>
    </row>
    <row r="105" spans="1:11">
      <c r="A105" s="36" t="s">
        <v>53</v>
      </c>
      <c r="B105" s="16"/>
      <c r="C105" s="16"/>
      <c r="D105" s="41"/>
      <c r="E105" s="41">
        <f>D104-E104</f>
        <v>-1010.2661049483886</v>
      </c>
      <c r="F105" s="41">
        <f t="shared" ref="F105:K105" si="45">E104-F104</f>
        <v>-221.65497472267634</v>
      </c>
      <c r="G105" s="41">
        <f t="shared" si="45"/>
        <v>-231.6294485851995</v>
      </c>
      <c r="H105" s="41">
        <f t="shared" si="45"/>
        <v>-242.05277377153106</v>
      </c>
      <c r="I105" s="41">
        <f t="shared" si="45"/>
        <v>-252.94514859125047</v>
      </c>
      <c r="J105" s="41">
        <f t="shared" si="45"/>
        <v>-264.32768027786005</v>
      </c>
      <c r="K105" s="41">
        <f t="shared" si="45"/>
        <v>-276.22242589035523</v>
      </c>
    </row>
    <row r="106" spans="1:11">
      <c r="A106" s="10"/>
      <c r="B106" s="16"/>
      <c r="C106" s="16"/>
      <c r="D106" s="16"/>
      <c r="E106" s="16"/>
      <c r="F106" s="16"/>
      <c r="G106" s="16"/>
      <c r="H106" s="16"/>
      <c r="I106" s="16"/>
    </row>
    <row r="107" spans="1:11">
      <c r="A107" s="10" t="s">
        <v>54</v>
      </c>
      <c r="B107" s="16"/>
      <c r="C107" s="16"/>
      <c r="D107" s="16"/>
      <c r="E107" s="16"/>
      <c r="F107" s="16"/>
      <c r="G107" s="16"/>
      <c r="H107" s="16"/>
      <c r="I107" s="16"/>
    </row>
    <row r="108" spans="1:11">
      <c r="A108" s="42" t="s">
        <v>55</v>
      </c>
      <c r="B108" s="39"/>
      <c r="C108" s="39"/>
      <c r="D108" s="16">
        <f>-D88/D85</f>
        <v>8.6806340760447839E-2</v>
      </c>
      <c r="E108" s="16">
        <f t="shared" ref="E108:E117" si="46">D108</f>
        <v>8.6806340760447839E-2</v>
      </c>
      <c r="F108" s="16">
        <f t="shared" ref="F108:K108" si="47">E108</f>
        <v>8.6806340760447839E-2</v>
      </c>
      <c r="G108" s="16">
        <f t="shared" si="47"/>
        <v>8.6806340760447839E-2</v>
      </c>
      <c r="H108" s="16">
        <f t="shared" si="47"/>
        <v>8.6806340760447839E-2</v>
      </c>
      <c r="I108" s="16">
        <f t="shared" si="47"/>
        <v>8.6806340760447839E-2</v>
      </c>
      <c r="J108" s="16">
        <f t="shared" si="47"/>
        <v>8.6806340760447839E-2</v>
      </c>
      <c r="K108" s="16">
        <f t="shared" si="47"/>
        <v>8.6806340760447839E-2</v>
      </c>
    </row>
    <row r="109" spans="1:11">
      <c r="A109" s="10" t="s">
        <v>56</v>
      </c>
      <c r="B109" s="16"/>
      <c r="C109" s="16"/>
      <c r="D109" s="16">
        <f>D89/D84</f>
        <v>9.7637757431571867E-2</v>
      </c>
      <c r="E109" s="16">
        <f t="shared" si="46"/>
        <v>9.7637757431571867E-2</v>
      </c>
      <c r="F109" s="16">
        <f t="shared" ref="F109:K109" si="48">E109</f>
        <v>9.7637757431571867E-2</v>
      </c>
      <c r="G109" s="16">
        <f t="shared" si="48"/>
        <v>9.7637757431571867E-2</v>
      </c>
      <c r="H109" s="16">
        <f t="shared" si="48"/>
        <v>9.7637757431571867E-2</v>
      </c>
      <c r="I109" s="16">
        <f t="shared" si="48"/>
        <v>9.7637757431571867E-2</v>
      </c>
      <c r="J109" s="16">
        <f t="shared" si="48"/>
        <v>9.7637757431571867E-2</v>
      </c>
      <c r="K109" s="16">
        <f t="shared" si="48"/>
        <v>9.7637757431571867E-2</v>
      </c>
    </row>
    <row r="110" spans="1:11">
      <c r="A110" s="10" t="s">
        <v>57</v>
      </c>
      <c r="B110" s="16"/>
      <c r="C110" s="16"/>
      <c r="D110" s="43">
        <f>D109*365</f>
        <v>35.637781462523733</v>
      </c>
      <c r="E110" s="43">
        <f t="shared" si="46"/>
        <v>35.637781462523733</v>
      </c>
      <c r="F110" s="43">
        <f t="shared" ref="F110:K110" si="49">E110</f>
        <v>35.637781462523733</v>
      </c>
      <c r="G110" s="43">
        <f t="shared" si="49"/>
        <v>35.637781462523733</v>
      </c>
      <c r="H110" s="43">
        <f t="shared" si="49"/>
        <v>35.637781462523733</v>
      </c>
      <c r="I110" s="43">
        <f t="shared" si="49"/>
        <v>35.637781462523733</v>
      </c>
      <c r="J110" s="43">
        <f t="shared" si="49"/>
        <v>35.637781462523733</v>
      </c>
      <c r="K110" s="43">
        <f t="shared" si="49"/>
        <v>35.637781462523733</v>
      </c>
    </row>
    <row r="111" spans="1:11">
      <c r="A111" s="10" t="s">
        <v>58</v>
      </c>
      <c r="B111" s="16"/>
      <c r="C111" s="16"/>
      <c r="D111" s="16">
        <f>-D90/D85</f>
        <v>0.1676089125374127</v>
      </c>
      <c r="E111" s="16">
        <f t="shared" si="46"/>
        <v>0.1676089125374127</v>
      </c>
      <c r="F111" s="16">
        <f t="shared" ref="F111:K111" si="50">E111</f>
        <v>0.1676089125374127</v>
      </c>
      <c r="G111" s="16">
        <f t="shared" si="50"/>
        <v>0.1676089125374127</v>
      </c>
      <c r="H111" s="16">
        <f t="shared" si="50"/>
        <v>0.1676089125374127</v>
      </c>
      <c r="I111" s="16">
        <f t="shared" si="50"/>
        <v>0.1676089125374127</v>
      </c>
      <c r="J111" s="16">
        <f t="shared" si="50"/>
        <v>0.1676089125374127</v>
      </c>
      <c r="K111" s="16">
        <f t="shared" si="50"/>
        <v>0.1676089125374127</v>
      </c>
    </row>
    <row r="112" spans="1:11">
      <c r="A112" s="10" t="s">
        <v>59</v>
      </c>
      <c r="B112" s="16"/>
      <c r="C112" s="16"/>
      <c r="D112" s="44">
        <f>365*D111</f>
        <v>61.177253076155637</v>
      </c>
      <c r="E112" s="44">
        <f t="shared" si="46"/>
        <v>61.177253076155637</v>
      </c>
      <c r="F112" s="44">
        <f t="shared" ref="F112:K112" si="51">E112</f>
        <v>61.177253076155637</v>
      </c>
      <c r="G112" s="44">
        <f t="shared" si="51"/>
        <v>61.177253076155637</v>
      </c>
      <c r="H112" s="44">
        <f t="shared" si="51"/>
        <v>61.177253076155637</v>
      </c>
      <c r="I112" s="44">
        <f t="shared" si="51"/>
        <v>61.177253076155637</v>
      </c>
      <c r="J112" s="44">
        <f t="shared" si="51"/>
        <v>61.177253076155637</v>
      </c>
      <c r="K112" s="44">
        <f t="shared" si="51"/>
        <v>61.177253076155637</v>
      </c>
    </row>
    <row r="113" spans="1:13">
      <c r="A113" s="10" t="s">
        <v>60</v>
      </c>
      <c r="B113" s="16"/>
      <c r="C113" s="16"/>
      <c r="D113" s="16">
        <f>-D91/D85</f>
        <v>1.5851901119609799E-2</v>
      </c>
      <c r="E113" s="16">
        <f t="shared" si="46"/>
        <v>1.5851901119609799E-2</v>
      </c>
      <c r="F113" s="16">
        <f t="shared" ref="F113:K113" si="52">E113</f>
        <v>1.5851901119609799E-2</v>
      </c>
      <c r="G113" s="16">
        <f t="shared" si="52"/>
        <v>1.5851901119609799E-2</v>
      </c>
      <c r="H113" s="16">
        <f t="shared" si="52"/>
        <v>1.5851901119609799E-2</v>
      </c>
      <c r="I113" s="16">
        <f t="shared" si="52"/>
        <v>1.5851901119609799E-2</v>
      </c>
      <c r="J113" s="16">
        <f t="shared" si="52"/>
        <v>1.5851901119609799E-2</v>
      </c>
      <c r="K113" s="16">
        <f t="shared" si="52"/>
        <v>1.5851901119609799E-2</v>
      </c>
    </row>
    <row r="114" spans="1:13">
      <c r="A114" s="10" t="s">
        <v>61</v>
      </c>
      <c r="B114" s="16"/>
      <c r="C114" s="16"/>
      <c r="D114" s="16">
        <f>-D97/D85</f>
        <v>0.15153530650703914</v>
      </c>
      <c r="E114" s="16">
        <f t="shared" si="46"/>
        <v>0.15153530650703914</v>
      </c>
      <c r="F114" s="16">
        <f t="shared" ref="F114:K114" si="53">E114</f>
        <v>0.15153530650703914</v>
      </c>
      <c r="G114" s="16">
        <f t="shared" si="53"/>
        <v>0.15153530650703914</v>
      </c>
      <c r="H114" s="16">
        <f t="shared" si="53"/>
        <v>0.15153530650703914</v>
      </c>
      <c r="I114" s="16">
        <f t="shared" si="53"/>
        <v>0.15153530650703914</v>
      </c>
      <c r="J114" s="16">
        <f t="shared" si="53"/>
        <v>0.15153530650703914</v>
      </c>
      <c r="K114" s="16">
        <f t="shared" si="53"/>
        <v>0.15153530650703914</v>
      </c>
    </row>
    <row r="115" spans="1:13">
      <c r="A115" s="10" t="s">
        <v>62</v>
      </c>
      <c r="B115" s="16"/>
      <c r="C115" s="16"/>
      <c r="D115" s="16">
        <f>-D98/D85</f>
        <v>2.3537671359420611E-2</v>
      </c>
      <c r="E115" s="16">
        <f t="shared" si="46"/>
        <v>2.3537671359420611E-2</v>
      </c>
      <c r="F115" s="16">
        <f t="shared" ref="F115:K117" si="54">E115</f>
        <v>2.3537671359420611E-2</v>
      </c>
      <c r="G115" s="16">
        <f t="shared" si="54"/>
        <v>2.3537671359420611E-2</v>
      </c>
      <c r="H115" s="16">
        <f t="shared" si="54"/>
        <v>2.3537671359420611E-2</v>
      </c>
      <c r="I115" s="16">
        <f t="shared" si="54"/>
        <v>2.3537671359420611E-2</v>
      </c>
      <c r="J115" s="16">
        <f t="shared" si="54"/>
        <v>2.3537671359420611E-2</v>
      </c>
      <c r="K115" s="16">
        <f t="shared" si="54"/>
        <v>2.3537671359420611E-2</v>
      </c>
    </row>
    <row r="116" spans="1:13">
      <c r="A116" s="10" t="s">
        <v>94</v>
      </c>
      <c r="B116" s="16"/>
      <c r="C116" s="16"/>
      <c r="D116" s="16">
        <f>-D92/D85</f>
        <v>0.27997635147618521</v>
      </c>
      <c r="E116" s="16">
        <f t="shared" si="46"/>
        <v>0.27997635147618521</v>
      </c>
      <c r="F116" s="16">
        <f t="shared" si="54"/>
        <v>0.27997635147618521</v>
      </c>
      <c r="G116" s="16">
        <f t="shared" si="54"/>
        <v>0.27997635147618521</v>
      </c>
      <c r="H116" s="16">
        <f t="shared" si="54"/>
        <v>0.27997635147618521</v>
      </c>
      <c r="I116" s="16">
        <f t="shared" si="54"/>
        <v>0.27997635147618521</v>
      </c>
      <c r="J116" s="16">
        <f t="shared" si="54"/>
        <v>0.27997635147618521</v>
      </c>
      <c r="K116" s="16">
        <f t="shared" si="54"/>
        <v>0.27997635147618521</v>
      </c>
    </row>
    <row r="117" spans="1:13">
      <c r="A117" s="10" t="s">
        <v>95</v>
      </c>
      <c r="D117" s="59">
        <f>-D99/D85</f>
        <v>0.34924435576248014</v>
      </c>
      <c r="E117" s="59">
        <f t="shared" si="46"/>
        <v>0.34924435576248014</v>
      </c>
      <c r="F117" s="59">
        <f t="shared" si="54"/>
        <v>0.34924435576248014</v>
      </c>
      <c r="G117" s="59">
        <f t="shared" si="54"/>
        <v>0.34924435576248014</v>
      </c>
      <c r="H117" s="59">
        <f t="shared" si="54"/>
        <v>0.34924435576248014</v>
      </c>
      <c r="I117" s="59">
        <f t="shared" si="54"/>
        <v>0.34924435576248014</v>
      </c>
      <c r="J117" s="59">
        <f t="shared" si="54"/>
        <v>0.34924435576248014</v>
      </c>
      <c r="K117" s="59">
        <f t="shared" si="54"/>
        <v>0.34924435576248014</v>
      </c>
    </row>
    <row r="119" spans="1:13" ht="18">
      <c r="A119" s="7" t="s">
        <v>63</v>
      </c>
      <c r="B119" s="7"/>
      <c r="C119" s="7"/>
      <c r="D119" s="7"/>
      <c r="E119" s="7"/>
      <c r="F119" s="7"/>
      <c r="G119" s="7"/>
      <c r="H119" s="7"/>
      <c r="I119" s="7"/>
    </row>
    <row r="120" spans="1:13">
      <c r="A120" s="13"/>
      <c r="B120" s="13"/>
      <c r="C120" s="13"/>
      <c r="D120" s="13"/>
      <c r="E120" s="13"/>
      <c r="F120" s="13"/>
      <c r="G120" s="13"/>
      <c r="H120" s="13"/>
      <c r="I120" s="13"/>
    </row>
    <row r="121" spans="1:13" ht="16">
      <c r="A121"/>
      <c r="B121" s="13"/>
      <c r="C121"/>
      <c r="D121" s="25" t="s">
        <v>0</v>
      </c>
      <c r="E121" s="45" t="s">
        <v>1</v>
      </c>
      <c r="F121" s="45"/>
      <c r="G121" s="45"/>
      <c r="H121" s="45"/>
      <c r="I121" s="45"/>
      <c r="J121" s="45"/>
      <c r="K121" s="45"/>
    </row>
    <row r="122" spans="1:13">
      <c r="A122"/>
      <c r="B122" s="46"/>
      <c r="C122"/>
      <c r="D122" s="47">
        <v>45291</v>
      </c>
      <c r="E122" s="48">
        <f t="shared" ref="E122:K122" si="55">EOMONTH(D122,12)</f>
        <v>45657</v>
      </c>
      <c r="F122" s="48">
        <f t="shared" si="55"/>
        <v>46022</v>
      </c>
      <c r="G122" s="48">
        <f t="shared" si="55"/>
        <v>46387</v>
      </c>
      <c r="H122" s="48">
        <f t="shared" si="55"/>
        <v>46752</v>
      </c>
      <c r="I122" s="48">
        <f t="shared" si="55"/>
        <v>47118</v>
      </c>
      <c r="J122" s="48">
        <f t="shared" si="55"/>
        <v>47483</v>
      </c>
      <c r="K122" s="48">
        <f t="shared" si="55"/>
        <v>47848</v>
      </c>
    </row>
    <row r="123" spans="1:13">
      <c r="A123" s="49" t="s">
        <v>64</v>
      </c>
      <c r="B123" s="13"/>
      <c r="C123" s="13"/>
      <c r="D123" s="13"/>
      <c r="E123" s="50"/>
      <c r="F123" s="50"/>
      <c r="G123" s="50"/>
      <c r="H123" s="50"/>
      <c r="I123" s="50"/>
    </row>
    <row r="124" spans="1:13">
      <c r="A124" s="9" t="s">
        <v>42</v>
      </c>
      <c r="B124" s="13"/>
      <c r="C124" s="13"/>
      <c r="D124" s="51">
        <f>0.6*D104</f>
        <v>2349.2399999999998</v>
      </c>
      <c r="E124" s="388">
        <f t="shared" ref="E124:K124" si="56">0.6*E104</f>
        <v>2955.3996629690328</v>
      </c>
      <c r="F124" s="388">
        <f t="shared" si="56"/>
        <v>3088.3926478026387</v>
      </c>
      <c r="G124" s="388">
        <f t="shared" si="56"/>
        <v>3227.3703169537584</v>
      </c>
      <c r="H124" s="388">
        <f t="shared" si="56"/>
        <v>3372.6019812166769</v>
      </c>
      <c r="I124" s="388">
        <f t="shared" si="56"/>
        <v>3524.3690703714274</v>
      </c>
      <c r="J124" s="388">
        <f t="shared" si="56"/>
        <v>3682.9656785381435</v>
      </c>
      <c r="K124" s="388">
        <f t="shared" si="56"/>
        <v>3848.6991340723562</v>
      </c>
      <c r="M124" s="159"/>
    </row>
    <row r="125" spans="1:13">
      <c r="A125" s="9" t="s">
        <v>65</v>
      </c>
      <c r="D125" s="51">
        <f>D127-D124</f>
        <v>1195.7600000000002</v>
      </c>
      <c r="E125" s="388">
        <f t="shared" ref="E125:K125" si="57">E127-E124</f>
        <v>479.40033703096742</v>
      </c>
      <c r="F125" s="388">
        <f t="shared" si="57"/>
        <v>501.00735219736134</v>
      </c>
      <c r="G125" s="388">
        <f t="shared" si="57"/>
        <v>523.52968304624164</v>
      </c>
      <c r="H125" s="388">
        <f t="shared" si="57"/>
        <v>547.09801878332291</v>
      </c>
      <c r="I125" s="388">
        <f t="shared" si="57"/>
        <v>571.73092962857299</v>
      </c>
      <c r="J125" s="388">
        <f t="shared" si="57"/>
        <v>597.43432146185614</v>
      </c>
      <c r="K125" s="388">
        <f t="shared" si="57"/>
        <v>624.30086592764383</v>
      </c>
      <c r="M125" s="159"/>
    </row>
    <row r="126" spans="1:13" ht="16">
      <c r="A126" s="9"/>
      <c r="D126" s="52" t="s">
        <v>17</v>
      </c>
      <c r="E126" s="52" t="s">
        <v>17</v>
      </c>
      <c r="F126" s="52" t="s">
        <v>17</v>
      </c>
      <c r="G126" s="52" t="s">
        <v>17</v>
      </c>
      <c r="H126" s="52" t="s">
        <v>17</v>
      </c>
      <c r="I126" s="52" t="s">
        <v>17</v>
      </c>
      <c r="J126" s="52" t="s">
        <v>17</v>
      </c>
      <c r="K126" s="52" t="s">
        <v>17</v>
      </c>
    </row>
    <row r="127" spans="1:13">
      <c r="A127" s="18" t="s">
        <v>66</v>
      </c>
      <c r="B127" s="53"/>
      <c r="C127" s="53"/>
      <c r="D127" s="54">
        <v>3545</v>
      </c>
      <c r="E127" s="53">
        <v>3434.8</v>
      </c>
      <c r="F127" s="53">
        <v>3589.4</v>
      </c>
      <c r="G127" s="53">
        <v>3750.9</v>
      </c>
      <c r="H127" s="53">
        <v>3919.7</v>
      </c>
      <c r="I127" s="53">
        <v>4096.1000000000004</v>
      </c>
      <c r="J127" s="53">
        <v>4280.3999999999996</v>
      </c>
      <c r="K127" s="53">
        <v>4473</v>
      </c>
    </row>
    <row r="128" spans="1:13">
      <c r="A128" s="18"/>
      <c r="B128" s="53"/>
      <c r="C128" s="53"/>
      <c r="D128" s="55"/>
      <c r="E128" s="53"/>
      <c r="F128" s="53"/>
      <c r="G128" s="53"/>
      <c r="H128" s="53"/>
      <c r="I128" s="53"/>
    </row>
    <row r="129" spans="1:16">
      <c r="A129" s="9" t="s">
        <v>67</v>
      </c>
      <c r="D129" s="9">
        <v>4063</v>
      </c>
      <c r="E129" s="2">
        <f>E89</f>
        <v>4245.835</v>
      </c>
      <c r="F129" s="2">
        <f t="shared" ref="F129:K129" si="58">F89</f>
        <v>4436.897575</v>
      </c>
      <c r="G129" s="2">
        <f t="shared" si="58"/>
        <v>4636.5579658750003</v>
      </c>
      <c r="H129" s="2">
        <f t="shared" si="58"/>
        <v>4845.2030743393752</v>
      </c>
      <c r="I129" s="2">
        <f t="shared" si="58"/>
        <v>5063.2372126846476</v>
      </c>
      <c r="J129" s="2">
        <f t="shared" si="58"/>
        <v>5291.0828872554566</v>
      </c>
      <c r="K129" s="2">
        <f t="shared" si="58"/>
        <v>5529.1816171819528</v>
      </c>
    </row>
    <row r="130" spans="1:16">
      <c r="A130" s="9" t="s">
        <v>68</v>
      </c>
      <c r="D130" s="9">
        <v>4536</v>
      </c>
      <c r="E130" s="2">
        <f>E90</f>
        <v>4395.0086825806447</v>
      </c>
      <c r="F130" s="2">
        <f t="shared" ref="F130:K130" si="59">F90</f>
        <v>4592.7840732967743</v>
      </c>
      <c r="G130" s="2">
        <f t="shared" si="59"/>
        <v>4799.4593565951291</v>
      </c>
      <c r="H130" s="2">
        <f t="shared" si="59"/>
        <v>5015.43502764191</v>
      </c>
      <c r="I130" s="2">
        <f t="shared" si="59"/>
        <v>5241.1296038857954</v>
      </c>
      <c r="J130" s="2">
        <f t="shared" si="59"/>
        <v>5476.9804360606577</v>
      </c>
      <c r="K130" s="2">
        <f t="shared" si="59"/>
        <v>5723.4445556833862</v>
      </c>
      <c r="O130" s="59"/>
      <c r="P130" s="59"/>
    </row>
    <row r="131" spans="1:16">
      <c r="A131" s="9" t="s">
        <v>69</v>
      </c>
      <c r="D131" s="9">
        <v>429</v>
      </c>
      <c r="E131" s="2">
        <f>E91</f>
        <v>415.66550370967741</v>
      </c>
      <c r="F131" s="2">
        <f t="shared" ref="F131:K131" si="60">F91</f>
        <v>434.37045137661295</v>
      </c>
      <c r="G131" s="2">
        <f t="shared" si="60"/>
        <v>453.91712168856054</v>
      </c>
      <c r="H131" s="2">
        <f t="shared" si="60"/>
        <v>474.34339216454572</v>
      </c>
      <c r="I131" s="2">
        <f t="shared" si="60"/>
        <v>495.68884481195028</v>
      </c>
      <c r="J131" s="2">
        <f t="shared" si="60"/>
        <v>517.99484282848812</v>
      </c>
      <c r="K131" s="2">
        <f t="shared" si="60"/>
        <v>541.30461075577</v>
      </c>
    </row>
    <row r="132" spans="1:16">
      <c r="A132" s="9" t="s">
        <v>89</v>
      </c>
      <c r="D132" s="9">
        <v>5532</v>
      </c>
      <c r="E132" s="2">
        <f>E92</f>
        <v>7341.4860643548382</v>
      </c>
      <c r="F132" s="2">
        <f t="shared" ref="F132:K132" si="61">F92</f>
        <v>7671.8529372508074</v>
      </c>
      <c r="G132" s="2">
        <f t="shared" si="61"/>
        <v>8017.0863194270942</v>
      </c>
      <c r="H132" s="2">
        <f t="shared" si="61"/>
        <v>8377.8552038013131</v>
      </c>
      <c r="I132" s="2">
        <f t="shared" si="61"/>
        <v>8754.8586879723716</v>
      </c>
      <c r="J132" s="2">
        <f t="shared" si="61"/>
        <v>9148.8273289311292</v>
      </c>
      <c r="K132" s="2">
        <f t="shared" si="61"/>
        <v>9560.5245587330301</v>
      </c>
    </row>
    <row r="133" spans="1:16" ht="16">
      <c r="A133" s="9"/>
      <c r="D133" s="19" t="s">
        <v>17</v>
      </c>
    </row>
    <row r="134" spans="1:16">
      <c r="A134" s="9" t="s">
        <v>70</v>
      </c>
      <c r="D134" s="22">
        <f>SUM(D129:D132,D127)</f>
        <v>18105</v>
      </c>
      <c r="E134" s="22">
        <f>SUM(E129:E132,E127)</f>
        <v>19832.795250645158</v>
      </c>
      <c r="F134" s="22">
        <f t="shared" ref="F134:K134" si="62">SUM(F129:F132,F127)</f>
        <v>20725.305036924197</v>
      </c>
      <c r="G134" s="22">
        <f t="shared" si="62"/>
        <v>21657.920763585786</v>
      </c>
      <c r="H134" s="22">
        <f t="shared" si="62"/>
        <v>22632.536697947147</v>
      </c>
      <c r="I134" s="22">
        <f t="shared" si="62"/>
        <v>23651.014349354766</v>
      </c>
      <c r="J134" s="22">
        <f t="shared" si="62"/>
        <v>24715.285495075732</v>
      </c>
      <c r="K134" s="22">
        <f t="shared" si="62"/>
        <v>25827.455342354137</v>
      </c>
    </row>
    <row r="135" spans="1:16">
      <c r="A135" s="9"/>
    </row>
    <row r="136" spans="1:16">
      <c r="A136" s="9" t="s">
        <v>71</v>
      </c>
      <c r="D136" s="9">
        <f>394424/5</f>
        <v>78884.800000000003</v>
      </c>
      <c r="E136" s="2">
        <f>D136+E37</f>
        <v>85384.8</v>
      </c>
      <c r="F136" s="2">
        <f t="shared" ref="F136:K136" si="63">E136+F37</f>
        <v>92201.165448750005</v>
      </c>
      <c r="G136" s="2">
        <f t="shared" si="63"/>
        <v>99324.267342693754</v>
      </c>
      <c r="H136">
        <f t="shared" si="63"/>
        <v>106767.90882186497</v>
      </c>
      <c r="I136">
        <f t="shared" si="63"/>
        <v>114546.5141675989</v>
      </c>
      <c r="J136">
        <f t="shared" si="63"/>
        <v>122675.15675389086</v>
      </c>
      <c r="K136">
        <f t="shared" si="63"/>
        <v>131169.58825656594</v>
      </c>
    </row>
    <row r="137" spans="1:16">
      <c r="A137" s="9" t="s">
        <v>72</v>
      </c>
      <c r="D137" s="9">
        <f>-160122/5</f>
        <v>-32024.400000000001</v>
      </c>
      <c r="E137" s="2">
        <f>D137-E13</f>
        <v>-35198.847705</v>
      </c>
      <c r="F137" s="2">
        <f t="shared" ref="F137:K137" si="64">E137-F13</f>
        <v>-38516.145556725001</v>
      </c>
      <c r="G137" s="2">
        <f t="shared" si="64"/>
        <v>-41982.721811777628</v>
      </c>
      <c r="H137" s="2">
        <f t="shared" si="64"/>
        <v>-45605.293998307621</v>
      </c>
      <c r="I137" s="2">
        <f t="shared" si="64"/>
        <v>-49390.881933231467</v>
      </c>
      <c r="J137" s="2">
        <f t="shared" si="64"/>
        <v>-53346.821325226883</v>
      </c>
      <c r="K137" s="2">
        <f t="shared" si="64"/>
        <v>-57480.777989862094</v>
      </c>
    </row>
    <row r="138" spans="1:16" ht="16">
      <c r="A138" s="9"/>
      <c r="D138" s="19" t="s">
        <v>17</v>
      </c>
    </row>
    <row r="139" spans="1:16">
      <c r="A139" s="9" t="s">
        <v>73</v>
      </c>
      <c r="D139" s="22">
        <f>D136+D137</f>
        <v>46860.4</v>
      </c>
      <c r="E139" s="22">
        <f t="shared" ref="E139:K139" si="65">E136+E137</f>
        <v>50185.952295000003</v>
      </c>
      <c r="F139" s="22">
        <f t="shared" si="65"/>
        <v>53685.019892025004</v>
      </c>
      <c r="G139" s="22">
        <f t="shared" si="65"/>
        <v>57341.545530916126</v>
      </c>
      <c r="H139" s="22">
        <f t="shared" si="65"/>
        <v>61162.614823557349</v>
      </c>
      <c r="I139" s="22">
        <f t="shared" si="65"/>
        <v>65155.632234367433</v>
      </c>
      <c r="J139" s="22">
        <f t="shared" si="65"/>
        <v>69328.335428663966</v>
      </c>
      <c r="K139" s="22">
        <f t="shared" si="65"/>
        <v>73688.810266703847</v>
      </c>
    </row>
    <row r="140" spans="1:16">
      <c r="A140" s="9"/>
    </row>
    <row r="141" spans="1:16">
      <c r="A141" s="9" t="s">
        <v>74</v>
      </c>
      <c r="D141" s="9">
        <f>11261.8</f>
        <v>11261.8</v>
      </c>
      <c r="E141" s="2">
        <v>12318</v>
      </c>
      <c r="F141" s="2">
        <v>11793.6</v>
      </c>
      <c r="G141" s="2">
        <v>15576.2</v>
      </c>
      <c r="H141" s="2">
        <v>17217.2</v>
      </c>
      <c r="I141" s="2">
        <v>19014.599999999999</v>
      </c>
      <c r="J141" s="2">
        <v>20899.900000000001</v>
      </c>
      <c r="K141" s="2">
        <v>22877.3</v>
      </c>
      <c r="M141" s="59"/>
    </row>
    <row r="142" spans="1:16">
      <c r="A142" s="9" t="s">
        <v>91</v>
      </c>
      <c r="D142" s="9">
        <v>14850.32</v>
      </c>
      <c r="E142" s="2">
        <v>20199.433000000001</v>
      </c>
      <c r="F142" s="2">
        <v>29631.02</v>
      </c>
      <c r="G142" s="2">
        <v>35157.9</v>
      </c>
      <c r="H142" s="2">
        <v>42413.3</v>
      </c>
      <c r="I142" s="2">
        <v>50599.6</v>
      </c>
      <c r="J142" s="2">
        <v>59205.4</v>
      </c>
      <c r="K142" s="2">
        <v>68250.399999999994</v>
      </c>
    </row>
    <row r="143" spans="1:16">
      <c r="A143" s="9" t="s">
        <v>327</v>
      </c>
      <c r="D143" s="9">
        <f>0.01*D157</f>
        <v>119.68</v>
      </c>
      <c r="E143" s="377">
        <f>D143-E60</f>
        <v>102.58285714285715</v>
      </c>
      <c r="F143" s="377">
        <f>E143-F60</f>
        <v>85.485714285714295</v>
      </c>
      <c r="G143" s="377">
        <f t="shared" ref="G143:K143" si="66">F143-G60</f>
        <v>68.388571428571439</v>
      </c>
      <c r="H143" s="377">
        <f t="shared" si="66"/>
        <v>51.291428571428582</v>
      </c>
      <c r="I143" s="377">
        <f t="shared" si="66"/>
        <v>34.194285714285726</v>
      </c>
      <c r="J143" s="377">
        <f t="shared" si="66"/>
        <v>17.097142857142867</v>
      </c>
      <c r="K143" s="377">
        <f t="shared" si="66"/>
        <v>0</v>
      </c>
    </row>
    <row r="144" spans="1:16" ht="16">
      <c r="D144" s="19" t="s">
        <v>17</v>
      </c>
      <c r="E144" s="19" t="s">
        <v>17</v>
      </c>
      <c r="F144" s="19" t="s">
        <v>17</v>
      </c>
      <c r="G144" s="19" t="s">
        <v>17</v>
      </c>
      <c r="H144" s="19" t="s">
        <v>17</v>
      </c>
      <c r="I144" s="19" t="s">
        <v>17</v>
      </c>
      <c r="J144" s="19" t="s">
        <v>17</v>
      </c>
      <c r="K144" s="19" t="s">
        <v>17</v>
      </c>
      <c r="O144" s="159"/>
    </row>
    <row r="145" spans="1:22" ht="16">
      <c r="A145" s="9" t="s">
        <v>75</v>
      </c>
      <c r="D145" s="61">
        <f>SUM(D139:D144,D134)</f>
        <v>91197.199999999983</v>
      </c>
      <c r="E145" s="61">
        <f t="shared" ref="E145:K145" si="67">SUM(E139:E144,E134)</f>
        <v>102638.76340278801</v>
      </c>
      <c r="F145" s="61">
        <f t="shared" si="67"/>
        <v>115920.43064323491</v>
      </c>
      <c r="G145" s="61">
        <f t="shared" si="67"/>
        <v>129801.9548659305</v>
      </c>
      <c r="H145" s="61">
        <f t="shared" si="67"/>
        <v>143476.94295007593</v>
      </c>
      <c r="I145" s="61">
        <f t="shared" si="67"/>
        <v>158455.04086943646</v>
      </c>
      <c r="J145" s="61">
        <f t="shared" si="67"/>
        <v>174166.01806659682</v>
      </c>
      <c r="K145" s="61">
        <f t="shared" si="67"/>
        <v>190643.96560905798</v>
      </c>
    </row>
    <row r="146" spans="1:22">
      <c r="A146" s="9"/>
    </row>
    <row r="147" spans="1:22">
      <c r="A147" s="49" t="s">
        <v>76</v>
      </c>
    </row>
    <row r="148" spans="1:22">
      <c r="A148" s="9" t="s">
        <v>77</v>
      </c>
      <c r="D148" s="9">
        <v>4101</v>
      </c>
      <c r="E148" s="2">
        <f>E97</f>
        <v>3973.5296753225807</v>
      </c>
      <c r="F148" s="2">
        <f>F97</f>
        <v>4152.3385107120976</v>
      </c>
      <c r="G148" s="2">
        <f>G97</f>
        <v>4339.1937436941416</v>
      </c>
      <c r="H148" s="2">
        <f>H97</f>
        <v>4534.4574621603779</v>
      </c>
      <c r="I148" s="2">
        <f>I97</f>
        <v>4738.5080479575954</v>
      </c>
      <c r="J148" s="2">
        <f>J97</f>
        <v>4951.7409101156873</v>
      </c>
      <c r="K148" s="2">
        <f>K97</f>
        <v>5174.5692510708923</v>
      </c>
      <c r="O148" s="376"/>
      <c r="P148" s="376"/>
      <c r="Q148" s="376"/>
      <c r="R148" s="376"/>
      <c r="S148" s="376"/>
      <c r="T148" s="376"/>
      <c r="U148" s="376"/>
      <c r="V148" s="376"/>
    </row>
    <row r="149" spans="1:22">
      <c r="A149" s="9" t="s">
        <v>78</v>
      </c>
      <c r="D149" s="9">
        <v>637</v>
      </c>
      <c r="E149" s="2">
        <f>E98</f>
        <v>617.20029338709674</v>
      </c>
      <c r="F149" s="2">
        <f>F98</f>
        <v>644.97430658951623</v>
      </c>
      <c r="G149" s="2">
        <f>G98</f>
        <v>673.99815038604447</v>
      </c>
      <c r="H149" s="2">
        <f>H98</f>
        <v>704.32806715341633</v>
      </c>
      <c r="I149" s="2">
        <f>I98</f>
        <v>736.02283017532011</v>
      </c>
      <c r="J149" s="2">
        <f>J98</f>
        <v>769.1438575332096</v>
      </c>
      <c r="K149" s="2">
        <f>K98</f>
        <v>803.75533112220398</v>
      </c>
    </row>
    <row r="150" spans="1:22">
      <c r="A150" s="9" t="s">
        <v>89</v>
      </c>
      <c r="D150" s="9">
        <v>9451.6</v>
      </c>
      <c r="E150" s="2">
        <f>E99</f>
        <v>9157.8183563225793</v>
      </c>
      <c r="F150" s="2">
        <f>F99</f>
        <v>9569.9201823570984</v>
      </c>
      <c r="G150" s="2">
        <f>G99</f>
        <v>10000.566590563167</v>
      </c>
      <c r="H150" s="2">
        <f>H99</f>
        <v>10450.59208713851</v>
      </c>
      <c r="I150" s="2">
        <f>I99</f>
        <v>10920.868731059742</v>
      </c>
      <c r="J150" s="2">
        <f>J99</f>
        <v>11412.307823957432</v>
      </c>
      <c r="K150" s="2">
        <f>K99</f>
        <v>11925.861676035514</v>
      </c>
    </row>
    <row r="151" spans="1:22" ht="16">
      <c r="A151" s="9"/>
      <c r="D151" s="19" t="s">
        <v>17</v>
      </c>
      <c r="E151" s="19" t="s">
        <v>17</v>
      </c>
      <c r="F151" s="19" t="s">
        <v>17</v>
      </c>
      <c r="G151" s="19" t="s">
        <v>17</v>
      </c>
      <c r="H151" s="19" t="s">
        <v>17</v>
      </c>
      <c r="I151" s="19" t="s">
        <v>17</v>
      </c>
      <c r="J151" s="19" t="s">
        <v>17</v>
      </c>
      <c r="K151" s="19" t="s">
        <v>17</v>
      </c>
    </row>
    <row r="152" spans="1:22">
      <c r="A152" s="9" t="s">
        <v>79</v>
      </c>
      <c r="D152" s="22">
        <f>SUM(D148:D150)</f>
        <v>14189.6</v>
      </c>
      <c r="E152" s="22">
        <f>SUM(E148:E150)</f>
        <v>13748.548325032258</v>
      </c>
      <c r="F152" s="22">
        <f t="shared" ref="F152:K152" si="68">SUM(F148:F150)</f>
        <v>14367.232999658712</v>
      </c>
      <c r="G152" s="22">
        <f t="shared" si="68"/>
        <v>15013.758484643353</v>
      </c>
      <c r="H152" s="22">
        <f t="shared" si="68"/>
        <v>15689.377616452304</v>
      </c>
      <c r="I152" s="22">
        <f t="shared" si="68"/>
        <v>16395.399609192656</v>
      </c>
      <c r="J152" s="22">
        <f t="shared" si="68"/>
        <v>17133.192591606326</v>
      </c>
      <c r="K152" s="22">
        <f t="shared" si="68"/>
        <v>17904.186258228612</v>
      </c>
    </row>
    <row r="153" spans="1:22">
      <c r="A153" s="9"/>
    </row>
    <row r="154" spans="1:22">
      <c r="A154" s="9" t="s">
        <v>93</v>
      </c>
      <c r="D154" s="9">
        <v>1160.96</v>
      </c>
      <c r="E154" s="2">
        <f>E157-E155</f>
        <v>1427.7999999999993</v>
      </c>
      <c r="F154" s="2">
        <f t="shared" ref="F154:K154" si="69">F157-F155</f>
        <v>1712.6999999999989</v>
      </c>
      <c r="G154" s="2">
        <f t="shared" si="69"/>
        <v>2009.5999999999985</v>
      </c>
      <c r="H154" s="2">
        <f t="shared" si="69"/>
        <v>2301.7999999999993</v>
      </c>
      <c r="I154" s="2">
        <f t="shared" si="69"/>
        <v>2622.6000000000022</v>
      </c>
      <c r="J154" s="2">
        <f t="shared" si="69"/>
        <v>2959.1000000000022</v>
      </c>
      <c r="K154" s="2">
        <f t="shared" si="69"/>
        <v>3312.1999999999971</v>
      </c>
    </row>
    <row r="155" spans="1:22">
      <c r="A155" s="9" t="s">
        <v>92</v>
      </c>
      <c r="D155" s="9">
        <v>10807.5</v>
      </c>
      <c r="E155" s="2">
        <v>13297</v>
      </c>
      <c r="F155" s="2">
        <v>15949.9</v>
      </c>
      <c r="G155" s="2">
        <v>18715.5</v>
      </c>
      <c r="H155" s="2">
        <v>21436.5</v>
      </c>
      <c r="I155" s="2">
        <v>24423.599999999999</v>
      </c>
      <c r="J155" s="2">
        <v>27557.8</v>
      </c>
      <c r="K155" s="2">
        <v>30845.5</v>
      </c>
      <c r="M155" s="59"/>
    </row>
    <row r="156" spans="1:22" ht="16">
      <c r="A156" s="9"/>
      <c r="D156" s="19" t="s">
        <v>17</v>
      </c>
      <c r="E156" s="19" t="s">
        <v>17</v>
      </c>
      <c r="F156" s="19" t="s">
        <v>17</v>
      </c>
      <c r="G156" s="19" t="s">
        <v>17</v>
      </c>
      <c r="H156" s="19" t="s">
        <v>17</v>
      </c>
      <c r="I156" s="19" t="s">
        <v>17</v>
      </c>
      <c r="J156" s="19" t="s">
        <v>17</v>
      </c>
      <c r="K156" s="19" t="s">
        <v>17</v>
      </c>
      <c r="P156" s="159"/>
    </row>
    <row r="157" spans="1:22">
      <c r="A157" s="9" t="s">
        <v>83</v>
      </c>
      <c r="D157" s="22">
        <v>11968</v>
      </c>
      <c r="E157" s="2">
        <v>14724.8</v>
      </c>
      <c r="F157" s="13">
        <v>17662.599999999999</v>
      </c>
      <c r="G157" s="2">
        <v>20725.099999999999</v>
      </c>
      <c r="H157" s="2">
        <v>23738.3</v>
      </c>
      <c r="I157" s="2">
        <v>27046.2</v>
      </c>
      <c r="J157" s="2">
        <v>30516.9</v>
      </c>
      <c r="K157" s="2">
        <v>34157.699999999997</v>
      </c>
    </row>
    <row r="158" spans="1:22">
      <c r="A158" s="9"/>
    </row>
    <row r="159" spans="1:22">
      <c r="A159" s="9" t="s">
        <v>84</v>
      </c>
      <c r="D159" s="9">
        <v>25374.2</v>
      </c>
      <c r="E159" s="2">
        <f>D159 -22.274</f>
        <v>25351.925999999999</v>
      </c>
      <c r="F159" s="2">
        <f>E159 - 21.932555</f>
        <v>25329.993445</v>
      </c>
      <c r="G159" s="2">
        <f>F159 +  11.179</f>
        <v>25341.172445</v>
      </c>
      <c r="H159" s="2">
        <f>G159 -12.833</f>
        <v>25328.339445000001</v>
      </c>
      <c r="I159" s="2">
        <f>H159 -12.697</f>
        <v>25315.642445000001</v>
      </c>
      <c r="J159" s="2">
        <f>I159 - 14.993</f>
        <v>25300.649445000003</v>
      </c>
      <c r="K159" s="2">
        <f>J159 -16.252</f>
        <v>25284.397445000002</v>
      </c>
    </row>
    <row r="160" spans="1:22" ht="16">
      <c r="A160" s="9"/>
      <c r="D160" s="19" t="s">
        <v>17</v>
      </c>
      <c r="E160" s="19" t="s">
        <v>17</v>
      </c>
      <c r="F160" s="19" t="s">
        <v>17</v>
      </c>
      <c r="G160" s="19" t="s">
        <v>17</v>
      </c>
      <c r="H160" s="19" t="s">
        <v>17</v>
      </c>
      <c r="I160" s="19" t="s">
        <v>17</v>
      </c>
      <c r="J160" s="19" t="s">
        <v>17</v>
      </c>
      <c r="K160" s="19" t="s">
        <v>17</v>
      </c>
      <c r="R160" s="59"/>
    </row>
    <row r="161" spans="1:16">
      <c r="A161" s="9" t="s">
        <v>85</v>
      </c>
      <c r="D161" s="22">
        <f>SUM(D159,D157,D152)</f>
        <v>51531.799999999996</v>
      </c>
      <c r="E161" s="22">
        <f t="shared" ref="E161:K161" si="70">SUM(E159,E157,E152)</f>
        <v>53825.274325032253</v>
      </c>
      <c r="F161" s="22">
        <f t="shared" si="70"/>
        <v>57359.826444658713</v>
      </c>
      <c r="G161" s="22">
        <f t="shared" si="70"/>
        <v>61080.030929643348</v>
      </c>
      <c r="H161" s="22">
        <f t="shared" si="70"/>
        <v>64756.017061452309</v>
      </c>
      <c r="I161" s="22">
        <f t="shared" si="70"/>
        <v>68757.242054192655</v>
      </c>
      <c r="J161" s="22">
        <f t="shared" si="70"/>
        <v>72950.742036606331</v>
      </c>
      <c r="K161" s="22">
        <f t="shared" si="70"/>
        <v>77346.283703228604</v>
      </c>
    </row>
    <row r="162" spans="1:16">
      <c r="A162" s="9"/>
      <c r="P162"/>
    </row>
    <row r="163" spans="1:16">
      <c r="A163" s="9" t="s">
        <v>86</v>
      </c>
      <c r="D163" s="9">
        <v>39665.4</v>
      </c>
      <c r="E163" s="2">
        <f>D163+E66</f>
        <v>48813.489470614288</v>
      </c>
      <c r="F163" s="2">
        <f>E163+F66</f>
        <v>58560.608325763533</v>
      </c>
      <c r="G163" s="2">
        <f>F163+G66</f>
        <v>68721.923814537353</v>
      </c>
      <c r="H163" s="2">
        <f>G163+H66</f>
        <v>78720.925725448848</v>
      </c>
      <c r="I163" s="2">
        <f>H163+I66</f>
        <v>89697.799147494225</v>
      </c>
      <c r="J163">
        <f>I163+J66</f>
        <v>101215.2756386745</v>
      </c>
      <c r="K163">
        <f>J163+K66</f>
        <v>113297.68233710075</v>
      </c>
    </row>
    <row r="164" spans="1:16" ht="16">
      <c r="A164" s="9"/>
      <c r="D164" s="19" t="s">
        <v>17</v>
      </c>
      <c r="E164" s="19" t="s">
        <v>17</v>
      </c>
      <c r="F164" s="19" t="s">
        <v>17</v>
      </c>
      <c r="G164" s="19" t="s">
        <v>17</v>
      </c>
      <c r="H164" s="19" t="s">
        <v>17</v>
      </c>
      <c r="I164" s="19" t="s">
        <v>17</v>
      </c>
      <c r="J164" s="19" t="s">
        <v>17</v>
      </c>
      <c r="K164" s="19" t="s">
        <v>17</v>
      </c>
    </row>
    <row r="165" spans="1:16" ht="16">
      <c r="A165" s="9" t="s">
        <v>87</v>
      </c>
      <c r="D165" s="61">
        <f>SUM(D161:D164)</f>
        <v>91197.2</v>
      </c>
      <c r="E165" s="61">
        <f t="shared" ref="E165:K165" si="71">SUM(E161:E164)</f>
        <v>102638.76379564655</v>
      </c>
      <c r="F165" s="61">
        <f t="shared" si="71"/>
        <v>115920.43477042225</v>
      </c>
      <c r="G165" s="61">
        <f t="shared" si="71"/>
        <v>129801.95474418069</v>
      </c>
      <c r="H165" s="61">
        <f t="shared" si="71"/>
        <v>143476.94278690114</v>
      </c>
      <c r="I165" s="61">
        <f t="shared" si="71"/>
        <v>158455.04120168689</v>
      </c>
      <c r="J165" s="61">
        <f t="shared" si="71"/>
        <v>174166.01767528083</v>
      </c>
      <c r="K165" s="61">
        <f t="shared" si="71"/>
        <v>190643.96604032937</v>
      </c>
    </row>
    <row r="166" spans="1:16">
      <c r="A166" s="9"/>
    </row>
    <row r="167" spans="1:16">
      <c r="A167" s="9" t="s">
        <v>88</v>
      </c>
      <c r="D167" s="56">
        <f>ABS(D165-D145)</f>
        <v>1.4551915228366852E-11</v>
      </c>
      <c r="E167" s="56">
        <f t="shared" ref="E167:K167" si="72">ABS(E165-E145)</f>
        <v>3.9285853563342243E-4</v>
      </c>
      <c r="F167" s="62">
        <f t="shared" si="72"/>
        <v>4.1271873342338949E-3</v>
      </c>
      <c r="G167" s="56">
        <f t="shared" si="72"/>
        <v>1.2174980656709522E-4</v>
      </c>
      <c r="H167" s="56">
        <f t="shared" si="72"/>
        <v>1.6317478730343282E-4</v>
      </c>
      <c r="I167" s="56">
        <f t="shared" si="72"/>
        <v>3.3225043443962932E-4</v>
      </c>
      <c r="J167" s="56">
        <f t="shared" si="72"/>
        <v>3.9131598896346986E-4</v>
      </c>
      <c r="K167" s="56">
        <f t="shared" si="72"/>
        <v>4.3127138633280993E-4</v>
      </c>
    </row>
    <row r="171" spans="1:16" ht="18">
      <c r="A171" s="7" t="s">
        <v>96</v>
      </c>
      <c r="B171" s="7"/>
      <c r="C171" s="7"/>
      <c r="D171" s="7"/>
      <c r="E171" s="7"/>
      <c r="F171" s="7"/>
      <c r="G171" s="7"/>
      <c r="H171" s="7"/>
      <c r="I171" s="7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</row>
    <row r="173" spans="1:16" ht="16">
      <c r="A173"/>
      <c r="B173" s="13"/>
      <c r="C173"/>
      <c r="D173" s="25"/>
      <c r="E173" s="45" t="s">
        <v>1</v>
      </c>
      <c r="F173" s="45"/>
      <c r="G173" s="45"/>
      <c r="H173" s="45"/>
      <c r="I173" s="45"/>
      <c r="J173" s="45"/>
      <c r="K173" s="45"/>
    </row>
    <row r="174" spans="1:16">
      <c r="A174"/>
      <c r="B174" s="46"/>
      <c r="C174"/>
      <c r="D174" s="47"/>
      <c r="E174" s="48">
        <f>E122</f>
        <v>45657</v>
      </c>
      <c r="F174" s="48">
        <f>F122</f>
        <v>46022</v>
      </c>
      <c r="G174" s="48">
        <f>G122</f>
        <v>46387</v>
      </c>
      <c r="H174" s="48">
        <f>H122</f>
        <v>46752</v>
      </c>
      <c r="I174" s="48">
        <f>I122</f>
        <v>47118</v>
      </c>
      <c r="J174" s="48">
        <f>J122</f>
        <v>47483</v>
      </c>
      <c r="K174" s="48">
        <f>K122</f>
        <v>47848</v>
      </c>
    </row>
    <row r="175" spans="1:16">
      <c r="A175"/>
    </row>
    <row r="176" spans="1:16">
      <c r="A176" s="49" t="s">
        <v>97</v>
      </c>
    </row>
    <row r="178" spans="1:11">
      <c r="A178" s="14" t="s">
        <v>31</v>
      </c>
      <c r="E178" s="62">
        <f>E66</f>
        <v>9148.0894706142863</v>
      </c>
      <c r="F178" s="62">
        <f>F66</f>
        <v>9747.1188551492414</v>
      </c>
      <c r="G178" s="62">
        <f>G66</f>
        <v>10161.315488773816</v>
      </c>
      <c r="H178" s="62">
        <f>H66</f>
        <v>9999.0019109114946</v>
      </c>
      <c r="I178" s="62">
        <f>I66</f>
        <v>10976.873422045372</v>
      </c>
      <c r="J178" s="62">
        <f>J66</f>
        <v>11517.47649118027</v>
      </c>
      <c r="K178" s="62">
        <f>K66</f>
        <v>12082.406698426241</v>
      </c>
    </row>
    <row r="179" spans="1:11">
      <c r="A179" s="9" t="s">
        <v>8</v>
      </c>
      <c r="E179" s="62">
        <f>E13</f>
        <v>3174.4477049999996</v>
      </c>
      <c r="F179" s="62">
        <f>F13</f>
        <v>3317.2978517249999</v>
      </c>
      <c r="G179" s="62">
        <f>G13</f>
        <v>3466.5762550526251</v>
      </c>
      <c r="H179" s="62">
        <f>H13</f>
        <v>3622.5721865299929</v>
      </c>
      <c r="I179" s="62">
        <f>I13</f>
        <v>3785.587934923843</v>
      </c>
      <c r="J179" s="62">
        <f>J13</f>
        <v>3955.9393919954159</v>
      </c>
      <c r="K179" s="62">
        <f>K13</f>
        <v>4133.9566646352096</v>
      </c>
    </row>
    <row r="180" spans="1:11">
      <c r="A180" s="9" t="s">
        <v>109</v>
      </c>
      <c r="E180" s="22">
        <v>950</v>
      </c>
      <c r="F180" s="22">
        <f t="shared" ref="F180:K180" si="73">E180*1.05</f>
        <v>997.5</v>
      </c>
      <c r="G180" s="22">
        <f t="shared" si="73"/>
        <v>1047.375</v>
      </c>
      <c r="H180" s="22">
        <f t="shared" si="73"/>
        <v>1099.7437500000001</v>
      </c>
      <c r="I180" s="22">
        <f t="shared" si="73"/>
        <v>1154.7309375000002</v>
      </c>
      <c r="J180" s="22">
        <f t="shared" si="73"/>
        <v>1212.4674843750004</v>
      </c>
      <c r="K180" s="22">
        <f t="shared" si="73"/>
        <v>1273.0908585937505</v>
      </c>
    </row>
    <row r="181" spans="1:11" ht="16">
      <c r="A181" s="9"/>
      <c r="E181" s="63" t="s">
        <v>17</v>
      </c>
      <c r="F181" s="63" t="s">
        <v>17</v>
      </c>
      <c r="G181" s="63" t="s">
        <v>17</v>
      </c>
      <c r="H181" s="63" t="s">
        <v>17</v>
      </c>
      <c r="I181" s="63" t="s">
        <v>17</v>
      </c>
      <c r="J181" s="63" t="s">
        <v>17</v>
      </c>
      <c r="K181" s="63" t="s">
        <v>17</v>
      </c>
    </row>
    <row r="182" spans="1:11">
      <c r="A182" s="9" t="s">
        <v>98</v>
      </c>
      <c r="E182" s="22">
        <f t="shared" ref="E182:K182" si="74">SUM(E178:E181)</f>
        <v>13272.537175614285</v>
      </c>
      <c r="F182" s="22">
        <f t="shared" si="74"/>
        <v>14061.916706874241</v>
      </c>
      <c r="G182" s="22">
        <f t="shared" si="74"/>
        <v>14675.266743826442</v>
      </c>
      <c r="H182" s="22">
        <f t="shared" si="74"/>
        <v>14721.317847441487</v>
      </c>
      <c r="I182" s="22">
        <f t="shared" si="74"/>
        <v>15917.192294469216</v>
      </c>
      <c r="J182" s="22">
        <f t="shared" si="74"/>
        <v>16685.883367550687</v>
      </c>
      <c r="K182" s="22">
        <f t="shared" si="74"/>
        <v>17489.4542216552</v>
      </c>
    </row>
    <row r="183" spans="1:11">
      <c r="A183" s="18" t="s">
        <v>99</v>
      </c>
      <c r="E183" s="22">
        <f>E105</f>
        <v>-1010.2661049483886</v>
      </c>
      <c r="F183" s="22">
        <f>F105</f>
        <v>-221.65497472267634</v>
      </c>
      <c r="G183" s="22">
        <f>G105</f>
        <v>-231.6294485851995</v>
      </c>
      <c r="H183" s="22">
        <f>H105</f>
        <v>-242.05277377153106</v>
      </c>
      <c r="I183" s="22">
        <f>I105</f>
        <v>-252.94514859125047</v>
      </c>
      <c r="J183" s="22">
        <f>J105</f>
        <v>-264.32768027786005</v>
      </c>
      <c r="K183" s="22">
        <f>K105</f>
        <v>-276.22242589035523</v>
      </c>
    </row>
    <row r="184" spans="1:11" ht="16">
      <c r="A184" s="9"/>
      <c r="E184" s="63" t="s">
        <v>17</v>
      </c>
      <c r="F184" s="63" t="s">
        <v>17</v>
      </c>
      <c r="G184" s="63" t="s">
        <v>17</v>
      </c>
      <c r="H184" s="63" t="s">
        <v>17</v>
      </c>
      <c r="I184" s="63" t="s">
        <v>17</v>
      </c>
      <c r="J184" s="63" t="s">
        <v>17</v>
      </c>
      <c r="K184" s="63" t="s">
        <v>17</v>
      </c>
    </row>
    <row r="185" spans="1:11">
      <c r="A185" s="9" t="s">
        <v>100</v>
      </c>
      <c r="E185" s="22">
        <f t="shared" ref="E185:K185" si="75">SUM(E182:E184)</f>
        <v>12262.271070665896</v>
      </c>
      <c r="F185" s="22">
        <f t="shared" si="75"/>
        <v>13840.261732151565</v>
      </c>
      <c r="G185" s="22">
        <f t="shared" si="75"/>
        <v>14443.637295241242</v>
      </c>
      <c r="H185" s="22">
        <f t="shared" si="75"/>
        <v>14479.265073669956</v>
      </c>
      <c r="I185" s="22">
        <f t="shared" si="75"/>
        <v>15664.247145877966</v>
      </c>
      <c r="J185" s="22">
        <f t="shared" si="75"/>
        <v>16421.555687272827</v>
      </c>
      <c r="K185" s="22">
        <f t="shared" si="75"/>
        <v>17213.231795764845</v>
      </c>
    </row>
    <row r="186" spans="1:11">
      <c r="A186" s="9"/>
      <c r="F186" s="13"/>
      <c r="G186" s="13"/>
      <c r="H186" s="13"/>
      <c r="I186" s="13"/>
    </row>
    <row r="187" spans="1:11">
      <c r="A187" s="49" t="s">
        <v>101</v>
      </c>
      <c r="F187" s="13"/>
      <c r="G187" s="13"/>
      <c r="H187" s="13"/>
      <c r="I187" s="13"/>
    </row>
    <row r="188" spans="1:11">
      <c r="A188" s="9"/>
      <c r="F188" s="13"/>
      <c r="G188" s="13"/>
      <c r="H188" s="13"/>
      <c r="I188" s="13"/>
    </row>
    <row r="189" spans="1:11">
      <c r="A189" s="64" t="s">
        <v>102</v>
      </c>
      <c r="E189" s="22">
        <f>-E37</f>
        <v>-6500</v>
      </c>
      <c r="F189" s="22">
        <f>-F37</f>
        <v>-6816.3654487499998</v>
      </c>
      <c r="G189" s="22">
        <f>-G37</f>
        <v>-7123.1018939437499</v>
      </c>
      <c r="H189" s="22">
        <f>-H37</f>
        <v>-7443.6414791712186</v>
      </c>
      <c r="I189" s="22">
        <f>-I37</f>
        <v>-7778.605345733924</v>
      </c>
      <c r="J189" s="22">
        <f>-J37</f>
        <v>-8128.6425862919514</v>
      </c>
      <c r="K189" s="22">
        <f>-K37</f>
        <v>-8494.4315026750883</v>
      </c>
    </row>
    <row r="190" spans="1:11">
      <c r="A190" s="64" t="s">
        <v>103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</row>
    <row r="191" spans="1:11" ht="16">
      <c r="A191" s="60"/>
      <c r="E191" s="63" t="s">
        <v>17</v>
      </c>
      <c r="F191" s="63" t="s">
        <v>17</v>
      </c>
      <c r="G191" s="63" t="s">
        <v>17</v>
      </c>
      <c r="H191" s="63" t="s">
        <v>17</v>
      </c>
      <c r="I191" s="63" t="s">
        <v>17</v>
      </c>
      <c r="J191" s="63" t="s">
        <v>17</v>
      </c>
      <c r="K191" s="63" t="s">
        <v>17</v>
      </c>
    </row>
    <row r="192" spans="1:11">
      <c r="A192" s="60" t="s">
        <v>104</v>
      </c>
      <c r="E192" s="22">
        <f t="shared" ref="E192:K192" si="76">SUM(E189:E191)</f>
        <v>-6500</v>
      </c>
      <c r="F192" s="22">
        <f t="shared" si="76"/>
        <v>-6816.3654487499998</v>
      </c>
      <c r="G192" s="22">
        <f t="shared" si="76"/>
        <v>-7123.1018939437499</v>
      </c>
      <c r="H192" s="22">
        <f t="shared" si="76"/>
        <v>-7443.6414791712186</v>
      </c>
      <c r="I192" s="22">
        <f t="shared" si="76"/>
        <v>-7778.605345733924</v>
      </c>
      <c r="J192" s="22">
        <f t="shared" si="76"/>
        <v>-8128.6425862919514</v>
      </c>
      <c r="K192" s="22">
        <f t="shared" si="76"/>
        <v>-8494.4315026750883</v>
      </c>
    </row>
    <row r="193" spans="1:12">
      <c r="A193" s="9"/>
      <c r="E193" s="22"/>
      <c r="F193" s="22"/>
      <c r="G193" s="22"/>
      <c r="H193" s="22"/>
      <c r="I193" s="22"/>
    </row>
    <row r="194" spans="1:12">
      <c r="A194" s="9"/>
      <c r="F194" s="13"/>
      <c r="G194" s="13"/>
      <c r="H194" s="13"/>
      <c r="I194" s="13"/>
    </row>
    <row r="195" spans="1:12">
      <c r="A195" s="9" t="s">
        <v>105</v>
      </c>
      <c r="E195" s="22">
        <f>SUM(E185,E192)</f>
        <v>5762.2710706658963</v>
      </c>
      <c r="F195" s="22">
        <f t="shared" ref="F195:K195" si="77">SUM(F185,F192)</f>
        <v>7023.8962834015647</v>
      </c>
      <c r="G195" s="22">
        <f t="shared" si="77"/>
        <v>7320.5354012974922</v>
      </c>
      <c r="H195" s="22">
        <f t="shared" si="77"/>
        <v>7035.6235944987375</v>
      </c>
      <c r="I195" s="22">
        <f t="shared" si="77"/>
        <v>7885.6418001440416</v>
      </c>
      <c r="J195" s="22">
        <f t="shared" si="77"/>
        <v>8292.9131009808752</v>
      </c>
      <c r="K195" s="22">
        <f t="shared" si="77"/>
        <v>8718.8002930897565</v>
      </c>
    </row>
    <row r="196" spans="1:12">
      <c r="A196" s="9"/>
    </row>
    <row r="197" spans="1:12">
      <c r="A197" s="49" t="s">
        <v>106</v>
      </c>
    </row>
    <row r="198" spans="1:12">
      <c r="A198" s="9"/>
    </row>
    <row r="199" spans="1:12">
      <c r="A199" s="9" t="s">
        <v>80</v>
      </c>
      <c r="E199" s="377">
        <f>E221</f>
        <v>0</v>
      </c>
      <c r="F199" s="377">
        <f t="shared" ref="F199:K199" si="78">F221</f>
        <v>0</v>
      </c>
      <c r="G199" s="377">
        <f t="shared" si="78"/>
        <v>0</v>
      </c>
      <c r="H199" s="377">
        <f t="shared" si="78"/>
        <v>0</v>
      </c>
      <c r="I199" s="377">
        <f t="shared" si="78"/>
        <v>0</v>
      </c>
      <c r="J199" s="377">
        <f t="shared" si="78"/>
        <v>0</v>
      </c>
      <c r="K199" s="377">
        <f t="shared" si="78"/>
        <v>0</v>
      </c>
      <c r="L199" s="159"/>
    </row>
    <row r="200" spans="1:12">
      <c r="A200" s="9" t="s">
        <v>81</v>
      </c>
      <c r="E200" s="377">
        <f>-E222</f>
        <v>-1709.7142857142858</v>
      </c>
      <c r="F200" s="377">
        <f t="shared" ref="F200:K200" si="79">-F222</f>
        <v>-1709.7142857142858</v>
      </c>
      <c r="G200" s="377">
        <f t="shared" si="79"/>
        <v>-1709.7142857142858</v>
      </c>
      <c r="H200" s="377">
        <f t="shared" si="79"/>
        <v>-1709.7142857142858</v>
      </c>
      <c r="I200" s="377">
        <f t="shared" si="79"/>
        <v>-1709.7142857142858</v>
      </c>
      <c r="J200" s="377">
        <f t="shared" si="79"/>
        <v>-1709.7142857142858</v>
      </c>
      <c r="K200" s="377">
        <f t="shared" si="79"/>
        <v>-1709.7142857142858</v>
      </c>
    </row>
    <row r="201" spans="1:12">
      <c r="A201" s="9" t="s">
        <v>82</v>
      </c>
      <c r="E201" s="377">
        <f t="shared" ref="E201:K201" si="80">E223</f>
        <v>0</v>
      </c>
      <c r="F201" s="377">
        <f t="shared" si="80"/>
        <v>0</v>
      </c>
      <c r="G201" s="377">
        <f t="shared" si="80"/>
        <v>0</v>
      </c>
      <c r="H201" s="377">
        <f t="shared" si="80"/>
        <v>0</v>
      </c>
      <c r="I201" s="377">
        <f t="shared" si="80"/>
        <v>0</v>
      </c>
      <c r="J201" s="377">
        <f t="shared" si="80"/>
        <v>0</v>
      </c>
      <c r="K201" s="377">
        <f t="shared" si="80"/>
        <v>0</v>
      </c>
    </row>
    <row r="202" spans="1:12" ht="16">
      <c r="A202" s="9"/>
      <c r="E202" s="63" t="s">
        <v>17</v>
      </c>
      <c r="F202" s="63" t="s">
        <v>17</v>
      </c>
      <c r="G202" s="63" t="s">
        <v>17</v>
      </c>
      <c r="H202" s="63" t="s">
        <v>17</v>
      </c>
      <c r="I202" s="63" t="s">
        <v>17</v>
      </c>
      <c r="J202" s="63" t="s">
        <v>17</v>
      </c>
      <c r="K202" s="63" t="s">
        <v>17</v>
      </c>
    </row>
    <row r="203" spans="1:12">
      <c r="A203" s="9" t="s">
        <v>107</v>
      </c>
      <c r="E203" s="377">
        <f>SUM(E201,E200,E199)</f>
        <v>-1709.7142857142858</v>
      </c>
      <c r="F203" s="377">
        <f t="shared" ref="F203:K203" si="81">SUM(F201,F200,F199)</f>
        <v>-1709.7142857142858</v>
      </c>
      <c r="G203" s="377">
        <f t="shared" si="81"/>
        <v>-1709.7142857142858</v>
      </c>
      <c r="H203" s="377">
        <f t="shared" si="81"/>
        <v>-1709.7142857142858</v>
      </c>
      <c r="I203" s="377">
        <f t="shared" si="81"/>
        <v>-1709.7142857142858</v>
      </c>
      <c r="J203" s="377">
        <f t="shared" si="81"/>
        <v>-1709.7142857142858</v>
      </c>
      <c r="K203" s="377">
        <f t="shared" si="81"/>
        <v>-1709.7142857142858</v>
      </c>
    </row>
    <row r="204" spans="1:12" ht="16">
      <c r="A204" s="9"/>
      <c r="E204" s="63"/>
      <c r="F204" s="377"/>
      <c r="G204" s="377"/>
      <c r="H204" s="377"/>
      <c r="I204" s="377"/>
      <c r="J204" s="377"/>
      <c r="K204" s="377"/>
    </row>
    <row r="205" spans="1:12">
      <c r="A205" s="9" t="s">
        <v>108</v>
      </c>
      <c r="E205" s="389">
        <f>SUM(E195,E203)</f>
        <v>4052.5567849516106</v>
      </c>
      <c r="F205" s="389">
        <f t="shared" ref="F205:K205" si="82">SUM(F195,F203)</f>
        <v>5314.1819976872794</v>
      </c>
      <c r="G205" s="389">
        <f t="shared" si="82"/>
        <v>5610.8211155832068</v>
      </c>
      <c r="H205" s="389">
        <f t="shared" si="82"/>
        <v>5325.9093087844522</v>
      </c>
      <c r="I205" s="389">
        <f t="shared" si="82"/>
        <v>6175.9275144297553</v>
      </c>
      <c r="J205" s="389">
        <f t="shared" si="82"/>
        <v>6583.198815266589</v>
      </c>
      <c r="K205" s="389">
        <f t="shared" si="82"/>
        <v>7009.0860073754702</v>
      </c>
    </row>
    <row r="206" spans="1:12">
      <c r="A206" s="9"/>
      <c r="E206" s="65"/>
    </row>
    <row r="208" spans="1:12">
      <c r="B208" s="378"/>
      <c r="C208" s="378"/>
      <c r="D208" s="378"/>
      <c r="E208" s="378"/>
      <c r="F208" s="378"/>
      <c r="G208" s="378"/>
      <c r="H208" s="378"/>
      <c r="I208" s="378"/>
    </row>
    <row r="209" spans="1:11">
      <c r="A209" s="9"/>
    </row>
    <row r="210" spans="1:11" ht="16">
      <c r="A210"/>
      <c r="D210"/>
      <c r="E210" s="45" t="s">
        <v>1</v>
      </c>
      <c r="F210" s="45"/>
      <c r="G210" s="45"/>
      <c r="H210" s="45"/>
      <c r="I210" s="45"/>
      <c r="J210" s="45"/>
      <c r="K210" s="45"/>
    </row>
    <row r="211" spans="1:11">
      <c r="A211"/>
      <c r="D211"/>
      <c r="E211" s="386">
        <f>E174</f>
        <v>45657</v>
      </c>
      <c r="F211" s="386">
        <f t="shared" ref="F211:K211" si="83">F174</f>
        <v>46022</v>
      </c>
      <c r="G211" s="386">
        <f t="shared" si="83"/>
        <v>46387</v>
      </c>
      <c r="H211" s="386">
        <f t="shared" si="83"/>
        <v>46752</v>
      </c>
      <c r="I211" s="386">
        <f t="shared" si="83"/>
        <v>47118</v>
      </c>
      <c r="J211" s="386">
        <f t="shared" si="83"/>
        <v>47483</v>
      </c>
      <c r="K211" s="386">
        <f t="shared" si="83"/>
        <v>47848</v>
      </c>
    </row>
    <row r="212" spans="1:11">
      <c r="A212" s="305"/>
    </row>
    <row r="213" spans="1:11">
      <c r="A213" s="379" t="s">
        <v>328</v>
      </c>
      <c r="E213" s="9"/>
    </row>
    <row r="214" spans="1:11">
      <c r="A214" s="64" t="s">
        <v>80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9">
        <v>0</v>
      </c>
      <c r="K214" s="9">
        <v>0</v>
      </c>
    </row>
    <row r="215" spans="1:11">
      <c r="A215" s="55" t="s">
        <v>81</v>
      </c>
      <c r="B215" s="380" t="s">
        <v>329</v>
      </c>
      <c r="C215" s="381"/>
      <c r="D215" s="382">
        <v>7</v>
      </c>
      <c r="E215" s="390">
        <f>IF(ISERROR(D157/D215),"NA", D157/D215)</f>
        <v>1709.7142857142858</v>
      </c>
      <c r="F215" s="383">
        <f>E215</f>
        <v>1709.7142857142858</v>
      </c>
      <c r="G215" s="383">
        <f>F215</f>
        <v>1709.7142857142858</v>
      </c>
      <c r="H215" s="383">
        <f>G215</f>
        <v>1709.7142857142858</v>
      </c>
      <c r="I215" s="383">
        <f>H215</f>
        <v>1709.7142857142858</v>
      </c>
      <c r="J215" s="383">
        <f t="shared" ref="J215:K215" si="84">I215</f>
        <v>1709.7142857142858</v>
      </c>
      <c r="K215" s="383">
        <f t="shared" si="84"/>
        <v>1709.7142857142858</v>
      </c>
    </row>
    <row r="216" spans="1:11">
      <c r="A216" s="55" t="s">
        <v>82</v>
      </c>
      <c r="B216" s="159"/>
      <c r="C216" s="159"/>
      <c r="D216" s="159"/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9">
        <v>0</v>
      </c>
    </row>
    <row r="217" spans="1:11">
      <c r="A217" s="9"/>
      <c r="B217" s="159"/>
      <c r="C217" s="159"/>
      <c r="D217" s="159"/>
      <c r="E217"/>
      <c r="F217" s="305"/>
      <c r="G217" s="305"/>
      <c r="H217" s="305"/>
      <c r="I217" s="305"/>
    </row>
    <row r="218" spans="1:11">
      <c r="A218" s="49" t="s">
        <v>330</v>
      </c>
      <c r="B218" s="159"/>
      <c r="C218" s="159"/>
      <c r="D218" s="159"/>
      <c r="E218"/>
      <c r="F218" s="305"/>
      <c r="G218" s="305"/>
      <c r="H218" s="305"/>
      <c r="I218" s="305"/>
    </row>
    <row r="219" spans="1:11">
      <c r="A219" s="49"/>
      <c r="B219" s="159"/>
      <c r="C219" s="159"/>
      <c r="D219" s="159"/>
      <c r="E219"/>
      <c r="F219" s="305"/>
      <c r="G219" s="305"/>
      <c r="H219" s="305"/>
      <c r="I219" s="305"/>
    </row>
    <row r="220" spans="1:11">
      <c r="A220" s="379" t="s">
        <v>331</v>
      </c>
      <c r="B220" s="305"/>
      <c r="C220" s="305"/>
      <c r="D220" s="4"/>
      <c r="E220"/>
      <c r="F220" s="305"/>
      <c r="G220" s="305"/>
      <c r="H220" s="305"/>
      <c r="I220" s="305"/>
    </row>
    <row r="221" spans="1:11">
      <c r="A221" s="55" t="s">
        <v>80</v>
      </c>
      <c r="B221" s="305"/>
      <c r="C221" s="305"/>
      <c r="D221" s="4"/>
      <c r="E221" s="22">
        <f t="shared" ref="E221:I223" si="85">MIN(E214,D154)</f>
        <v>0</v>
      </c>
      <c r="F221" s="22">
        <f t="shared" si="85"/>
        <v>0</v>
      </c>
      <c r="G221" s="22">
        <f t="shared" si="85"/>
        <v>0</v>
      </c>
      <c r="H221" s="22">
        <f t="shared" si="85"/>
        <v>0</v>
      </c>
      <c r="I221" s="22">
        <f t="shared" si="85"/>
        <v>0</v>
      </c>
      <c r="J221" s="22">
        <f t="shared" ref="J221:J223" si="86">MIN(J214,I154)</f>
        <v>0</v>
      </c>
      <c r="K221" s="22">
        <f t="shared" ref="K221:K223" si="87">MIN(K214,J154)</f>
        <v>0</v>
      </c>
    </row>
    <row r="222" spans="1:11">
      <c r="A222" s="55" t="s">
        <v>81</v>
      </c>
      <c r="B222"/>
      <c r="C222"/>
      <c r="D222"/>
      <c r="E222" s="22">
        <f>MIN(E215,D157)</f>
        <v>1709.7142857142858</v>
      </c>
      <c r="F222" s="22">
        <f t="shared" si="85"/>
        <v>1709.7142857142858</v>
      </c>
      <c r="G222" s="22">
        <f t="shared" si="85"/>
        <v>1709.7142857142858</v>
      </c>
      <c r="H222" s="22">
        <f t="shared" si="85"/>
        <v>1709.7142857142858</v>
      </c>
      <c r="I222" s="22">
        <f t="shared" si="85"/>
        <v>1709.7142857142858</v>
      </c>
      <c r="J222" s="22">
        <f t="shared" si="86"/>
        <v>1709.7142857142858</v>
      </c>
      <c r="K222" s="22">
        <f t="shared" si="87"/>
        <v>1709.7142857142858</v>
      </c>
    </row>
    <row r="223" spans="1:11">
      <c r="A223" s="55" t="s">
        <v>82</v>
      </c>
      <c r="B223" s="159"/>
      <c r="C223" s="159"/>
      <c r="D223" s="159"/>
      <c r="E223" s="22">
        <f t="shared" si="85"/>
        <v>0</v>
      </c>
      <c r="F223" s="22">
        <f t="shared" si="85"/>
        <v>0</v>
      </c>
      <c r="G223" s="22">
        <f t="shared" si="85"/>
        <v>0</v>
      </c>
      <c r="H223" s="22">
        <f t="shared" si="85"/>
        <v>0</v>
      </c>
      <c r="I223" s="22">
        <f t="shared" si="85"/>
        <v>0</v>
      </c>
      <c r="J223" s="22">
        <f t="shared" si="86"/>
        <v>0</v>
      </c>
      <c r="K223" s="22">
        <f t="shared" si="87"/>
        <v>0</v>
      </c>
    </row>
    <row r="224" spans="1:11" ht="16">
      <c r="A224" s="9"/>
      <c r="B224" s="159"/>
      <c r="C224" s="159"/>
      <c r="D224" s="159"/>
      <c r="E224" s="19" t="s">
        <v>17</v>
      </c>
      <c r="F224" s="19" t="s">
        <v>17</v>
      </c>
      <c r="G224" s="19" t="s">
        <v>17</v>
      </c>
      <c r="H224" s="19" t="s">
        <v>17</v>
      </c>
      <c r="I224" s="19" t="s">
        <v>17</v>
      </c>
      <c r="J224" s="19" t="s">
        <v>17</v>
      </c>
      <c r="K224" s="19" t="s">
        <v>17</v>
      </c>
    </row>
    <row r="225" spans="1:11">
      <c r="A225" s="9" t="s">
        <v>331</v>
      </c>
      <c r="B225" s="159"/>
      <c r="C225" s="159"/>
      <c r="D225" s="159"/>
      <c r="E225" s="22">
        <f>SUM(E221:E224)</f>
        <v>1709.7142857142858</v>
      </c>
      <c r="F225" s="22">
        <f>SUM(F221:F224)</f>
        <v>1709.7142857142858</v>
      </c>
      <c r="G225" s="22">
        <f>SUM(G221:G224)</f>
        <v>1709.7142857142858</v>
      </c>
      <c r="H225" s="22">
        <f>SUM(H221:H224)</f>
        <v>1709.7142857142858</v>
      </c>
      <c r="I225" s="22">
        <f>SUM(I221:I224)</f>
        <v>1709.7142857142858</v>
      </c>
      <c r="J225" s="22">
        <f t="shared" ref="J225:K225" si="88">SUM(J221:J224)</f>
        <v>1709.7142857142858</v>
      </c>
      <c r="K225" s="22">
        <f t="shared" si="88"/>
        <v>1709.7142857142858</v>
      </c>
    </row>
    <row r="226" spans="1:11">
      <c r="A226" s="9"/>
      <c r="B226" s="159"/>
      <c r="C226" s="159"/>
      <c r="D226" s="159"/>
      <c r="F226" s="159"/>
      <c r="G226" s="159"/>
      <c r="H226" s="159"/>
      <c r="I226" s="159"/>
    </row>
    <row r="227" spans="1:11" ht="16">
      <c r="A227" s="9"/>
      <c r="E227" s="19" t="s">
        <v>17</v>
      </c>
      <c r="F227" s="19" t="s">
        <v>17</v>
      </c>
      <c r="G227" s="19" t="s">
        <v>17</v>
      </c>
      <c r="H227" s="19" t="s">
        <v>17</v>
      </c>
      <c r="I227" s="19" t="s">
        <v>17</v>
      </c>
      <c r="J227" s="19" t="s">
        <v>17</v>
      </c>
      <c r="K227" s="19" t="s">
        <v>17</v>
      </c>
    </row>
    <row r="228" spans="1:11">
      <c r="A228" s="9" t="s">
        <v>332</v>
      </c>
      <c r="E228" s="22">
        <f>SUM(E227:E227,E225)</f>
        <v>1709.7142857142858</v>
      </c>
      <c r="F228" s="22">
        <f>SUM(F227:F227,F225)</f>
        <v>1709.7142857142858</v>
      </c>
      <c r="G228" s="22">
        <f>SUM(G227:G227,G225)</f>
        <v>1709.7142857142858</v>
      </c>
      <c r="H228" s="22">
        <f>SUM(H227:H227,H225)</f>
        <v>1709.7142857142858</v>
      </c>
      <c r="I228" s="22">
        <f>SUM(I227:I227,I225)</f>
        <v>1709.7142857142858</v>
      </c>
      <c r="J228" s="22">
        <f>SUM(J227:J227,J225)</f>
        <v>1709.7142857142858</v>
      </c>
      <c r="K228" s="22">
        <f>SUM(K227:K227,K225)</f>
        <v>1709.7142857142858</v>
      </c>
    </row>
    <row r="229" spans="1:11">
      <c r="A229" s="9" t="s">
        <v>333</v>
      </c>
      <c r="E229" s="22">
        <f>MAX(E238-E228,0)</f>
        <v>5248.3167849516103</v>
      </c>
      <c r="F229" s="22">
        <f>MAX(F238-F228,0)</f>
        <v>5793.5823347182468</v>
      </c>
      <c r="G229" s="22">
        <f>MAX(G238-G228,0)</f>
        <v>6111.8284677805677</v>
      </c>
      <c r="H229" s="22">
        <f>MAX(H238-H228,0)</f>
        <v>5849.4389918306933</v>
      </c>
      <c r="I229" s="22">
        <f>MAX(I238-I228,0)</f>
        <v>6723.0255332130782</v>
      </c>
      <c r="J229" s="22">
        <f t="shared" ref="J229:K229" si="89">MAX(J238-J228,0)</f>
        <v>7154.929744895162</v>
      </c>
      <c r="K229" s="22">
        <f t="shared" si="89"/>
        <v>7606.5203288373268</v>
      </c>
    </row>
    <row r="230" spans="1:11" ht="16">
      <c r="A230" s="9"/>
      <c r="E230" s="19" t="s">
        <v>17</v>
      </c>
      <c r="F230" s="19" t="s">
        <v>17</v>
      </c>
      <c r="G230" s="19" t="s">
        <v>17</v>
      </c>
      <c r="H230" s="19" t="s">
        <v>17</v>
      </c>
      <c r="I230" s="19" t="s">
        <v>17</v>
      </c>
      <c r="J230" s="19" t="s">
        <v>17</v>
      </c>
      <c r="K230" s="19" t="s">
        <v>17</v>
      </c>
    </row>
    <row r="231" spans="1:11">
      <c r="A231" s="384" t="s">
        <v>334</v>
      </c>
      <c r="E231" s="29">
        <f>SUM(E228:E229)</f>
        <v>6958.0310706658966</v>
      </c>
      <c r="F231" s="29">
        <f>SUM(F228:F229)</f>
        <v>7503.296620432533</v>
      </c>
      <c r="G231" s="29">
        <f>SUM(G228:G229)</f>
        <v>7821.542753494854</v>
      </c>
      <c r="H231" s="29">
        <f>SUM(H228:H229)</f>
        <v>7559.1532775449796</v>
      </c>
      <c r="I231" s="29">
        <f>SUM(I228:I229)</f>
        <v>8432.7398189273645</v>
      </c>
      <c r="J231" s="29">
        <f t="shared" ref="J231:K231" si="90">SUM(J228:J229)</f>
        <v>8864.6440306094482</v>
      </c>
      <c r="K231" s="29">
        <f t="shared" si="90"/>
        <v>9316.234614551613</v>
      </c>
    </row>
    <row r="232" spans="1:11">
      <c r="A232" s="9"/>
      <c r="F232" s="159"/>
      <c r="G232" s="159"/>
      <c r="H232" s="159"/>
      <c r="I232" s="159"/>
      <c r="J232" s="159"/>
      <c r="K232" s="159"/>
    </row>
    <row r="233" spans="1:11">
      <c r="A233" s="49" t="s">
        <v>335</v>
      </c>
      <c r="F233" s="159"/>
      <c r="G233" s="159"/>
      <c r="H233" s="159"/>
      <c r="I233" s="159"/>
      <c r="J233" s="159"/>
      <c r="K233" s="159"/>
    </row>
    <row r="234" spans="1:11">
      <c r="A234" s="9"/>
      <c r="F234" s="159"/>
      <c r="G234" s="159"/>
      <c r="H234" s="159"/>
      <c r="I234" s="159"/>
      <c r="J234" s="159"/>
      <c r="K234" s="159"/>
    </row>
    <row r="235" spans="1:11">
      <c r="A235" s="9" t="s">
        <v>336</v>
      </c>
      <c r="E235" s="385">
        <f>D125</f>
        <v>1195.7600000000002</v>
      </c>
      <c r="F235" s="385">
        <f>E125</f>
        <v>479.40033703096742</v>
      </c>
      <c r="G235" s="385">
        <f>F125</f>
        <v>501.00735219736134</v>
      </c>
      <c r="H235" s="385">
        <f>G125</f>
        <v>523.52968304624164</v>
      </c>
      <c r="I235" s="385">
        <f>H125</f>
        <v>547.09801878332291</v>
      </c>
      <c r="J235" s="385">
        <f>I125</f>
        <v>571.73092962857299</v>
      </c>
      <c r="K235" s="385">
        <f>J125</f>
        <v>597.43432146185614</v>
      </c>
    </row>
    <row r="236" spans="1:11">
      <c r="A236" s="9" t="s">
        <v>337</v>
      </c>
      <c r="E236" s="22">
        <f>E195</f>
        <v>5762.2710706658963</v>
      </c>
      <c r="F236" s="22">
        <f>F195</f>
        <v>7023.8962834015647</v>
      </c>
      <c r="G236" s="22">
        <f>G195</f>
        <v>7320.5354012974922</v>
      </c>
      <c r="H236" s="22">
        <f>H195</f>
        <v>7035.6235944987375</v>
      </c>
      <c r="I236" s="22">
        <f>I195</f>
        <v>7885.6418001440416</v>
      </c>
      <c r="J236" s="22">
        <f>J195</f>
        <v>8292.9131009808752</v>
      </c>
      <c r="K236" s="22">
        <f>K195</f>
        <v>8718.8002930897565</v>
      </c>
    </row>
    <row r="237" spans="1:11" ht="16">
      <c r="A237" s="9"/>
      <c r="E237" s="19" t="s">
        <v>17</v>
      </c>
      <c r="F237" s="19" t="s">
        <v>17</v>
      </c>
      <c r="G237" s="19" t="s">
        <v>17</v>
      </c>
      <c r="H237" s="19" t="s">
        <v>17</v>
      </c>
      <c r="I237" s="19" t="s">
        <v>17</v>
      </c>
      <c r="J237" s="19" t="s">
        <v>17</v>
      </c>
      <c r="K237" s="19" t="s">
        <v>17</v>
      </c>
    </row>
    <row r="238" spans="1:11">
      <c r="A238" s="9" t="s">
        <v>338</v>
      </c>
      <c r="E238" s="22">
        <f>SUM(E235:E237)</f>
        <v>6958.0310706658966</v>
      </c>
      <c r="F238" s="22">
        <f>SUM(F235:F237)</f>
        <v>7503.2966204325321</v>
      </c>
      <c r="G238" s="22">
        <f>SUM(G235:G237)</f>
        <v>7821.542753494854</v>
      </c>
      <c r="H238" s="22">
        <f>SUM(H235:H237)</f>
        <v>7559.1532775449796</v>
      </c>
      <c r="I238" s="22">
        <f>SUM(I235:I237)</f>
        <v>8432.7398189273645</v>
      </c>
      <c r="J238" s="22">
        <f t="shared" ref="J238:K238" si="91">SUM(J235:J237)</f>
        <v>8864.6440306094482</v>
      </c>
      <c r="K238" s="22">
        <f t="shared" si="91"/>
        <v>9316.234614551613</v>
      </c>
    </row>
    <row r="239" spans="1:11">
      <c r="A239" s="9" t="s">
        <v>339</v>
      </c>
      <c r="E239" s="22">
        <f>MAX(E231-E238,0)</f>
        <v>0</v>
      </c>
      <c r="F239" s="22">
        <f t="shared" ref="F239:K239" si="92">MAX(F231-F238,0)</f>
        <v>9.0949470177292824E-13</v>
      </c>
      <c r="G239" s="22">
        <f t="shared" si="92"/>
        <v>0</v>
      </c>
      <c r="H239" s="22">
        <f t="shared" si="92"/>
        <v>0</v>
      </c>
      <c r="I239" s="22">
        <f t="shared" si="92"/>
        <v>0</v>
      </c>
      <c r="J239" s="22">
        <f t="shared" si="92"/>
        <v>0</v>
      </c>
      <c r="K239" s="22">
        <f t="shared" si="92"/>
        <v>0</v>
      </c>
    </row>
    <row r="240" spans="1:11" ht="16">
      <c r="A240" s="9"/>
      <c r="E240" s="19" t="s">
        <v>17</v>
      </c>
      <c r="F240" s="19" t="s">
        <v>17</v>
      </c>
      <c r="G240" s="19" t="s">
        <v>17</v>
      </c>
      <c r="H240" s="19" t="s">
        <v>17</v>
      </c>
      <c r="I240" s="19" t="s">
        <v>17</v>
      </c>
      <c r="J240" s="19" t="s">
        <v>17</v>
      </c>
      <c r="K240" s="19" t="s">
        <v>17</v>
      </c>
    </row>
    <row r="241" spans="1:11">
      <c r="A241" s="384" t="s">
        <v>340</v>
      </c>
      <c r="E241" s="2">
        <f>SUM(E238:E239)</f>
        <v>6958.0310706658966</v>
      </c>
      <c r="F241" s="2">
        <f t="shared" ref="F241:K241" si="93">SUM(F238:F239)</f>
        <v>7503.296620432533</v>
      </c>
      <c r="G241" s="2">
        <f t="shared" si="93"/>
        <v>7821.542753494854</v>
      </c>
      <c r="H241" s="2">
        <f t="shared" si="93"/>
        <v>7559.1532775449796</v>
      </c>
      <c r="I241" s="2">
        <f t="shared" si="93"/>
        <v>8432.7398189273645</v>
      </c>
      <c r="J241" s="2">
        <f t="shared" si="93"/>
        <v>8864.6440306094482</v>
      </c>
      <c r="K241" s="2">
        <f t="shared" si="93"/>
        <v>9316.234614551613</v>
      </c>
    </row>
    <row r="242" spans="1:11">
      <c r="A242" s="9"/>
      <c r="F242" s="159"/>
      <c r="G242" s="159"/>
      <c r="H242" s="159"/>
      <c r="I242" s="159"/>
      <c r="J242" s="159"/>
      <c r="K242" s="159"/>
    </row>
    <row r="243" spans="1:11">
      <c r="A243" s="9" t="s">
        <v>341</v>
      </c>
      <c r="E243" s="56">
        <f>ABS(E241-E231)</f>
        <v>0</v>
      </c>
      <c r="F243" s="56">
        <f>ABS(F241-F231)</f>
        <v>0</v>
      </c>
      <c r="G243" s="56">
        <f>ABS(G241-G231)</f>
        <v>0</v>
      </c>
      <c r="H243" s="56">
        <f>ABS(H241-H231)</f>
        <v>0</v>
      </c>
      <c r="I243" s="56">
        <f>ABS(I241-I231)</f>
        <v>0</v>
      </c>
      <c r="J243" s="56">
        <f t="shared" ref="J243:K243" si="94">ABS(J241-J231)</f>
        <v>0</v>
      </c>
      <c r="K243" s="56">
        <f t="shared" si="94"/>
        <v>0</v>
      </c>
    </row>
    <row r="244" spans="1:11">
      <c r="A244" s="9"/>
    </row>
    <row r="245" spans="1:11">
      <c r="A245" s="9"/>
    </row>
    <row r="246" spans="1:11">
      <c r="A246" s="9"/>
    </row>
    <row r="247" spans="1:11">
      <c r="A247" s="9"/>
      <c r="E247" s="65"/>
    </row>
    <row r="248" spans="1:11">
      <c r="A248" s="9"/>
      <c r="E248" s="65"/>
    </row>
    <row r="249" spans="1:11">
      <c r="A249" s="9"/>
      <c r="E249" s="65"/>
    </row>
    <row r="250" spans="1:11">
      <c r="A250" s="9"/>
      <c r="E250" s="65"/>
    </row>
    <row r="251" spans="1:11">
      <c r="A251" s="9"/>
      <c r="E251" s="65"/>
    </row>
    <row r="253" spans="1:11">
      <c r="A253" s="216" t="s">
        <v>186</v>
      </c>
      <c r="B253"/>
      <c r="C253"/>
      <c r="D253"/>
      <c r="E253"/>
      <c r="F253"/>
      <c r="G253"/>
      <c r="H253"/>
      <c r="I253"/>
      <c r="J253"/>
    </row>
    <row r="254" spans="1:11">
      <c r="A254"/>
      <c r="B254"/>
      <c r="C254"/>
      <c r="D254"/>
      <c r="E254"/>
      <c r="F254" s="203" t="s">
        <v>187</v>
      </c>
      <c r="G254" s="204"/>
      <c r="H254" s="205">
        <v>5.7000000000000002E-2</v>
      </c>
      <c r="I254" s="206"/>
      <c r="J254"/>
    </row>
    <row r="255" spans="1:11">
      <c r="A255" s="207" t="s">
        <v>188</v>
      </c>
      <c r="B255" s="208" t="s">
        <v>189</v>
      </c>
      <c r="C255"/>
      <c r="D255"/>
      <c r="E255"/>
      <c r="F255" s="240" t="s">
        <v>247</v>
      </c>
      <c r="G255" s="164"/>
      <c r="H255" s="260">
        <v>5.5E-2</v>
      </c>
      <c r="I255" s="206"/>
    </row>
    <row r="256" spans="1:11">
      <c r="A256" s="209" t="s">
        <v>190</v>
      </c>
      <c r="B256" s="211">
        <v>0.93</v>
      </c>
      <c r="C256"/>
      <c r="D256"/>
      <c r="E256"/>
      <c r="F256" s="240" t="s">
        <v>248</v>
      </c>
      <c r="G256" s="164"/>
      <c r="H256" s="210">
        <v>8.0000000000000002E-3</v>
      </c>
      <c r="I256"/>
    </row>
    <row r="257" spans="1:15">
      <c r="A257" s="209" t="s">
        <v>191</v>
      </c>
      <c r="B257" s="211">
        <v>1.2</v>
      </c>
      <c r="C257"/>
      <c r="D257"/>
      <c r="E257"/>
      <c r="F257" s="240" t="s">
        <v>246</v>
      </c>
      <c r="G257" s="164"/>
      <c r="H257" s="268">
        <f>H254+(H255*B261)</f>
        <v>0.1179125</v>
      </c>
      <c r="I257"/>
    </row>
    <row r="258" spans="1:15">
      <c r="A258" s="209" t="s">
        <v>192</v>
      </c>
      <c r="B258" s="211">
        <v>1.24</v>
      </c>
      <c r="C258"/>
      <c r="D258"/>
      <c r="E258"/>
      <c r="F258" s="209" t="s">
        <v>193</v>
      </c>
      <c r="G258" s="164"/>
      <c r="H258" s="258">
        <v>0.12</v>
      </c>
      <c r="I258" s="206"/>
    </row>
    <row r="259" spans="1:15">
      <c r="A259" s="213" t="s">
        <v>194</v>
      </c>
      <c r="B259" s="214">
        <v>1.06</v>
      </c>
      <c r="C259"/>
      <c r="D259"/>
      <c r="E259"/>
      <c r="F259" s="209" t="s">
        <v>195</v>
      </c>
      <c r="G259" s="164"/>
      <c r="H259" s="210">
        <v>5.8000000000000003E-2</v>
      </c>
      <c r="I259" t="s">
        <v>196</v>
      </c>
      <c r="J259"/>
      <c r="K259" s="160"/>
    </row>
    <row r="260" spans="1:15">
      <c r="A260"/>
      <c r="B260"/>
      <c r="C260"/>
      <c r="D260"/>
      <c r="E260"/>
      <c r="F260" s="209" t="s">
        <v>197</v>
      </c>
      <c r="G260" s="164"/>
      <c r="H260" s="215">
        <v>0.34</v>
      </c>
      <c r="I260"/>
      <c r="J260"/>
      <c r="L260" s="265" t="s">
        <v>220</v>
      </c>
      <c r="M260" s="170" t="s">
        <v>224</v>
      </c>
      <c r="N260" s="170" t="s">
        <v>243</v>
      </c>
      <c r="O260" s="266"/>
    </row>
    <row r="261" spans="1:15" ht="16">
      <c r="A261" s="216" t="s">
        <v>198</v>
      </c>
      <c r="B261" s="217">
        <f>AVERAGE(B256:B259)</f>
        <v>1.1074999999999999</v>
      </c>
      <c r="C261" s="218"/>
      <c r="D261"/>
      <c r="E261"/>
      <c r="F261" s="209" t="s">
        <v>199</v>
      </c>
      <c r="G261" s="164"/>
      <c r="H261" s="164">
        <v>0.26</v>
      </c>
      <c r="I261"/>
      <c r="J261"/>
      <c r="K261" s="170" t="s">
        <v>241</v>
      </c>
      <c r="L261" s="262">
        <v>0.1</v>
      </c>
      <c r="M261" s="263">
        <v>4.2999999999999997E-2</v>
      </c>
      <c r="N261" s="368">
        <f>0.25*L261 +(0.75*M261)</f>
        <v>5.7250000000000002E-2</v>
      </c>
      <c r="O261" s="369"/>
    </row>
    <row r="262" spans="1:15">
      <c r="A262"/>
      <c r="B262"/>
      <c r="C262"/>
      <c r="D262"/>
      <c r="E262"/>
      <c r="F262" s="213" t="s">
        <v>200</v>
      </c>
      <c r="G262" s="219"/>
      <c r="H262" s="219">
        <v>0.74</v>
      </c>
      <c r="I262"/>
      <c r="J262"/>
      <c r="K262" s="265" t="s">
        <v>242</v>
      </c>
      <c r="L262" s="267">
        <v>0.08</v>
      </c>
      <c r="M262" s="264">
        <v>4.5999999999999999E-2</v>
      </c>
      <c r="N262" s="370">
        <f>0.25*L262 +(0.75*M262)</f>
        <v>5.4500000000000007E-2</v>
      </c>
      <c r="O262" s="371"/>
    </row>
    <row r="263" spans="1:15">
      <c r="A263"/>
      <c r="B263"/>
      <c r="C263"/>
      <c r="D263"/>
      <c r="E263"/>
      <c r="F263"/>
      <c r="G263"/>
      <c r="H263"/>
      <c r="I263"/>
      <c r="J263"/>
    </row>
    <row r="264" spans="1:15" ht="16">
      <c r="A264"/>
      <c r="B264"/>
      <c r="C264"/>
      <c r="D264"/>
      <c r="E264"/>
      <c r="F264" s="220" t="s">
        <v>133</v>
      </c>
      <c r="G264" s="221"/>
      <c r="H264" s="259">
        <f>(H258*H262)+(H261*H259*(1-H260))</f>
        <v>9.8752799999999988E-2</v>
      </c>
      <c r="I264"/>
      <c r="J264"/>
      <c r="K264" s="350" t="s">
        <v>250</v>
      </c>
      <c r="L264" s="351"/>
      <c r="M264" s="159" t="s">
        <v>249</v>
      </c>
    </row>
    <row r="265" spans="1:15">
      <c r="K265" s="160"/>
    </row>
    <row r="266" spans="1:15">
      <c r="K266" s="387"/>
    </row>
    <row r="269" spans="1:15" ht="18">
      <c r="A269" s="66" t="s">
        <v>110</v>
      </c>
      <c r="B269" s="67"/>
      <c r="C269" s="67"/>
      <c r="D269" s="67"/>
      <c r="E269" s="67"/>
      <c r="F269" s="67"/>
      <c r="G269" s="67"/>
      <c r="H269" s="67"/>
      <c r="I269" s="66"/>
      <c r="J269" s="67"/>
      <c r="K269" s="68"/>
    </row>
    <row r="270" spans="1:15" ht="20">
      <c r="A270" s="69"/>
      <c r="B270" s="70"/>
      <c r="C270" s="70"/>
      <c r="D270" s="71"/>
      <c r="E270" s="72" t="s">
        <v>1</v>
      </c>
      <c r="F270" s="72"/>
      <c r="G270" s="72"/>
      <c r="H270" s="72"/>
      <c r="I270" s="113"/>
      <c r="J270" s="112"/>
      <c r="K270" s="114"/>
    </row>
    <row r="271" spans="1:15">
      <c r="A271" s="73"/>
      <c r="B271" s="70"/>
      <c r="C271" s="70"/>
      <c r="D271" s="74" t="s">
        <v>139</v>
      </c>
      <c r="E271" s="115">
        <f>E174</f>
        <v>45657</v>
      </c>
      <c r="F271" s="115">
        <f>F174</f>
        <v>46022</v>
      </c>
      <c r="G271" s="115">
        <f>G174</f>
        <v>46387</v>
      </c>
      <c r="H271" s="115">
        <f>H174</f>
        <v>46752</v>
      </c>
      <c r="I271" s="115">
        <f>I174</f>
        <v>47118</v>
      </c>
      <c r="J271" s="115">
        <f>J174</f>
        <v>47483</v>
      </c>
      <c r="K271" s="250">
        <f>K174</f>
        <v>47848</v>
      </c>
    </row>
    <row r="272" spans="1:15">
      <c r="A272" s="75"/>
      <c r="B272" s="76"/>
      <c r="C272" s="76"/>
      <c r="D272" s="77">
        <v>0</v>
      </c>
      <c r="E272" s="78">
        <f>D272+1</f>
        <v>1</v>
      </c>
      <c r="F272" s="78">
        <f>E272+1</f>
        <v>2</v>
      </c>
      <c r="G272" s="78">
        <f>F272+1</f>
        <v>3</v>
      </c>
      <c r="H272" s="78">
        <f>G272+1</f>
        <v>4</v>
      </c>
      <c r="I272" s="78">
        <f t="shared" ref="I272:K272" si="95">H272+1</f>
        <v>5</v>
      </c>
      <c r="J272" s="78">
        <f t="shared" si="95"/>
        <v>6</v>
      </c>
      <c r="K272" s="251">
        <f t="shared" si="95"/>
        <v>7</v>
      </c>
    </row>
    <row r="273" spans="1:11" ht="18">
      <c r="A273" s="79" t="s">
        <v>111</v>
      </c>
      <c r="B273" s="70"/>
      <c r="C273" s="70"/>
      <c r="D273" s="74"/>
      <c r="E273" s="74"/>
      <c r="F273" s="74"/>
      <c r="G273" s="74"/>
      <c r="H273" s="74"/>
      <c r="I273" s="112"/>
      <c r="J273" s="112"/>
      <c r="K273" s="114"/>
    </row>
    <row r="274" spans="1:11" ht="18">
      <c r="A274" s="80"/>
      <c r="B274" s="70"/>
      <c r="C274" s="70"/>
      <c r="D274" s="74"/>
      <c r="E274" s="74"/>
      <c r="F274" s="74"/>
      <c r="G274" s="74"/>
      <c r="H274" s="74"/>
      <c r="I274" s="112"/>
      <c r="J274" s="112"/>
      <c r="K274" s="114"/>
    </row>
    <row r="275" spans="1:11">
      <c r="A275" s="81" t="s">
        <v>112</v>
      </c>
      <c r="B275" s="82"/>
      <c r="C275" s="82"/>
      <c r="D275" s="82"/>
      <c r="E275" s="119">
        <f>E71</f>
        <v>15176.469165000002</v>
      </c>
      <c r="F275" s="119">
        <f>F71</f>
        <v>15859.410277424999</v>
      </c>
      <c r="G275" s="119">
        <f>G71</f>
        <v>16573.083739909125</v>
      </c>
      <c r="H275" s="119">
        <f>H71</f>
        <v>17318.872508205037</v>
      </c>
      <c r="I275" s="119">
        <f>I71</f>
        <v>18098.221771074266</v>
      </c>
      <c r="J275" s="119">
        <f>J71</f>
        <v>18912.641750772607</v>
      </c>
      <c r="K275" s="252">
        <f>K71</f>
        <v>19763.710629557376</v>
      </c>
    </row>
    <row r="276" spans="1:11">
      <c r="A276" s="81" t="s">
        <v>113</v>
      </c>
      <c r="B276" s="82"/>
      <c r="C276" s="82"/>
      <c r="D276" s="82"/>
      <c r="E276" s="84">
        <f>E72</f>
        <v>3174.4477049999996</v>
      </c>
      <c r="F276" s="84">
        <f>F72</f>
        <v>3317.2978517249999</v>
      </c>
      <c r="G276" s="84">
        <f>G72</f>
        <v>3466.5762550526251</v>
      </c>
      <c r="H276" s="84">
        <f>H72</f>
        <v>3622.5721865299929</v>
      </c>
      <c r="I276" s="84">
        <f>I72</f>
        <v>3785.587934923843</v>
      </c>
      <c r="J276" s="84">
        <f>J72</f>
        <v>3955.9393919954159</v>
      </c>
      <c r="K276" s="253">
        <f>K72</f>
        <v>4133.9566646352096</v>
      </c>
    </row>
    <row r="277" spans="1:11" ht="16">
      <c r="A277" s="81"/>
      <c r="B277" s="82"/>
      <c r="C277" s="82"/>
      <c r="D277" s="82"/>
      <c r="E277" s="85" t="s">
        <v>17</v>
      </c>
      <c r="F277" s="85" t="s">
        <v>17</v>
      </c>
      <c r="G277" s="85" t="s">
        <v>17</v>
      </c>
      <c r="H277" s="85" t="s">
        <v>17</v>
      </c>
      <c r="I277" s="85" t="s">
        <v>17</v>
      </c>
      <c r="J277" s="85" t="s">
        <v>17</v>
      </c>
      <c r="K277" s="254" t="s">
        <v>17</v>
      </c>
    </row>
    <row r="278" spans="1:11">
      <c r="A278" s="86" t="s">
        <v>114</v>
      </c>
      <c r="B278" s="87"/>
      <c r="C278" s="87"/>
      <c r="D278" s="87"/>
      <c r="E278" s="88">
        <f>E74</f>
        <v>18350.916870000001</v>
      </c>
      <c r="F278" s="88">
        <f>F74</f>
        <v>19176.70812915</v>
      </c>
      <c r="G278" s="88">
        <f>G74</f>
        <v>20039.659994961752</v>
      </c>
      <c r="H278" s="88">
        <f>H74</f>
        <v>20941.44469473503</v>
      </c>
      <c r="I278" s="88">
        <f>I74</f>
        <v>21883.809705998108</v>
      </c>
      <c r="J278" s="88">
        <f>J74</f>
        <v>22868.581142768024</v>
      </c>
      <c r="K278" s="255">
        <f>K74</f>
        <v>23897.667294192586</v>
      </c>
    </row>
    <row r="279" spans="1:11">
      <c r="A279" s="81" t="s">
        <v>115</v>
      </c>
      <c r="B279" s="82"/>
      <c r="C279" s="82"/>
      <c r="D279" s="82"/>
      <c r="E279" s="84">
        <f>-E37</f>
        <v>-6500</v>
      </c>
      <c r="F279" s="84">
        <f>-F37</f>
        <v>-6816.3654487499998</v>
      </c>
      <c r="G279" s="84">
        <f>-G37</f>
        <v>-7123.1018939437499</v>
      </c>
      <c r="H279" s="84">
        <f>-H37</f>
        <v>-7443.6414791712186</v>
      </c>
      <c r="I279" s="84">
        <f>-I37</f>
        <v>-7778.605345733924</v>
      </c>
      <c r="J279" s="84">
        <f>-J37</f>
        <v>-8128.6425862919514</v>
      </c>
      <c r="K279" s="253">
        <f>-K37</f>
        <v>-8494.4315026750883</v>
      </c>
    </row>
    <row r="280" spans="1:11" ht="16">
      <c r="A280" s="81"/>
      <c r="B280" s="82"/>
      <c r="C280" s="82"/>
      <c r="D280" s="82"/>
      <c r="E280" s="85" t="s">
        <v>17</v>
      </c>
      <c r="F280" s="85" t="s">
        <v>17</v>
      </c>
      <c r="G280" s="85" t="s">
        <v>17</v>
      </c>
      <c r="H280" s="85" t="s">
        <v>17</v>
      </c>
      <c r="I280" s="85" t="s">
        <v>17</v>
      </c>
      <c r="J280" s="85" t="s">
        <v>17</v>
      </c>
      <c r="K280" s="254" t="s">
        <v>17</v>
      </c>
    </row>
    <row r="281" spans="1:11">
      <c r="A281" s="86" t="s">
        <v>116</v>
      </c>
      <c r="B281" s="87"/>
      <c r="C281" s="87"/>
      <c r="D281" s="87"/>
      <c r="E281" s="88">
        <f t="shared" ref="E281:K281" si="96">SUM(E278:E280)</f>
        <v>11850.916870000001</v>
      </c>
      <c r="F281" s="88">
        <f t="shared" si="96"/>
        <v>12360.342680400001</v>
      </c>
      <c r="G281" s="88">
        <f t="shared" si="96"/>
        <v>12916.558101018003</v>
      </c>
      <c r="H281" s="88">
        <f t="shared" si="96"/>
        <v>13497.80321556381</v>
      </c>
      <c r="I281" s="88">
        <f t="shared" si="96"/>
        <v>14105.204360264184</v>
      </c>
      <c r="J281" s="88">
        <f t="shared" si="96"/>
        <v>14739.938556476072</v>
      </c>
      <c r="K281" s="255">
        <f t="shared" si="96"/>
        <v>15403.235791517498</v>
      </c>
    </row>
    <row r="282" spans="1:11">
      <c r="A282" s="81" t="s">
        <v>117</v>
      </c>
      <c r="B282" s="82"/>
      <c r="C282" s="89">
        <v>0.34</v>
      </c>
      <c r="D282" s="82"/>
      <c r="E282" s="84">
        <f>E64</f>
        <v>-4712.6521515285722</v>
      </c>
      <c r="F282" s="84">
        <f>F64</f>
        <v>-5021.2430465920334</v>
      </c>
      <c r="G282" s="84">
        <f>G64</f>
        <v>-5234.6170699743898</v>
      </c>
      <c r="H282" s="84">
        <f>H64</f>
        <v>-5151.0009844089527</v>
      </c>
      <c r="I282" s="84">
        <f>I64</f>
        <v>-5654.7529749930709</v>
      </c>
      <c r="J282" s="84">
        <f>J64</f>
        <v>-5933.2454651534727</v>
      </c>
      <c r="K282" s="253">
        <f>K64</f>
        <v>-6224.2701173710939</v>
      </c>
    </row>
    <row r="283" spans="1:11">
      <c r="A283" s="81" t="s">
        <v>118</v>
      </c>
      <c r="B283" s="82"/>
      <c r="C283" s="82"/>
      <c r="D283" s="82"/>
      <c r="E283" s="84">
        <f>E105</f>
        <v>-1010.2661049483886</v>
      </c>
      <c r="F283" s="84">
        <f>F105</f>
        <v>-221.65497472267634</v>
      </c>
      <c r="G283" s="84">
        <f>G105</f>
        <v>-231.6294485851995</v>
      </c>
      <c r="H283" s="84">
        <f>H105</f>
        <v>-242.05277377153106</v>
      </c>
      <c r="I283" s="84">
        <f>I105</f>
        <v>-252.94514859125047</v>
      </c>
      <c r="J283" s="84">
        <f>J105</f>
        <v>-264.32768027786005</v>
      </c>
      <c r="K283" s="253">
        <f>K105</f>
        <v>-276.22242589035523</v>
      </c>
    </row>
    <row r="284" spans="1:11" ht="16">
      <c r="A284" s="81"/>
      <c r="B284" s="82"/>
      <c r="C284" s="82"/>
      <c r="D284" s="82"/>
      <c r="E284" s="85" t="s">
        <v>17</v>
      </c>
      <c r="F284" s="85" t="s">
        <v>17</v>
      </c>
      <c r="G284" s="85" t="s">
        <v>17</v>
      </c>
      <c r="H284" s="85" t="s">
        <v>17</v>
      </c>
      <c r="I284" s="85" t="s">
        <v>17</v>
      </c>
      <c r="J284" s="85" t="s">
        <v>17</v>
      </c>
      <c r="K284" s="254" t="s">
        <v>17</v>
      </c>
    </row>
    <row r="285" spans="1:11">
      <c r="A285" s="86" t="s">
        <v>119</v>
      </c>
      <c r="B285" s="87"/>
      <c r="C285" s="87"/>
      <c r="D285" s="87"/>
      <c r="E285" s="88">
        <f>SUM(E281:E284)</f>
        <v>6127.9986135230401</v>
      </c>
      <c r="F285" s="88">
        <f t="shared" ref="F285:K285" si="97">SUM(F281:F284)</f>
        <v>7117.4446590852913</v>
      </c>
      <c r="G285" s="88">
        <f t="shared" si="97"/>
        <v>7450.3115824584138</v>
      </c>
      <c r="H285" s="88">
        <f t="shared" si="97"/>
        <v>8104.7494573833264</v>
      </c>
      <c r="I285" s="88">
        <f t="shared" si="97"/>
        <v>8197.5062366798629</v>
      </c>
      <c r="J285" s="88">
        <f t="shared" si="97"/>
        <v>8542.3654110447387</v>
      </c>
      <c r="K285" s="255">
        <f t="shared" si="97"/>
        <v>8902.7432482560489</v>
      </c>
    </row>
    <row r="286" spans="1:11" ht="18">
      <c r="A286" s="90"/>
      <c r="B286" s="82"/>
      <c r="C286" s="82"/>
      <c r="D286" s="82"/>
      <c r="E286" s="82"/>
      <c r="F286" s="82"/>
      <c r="G286" s="82"/>
      <c r="H286" s="82"/>
      <c r="I286" s="112"/>
      <c r="J286" s="112"/>
      <c r="K286" s="114"/>
    </row>
    <row r="287" spans="1:11" ht="18">
      <c r="A287" s="80" t="s">
        <v>120</v>
      </c>
      <c r="B287" s="70"/>
      <c r="C287" s="70"/>
      <c r="D287" s="74"/>
      <c r="E287" s="74"/>
      <c r="F287" s="74"/>
      <c r="G287" s="74"/>
      <c r="H287" s="74"/>
      <c r="I287" s="112"/>
      <c r="J287" s="112"/>
      <c r="K287" s="114"/>
    </row>
    <row r="288" spans="1:11" ht="18">
      <c r="A288" s="80"/>
      <c r="B288" s="70"/>
      <c r="C288" s="70"/>
      <c r="D288" s="74"/>
      <c r="E288" s="74"/>
      <c r="F288" s="74"/>
      <c r="G288" s="74"/>
      <c r="H288" s="74"/>
      <c r="I288" s="112"/>
      <c r="J288" s="112"/>
      <c r="K288" s="114"/>
    </row>
    <row r="289" spans="1:11" ht="18">
      <c r="A289" s="92" t="s">
        <v>121</v>
      </c>
      <c r="B289" s="70"/>
      <c r="C289" s="70"/>
      <c r="D289" s="74"/>
      <c r="E289" s="74"/>
      <c r="F289" s="74"/>
      <c r="G289" s="74"/>
      <c r="H289" s="74"/>
      <c r="I289" s="112"/>
      <c r="J289" s="112"/>
      <c r="K289" s="114"/>
    </row>
    <row r="290" spans="1:11" ht="18">
      <c r="A290" s="81" t="s">
        <v>122</v>
      </c>
      <c r="B290" s="82"/>
      <c r="C290" s="82"/>
      <c r="D290" s="82"/>
      <c r="E290" s="82"/>
      <c r="F290" s="82"/>
      <c r="G290" s="82"/>
      <c r="H290" s="82"/>
      <c r="I290" s="112"/>
      <c r="J290" s="112"/>
      <c r="K290" s="132">
        <v>0.03</v>
      </c>
    </row>
    <row r="291" spans="1:11" ht="18">
      <c r="A291" s="81" t="s">
        <v>123</v>
      </c>
      <c r="B291" s="82"/>
      <c r="C291" s="82"/>
      <c r="D291" s="82"/>
      <c r="E291" s="82"/>
      <c r="F291" s="82"/>
      <c r="G291" s="82"/>
      <c r="H291" s="82"/>
      <c r="I291" s="112"/>
      <c r="J291" s="112"/>
      <c r="K291" s="114">
        <f>K285*(1+K290)</f>
        <v>9169.8255457037303</v>
      </c>
    </row>
    <row r="292" spans="1:11" ht="18">
      <c r="A292" s="81" t="s">
        <v>124</v>
      </c>
      <c r="B292" s="82"/>
      <c r="C292" s="82"/>
      <c r="D292" s="82"/>
      <c r="E292" s="82"/>
      <c r="F292" s="82"/>
      <c r="G292" s="82"/>
      <c r="H292" s="82"/>
      <c r="I292" s="112"/>
      <c r="J292" s="112"/>
      <c r="K292" s="132">
        <v>0.1</v>
      </c>
    </row>
    <row r="293" spans="1:11" ht="18">
      <c r="A293" s="81" t="s">
        <v>125</v>
      </c>
      <c r="B293" s="82"/>
      <c r="C293" s="82"/>
      <c r="D293" s="82"/>
      <c r="E293" s="82"/>
      <c r="F293" s="82"/>
      <c r="G293" s="82"/>
      <c r="H293" s="82"/>
      <c r="I293" s="112"/>
      <c r="J293" s="112"/>
      <c r="K293" s="114">
        <f>K291/(K292-K290)</f>
        <v>130997.50779576757</v>
      </c>
    </row>
    <row r="294" spans="1:11" ht="18">
      <c r="A294" s="81" t="s">
        <v>126</v>
      </c>
      <c r="B294" s="82"/>
      <c r="C294" s="82"/>
      <c r="D294" s="82"/>
      <c r="E294" s="82"/>
      <c r="F294" s="82"/>
      <c r="G294" s="82"/>
      <c r="H294" s="82"/>
      <c r="I294" s="112"/>
      <c r="J294" s="112"/>
      <c r="K294" s="114">
        <f>K293/K285</f>
        <v>14.714285714285714</v>
      </c>
    </row>
    <row r="295" spans="1:11" ht="18">
      <c r="A295" s="90"/>
      <c r="B295" s="82"/>
      <c r="C295" s="82"/>
      <c r="D295" s="82"/>
      <c r="E295" s="82"/>
      <c r="F295" s="82"/>
      <c r="G295" s="82"/>
      <c r="H295" s="82"/>
      <c r="I295" s="112"/>
      <c r="J295" s="112"/>
      <c r="K295" s="114"/>
    </row>
    <row r="296" spans="1:11" ht="18">
      <c r="A296" s="93" t="s">
        <v>127</v>
      </c>
      <c r="B296" s="82"/>
      <c r="C296" s="82"/>
      <c r="D296" s="82"/>
      <c r="E296" s="82"/>
      <c r="F296" s="82"/>
      <c r="G296" s="82"/>
      <c r="H296" s="82"/>
      <c r="I296" s="112"/>
      <c r="J296" s="112"/>
      <c r="K296" s="114"/>
    </row>
    <row r="297" spans="1:11" ht="18">
      <c r="A297" s="81" t="s">
        <v>119</v>
      </c>
      <c r="B297" s="82"/>
      <c r="C297" s="82"/>
      <c r="D297" s="82"/>
      <c r="E297" s="84"/>
      <c r="F297" s="84"/>
      <c r="G297" s="84"/>
      <c r="H297" s="84"/>
      <c r="I297" s="112"/>
      <c r="J297" s="112"/>
      <c r="K297" s="114"/>
    </row>
    <row r="298" spans="1:11">
      <c r="A298" s="81" t="s">
        <v>128</v>
      </c>
      <c r="B298" s="82"/>
      <c r="C298" s="82"/>
      <c r="D298" s="82"/>
      <c r="E298" s="84">
        <f>E285/(1+$K$292)^E272</f>
        <v>5570.9078304754903</v>
      </c>
      <c r="F298" s="84">
        <f>F285/(1+$K$292)^F272</f>
        <v>5882.1856686655292</v>
      </c>
      <c r="G298" s="84">
        <f>G285/(1+$K$292)^G272</f>
        <v>5597.5293632294606</v>
      </c>
      <c r="H298" s="84">
        <f>H285/(1+$K$292)^H272</f>
        <v>5535.652931755566</v>
      </c>
      <c r="I298" s="84">
        <f>I285/(1+$K$292)^I272</f>
        <v>5090.0064182649348</v>
      </c>
      <c r="J298" s="84">
        <f>J285/(1+$K$292)^J272</f>
        <v>4821.9425755278735</v>
      </c>
      <c r="K298" s="253">
        <f>K285/(1+$K$292)^K272</f>
        <v>4568.5149723662007</v>
      </c>
    </row>
    <row r="299" spans="1:11" ht="16">
      <c r="A299" s="90"/>
      <c r="B299" s="82"/>
      <c r="C299" s="82"/>
      <c r="D299" s="82"/>
      <c r="E299" s="85" t="s">
        <v>17</v>
      </c>
      <c r="F299" s="85" t="s">
        <v>17</v>
      </c>
      <c r="G299" s="85" t="s">
        <v>17</v>
      </c>
      <c r="H299" s="85" t="s">
        <v>17</v>
      </c>
      <c r="I299" s="85" t="s">
        <v>17</v>
      </c>
      <c r="J299" s="85" t="s">
        <v>17</v>
      </c>
      <c r="K299" s="253">
        <f>K293/(1+$K$292)^K272</f>
        <v>67222.434593388389</v>
      </c>
    </row>
    <row r="300" spans="1:11">
      <c r="A300" s="94" t="s">
        <v>129</v>
      </c>
      <c r="B300" s="95"/>
      <c r="C300" s="95"/>
      <c r="D300" s="96">
        <f>SUM(E300:K300)</f>
        <v>104289.17435367344</v>
      </c>
      <c r="E300" s="97">
        <f>E298</f>
        <v>5570.9078304754903</v>
      </c>
      <c r="F300" s="97">
        <f t="shared" ref="F300:J300" si="98">F298</f>
        <v>5882.1856686655292</v>
      </c>
      <c r="G300" s="97">
        <f t="shared" si="98"/>
        <v>5597.5293632294606</v>
      </c>
      <c r="H300" s="97">
        <f t="shared" si="98"/>
        <v>5535.652931755566</v>
      </c>
      <c r="I300" s="97">
        <f t="shared" si="98"/>
        <v>5090.0064182649348</v>
      </c>
      <c r="J300" s="97">
        <f t="shared" si="98"/>
        <v>4821.9425755278735</v>
      </c>
      <c r="K300" s="256">
        <f>SUM(K298:K299)</f>
        <v>71790.949565754592</v>
      </c>
    </row>
    <row r="301" spans="1:11">
      <c r="A301" s="9"/>
      <c r="B301" s="13"/>
      <c r="C301" s="13"/>
      <c r="D301" s="13"/>
      <c r="E301" s="22"/>
      <c r="F301" s="22"/>
      <c r="G301" s="22"/>
      <c r="H301" s="22"/>
      <c r="I301" s="22"/>
      <c r="J301" s="13"/>
    </row>
    <row r="302" spans="1:11" ht="16">
      <c r="A302" s="98" t="s">
        <v>130</v>
      </c>
      <c r="B302" s="99"/>
      <c r="C302" s="99"/>
      <c r="D302" s="100"/>
      <c r="E302" s="13"/>
      <c r="F302" s="101" t="s">
        <v>131</v>
      </c>
      <c r="G302" s="102"/>
      <c r="H302" s="102"/>
      <c r="I302" s="103"/>
      <c r="J302" s="103"/>
      <c r="K302" s="103"/>
    </row>
    <row r="303" spans="1:11" ht="16">
      <c r="A303" s="81" t="s">
        <v>132</v>
      </c>
      <c r="B303" s="83">
        <f>D300</f>
        <v>104289.17435367344</v>
      </c>
      <c r="C303" s="104"/>
      <c r="D303" s="131"/>
      <c r="E303" s="105"/>
      <c r="F303" s="121" t="s">
        <v>141</v>
      </c>
      <c r="G303" s="101" t="s">
        <v>133</v>
      </c>
      <c r="H303" s="130"/>
      <c r="I303" s="103"/>
      <c r="J303" s="103"/>
      <c r="K303" s="103"/>
    </row>
    <row r="304" spans="1:11" ht="16">
      <c r="A304" s="81" t="s">
        <v>134</v>
      </c>
      <c r="B304" s="84">
        <f>-E157</f>
        <v>-14724.8</v>
      </c>
      <c r="C304" s="82"/>
      <c r="D304" s="91"/>
      <c r="E304" s="13"/>
      <c r="F304" s="123">
        <f>B308</f>
        <v>20.940412718768467</v>
      </c>
      <c r="G304" s="109">
        <v>0.09</v>
      </c>
      <c r="H304" s="117">
        <v>0.1</v>
      </c>
      <c r="I304" s="117">
        <v>0.11</v>
      </c>
      <c r="J304" s="117">
        <v>0.12</v>
      </c>
      <c r="K304" s="118">
        <v>0.13</v>
      </c>
    </row>
    <row r="305" spans="1:11">
      <c r="A305" s="81" t="s">
        <v>140</v>
      </c>
      <c r="B305" s="106">
        <f>E125</f>
        <v>479.40033703096742</v>
      </c>
      <c r="C305" s="82"/>
      <c r="D305" s="91"/>
      <c r="E305" s="13"/>
      <c r="F305" s="120">
        <v>0.02</v>
      </c>
      <c r="G305" s="122">
        <f t="dataTable" ref="G305:K308" dt2D="1" dtr="1" r1="K292" r2="K290"/>
        <v>22.120393807965627</v>
      </c>
      <c r="H305" s="107">
        <v>18.853466510461647</v>
      </c>
      <c r="I305" s="124">
        <v>16.315512420228011</v>
      </c>
      <c r="J305" s="124">
        <v>14.287695742004082</v>
      </c>
      <c r="K305" s="125">
        <v>12.630765961249722</v>
      </c>
    </row>
    <row r="306" spans="1:11">
      <c r="A306" s="81" t="s">
        <v>135</v>
      </c>
      <c r="B306" s="84">
        <f>SUM(B303:B305)</f>
        <v>90043.774690704406</v>
      </c>
      <c r="C306" s="82"/>
      <c r="D306" s="91"/>
      <c r="E306" s="13"/>
      <c r="F306" s="120">
        <v>0.03</v>
      </c>
      <c r="G306" s="107">
        <v>25.059715468281027</v>
      </c>
      <c r="H306" s="261">
        <v>20.940412718768467</v>
      </c>
      <c r="I306" s="124">
        <v>17.85290586135574</v>
      </c>
      <c r="J306" s="124">
        <v>15.453175533584906</v>
      </c>
      <c r="K306" s="125">
        <v>13.534815121316885</v>
      </c>
    </row>
    <row r="307" spans="1:11">
      <c r="A307" s="81" t="s">
        <v>136</v>
      </c>
      <c r="B307" s="108">
        <v>4300</v>
      </c>
      <c r="C307" s="82"/>
      <c r="D307" s="91"/>
      <c r="E307" s="13"/>
      <c r="F307" s="120">
        <v>0.04</v>
      </c>
      <c r="G307" s="107">
        <v>29.174765792722596</v>
      </c>
      <c r="H307" s="107">
        <v>23.723007663177555</v>
      </c>
      <c r="I307" s="124">
        <v>19.829554571377113</v>
      </c>
      <c r="J307" s="124">
        <v>16.910025273060935</v>
      </c>
      <c r="K307" s="125">
        <v>14.639764094732307</v>
      </c>
    </row>
    <row r="308" spans="1:11">
      <c r="A308" s="190" t="s">
        <v>137</v>
      </c>
      <c r="B308" s="191">
        <f>B306/B307</f>
        <v>20.940412718768467</v>
      </c>
      <c r="C308" s="110">
        <f>B308/E68</f>
        <v>9.8429049016130854</v>
      </c>
      <c r="D308" s="111" t="s">
        <v>138</v>
      </c>
      <c r="E308" s="105"/>
      <c r="F308" s="116">
        <v>0.05</v>
      </c>
      <c r="G308" s="126">
        <v>35.347341279384949</v>
      </c>
      <c r="H308" s="129">
        <v>27.618640585350285</v>
      </c>
      <c r="I308" s="128">
        <v>22.46508618473894</v>
      </c>
      <c r="J308" s="128">
        <v>18.783117795244401</v>
      </c>
      <c r="K308" s="127">
        <v>16.020950311501583</v>
      </c>
    </row>
    <row r="310" spans="1:11">
      <c r="A310" s="170" t="s">
        <v>158</v>
      </c>
      <c r="B310" s="168">
        <v>2020</v>
      </c>
      <c r="C310" s="168">
        <f>B310+1</f>
        <v>2021</v>
      </c>
      <c r="D310" s="168">
        <f>C310+1</f>
        <v>2022</v>
      </c>
      <c r="E310" s="169">
        <f>D310+1</f>
        <v>2023</v>
      </c>
    </row>
    <row r="311" spans="1:11">
      <c r="A311" s="171" t="s">
        <v>163</v>
      </c>
      <c r="B311" s="2">
        <f>38405/5</f>
        <v>7681</v>
      </c>
      <c r="C311" s="2">
        <f>159147/5</f>
        <v>31829.4</v>
      </c>
      <c r="D311" s="2">
        <f>101704/5</f>
        <v>20340.8</v>
      </c>
      <c r="E311" s="161">
        <f>55554/5</f>
        <v>11110.8</v>
      </c>
    </row>
    <row r="312" spans="1:11">
      <c r="A312" s="171" t="s">
        <v>164</v>
      </c>
      <c r="B312" s="2">
        <f>26713/5</f>
        <v>5342.6</v>
      </c>
      <c r="C312" s="159">
        <f>121228/5</f>
        <v>24245.599999999999</v>
      </c>
      <c r="D312" s="159">
        <f>95924/5</f>
        <v>19184.8</v>
      </c>
      <c r="E312" s="161">
        <f>39940/5</f>
        <v>7988</v>
      </c>
      <c r="G312" s="160"/>
      <c r="H312" s="160"/>
      <c r="I312" s="160"/>
      <c r="J312" s="160"/>
    </row>
    <row r="313" spans="1:11">
      <c r="A313" s="171" t="s">
        <v>165</v>
      </c>
      <c r="B313" s="160">
        <f>18709/5</f>
        <v>3741.8</v>
      </c>
      <c r="C313" s="160">
        <f>73287/5</f>
        <v>14657.4</v>
      </c>
      <c r="D313" s="162">
        <f>34157/5</f>
        <v>6831.4</v>
      </c>
      <c r="E313" s="163">
        <f>27967/5</f>
        <v>5593.4</v>
      </c>
    </row>
    <row r="314" spans="1:11">
      <c r="A314" s="171" t="s">
        <v>161</v>
      </c>
      <c r="B314">
        <f>12.93/5</f>
        <v>2.5859999999999999</v>
      </c>
      <c r="C314">
        <f>29.6/5</f>
        <v>5.92</v>
      </c>
      <c r="D314">
        <f>19.08/5</f>
        <v>3.8159999999999998</v>
      </c>
      <c r="E314" s="164">
        <f>10.45/5</f>
        <v>2.09</v>
      </c>
    </row>
    <row r="315" spans="1:11">
      <c r="A315" s="171" t="s">
        <v>160</v>
      </c>
      <c r="B315" s="33">
        <f>2.41/5</f>
        <v>0.48200000000000004</v>
      </c>
      <c r="C315" s="33">
        <f>14.65/5</f>
        <v>2.93</v>
      </c>
      <c r="D315" s="33">
        <f>7.58/5</f>
        <v>1.516</v>
      </c>
      <c r="E315" s="165">
        <f>6.08/5</f>
        <v>1.216</v>
      </c>
    </row>
    <row r="316" spans="1:11">
      <c r="A316" s="171" t="s">
        <v>159</v>
      </c>
      <c r="B316" s="160">
        <v>6.77</v>
      </c>
      <c r="C316" s="160">
        <v>19.04</v>
      </c>
      <c r="D316" s="160">
        <v>6.11</v>
      </c>
      <c r="E316" s="163">
        <v>8.43</v>
      </c>
      <c r="F316" s="202" t="s">
        <v>185</v>
      </c>
      <c r="G316" s="59"/>
      <c r="H316" s="59"/>
    </row>
    <row r="317" spans="1:11">
      <c r="A317" s="171" t="s">
        <v>182</v>
      </c>
      <c r="B317" s="197">
        <f>B313/B312</f>
        <v>0.70037060607195001</v>
      </c>
      <c r="C317" s="197">
        <f t="shared" ref="C317:E317" si="99">C313/C312</f>
        <v>0.60453855544923618</v>
      </c>
      <c r="D317" s="197">
        <f t="shared" si="99"/>
        <v>0.35608398315332973</v>
      </c>
      <c r="E317" s="198">
        <f t="shared" si="99"/>
        <v>0.70022533800701048</v>
      </c>
      <c r="F317" s="201">
        <f>AVERAGE(B317:E317)</f>
        <v>0.59030462067038159</v>
      </c>
    </row>
    <row r="318" spans="1:11">
      <c r="A318" s="199" t="s">
        <v>183</v>
      </c>
      <c r="B318" s="200">
        <f>B313/B311</f>
        <v>0.48715011066267416</v>
      </c>
      <c r="C318" s="166">
        <f t="shared" ref="C318:E318" si="100">C313/C311</f>
        <v>0.46049878414296214</v>
      </c>
      <c r="D318" s="166">
        <f t="shared" si="100"/>
        <v>0.3358471643199874</v>
      </c>
      <c r="E318" s="167">
        <f t="shared" si="100"/>
        <v>0.50342009576268132</v>
      </c>
      <c r="F318" s="201">
        <f>AVERAGE(B318:E318)</f>
        <v>0.44672903872207625</v>
      </c>
    </row>
    <row r="319" spans="1:11">
      <c r="E319" s="160"/>
    </row>
    <row r="320" spans="1:11" ht="27" thickBot="1">
      <c r="A320" s="133" t="s">
        <v>166</v>
      </c>
      <c r="B320" s="134"/>
      <c r="C320" s="135"/>
      <c r="D320" s="135"/>
      <c r="E320" s="136"/>
      <c r="F320" s="135"/>
      <c r="G320" s="135"/>
      <c r="H320" s="135"/>
      <c r="I320" s="135"/>
      <c r="J320" s="135"/>
      <c r="K320" s="135"/>
    </row>
    <row r="321" spans="1:19" ht="14" thickTop="1">
      <c r="A321" s="137"/>
      <c r="B321" s="137"/>
      <c r="C321" s="137"/>
      <c r="D321" s="137"/>
      <c r="E321" s="137"/>
      <c r="F321" s="137"/>
      <c r="G321" s="137"/>
      <c r="H321" s="137"/>
      <c r="I321" s="137"/>
      <c r="J321" s="137"/>
      <c r="K321" s="137"/>
    </row>
    <row r="322" spans="1:19">
      <c r="A322" s="138" t="s">
        <v>142</v>
      </c>
      <c r="B322" s="139"/>
      <c r="C322" s="139"/>
      <c r="D322" s="137"/>
      <c r="E322" s="137"/>
      <c r="F322" s="137"/>
      <c r="G322" s="137"/>
      <c r="H322" s="137"/>
      <c r="I322" s="137"/>
      <c r="J322" s="137"/>
      <c r="K322" s="137"/>
    </row>
    <row r="323" spans="1:19">
      <c r="A323" s="139" t="s">
        <v>162</v>
      </c>
      <c r="B323" s="139"/>
      <c r="C323" s="140">
        <v>5593</v>
      </c>
      <c r="D323" s="137"/>
      <c r="E323" s="137" t="s">
        <v>239</v>
      </c>
      <c r="F323" s="137"/>
      <c r="G323" s="137"/>
      <c r="H323" s="137"/>
      <c r="I323" s="177">
        <v>0.06</v>
      </c>
      <c r="J323" s="137"/>
      <c r="K323" s="137"/>
    </row>
    <row r="324" spans="1:19">
      <c r="A324" s="139" t="s">
        <v>143</v>
      </c>
      <c r="B324" s="139"/>
      <c r="C324" s="174">
        <v>0.05</v>
      </c>
      <c r="D324" s="137"/>
      <c r="E324" s="137" t="s">
        <v>240</v>
      </c>
      <c r="F324" s="137"/>
      <c r="G324" s="137"/>
      <c r="H324" s="137"/>
      <c r="I324" s="257">
        <v>4.4999999999999998E-2</v>
      </c>
      <c r="J324" s="137"/>
      <c r="K324" s="137"/>
    </row>
    <row r="325" spans="1:19">
      <c r="A325" s="139" t="s">
        <v>144</v>
      </c>
      <c r="B325" s="139"/>
      <c r="C325" s="173">
        <v>0.12</v>
      </c>
      <c r="D325" s="137"/>
      <c r="E325" s="137" t="s">
        <v>244</v>
      </c>
      <c r="F325" s="137"/>
      <c r="G325" s="137"/>
      <c r="H325" s="137"/>
      <c r="I325" s="177">
        <v>0.05</v>
      </c>
      <c r="J325" s="137"/>
      <c r="K325" s="137"/>
    </row>
    <row r="326" spans="1:19">
      <c r="A326" s="139" t="s">
        <v>145</v>
      </c>
      <c r="B326" s="139"/>
      <c r="C326" s="139">
        <v>4300</v>
      </c>
      <c r="D326" s="137"/>
      <c r="E326" s="137" t="s">
        <v>238</v>
      </c>
      <c r="F326" s="137"/>
      <c r="G326" s="137"/>
      <c r="H326" s="137"/>
      <c r="I326" s="137"/>
      <c r="J326" s="137"/>
      <c r="K326" s="137"/>
    </row>
    <row r="327" spans="1:19">
      <c r="A327" s="139" t="s">
        <v>180</v>
      </c>
      <c r="B327" s="139"/>
      <c r="C327" s="141">
        <v>0.6</v>
      </c>
      <c r="D327" s="137"/>
      <c r="E327" s="137"/>
      <c r="F327" s="137"/>
      <c r="G327" s="137"/>
      <c r="I327" s="137"/>
      <c r="J327" s="137"/>
      <c r="K327" s="137"/>
    </row>
    <row r="328" spans="1:19">
      <c r="A328" s="137"/>
      <c r="B328" s="137"/>
      <c r="C328" s="137"/>
      <c r="D328" s="137"/>
      <c r="E328" s="159" t="s">
        <v>184</v>
      </c>
      <c r="I328" s="176">
        <v>0.05</v>
      </c>
      <c r="J328" s="137"/>
      <c r="K328" s="137"/>
      <c r="O328" s="159" t="s">
        <v>184</v>
      </c>
      <c r="S328" s="176">
        <v>0.05</v>
      </c>
    </row>
    <row r="329" spans="1:19">
      <c r="A329" s="137"/>
      <c r="B329" s="137"/>
      <c r="C329" s="137"/>
      <c r="D329" s="137"/>
      <c r="E329" s="159" t="s">
        <v>245</v>
      </c>
      <c r="I329" s="176">
        <v>2.1999999999999999E-2</v>
      </c>
      <c r="J329" s="137"/>
      <c r="K329" s="137"/>
      <c r="O329" s="159" t="s">
        <v>245</v>
      </c>
      <c r="S329" s="176">
        <v>2.1999999999999999E-2</v>
      </c>
    </row>
    <row r="330" spans="1:19" ht="14" thickBot="1">
      <c r="A330" s="133" t="s">
        <v>146</v>
      </c>
      <c r="B330" s="134"/>
      <c r="C330" s="135"/>
      <c r="D330" s="135"/>
      <c r="E330" s="136"/>
      <c r="F330" s="136"/>
      <c r="G330" s="136"/>
      <c r="H330" s="136"/>
      <c r="I330" s="136"/>
      <c r="J330" s="136"/>
      <c r="K330" s="136"/>
      <c r="R330" s="33"/>
    </row>
    <row r="331" spans="1:19" ht="14" thickTop="1">
      <c r="A331" s="137"/>
      <c r="B331" s="137"/>
      <c r="C331" s="137"/>
      <c r="D331" s="137"/>
      <c r="E331" s="137"/>
      <c r="F331" s="137"/>
      <c r="G331" s="137"/>
      <c r="H331" s="137"/>
      <c r="I331" s="137"/>
      <c r="J331" s="137"/>
      <c r="K331" s="137"/>
    </row>
    <row r="332" spans="1:19">
      <c r="A332" s="137"/>
      <c r="B332" s="137"/>
      <c r="C332" s="137"/>
      <c r="D332" s="137"/>
      <c r="E332" s="137"/>
      <c r="F332" s="137"/>
      <c r="G332" s="137"/>
      <c r="H332" s="137"/>
      <c r="I332" s="137"/>
      <c r="J332" s="137"/>
      <c r="K332" s="137"/>
    </row>
    <row r="333" spans="1:19">
      <c r="A333" s="137"/>
      <c r="B333" s="137"/>
      <c r="C333" s="137"/>
      <c r="D333" s="137"/>
      <c r="E333" s="137"/>
      <c r="F333" s="137"/>
      <c r="G333" s="137"/>
      <c r="H333" s="137"/>
      <c r="I333" s="137"/>
      <c r="J333" s="137"/>
      <c r="K333" s="137"/>
    </row>
    <row r="334" spans="1:19">
      <c r="A334" s="137"/>
      <c r="B334" s="137"/>
      <c r="C334" s="366" t="s">
        <v>179</v>
      </c>
      <c r="D334" s="366"/>
      <c r="E334" s="366"/>
      <c r="F334" s="366"/>
      <c r="G334" s="366"/>
      <c r="H334" s="366"/>
      <c r="I334" s="366"/>
      <c r="J334" s="366"/>
      <c r="K334" s="364"/>
    </row>
    <row r="335" spans="1:19">
      <c r="A335" s="137"/>
      <c r="B335" s="137"/>
      <c r="C335" s="366"/>
      <c r="D335" s="366"/>
      <c r="E335" s="366"/>
      <c r="F335" s="366"/>
      <c r="G335" s="366"/>
      <c r="H335" s="366"/>
      <c r="I335" s="366"/>
      <c r="J335" s="366"/>
      <c r="K335" s="365"/>
    </row>
    <row r="336" spans="1:19" ht="26">
      <c r="A336" s="142" t="s">
        <v>147</v>
      </c>
      <c r="B336" s="143" t="s">
        <v>167</v>
      </c>
      <c r="C336" s="144" t="s">
        <v>148</v>
      </c>
      <c r="D336" s="144" t="s">
        <v>149</v>
      </c>
      <c r="E336" s="144" t="s">
        <v>150</v>
      </c>
      <c r="F336" s="144" t="s">
        <v>151</v>
      </c>
      <c r="G336" s="144" t="s">
        <v>152</v>
      </c>
      <c r="H336" s="144" t="s">
        <v>168</v>
      </c>
      <c r="I336" s="144" t="s">
        <v>169</v>
      </c>
      <c r="J336" s="144" t="s">
        <v>170</v>
      </c>
      <c r="K336" s="175"/>
    </row>
    <row r="337" spans="1:20">
      <c r="A337" s="145" t="s">
        <v>153</v>
      </c>
      <c r="B337" s="146">
        <v>5593</v>
      </c>
      <c r="C337" s="147">
        <f>$C$327*E66</f>
        <v>5488.8536823685718</v>
      </c>
      <c r="D337" s="147">
        <f>$C$327*F66</f>
        <v>5848.2713130895445</v>
      </c>
      <c r="E337" s="147">
        <f>$C$327*G66</f>
        <v>6096.7892932642899</v>
      </c>
      <c r="F337" s="147">
        <f>$C$327*H66</f>
        <v>5999.4011465468966</v>
      </c>
      <c r="G337" s="147">
        <f>$C$327*I66</f>
        <v>6586.1240532272232</v>
      </c>
      <c r="H337" s="147">
        <f>$C$327*J66</f>
        <v>6910.485894708162</v>
      </c>
      <c r="I337" s="147">
        <f>$C$327*K66</f>
        <v>7249.4440190557443</v>
      </c>
      <c r="J337" s="147">
        <f>I337*(1+C324)</f>
        <v>7611.916220008532</v>
      </c>
      <c r="K337" s="147"/>
      <c r="O337" s="34"/>
    </row>
    <row r="338" spans="1:20">
      <c r="A338" s="148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</row>
    <row r="339" spans="1:20">
      <c r="A339" s="149" t="s">
        <v>154</v>
      </c>
      <c r="B339" s="150"/>
      <c r="C339" s="150"/>
      <c r="D339" s="150"/>
      <c r="E339" s="150"/>
      <c r="F339" s="150"/>
      <c r="G339" s="137"/>
      <c r="H339" s="147"/>
      <c r="I339" s="150">
        <f>J337/(C325-C324)</f>
        <v>108741.66028583619</v>
      </c>
      <c r="J339" s="150"/>
      <c r="K339" s="137"/>
    </row>
    <row r="340" spans="1:20" ht="14" thickBot="1">
      <c r="A340" s="151" t="s">
        <v>155</v>
      </c>
      <c r="B340" s="152"/>
      <c r="C340" s="172">
        <f t="shared" ref="C340:F340" si="101">SUM(C337:C339)</f>
        <v>5488.8536823685718</v>
      </c>
      <c r="D340" s="172">
        <f t="shared" si="101"/>
        <v>5848.2713130895445</v>
      </c>
      <c r="E340" s="172">
        <f t="shared" si="101"/>
        <v>6096.7892932642899</v>
      </c>
      <c r="F340" s="172">
        <f t="shared" si="101"/>
        <v>5999.4011465468966</v>
      </c>
      <c r="G340" s="172">
        <f>SUM(G337:G339)</f>
        <v>6586.1240532272232</v>
      </c>
      <c r="H340" s="172">
        <f t="shared" ref="H340:I340" si="102">SUM(H337:H339)</f>
        <v>6910.485894708162</v>
      </c>
      <c r="I340" s="172">
        <f t="shared" si="102"/>
        <v>115991.10430489194</v>
      </c>
      <c r="J340" s="172">
        <v>0</v>
      </c>
      <c r="K340" s="155"/>
    </row>
    <row r="341" spans="1:20" ht="14" thickTop="1">
      <c r="A341" s="153" t="s">
        <v>156</v>
      </c>
      <c r="B341" s="154">
        <f>NPV(C325,C340:J340)</f>
        <v>77421.966281700821</v>
      </c>
      <c r="C341" s="155"/>
      <c r="D341" s="155"/>
      <c r="E341" s="155"/>
      <c r="F341" s="155"/>
      <c r="G341" s="155"/>
      <c r="H341" s="155"/>
      <c r="I341" s="155"/>
      <c r="J341" s="155"/>
      <c r="K341" s="155"/>
    </row>
    <row r="342" spans="1:20">
      <c r="A342" s="155"/>
      <c r="B342" s="156"/>
      <c r="C342" s="155"/>
      <c r="D342" s="155"/>
      <c r="E342" s="155"/>
      <c r="F342" s="155"/>
      <c r="G342" s="155"/>
      <c r="H342" s="155"/>
      <c r="I342" s="155"/>
      <c r="J342" s="155"/>
      <c r="K342" s="155"/>
    </row>
    <row r="343" spans="1:20">
      <c r="A343" s="147"/>
      <c r="B343" s="147"/>
      <c r="C343" s="155"/>
      <c r="D343" s="155"/>
      <c r="E343" s="155"/>
      <c r="F343" s="155"/>
      <c r="G343" s="155"/>
      <c r="H343" s="155"/>
      <c r="I343" s="155"/>
      <c r="J343" s="155"/>
      <c r="K343" s="155"/>
    </row>
    <row r="344" spans="1:20" ht="13" customHeight="1">
      <c r="A344" s="137"/>
      <c r="B344" s="179"/>
      <c r="C344" s="137"/>
      <c r="D344" s="137"/>
      <c r="E344" s="137"/>
      <c r="F344" s="137"/>
      <c r="G344" s="137"/>
      <c r="H344" s="137"/>
      <c r="I344" s="137"/>
      <c r="J344" s="137"/>
      <c r="K344" s="137"/>
      <c r="O344" s="185"/>
      <c r="P344" s="188" t="s">
        <v>178</v>
      </c>
      <c r="Q344" s="186"/>
      <c r="R344" s="186"/>
      <c r="S344" s="186"/>
      <c r="T344" s="187"/>
    </row>
    <row r="345" spans="1:20" ht="16">
      <c r="A345" s="147"/>
      <c r="B345" s="180"/>
      <c r="C345" s="137"/>
      <c r="D345" s="137"/>
      <c r="E345" s="137"/>
      <c r="F345" s="137"/>
      <c r="G345" s="137"/>
      <c r="H345" s="137"/>
      <c r="I345" s="178"/>
      <c r="J345" s="137"/>
      <c r="K345" s="137"/>
      <c r="O345" s="181" t="s">
        <v>141</v>
      </c>
      <c r="P345" s="182" t="s">
        <v>144</v>
      </c>
      <c r="Q345" s="183"/>
      <c r="R345" s="184"/>
      <c r="S345" s="184"/>
      <c r="T345" s="184"/>
    </row>
    <row r="346" spans="1:20" ht="16">
      <c r="A346" s="189" t="s">
        <v>157</v>
      </c>
      <c r="B346" s="157">
        <f>B341/C326</f>
        <v>18.005108437604843</v>
      </c>
      <c r="C346" s="137"/>
      <c r="D346" s="158"/>
      <c r="E346" s="137"/>
      <c r="F346" s="137"/>
      <c r="G346" s="137"/>
      <c r="H346" s="137"/>
      <c r="I346" s="137"/>
      <c r="J346" s="137"/>
      <c r="K346" s="137"/>
      <c r="O346" s="123">
        <f>B346</f>
        <v>18.005108437604843</v>
      </c>
      <c r="P346" s="109">
        <v>0.1</v>
      </c>
      <c r="Q346" s="117">
        <v>0.11</v>
      </c>
      <c r="R346" s="117">
        <v>0.12</v>
      </c>
      <c r="S346" s="117">
        <v>0.13</v>
      </c>
      <c r="T346" s="118">
        <v>0.14000000000000001</v>
      </c>
    </row>
    <row r="347" spans="1:20">
      <c r="O347" s="120">
        <v>0.03</v>
      </c>
      <c r="P347" s="122">
        <f t="dataTable" ref="P347:T350" dt2D="1" dtr="1" r1="C325" r2="C324"/>
        <v>19.755946683614049</v>
      </c>
      <c r="Q347" s="107">
        <v>17.244812728816921</v>
      </c>
      <c r="R347" s="124">
        <v>15.293558824251992</v>
      </c>
      <c r="S347" s="124">
        <v>13.734119592212712</v>
      </c>
      <c r="T347" s="125">
        <v>12.459550781825259</v>
      </c>
    </row>
    <row r="348" spans="1:20">
      <c r="O348" s="120">
        <v>0.04</v>
      </c>
      <c r="P348" s="107">
        <v>22.021795053570443</v>
      </c>
      <c r="Q348" s="107">
        <v>18.854384494401167</v>
      </c>
      <c r="R348" s="124">
        <v>16.479861780093863</v>
      </c>
      <c r="S348" s="124">
        <v>14.633872118295876</v>
      </c>
      <c r="T348" s="125">
        <v>13.157806420994472</v>
      </c>
    </row>
    <row r="349" spans="1:20">
      <c r="B349" s="367" t="s">
        <v>181</v>
      </c>
      <c r="C349" s="367"/>
      <c r="D349" s="159"/>
      <c r="O349" s="120">
        <v>0.05</v>
      </c>
      <c r="P349" s="107">
        <v>25.193982771509393</v>
      </c>
      <c r="Q349" s="107">
        <v>21.000480181846818</v>
      </c>
      <c r="R349" s="124">
        <v>18.005108437604843</v>
      </c>
      <c r="S349" s="124">
        <v>15.758562775899829</v>
      </c>
      <c r="T349" s="125">
        <v>14.011229979979065</v>
      </c>
    </row>
    <row r="350" spans="1:20" ht="26">
      <c r="A350" s="142" t="s">
        <v>147</v>
      </c>
      <c r="B350" s="143" t="s">
        <v>167</v>
      </c>
      <c r="C350" s="144" t="s">
        <v>148</v>
      </c>
      <c r="D350" s="175"/>
      <c r="O350" s="116">
        <v>0.06</v>
      </c>
      <c r="P350" s="126">
        <v>29.952264348417817</v>
      </c>
      <c r="Q350" s="129">
        <v>24.005014144270739</v>
      </c>
      <c r="R350" s="128">
        <v>20.038770647619476</v>
      </c>
      <c r="S350" s="128">
        <v>17.204593621390629</v>
      </c>
      <c r="T350" s="127">
        <v>15.078009428709809</v>
      </c>
    </row>
    <row r="351" spans="1:20">
      <c r="A351" s="145" t="s">
        <v>153</v>
      </c>
      <c r="B351" s="146">
        <v>5593</v>
      </c>
      <c r="C351" s="147">
        <f>B351*(1+C324)</f>
        <v>5872.6500000000005</v>
      </c>
      <c r="D351" s="195"/>
    </row>
    <row r="352" spans="1:20">
      <c r="A352" s="148"/>
      <c r="B352" s="147"/>
      <c r="C352" s="147"/>
      <c r="D352" s="195"/>
    </row>
    <row r="353" spans="1:8">
      <c r="A353" s="149" t="s">
        <v>154</v>
      </c>
      <c r="B353" s="150"/>
      <c r="C353" s="193">
        <f>C351/(C325-C324)</f>
        <v>83895.000000000015</v>
      </c>
      <c r="D353" s="150"/>
    </row>
    <row r="354" spans="1:8" ht="14" thickBot="1">
      <c r="A354" s="151" t="s">
        <v>155</v>
      </c>
      <c r="B354" s="152"/>
      <c r="C354" s="194">
        <f>C353</f>
        <v>83895.000000000015</v>
      </c>
      <c r="D354" s="196"/>
      <c r="G354" s="192"/>
    </row>
    <row r="355" spans="1:8" ht="14" thickTop="1">
      <c r="A355" s="153" t="s">
        <v>156</v>
      </c>
      <c r="B355" s="154">
        <f>NPV(C339,C354:J354)</f>
        <v>83895.000000000015</v>
      </c>
      <c r="C355" s="155"/>
      <c r="D355" s="155"/>
    </row>
    <row r="356" spans="1:8">
      <c r="G356" s="192"/>
    </row>
    <row r="360" spans="1:8">
      <c r="A360" s="189" t="s">
        <v>157</v>
      </c>
      <c r="B360" s="157">
        <f>B355/C326</f>
        <v>19.510465116279072</v>
      </c>
      <c r="C360" s="137"/>
      <c r="D360" s="158"/>
    </row>
    <row r="365" spans="1:8">
      <c r="A365" s="159"/>
      <c r="B365" s="159"/>
      <c r="C365" s="159"/>
      <c r="D365" s="159"/>
      <c r="E365" s="159"/>
      <c r="F365" s="159"/>
      <c r="G365" s="159"/>
      <c r="H365" s="159"/>
    </row>
    <row r="367" spans="1:8">
      <c r="A367" s="159"/>
      <c r="D367" s="159"/>
    </row>
    <row r="368" spans="1:8">
      <c r="A368" s="159"/>
    </row>
  </sheetData>
  <mergeCells count="5">
    <mergeCell ref="K334:K335"/>
    <mergeCell ref="C334:J335"/>
    <mergeCell ref="B349:C349"/>
    <mergeCell ref="N261:O261"/>
    <mergeCell ref="N262:O262"/>
  </mergeCells>
  <phoneticPr fontId="0" type="noConversion"/>
  <pageMargins left="0.75" right="0.75" top="1" bottom="1" header="0.5" footer="0.5"/>
  <pageSetup orientation="portrait"/>
  <headerFooter alignWithMargins="0"/>
  <ignoredErrors>
    <ignoredError sqref="E200:K200 E222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DD6E-98B2-2541-9BF1-D74915E84623}">
  <dimension ref="A1:W87"/>
  <sheetViews>
    <sheetView tabSelected="1" topLeftCell="A52" zoomScale="120" zoomScaleNormal="120" workbookViewId="0">
      <selection activeCell="F74" sqref="F74"/>
    </sheetView>
  </sheetViews>
  <sheetFormatPr baseColWidth="10" defaultRowHeight="13"/>
  <cols>
    <col min="2" max="2" width="30.3984375" customWidth="1"/>
    <col min="3" max="4" width="12.796875" customWidth="1"/>
    <col min="5" max="6" width="14.19921875" customWidth="1"/>
    <col min="7" max="7" width="16" customWidth="1"/>
    <col min="8" max="9" width="12.3984375" customWidth="1"/>
    <col min="10" max="10" width="12.796875" customWidth="1"/>
    <col min="23" max="23" width="20.796875" bestFit="1" customWidth="1"/>
  </cols>
  <sheetData>
    <row r="1" spans="2:10" ht="14" thickBot="1"/>
    <row r="2" spans="2:10" ht="14" thickBot="1">
      <c r="B2" s="346" t="s">
        <v>254</v>
      </c>
      <c r="C2" s="347" t="s">
        <v>258</v>
      </c>
      <c r="D2" s="347" t="s">
        <v>257</v>
      </c>
      <c r="E2" s="348" t="s">
        <v>252</v>
      </c>
      <c r="F2" s="159"/>
      <c r="G2" s="159"/>
      <c r="H2" s="159"/>
      <c r="I2" s="159"/>
      <c r="J2" s="159"/>
    </row>
    <row r="3" spans="2:10">
      <c r="B3" s="339"/>
      <c r="C3" s="340"/>
      <c r="D3" s="340"/>
      <c r="E3" s="341"/>
      <c r="F3" s="2"/>
      <c r="G3" s="2"/>
      <c r="H3" s="2"/>
      <c r="I3" s="2"/>
      <c r="J3" s="2"/>
    </row>
    <row r="4" spans="2:10" ht="28">
      <c r="B4" s="344" t="s">
        <v>259</v>
      </c>
      <c r="C4" s="344" t="s">
        <v>251</v>
      </c>
      <c r="D4" s="345" t="s">
        <v>256</v>
      </c>
      <c r="E4" s="345" t="s">
        <v>255</v>
      </c>
      <c r="F4" s="269"/>
      <c r="G4" s="269"/>
      <c r="H4" s="269"/>
      <c r="I4" s="269"/>
      <c r="J4" s="269"/>
    </row>
    <row r="5" spans="2:10">
      <c r="B5" s="326"/>
      <c r="C5" s="327"/>
      <c r="D5" s="327"/>
      <c r="E5" s="328"/>
    </row>
    <row r="6" spans="2:10">
      <c r="B6" s="329" t="s">
        <v>260</v>
      </c>
      <c r="C6">
        <v>41.66</v>
      </c>
      <c r="D6">
        <v>54.04</v>
      </c>
      <c r="E6" s="330">
        <v>53.82</v>
      </c>
    </row>
    <row r="7" spans="2:10">
      <c r="B7" s="331" t="s">
        <v>261</v>
      </c>
      <c r="C7">
        <v>67000</v>
      </c>
      <c r="D7">
        <v>57000</v>
      </c>
      <c r="E7" s="330">
        <v>80000</v>
      </c>
    </row>
    <row r="8" spans="2:10">
      <c r="B8" s="332"/>
      <c r="E8" s="330"/>
    </row>
    <row r="9" spans="2:10" ht="14" thickBot="1">
      <c r="B9" s="342" t="s">
        <v>325</v>
      </c>
      <c r="C9" s="343"/>
      <c r="D9" s="343"/>
      <c r="E9" s="349"/>
    </row>
    <row r="10" spans="2:10">
      <c r="B10" s="329" t="s">
        <v>285</v>
      </c>
      <c r="C10">
        <v>7.11</v>
      </c>
      <c r="D10">
        <v>9.32</v>
      </c>
      <c r="E10" s="330">
        <v>11.7</v>
      </c>
    </row>
    <row r="11" spans="2:10">
      <c r="B11" s="329" t="s">
        <v>253</v>
      </c>
      <c r="C11">
        <v>1.33</v>
      </c>
      <c r="D11">
        <v>1.87</v>
      </c>
      <c r="E11" s="330">
        <v>3.49</v>
      </c>
    </row>
    <row r="12" spans="2:10">
      <c r="B12" s="329" t="s">
        <v>286</v>
      </c>
      <c r="C12">
        <v>3.65</v>
      </c>
      <c r="D12">
        <v>5.46</v>
      </c>
      <c r="E12" s="330">
        <v>6.74</v>
      </c>
    </row>
    <row r="13" spans="2:10">
      <c r="B13" s="332"/>
      <c r="E13" s="330"/>
    </row>
    <row r="14" spans="2:10" ht="14" thickBot="1">
      <c r="B14" s="342" t="s">
        <v>262</v>
      </c>
      <c r="C14" s="343"/>
      <c r="D14" s="343"/>
      <c r="E14" s="343"/>
    </row>
    <row r="15" spans="2:10">
      <c r="B15" s="329" t="s">
        <v>263</v>
      </c>
      <c r="C15">
        <v>1.28</v>
      </c>
      <c r="D15">
        <v>1.69</v>
      </c>
      <c r="E15" s="330">
        <v>1.57</v>
      </c>
    </row>
    <row r="16" spans="2:10">
      <c r="B16" s="329" t="s">
        <v>269</v>
      </c>
      <c r="C16">
        <v>0.96</v>
      </c>
      <c r="D16">
        <v>1.17</v>
      </c>
      <c r="E16" s="330">
        <v>1.22</v>
      </c>
    </row>
    <row r="17" spans="2:5">
      <c r="B17" s="332"/>
      <c r="E17" s="330"/>
    </row>
    <row r="18" spans="2:5" ht="14" thickBot="1">
      <c r="B18" s="342" t="s">
        <v>264</v>
      </c>
      <c r="C18" s="343"/>
      <c r="D18" s="343"/>
      <c r="E18" s="343"/>
    </row>
    <row r="19" spans="2:5">
      <c r="B19" s="329" t="s">
        <v>265</v>
      </c>
      <c r="C19" s="206">
        <v>0.39779999999999999</v>
      </c>
      <c r="D19" s="206">
        <v>0.25430000000000003</v>
      </c>
      <c r="E19" s="333">
        <v>0.26819999999999999</v>
      </c>
    </row>
    <row r="20" spans="2:5">
      <c r="B20" s="329" t="s">
        <v>266</v>
      </c>
      <c r="C20" s="206">
        <v>0.18579999999999999</v>
      </c>
      <c r="D20" s="206">
        <v>0.18049999999999999</v>
      </c>
      <c r="E20" s="333">
        <v>3.4000000000000002E-2</v>
      </c>
    </row>
    <row r="21" spans="2:5">
      <c r="B21" s="329" t="s">
        <v>267</v>
      </c>
      <c r="C21">
        <v>21.44</v>
      </c>
      <c r="D21" s="334">
        <v>0.1913</v>
      </c>
      <c r="E21" s="333">
        <v>0.17530000000000001</v>
      </c>
    </row>
    <row r="22" spans="2:5">
      <c r="B22" s="329" t="s">
        <v>268</v>
      </c>
      <c r="C22">
        <v>8.92</v>
      </c>
      <c r="D22" s="335">
        <v>0.1</v>
      </c>
      <c r="E22" s="333">
        <v>7.8399999999999997E-2</v>
      </c>
    </row>
    <row r="23" spans="2:5">
      <c r="B23" s="332"/>
      <c r="E23" s="330"/>
    </row>
    <row r="24" spans="2:5" ht="14" thickBot="1">
      <c r="B24" s="342" t="s">
        <v>270</v>
      </c>
      <c r="C24" s="343"/>
      <c r="D24" s="343"/>
      <c r="E24" s="343"/>
    </row>
    <row r="25" spans="2:5">
      <c r="B25" s="329" t="s">
        <v>324</v>
      </c>
      <c r="C25">
        <v>0.14000000000000001</v>
      </c>
      <c r="D25">
        <v>0.13</v>
      </c>
      <c r="E25" s="330">
        <v>0.2</v>
      </c>
    </row>
    <row r="26" spans="2:5">
      <c r="B26" s="329" t="s">
        <v>271</v>
      </c>
      <c r="C26">
        <v>0.35</v>
      </c>
      <c r="D26">
        <v>0.24</v>
      </c>
      <c r="E26" s="330">
        <v>0.54</v>
      </c>
    </row>
    <row r="27" spans="2:5">
      <c r="B27" s="332"/>
      <c r="E27" s="330"/>
    </row>
    <row r="28" spans="2:5" ht="14" thickBot="1">
      <c r="B28" s="342" t="s">
        <v>272</v>
      </c>
      <c r="C28" s="343"/>
      <c r="D28" s="343"/>
      <c r="E28" s="349"/>
    </row>
    <row r="29" spans="2:5">
      <c r="B29" s="329" t="s">
        <v>274</v>
      </c>
      <c r="C29">
        <v>5.34</v>
      </c>
      <c r="D29">
        <v>6.07</v>
      </c>
      <c r="E29" s="330">
        <v>7.09</v>
      </c>
    </row>
    <row r="30" spans="2:5">
      <c r="B30" s="336" t="s">
        <v>273</v>
      </c>
      <c r="C30" s="337">
        <v>0.46</v>
      </c>
      <c r="D30" s="337">
        <v>0.54</v>
      </c>
      <c r="E30" s="338">
        <v>0.59</v>
      </c>
    </row>
    <row r="34" spans="1:23">
      <c r="B34" s="315" t="s">
        <v>275</v>
      </c>
      <c r="C34" s="293"/>
      <c r="D34" s="373" t="s">
        <v>283</v>
      </c>
      <c r="E34" s="373"/>
      <c r="F34" s="373"/>
      <c r="G34" s="373"/>
      <c r="H34" s="373"/>
      <c r="I34" s="239"/>
      <c r="J34" s="293"/>
      <c r="K34" s="373" t="s">
        <v>317</v>
      </c>
      <c r="L34" s="373"/>
      <c r="M34" s="373"/>
      <c r="N34" s="373"/>
      <c r="O34" s="294"/>
      <c r="P34" s="293"/>
      <c r="R34" s="373" t="s">
        <v>287</v>
      </c>
      <c r="S34" s="373"/>
      <c r="T34" s="373"/>
      <c r="U34" s="373"/>
    </row>
    <row r="35" spans="1:23">
      <c r="E35" s="374" t="s">
        <v>319</v>
      </c>
      <c r="F35" s="374"/>
      <c r="G35" s="374"/>
      <c r="H35" s="374"/>
      <c r="I35" s="374"/>
      <c r="J35" s="374"/>
      <c r="K35" s="374"/>
      <c r="L35" s="374"/>
      <c r="M35" s="374"/>
    </row>
    <row r="36" spans="1:23" ht="42">
      <c r="B36" s="300" t="s">
        <v>276</v>
      </c>
      <c r="C36" s="238" t="s">
        <v>277</v>
      </c>
      <c r="D36" s="301" t="s">
        <v>278</v>
      </c>
      <c r="E36" s="295" t="s">
        <v>279</v>
      </c>
      <c r="F36" s="238" t="s">
        <v>280</v>
      </c>
      <c r="G36" s="238" t="s">
        <v>281</v>
      </c>
      <c r="H36" s="295" t="s">
        <v>282</v>
      </c>
      <c r="J36" s="296" t="s">
        <v>316</v>
      </c>
      <c r="K36" s="238" t="s">
        <v>3</v>
      </c>
      <c r="L36" s="238" t="s">
        <v>10</v>
      </c>
      <c r="M36" s="238" t="s">
        <v>284</v>
      </c>
      <c r="N36" s="296" t="s">
        <v>314</v>
      </c>
      <c r="O36" s="296" t="s">
        <v>315</v>
      </c>
      <c r="P36" s="295" t="s">
        <v>289</v>
      </c>
      <c r="Q36" s="270"/>
      <c r="R36" s="238" t="s">
        <v>285</v>
      </c>
      <c r="S36" s="238" t="s">
        <v>253</v>
      </c>
      <c r="T36" s="238" t="s">
        <v>286</v>
      </c>
      <c r="U36" s="295" t="s">
        <v>288</v>
      </c>
    </row>
    <row r="37" spans="1:23">
      <c r="A37" s="372" t="s">
        <v>293</v>
      </c>
      <c r="B37" s="209"/>
      <c r="C37" s="211"/>
      <c r="H37" s="164"/>
      <c r="J37" s="203"/>
      <c r="K37" s="303"/>
      <c r="L37" s="303"/>
      <c r="M37" s="303"/>
      <c r="N37" s="303"/>
      <c r="O37" s="303"/>
      <c r="P37" s="204"/>
      <c r="R37" s="209"/>
      <c r="U37" s="164"/>
    </row>
    <row r="38" spans="1:23" ht="13" customHeight="1">
      <c r="A38" s="372"/>
      <c r="B38" s="297" t="s">
        <v>251</v>
      </c>
      <c r="C38" s="171" t="s">
        <v>258</v>
      </c>
      <c r="D38">
        <v>12.18</v>
      </c>
      <c r="E38">
        <v>4.3</v>
      </c>
      <c r="F38" s="218">
        <f>D38*E38</f>
        <v>52.373999999999995</v>
      </c>
      <c r="G38">
        <v>16.2</v>
      </c>
      <c r="H38" s="164">
        <v>64.3</v>
      </c>
      <c r="J38" s="209">
        <v>3.544</v>
      </c>
      <c r="K38">
        <v>41.66</v>
      </c>
      <c r="L38">
        <v>17.440000000000001</v>
      </c>
      <c r="M38" s="218">
        <v>8</v>
      </c>
      <c r="N38" s="304">
        <f>7.36/4.3</f>
        <v>1.7116279069767444</v>
      </c>
      <c r="O38">
        <v>9.02</v>
      </c>
      <c r="P38" s="210">
        <v>9.8599999999999993E-2</v>
      </c>
      <c r="Q38" s="206"/>
      <c r="R38" s="209">
        <v>7.11</v>
      </c>
      <c r="S38">
        <v>1.33</v>
      </c>
      <c r="T38">
        <v>3.65</v>
      </c>
      <c r="U38" s="212">
        <f>(P38/$P$47)</f>
        <v>1.2973684210526315</v>
      </c>
      <c r="W38" s="206"/>
    </row>
    <row r="39" spans="1:23" ht="14">
      <c r="A39" s="372"/>
      <c r="B39" s="298" t="s">
        <v>256</v>
      </c>
      <c r="C39" s="171" t="s">
        <v>257</v>
      </c>
      <c r="D39">
        <v>63</v>
      </c>
      <c r="E39">
        <v>1.25</v>
      </c>
      <c r="F39" s="218">
        <f t="shared" ref="F39:F40" si="0">D39*E39</f>
        <v>78.75</v>
      </c>
      <c r="G39">
        <v>14.35</v>
      </c>
      <c r="H39" s="164">
        <v>114.78</v>
      </c>
      <c r="J39" s="209">
        <v>10.79</v>
      </c>
      <c r="K39">
        <v>54.04</v>
      </c>
      <c r="L39">
        <v>15.98</v>
      </c>
      <c r="M39">
        <v>10.06</v>
      </c>
      <c r="N39" s="305">
        <f>8.54/E39</f>
        <v>6.831999999999999</v>
      </c>
      <c r="O39" s="305">
        <v>32</v>
      </c>
      <c r="P39" s="210">
        <v>7.1900000000000006E-2</v>
      </c>
      <c r="Q39" s="206"/>
      <c r="R39" s="209">
        <v>9.32</v>
      </c>
      <c r="S39">
        <v>1.87</v>
      </c>
      <c r="T39">
        <v>5.46</v>
      </c>
      <c r="U39" s="212">
        <f>(P39/$P$47)</f>
        <v>0.94605263157894748</v>
      </c>
    </row>
    <row r="40" spans="1:23" ht="14">
      <c r="A40" s="372"/>
      <c r="B40" s="299" t="s">
        <v>255</v>
      </c>
      <c r="C40" s="302" t="s">
        <v>252</v>
      </c>
      <c r="D40" s="287">
        <v>57.04</v>
      </c>
      <c r="E40" s="287">
        <v>2.5299999999999998</v>
      </c>
      <c r="F40" s="286">
        <f t="shared" si="0"/>
        <v>144.31119999999999</v>
      </c>
      <c r="G40" s="287">
        <v>22.4</v>
      </c>
      <c r="H40" s="219">
        <v>163.16999999999999</v>
      </c>
      <c r="J40" s="213">
        <v>10.35</v>
      </c>
      <c r="K40" s="287">
        <v>53.82</v>
      </c>
      <c r="L40" s="287">
        <v>27.67</v>
      </c>
      <c r="M40" s="287">
        <v>12.92</v>
      </c>
      <c r="N40" s="287">
        <v>4.8849999999999998</v>
      </c>
      <c r="O40" s="287">
        <v>16.11</v>
      </c>
      <c r="P40" s="306">
        <v>5.7500000000000002E-2</v>
      </c>
      <c r="Q40" s="206"/>
      <c r="R40" s="213">
        <v>11.7</v>
      </c>
      <c r="S40" s="287">
        <v>3.49</v>
      </c>
      <c r="T40" s="287">
        <v>6.74</v>
      </c>
      <c r="U40" s="247">
        <f>(P40/$P$47)</f>
        <v>0.75657894736842113</v>
      </c>
    </row>
    <row r="41" spans="1:23">
      <c r="A41" s="274"/>
      <c r="B41" s="269"/>
      <c r="C41" s="159"/>
      <c r="F41" s="218"/>
      <c r="P41" s="206"/>
      <c r="Q41" s="206"/>
      <c r="U41" s="34"/>
    </row>
    <row r="42" spans="1:23">
      <c r="A42" s="274"/>
      <c r="B42" s="269"/>
      <c r="C42" s="159"/>
      <c r="F42" s="218"/>
      <c r="P42" s="206"/>
      <c r="Q42" s="206"/>
      <c r="U42" s="34"/>
    </row>
    <row r="43" spans="1:23">
      <c r="A43" s="274"/>
      <c r="B43" s="269"/>
      <c r="C43" s="159"/>
      <c r="F43" s="218"/>
      <c r="P43" s="206"/>
      <c r="Q43" s="206"/>
      <c r="U43" s="34"/>
    </row>
    <row r="44" spans="1:23" ht="14">
      <c r="B44" s="316" t="s">
        <v>294</v>
      </c>
      <c r="C44" s="307"/>
      <c r="D44" s="307"/>
      <c r="E44" s="307"/>
      <c r="F44" s="307"/>
      <c r="G44" s="307"/>
      <c r="H44" s="308"/>
      <c r="I44" s="307"/>
      <c r="J44" s="309"/>
      <c r="K44" s="309"/>
      <c r="L44" s="309"/>
      <c r="M44" s="309"/>
      <c r="N44" s="309"/>
      <c r="O44" s="309"/>
      <c r="P44" s="322">
        <f>MIN(P38:P40)</f>
        <v>5.7500000000000002E-2</v>
      </c>
      <c r="Q44" s="309"/>
      <c r="R44" s="318">
        <f>MIN(R38:R40)</f>
        <v>7.11</v>
      </c>
      <c r="S44" s="320">
        <f>MIN(S38:S40)</f>
        <v>1.33</v>
      </c>
      <c r="T44" s="307">
        <f>MIN(T38:T40)</f>
        <v>3.65</v>
      </c>
      <c r="U44" s="324"/>
    </row>
    <row r="45" spans="1:23" ht="14">
      <c r="B45" s="317" t="s">
        <v>290</v>
      </c>
      <c r="C45" s="310"/>
      <c r="D45" s="310"/>
      <c r="E45" s="310"/>
      <c r="F45" s="310"/>
      <c r="G45" s="310"/>
      <c r="H45" s="310"/>
      <c r="I45" s="310"/>
      <c r="J45" s="311"/>
      <c r="K45" s="311"/>
      <c r="L45" s="311"/>
      <c r="M45" s="311"/>
      <c r="N45" s="311"/>
      <c r="O45" s="311"/>
      <c r="P45" s="323">
        <f>MAX(P38:P40)</f>
        <v>9.8599999999999993E-2</v>
      </c>
      <c r="Q45" s="311"/>
      <c r="R45" s="319">
        <f>MAX(R38:R40)</f>
        <v>11.7</v>
      </c>
      <c r="S45" s="321">
        <f>MAX(S38:S40)</f>
        <v>3.49</v>
      </c>
      <c r="T45" s="310">
        <f>MAX(T38:T40)</f>
        <v>6.74</v>
      </c>
      <c r="U45" s="324"/>
    </row>
    <row r="46" spans="1:23" ht="14">
      <c r="B46" s="317" t="s">
        <v>291</v>
      </c>
      <c r="C46" s="310"/>
      <c r="D46" s="310"/>
      <c r="E46" s="310"/>
      <c r="F46" s="310"/>
      <c r="G46" s="310"/>
      <c r="H46" s="310"/>
      <c r="I46" s="310"/>
      <c r="J46" s="311"/>
      <c r="K46" s="311"/>
      <c r="L46" s="311"/>
      <c r="M46" s="311"/>
      <c r="N46" s="311"/>
      <c r="O46" s="311"/>
      <c r="P46" s="323">
        <f>MEDIAN(P38:P40)</f>
        <v>7.1900000000000006E-2</v>
      </c>
      <c r="Q46" s="311"/>
      <c r="R46" s="319">
        <f>MEDIAN(R38:R40)</f>
        <v>9.32</v>
      </c>
      <c r="S46" s="321">
        <f>MEDIAN(S38:S40)</f>
        <v>1.87</v>
      </c>
      <c r="T46" s="310">
        <f>MEDIAN(T38:T40)</f>
        <v>5.46</v>
      </c>
      <c r="U46" s="324"/>
    </row>
    <row r="47" spans="1:23" ht="14">
      <c r="B47" s="420" t="s">
        <v>292</v>
      </c>
      <c r="C47" s="421"/>
      <c r="D47" s="415"/>
      <c r="E47" s="415"/>
      <c r="F47" s="415"/>
      <c r="G47" s="415"/>
      <c r="H47" s="415"/>
      <c r="I47" s="415"/>
      <c r="J47" s="416"/>
      <c r="K47" s="416"/>
      <c r="L47" s="416"/>
      <c r="M47" s="416"/>
      <c r="N47" s="416"/>
      <c r="O47" s="416"/>
      <c r="P47" s="423">
        <f>AVERAGE(P38:P40)</f>
        <v>7.5999999999999998E-2</v>
      </c>
      <c r="Q47" s="424"/>
      <c r="R47" s="425">
        <f>AVERAGE(R38:R40)</f>
        <v>9.3766666666666669</v>
      </c>
      <c r="S47" s="426">
        <f>AVERAGE(S38:S40)</f>
        <v>2.23</v>
      </c>
      <c r="T47" s="427">
        <f>AVERAGE(T38:T40)</f>
        <v>5.2833333333333332</v>
      </c>
      <c r="U47" s="325"/>
    </row>
    <row r="48" spans="1:23" ht="14">
      <c r="B48" s="417" t="s">
        <v>358</v>
      </c>
      <c r="C48" s="312"/>
      <c r="D48" s="418"/>
      <c r="E48" s="418"/>
      <c r="F48" s="418"/>
      <c r="G48" s="312"/>
      <c r="H48" s="312"/>
      <c r="I48" s="419"/>
      <c r="J48" s="312"/>
      <c r="K48" s="312"/>
      <c r="L48" s="312"/>
      <c r="M48" s="312"/>
      <c r="N48" s="312"/>
      <c r="O48" s="312"/>
      <c r="P48" s="422"/>
      <c r="Q48" s="312"/>
      <c r="R48" s="428">
        <f>(1.05125* R47) - 1.508</f>
        <v>8.3492208333333338</v>
      </c>
      <c r="S48" s="429">
        <f>(0.6555 * S47) + 0.2944</f>
        <v>1.756165</v>
      </c>
      <c r="T48" s="430">
        <f xml:space="preserve"> ( 1.2332 * T47) - 2.1</f>
        <v>4.4154066666666676</v>
      </c>
    </row>
    <row r="49" spans="2:17">
      <c r="D49" s="159"/>
      <c r="E49" s="159"/>
      <c r="F49" s="159"/>
      <c r="G49" s="159"/>
    </row>
    <row r="51" spans="2:17" ht="14">
      <c r="B51" s="313" t="s">
        <v>320</v>
      </c>
      <c r="C51" s="314" t="s">
        <v>157</v>
      </c>
      <c r="E51" s="305"/>
    </row>
    <row r="52" spans="2:17">
      <c r="B52" s="314" t="s">
        <v>285</v>
      </c>
      <c r="C52" s="391">
        <f>N38*R48</f>
        <v>14.290759379844964</v>
      </c>
    </row>
    <row r="53" spans="2:17">
      <c r="B53" s="314" t="s">
        <v>253</v>
      </c>
      <c r="C53" s="391">
        <f>O38*S48</f>
        <v>15.8406083</v>
      </c>
    </row>
    <row r="54" spans="2:17">
      <c r="B54" s="314" t="s">
        <v>286</v>
      </c>
      <c r="C54" s="391">
        <f>((L38*T48)-G38+J38)/E38</f>
        <v>14.964812155038766</v>
      </c>
    </row>
    <row r="55" spans="2:17">
      <c r="B55" s="314" t="s">
        <v>318</v>
      </c>
      <c r="C55" s="391">
        <f>D38*U38</f>
        <v>15.801947368421052</v>
      </c>
    </row>
    <row r="56" spans="2:17">
      <c r="C56" s="218"/>
    </row>
    <row r="57" spans="2:17" ht="16">
      <c r="B57" s="314" t="s">
        <v>321</v>
      </c>
      <c r="C57" s="391">
        <f>'modelling and valuation'!B308</f>
        <v>20.940412718768467</v>
      </c>
      <c r="E57" s="101" t="s">
        <v>131</v>
      </c>
      <c r="F57" s="102"/>
      <c r="G57" s="102"/>
      <c r="H57" s="103"/>
      <c r="I57" s="103"/>
      <c r="J57" s="103"/>
      <c r="L57" s="185"/>
      <c r="M57" s="188" t="s">
        <v>178</v>
      </c>
      <c r="N57" s="186"/>
      <c r="O57" s="186"/>
      <c r="P57" s="186"/>
      <c r="Q57" s="187"/>
    </row>
    <row r="58" spans="2:17" ht="16">
      <c r="B58" s="314" t="s">
        <v>323</v>
      </c>
      <c r="C58" s="391">
        <f>'modelling and valuation'!B346</f>
        <v>18.005108437604843</v>
      </c>
      <c r="E58" s="121" t="s">
        <v>141</v>
      </c>
      <c r="F58" s="101" t="s">
        <v>133</v>
      </c>
      <c r="G58" s="130"/>
      <c r="H58" s="103"/>
      <c r="I58" s="103"/>
      <c r="J58" s="103"/>
      <c r="L58" s="181" t="s">
        <v>141</v>
      </c>
      <c r="M58" s="182" t="s">
        <v>144</v>
      </c>
      <c r="N58" s="183"/>
      <c r="O58" s="184"/>
      <c r="P58" s="184"/>
      <c r="Q58" s="184"/>
    </row>
    <row r="59" spans="2:17" ht="16">
      <c r="B59" s="314" t="s">
        <v>322</v>
      </c>
      <c r="C59" s="391">
        <f>'modelling and valuation'!B360</f>
        <v>19.510465116279072</v>
      </c>
      <c r="E59" s="123">
        <f>'modelling and valuation'!B308</f>
        <v>20.940412718768467</v>
      </c>
      <c r="F59" s="109">
        <v>0.09</v>
      </c>
      <c r="G59" s="117">
        <v>0.1</v>
      </c>
      <c r="H59" s="117">
        <v>0.11</v>
      </c>
      <c r="I59" s="117">
        <v>0.12</v>
      </c>
      <c r="J59" s="118">
        <v>0.13</v>
      </c>
      <c r="L59" s="123">
        <f>'modelling and valuation'!B346</f>
        <v>18.005108437604843</v>
      </c>
      <c r="M59" s="109">
        <v>0.1</v>
      </c>
      <c r="N59" s="117">
        <v>0.11</v>
      </c>
      <c r="O59" s="117">
        <v>0.12</v>
      </c>
      <c r="P59" s="117">
        <v>0.13</v>
      </c>
      <c r="Q59" s="118">
        <v>0.14000000000000001</v>
      </c>
    </row>
    <row r="60" spans="2:17">
      <c r="E60" s="120">
        <v>0.02</v>
      </c>
      <c r="F60" s="122">
        <v>22.807416255881172</v>
      </c>
      <c r="G60" s="107">
        <v>19.519068096798286</v>
      </c>
      <c r="H60" s="124">
        <v>16.964163661104187</v>
      </c>
      <c r="I60" s="124">
        <v>14.922532341237313</v>
      </c>
      <c r="J60" s="125">
        <v>13.254074028499508</v>
      </c>
      <c r="L60" s="120">
        <v>0.03</v>
      </c>
      <c r="M60" s="122">
        <v>19.730863105145438</v>
      </c>
      <c r="N60" s="107">
        <v>17.222992159803244</v>
      </c>
      <c r="O60" s="124">
        <v>15.274270429288014</v>
      </c>
      <c r="P60" s="124">
        <v>13.716852093029832</v>
      </c>
      <c r="Q60" s="125">
        <v>12.44393259914451</v>
      </c>
    </row>
    <row r="61" spans="2:17">
      <c r="B61" s="238" t="s">
        <v>349</v>
      </c>
      <c r="C61" s="271">
        <f>AVERAGE(H69:H71)</f>
        <v>17.116666666666667</v>
      </c>
      <c r="E61" s="120">
        <v>0.03</v>
      </c>
      <c r="F61" s="107">
        <v>25.764657677795345</v>
      </c>
      <c r="G61" s="261">
        <v>21.618737505504445</v>
      </c>
      <c r="H61" s="124">
        <v>18.510929919205463</v>
      </c>
      <c r="I61" s="124">
        <v>16.095117554553802</v>
      </c>
      <c r="J61" s="125">
        <v>14.163634781816464</v>
      </c>
      <c r="L61" s="120">
        <v>0.04</v>
      </c>
      <c r="M61" s="107">
        <v>21.993750936045355</v>
      </c>
      <c r="N61" s="107">
        <v>18.830460872006068</v>
      </c>
      <c r="O61" s="124">
        <v>16.459023371333664</v>
      </c>
      <c r="P61" s="124">
        <v>14.615429009778339</v>
      </c>
      <c r="Q61" s="125">
        <v>13.141275903173131</v>
      </c>
    </row>
    <row r="62" spans="2:17">
      <c r="B62" s="401" t="s">
        <v>350</v>
      </c>
      <c r="C62" s="271">
        <f>AVERAGE(H75:H77)</f>
        <v>17.066666666666666</v>
      </c>
      <c r="E62" s="120">
        <v>0.04</v>
      </c>
      <c r="F62" s="107">
        <v>29.904795668475188</v>
      </c>
      <c r="G62" s="107">
        <v>24.418296717112657</v>
      </c>
      <c r="H62" s="124">
        <v>20.499629393907114</v>
      </c>
      <c r="I62" s="124">
        <v>17.560849071199407</v>
      </c>
      <c r="J62" s="125">
        <v>15.275320146981635</v>
      </c>
      <c r="L62" s="120">
        <v>0.05</v>
      </c>
      <c r="M62" s="107">
        <v>25.161793899305238</v>
      </c>
      <c r="N62" s="107">
        <v>20.973752488276507</v>
      </c>
      <c r="O62" s="124">
        <v>17.982277153963786</v>
      </c>
      <c r="P62" s="124">
        <v>15.738650155713978</v>
      </c>
      <c r="Q62" s="125">
        <v>13.993584385874781</v>
      </c>
    </row>
    <row r="63" spans="2:17">
      <c r="E63" s="116">
        <v>0.05</v>
      </c>
      <c r="F63" s="126">
        <v>36.115002654494965</v>
      </c>
      <c r="G63" s="129">
        <v>28.337679613364159</v>
      </c>
      <c r="H63" s="128">
        <v>23.151228693509314</v>
      </c>
      <c r="I63" s="128">
        <v>19.445361021172335</v>
      </c>
      <c r="J63" s="127">
        <v>16.6649268534381</v>
      </c>
      <c r="L63" s="116">
        <v>0.06</v>
      </c>
      <c r="M63" s="126">
        <v>29.913858344195074</v>
      </c>
      <c r="N63" s="129">
        <v>23.974360751055116</v>
      </c>
      <c r="O63" s="128">
        <v>20.013282197470613</v>
      </c>
      <c r="P63" s="128">
        <v>17.182791629059796</v>
      </c>
      <c r="Q63" s="127">
        <v>15.058969989251839</v>
      </c>
    </row>
    <row r="65" spans="2:11">
      <c r="F65" s="218"/>
    </row>
    <row r="66" spans="2:11">
      <c r="F66" s="374" t="s">
        <v>342</v>
      </c>
      <c r="G66" s="374"/>
      <c r="H66" s="374"/>
      <c r="I66" s="374"/>
      <c r="J66" s="374"/>
      <c r="K66" s="402"/>
    </row>
    <row r="67" spans="2:11">
      <c r="B67" s="305"/>
      <c r="F67" s="403" t="s">
        <v>398</v>
      </c>
      <c r="G67" s="403"/>
      <c r="H67" s="403"/>
      <c r="I67" s="403"/>
      <c r="J67" s="403"/>
    </row>
    <row r="68" spans="2:11">
      <c r="B68" s="305"/>
      <c r="F68" s="238" t="s">
        <v>343</v>
      </c>
      <c r="G68" s="238" t="s">
        <v>344</v>
      </c>
      <c r="H68" s="238" t="s">
        <v>345</v>
      </c>
      <c r="I68" s="238" t="s">
        <v>294</v>
      </c>
      <c r="J68" s="238" t="s">
        <v>290</v>
      </c>
      <c r="K68" s="305"/>
    </row>
    <row r="69" spans="2:11">
      <c r="F69" s="393">
        <v>43101</v>
      </c>
      <c r="G69" s="394">
        <v>45291</v>
      </c>
      <c r="H69" s="395">
        <v>17.16</v>
      </c>
      <c r="I69" s="395">
        <v>15.81</v>
      </c>
      <c r="J69" s="164">
        <v>18.579999999999998</v>
      </c>
    </row>
    <row r="70" spans="2:11">
      <c r="F70" s="393">
        <v>43466</v>
      </c>
      <c r="G70" s="394">
        <v>45291</v>
      </c>
      <c r="H70" s="395">
        <v>16.98</v>
      </c>
      <c r="I70" s="395">
        <v>15.82</v>
      </c>
      <c r="J70" s="164">
        <v>18.66</v>
      </c>
    </row>
    <row r="71" spans="2:11">
      <c r="F71" s="396">
        <v>43831</v>
      </c>
      <c r="G71" s="397">
        <v>45291</v>
      </c>
      <c r="H71" s="287">
        <v>17.21</v>
      </c>
      <c r="I71" s="399">
        <v>16.34</v>
      </c>
      <c r="J71" s="398">
        <v>17.68</v>
      </c>
    </row>
    <row r="72" spans="2:11">
      <c r="F72" s="392"/>
      <c r="G72" s="392"/>
    </row>
    <row r="73" spans="2:11">
      <c r="F73" s="403" t="s">
        <v>400</v>
      </c>
      <c r="G73" s="403"/>
      <c r="H73" s="403"/>
      <c r="I73" s="403"/>
      <c r="J73" s="403"/>
    </row>
    <row r="74" spans="2:11">
      <c r="F74" s="238" t="s">
        <v>343</v>
      </c>
      <c r="G74" s="238" t="s">
        <v>344</v>
      </c>
      <c r="H74" s="238" t="s">
        <v>346</v>
      </c>
      <c r="I74" s="238" t="s">
        <v>294</v>
      </c>
      <c r="J74" s="238" t="s">
        <v>290</v>
      </c>
    </row>
    <row r="75" spans="2:11">
      <c r="F75" s="393">
        <v>43101</v>
      </c>
      <c r="G75" s="394">
        <v>45291</v>
      </c>
      <c r="H75" s="395">
        <v>16.940000000000001</v>
      </c>
      <c r="I75" s="395">
        <v>15.71</v>
      </c>
      <c r="J75" s="164">
        <v>18.309999999999999</v>
      </c>
    </row>
    <row r="76" spans="2:11">
      <c r="F76" s="393">
        <v>43466</v>
      </c>
      <c r="G76" s="394">
        <v>45291</v>
      </c>
      <c r="H76" s="395">
        <v>16.940000000000001</v>
      </c>
      <c r="I76" s="395">
        <v>15.64</v>
      </c>
      <c r="J76" s="164">
        <v>18.350000000000001</v>
      </c>
    </row>
    <row r="77" spans="2:11">
      <c r="F77" s="396">
        <v>43831</v>
      </c>
      <c r="G77" s="397">
        <v>45291</v>
      </c>
      <c r="H77" s="287">
        <v>17.32</v>
      </c>
      <c r="I77" s="287">
        <v>15.96</v>
      </c>
      <c r="J77" s="219">
        <v>18.739999999999998</v>
      </c>
    </row>
    <row r="79" spans="2:11">
      <c r="G79" s="238" t="s">
        <v>290</v>
      </c>
      <c r="H79" s="238" t="s">
        <v>294</v>
      </c>
      <c r="I79" s="238" t="s">
        <v>347</v>
      </c>
      <c r="J79" s="238" t="s">
        <v>291</v>
      </c>
    </row>
    <row r="80" spans="2:11">
      <c r="F80" s="400" t="s">
        <v>348</v>
      </c>
      <c r="G80" s="208">
        <f>MAX(J69:J71,J75:J77)</f>
        <v>18.739999999999998</v>
      </c>
      <c r="H80" s="208">
        <f>MIN(I69:I71,I75:I77)</f>
        <v>15.64</v>
      </c>
      <c r="I80" s="271">
        <f>AVERAGE(H69:H71,H75:H77)</f>
        <v>17.091666666666669</v>
      </c>
      <c r="J80" s="219">
        <f>MEDIAN(H69:H71,H75:H77)</f>
        <v>17.07</v>
      </c>
    </row>
    <row r="82" spans="5:10">
      <c r="G82" s="408" t="s">
        <v>351</v>
      </c>
      <c r="H82" s="409"/>
      <c r="I82" s="238" t="s">
        <v>352</v>
      </c>
      <c r="J82" s="238" t="s">
        <v>353</v>
      </c>
    </row>
    <row r="83" spans="5:10">
      <c r="G83" s="407" t="s">
        <v>354</v>
      </c>
      <c r="H83" s="407"/>
      <c r="I83" s="406" t="s">
        <v>356</v>
      </c>
      <c r="J83" s="405">
        <v>15.9</v>
      </c>
    </row>
    <row r="84" spans="5:10">
      <c r="G84" s="352" t="s">
        <v>355</v>
      </c>
      <c r="H84" s="352"/>
      <c r="I84" s="398" t="s">
        <v>357</v>
      </c>
      <c r="J84" s="219">
        <v>18.71</v>
      </c>
    </row>
    <row r="87" spans="5:10">
      <c r="E87" s="360"/>
      <c r="F87" s="404"/>
      <c r="G87" s="218"/>
    </row>
  </sheetData>
  <mergeCells count="11">
    <mergeCell ref="F66:J66"/>
    <mergeCell ref="F67:J67"/>
    <mergeCell ref="F73:J73"/>
    <mergeCell ref="E87:F87"/>
    <mergeCell ref="G83:H83"/>
    <mergeCell ref="G84:H84"/>
    <mergeCell ref="A37:A40"/>
    <mergeCell ref="D34:H34"/>
    <mergeCell ref="K34:N34"/>
    <mergeCell ref="R34:U34"/>
    <mergeCell ref="E35:M3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6DB-CC90-854D-8BC8-5D0F0C8C5279}">
  <dimension ref="B3:G36"/>
  <sheetViews>
    <sheetView workbookViewId="0">
      <selection activeCell="I24" sqref="I24"/>
    </sheetView>
  </sheetViews>
  <sheetFormatPr baseColWidth="10" defaultRowHeight="13"/>
  <cols>
    <col min="2" max="2" width="11.19921875" customWidth="1"/>
    <col min="3" max="3" width="10.59765625" bestFit="1" customWidth="1"/>
    <col min="6" max="6" width="11.59765625" customWidth="1"/>
  </cols>
  <sheetData>
    <row r="3" spans="2:7" ht="16">
      <c r="B3" s="432" t="s">
        <v>359</v>
      </c>
      <c r="C3" s="432" t="s">
        <v>390</v>
      </c>
      <c r="D3" s="432" t="s">
        <v>391</v>
      </c>
      <c r="E3" s="410"/>
      <c r="F3" s="432" t="s">
        <v>362</v>
      </c>
      <c r="G3" s="446" t="s">
        <v>363</v>
      </c>
    </row>
    <row r="4" spans="2:7" ht="16">
      <c r="B4" s="433">
        <v>4.9800000000000004</v>
      </c>
      <c r="C4" s="434">
        <v>5.65</v>
      </c>
      <c r="D4" s="435">
        <v>6.67</v>
      </c>
      <c r="E4" s="410"/>
      <c r="F4" s="433">
        <v>4.9800000000000004</v>
      </c>
      <c r="G4" s="444">
        <v>5.7666666666666666</v>
      </c>
    </row>
    <row r="5" spans="2:7" ht="16">
      <c r="B5" s="433">
        <v>5.12</v>
      </c>
      <c r="C5" s="434">
        <v>7.23</v>
      </c>
      <c r="D5" s="435">
        <v>6.86</v>
      </c>
      <c r="E5" s="410"/>
      <c r="F5" s="433">
        <v>5.12</v>
      </c>
      <c r="G5" s="444">
        <v>6.4033333333333333</v>
      </c>
    </row>
    <row r="6" spans="2:7" ht="16">
      <c r="B6" s="433">
        <v>5.48</v>
      </c>
      <c r="C6" s="434">
        <v>8.44</v>
      </c>
      <c r="D6" s="435">
        <v>6.38</v>
      </c>
      <c r="E6" s="410"/>
      <c r="F6" s="433">
        <v>5.48</v>
      </c>
      <c r="G6" s="444">
        <v>6.7666666666666666</v>
      </c>
    </row>
    <row r="7" spans="2:7" ht="16">
      <c r="B7" s="433">
        <v>5.83</v>
      </c>
      <c r="C7" s="434">
        <v>8.0299999999999994</v>
      </c>
      <c r="D7" s="435">
        <v>7.4</v>
      </c>
      <c r="E7" s="410"/>
      <c r="F7" s="433">
        <v>5.83</v>
      </c>
      <c r="G7" s="444">
        <v>7.086666666666666</v>
      </c>
    </row>
    <row r="8" spans="2:7" ht="16">
      <c r="B8" s="433">
        <v>2.75</v>
      </c>
      <c r="C8" s="434">
        <v>6.78</v>
      </c>
      <c r="D8" s="435">
        <v>4.12</v>
      </c>
      <c r="E8" s="410"/>
      <c r="F8" s="433">
        <v>2.75</v>
      </c>
      <c r="G8" s="444">
        <v>4.5500000000000007</v>
      </c>
    </row>
    <row r="9" spans="2:7" ht="16">
      <c r="B9" s="433">
        <v>6.85</v>
      </c>
      <c r="C9" s="434">
        <v>4.43</v>
      </c>
      <c r="D9" s="435">
        <v>7.01</v>
      </c>
      <c r="E9" s="410"/>
      <c r="F9" s="433">
        <v>6.85</v>
      </c>
      <c r="G9" s="444">
        <v>6.0966666666666667</v>
      </c>
    </row>
    <row r="10" spans="2:7" ht="16">
      <c r="B10" s="433">
        <v>5.17</v>
      </c>
      <c r="C10" s="434">
        <v>8.09</v>
      </c>
      <c r="D10" s="435">
        <v>7.78</v>
      </c>
      <c r="E10" s="410"/>
      <c r="F10" s="433">
        <v>5.17</v>
      </c>
      <c r="G10" s="444">
        <v>7.0133333333333328</v>
      </c>
    </row>
    <row r="11" spans="2:7" ht="16">
      <c r="B11" s="436">
        <v>3.84</v>
      </c>
      <c r="C11" s="437">
        <v>7.07</v>
      </c>
      <c r="D11" s="438">
        <v>6.67</v>
      </c>
      <c r="E11" s="410"/>
      <c r="F11" s="436">
        <v>3.84</v>
      </c>
      <c r="G11" s="445">
        <v>5.8599999999999994</v>
      </c>
    </row>
    <row r="12" spans="2:7" ht="16">
      <c r="B12" s="410"/>
      <c r="C12" s="410"/>
      <c r="D12" s="410"/>
      <c r="E12" s="410"/>
      <c r="F12" s="410"/>
      <c r="G12" s="411"/>
    </row>
    <row r="13" spans="2:7" ht="16">
      <c r="B13" s="410"/>
      <c r="C13" s="410"/>
      <c r="D13" s="410"/>
      <c r="E13" s="410"/>
      <c r="F13" s="410"/>
      <c r="G13" s="411"/>
    </row>
    <row r="14" spans="2:7" ht="16">
      <c r="B14" s="410"/>
      <c r="C14" s="410"/>
      <c r="D14" s="410"/>
      <c r="E14" s="410"/>
      <c r="F14" s="410"/>
      <c r="G14" s="411"/>
    </row>
    <row r="15" spans="2:7" ht="16">
      <c r="B15" s="410"/>
      <c r="C15" s="410"/>
      <c r="D15" s="410"/>
      <c r="E15" s="410"/>
      <c r="F15" s="410"/>
      <c r="G15" s="411"/>
    </row>
    <row r="16" spans="2:7" ht="16">
      <c r="B16" s="410"/>
      <c r="C16" s="410"/>
      <c r="D16" s="410"/>
      <c r="E16" s="410"/>
      <c r="F16" s="410"/>
      <c r="G16" s="411"/>
    </row>
    <row r="17" spans="2:7" ht="16">
      <c r="B17" s="432" t="s">
        <v>360</v>
      </c>
      <c r="C17" s="432" t="s">
        <v>392</v>
      </c>
      <c r="D17" s="432" t="s">
        <v>393</v>
      </c>
      <c r="E17" s="410"/>
      <c r="F17" s="432" t="s">
        <v>362</v>
      </c>
      <c r="G17" s="446" t="s">
        <v>365</v>
      </c>
    </row>
    <row r="18" spans="2:7" ht="16">
      <c r="B18" s="433">
        <v>1.47</v>
      </c>
      <c r="C18" s="440">
        <v>1</v>
      </c>
      <c r="D18" s="435">
        <v>2.08</v>
      </c>
      <c r="E18" s="410"/>
      <c r="F18" s="433">
        <v>1.47</v>
      </c>
      <c r="G18" s="444">
        <v>1.5166666666666666</v>
      </c>
    </row>
    <row r="19" spans="2:7" ht="16">
      <c r="B19" s="433">
        <v>1.54</v>
      </c>
      <c r="C19" s="440">
        <v>2.39</v>
      </c>
      <c r="D19" s="435">
        <v>1.83</v>
      </c>
      <c r="E19" s="410"/>
      <c r="F19" s="433">
        <v>1.54</v>
      </c>
      <c r="G19" s="444">
        <v>1.92</v>
      </c>
    </row>
    <row r="20" spans="2:7" ht="16">
      <c r="B20" s="433">
        <v>1.69</v>
      </c>
      <c r="C20" s="440">
        <v>3.11</v>
      </c>
      <c r="D20" s="435">
        <v>2.37</v>
      </c>
      <c r="E20" s="410"/>
      <c r="F20" s="433">
        <v>1.69</v>
      </c>
      <c r="G20" s="444">
        <v>2.39</v>
      </c>
    </row>
    <row r="21" spans="2:7" ht="16">
      <c r="B21" s="433">
        <v>2.4</v>
      </c>
      <c r="C21" s="440">
        <v>2.63</v>
      </c>
      <c r="D21" s="435">
        <v>2.58</v>
      </c>
      <c r="E21" s="410"/>
      <c r="F21" s="433">
        <v>2.4</v>
      </c>
      <c r="G21" s="444">
        <v>2.5366666666666666</v>
      </c>
    </row>
    <row r="22" spans="2:7" ht="16">
      <c r="B22" s="433">
        <v>1.96</v>
      </c>
      <c r="C22" s="440">
        <v>3.59</v>
      </c>
      <c r="D22" s="435">
        <v>2.11</v>
      </c>
      <c r="E22" s="410"/>
      <c r="F22" s="433">
        <v>1.96</v>
      </c>
      <c r="G22" s="444">
        <v>2.5533333333333332</v>
      </c>
    </row>
    <row r="23" spans="2:7" ht="16">
      <c r="B23" s="433">
        <v>2.15</v>
      </c>
      <c r="C23" s="440">
        <v>3.16</v>
      </c>
      <c r="D23" s="435">
        <v>2.2799999999999998</v>
      </c>
      <c r="E23" s="410"/>
      <c r="F23" s="433">
        <v>2.15</v>
      </c>
      <c r="G23" s="444">
        <v>2.5299999999999998</v>
      </c>
    </row>
    <row r="24" spans="2:7" ht="16">
      <c r="B24" s="433">
        <v>1.73</v>
      </c>
      <c r="C24" s="440">
        <v>3.4</v>
      </c>
      <c r="D24" s="435">
        <v>2.21</v>
      </c>
      <c r="E24" s="410"/>
      <c r="F24" s="433">
        <v>1.73</v>
      </c>
      <c r="G24" s="444">
        <v>2.4466666666666668</v>
      </c>
    </row>
    <row r="25" spans="2:7" ht="16">
      <c r="B25" s="436">
        <v>1.3</v>
      </c>
      <c r="C25" s="441">
        <v>3.53</v>
      </c>
      <c r="D25" s="438">
        <v>1.88</v>
      </c>
      <c r="E25" s="410"/>
      <c r="F25" s="436">
        <v>1.3</v>
      </c>
      <c r="G25" s="445">
        <v>2.2366666666666668</v>
      </c>
    </row>
    <row r="26" spans="2:7" ht="16">
      <c r="B26" s="410"/>
      <c r="C26" s="410"/>
      <c r="D26" s="410"/>
      <c r="E26" s="410"/>
      <c r="F26" s="410"/>
      <c r="G26" s="411"/>
    </row>
    <row r="27" spans="2:7" ht="16" customHeight="1">
      <c r="B27" s="447" t="s">
        <v>361</v>
      </c>
      <c r="C27" s="439"/>
      <c r="D27" s="449"/>
      <c r="E27" s="410"/>
      <c r="F27" s="442" t="s">
        <v>361</v>
      </c>
      <c r="G27" s="443" t="s">
        <v>364</v>
      </c>
    </row>
    <row r="28" spans="2:7" ht="34" customHeight="1">
      <c r="B28" s="442"/>
      <c r="C28" s="448" t="s">
        <v>252</v>
      </c>
      <c r="D28" s="448" t="s">
        <v>257</v>
      </c>
      <c r="E28" s="410"/>
      <c r="F28" s="442"/>
      <c r="G28" s="443"/>
    </row>
    <row r="29" spans="2:7" ht="16">
      <c r="B29" s="433">
        <v>5.5</v>
      </c>
      <c r="C29" s="440">
        <v>6.42</v>
      </c>
      <c r="D29" s="435">
        <v>6.56</v>
      </c>
      <c r="E29" s="410"/>
      <c r="F29" s="433">
        <v>5.5</v>
      </c>
      <c r="G29" s="444">
        <v>6.16</v>
      </c>
    </row>
    <row r="30" spans="2:7" ht="16">
      <c r="B30" s="433">
        <v>4.83</v>
      </c>
      <c r="C30" s="440">
        <v>6.74</v>
      </c>
      <c r="D30" s="435">
        <v>5.83</v>
      </c>
      <c r="E30" s="410"/>
      <c r="F30" s="433">
        <v>4.83</v>
      </c>
      <c r="G30" s="444">
        <v>5.8</v>
      </c>
    </row>
    <row r="31" spans="2:7" ht="16">
      <c r="B31" s="433">
        <v>6.85</v>
      </c>
      <c r="C31" s="440">
        <v>7.39</v>
      </c>
      <c r="D31" s="435">
        <v>5.61</v>
      </c>
      <c r="E31" s="410"/>
      <c r="F31" s="433">
        <v>6.85</v>
      </c>
      <c r="G31" s="444">
        <v>6.6166666666666663</v>
      </c>
    </row>
    <row r="32" spans="2:7" ht="16">
      <c r="B32" s="433">
        <v>4.63</v>
      </c>
      <c r="C32" s="440">
        <v>6.61</v>
      </c>
      <c r="D32" s="435">
        <v>5.92</v>
      </c>
      <c r="E32" s="410"/>
      <c r="F32" s="433">
        <v>4.63</v>
      </c>
      <c r="G32" s="444">
        <v>5.72</v>
      </c>
    </row>
    <row r="33" spans="2:7" ht="16">
      <c r="B33" s="433">
        <v>2.37</v>
      </c>
      <c r="C33" s="440">
        <v>5.2</v>
      </c>
      <c r="D33" s="435">
        <v>3.35</v>
      </c>
      <c r="E33" s="410"/>
      <c r="F33" s="433">
        <v>2.37</v>
      </c>
      <c r="G33" s="444">
        <v>3.64</v>
      </c>
    </row>
    <row r="34" spans="2:7" ht="16">
      <c r="B34" s="433">
        <v>4.17</v>
      </c>
      <c r="C34" s="440">
        <v>3.76</v>
      </c>
      <c r="D34" s="435">
        <v>5.22</v>
      </c>
      <c r="E34" s="410"/>
      <c r="F34" s="433">
        <v>4.17</v>
      </c>
      <c r="G34" s="444">
        <v>4.3833333333333329</v>
      </c>
    </row>
    <row r="35" spans="2:7" ht="16">
      <c r="B35" s="433">
        <v>4.58</v>
      </c>
      <c r="C35" s="440">
        <v>6.09</v>
      </c>
      <c r="D35" s="435">
        <v>6.27</v>
      </c>
      <c r="E35" s="410"/>
      <c r="F35" s="433">
        <v>4.58</v>
      </c>
      <c r="G35" s="444">
        <v>5.6466666666666656</v>
      </c>
    </row>
    <row r="36" spans="2:7" ht="16">
      <c r="B36" s="436">
        <v>3.5</v>
      </c>
      <c r="C36" s="441">
        <v>6.79</v>
      </c>
      <c r="D36" s="438">
        <v>5.4</v>
      </c>
      <c r="E36" s="410"/>
      <c r="F36" s="436">
        <v>3.5</v>
      </c>
      <c r="G36" s="445">
        <v>5.2299999999999995</v>
      </c>
    </row>
  </sheetData>
  <mergeCells count="3">
    <mergeCell ref="B27:B28"/>
    <mergeCell ref="G27:G28"/>
    <mergeCell ref="F27:F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CF78-F180-C54B-9170-E3C11EEC1C89}">
  <dimension ref="A1:T39"/>
  <sheetViews>
    <sheetView workbookViewId="0">
      <selection activeCell="N23" sqref="N23:Q23"/>
    </sheetView>
  </sheetViews>
  <sheetFormatPr baseColWidth="10" defaultRowHeight="13"/>
  <cols>
    <col min="12" max="12" width="13.59765625" customWidth="1"/>
    <col min="13" max="13" width="13.796875" bestFit="1" customWidth="1"/>
  </cols>
  <sheetData>
    <row r="1" spans="1:20">
      <c r="A1" t="s">
        <v>366</v>
      </c>
      <c r="L1" t="s">
        <v>366</v>
      </c>
    </row>
    <row r="2" spans="1:20" ht="14" thickBot="1"/>
    <row r="3" spans="1:20" ht="16">
      <c r="A3" s="412" t="s">
        <v>367</v>
      </c>
      <c r="B3" s="412"/>
      <c r="L3" s="412" t="s">
        <v>367</v>
      </c>
      <c r="M3" s="412"/>
    </row>
    <row r="4" spans="1:20">
      <c r="A4" t="s">
        <v>368</v>
      </c>
      <c r="B4">
        <v>0.70448057854855484</v>
      </c>
      <c r="L4" t="s">
        <v>368</v>
      </c>
      <c r="M4">
        <v>0.90017755327435378</v>
      </c>
    </row>
    <row r="5" spans="1:20">
      <c r="A5" t="s">
        <v>369</v>
      </c>
      <c r="B5">
        <v>0.49629288555210654</v>
      </c>
      <c r="L5" t="s">
        <v>369</v>
      </c>
      <c r="M5">
        <v>0.8103196274190021</v>
      </c>
    </row>
    <row r="6" spans="1:20">
      <c r="A6" t="s">
        <v>370</v>
      </c>
      <c r="B6">
        <v>0.41234169981079094</v>
      </c>
      <c r="L6" t="s">
        <v>370</v>
      </c>
      <c r="M6">
        <v>0.77870623198883582</v>
      </c>
    </row>
    <row r="7" spans="1:20">
      <c r="A7" t="s">
        <v>371</v>
      </c>
      <c r="B7">
        <v>0.95190930285304842</v>
      </c>
      <c r="L7" t="s">
        <v>371</v>
      </c>
      <c r="M7">
        <v>0.62300072703559572</v>
      </c>
    </row>
    <row r="8" spans="1:20" ht="14" thickBot="1">
      <c r="A8" s="413" t="s">
        <v>372</v>
      </c>
      <c r="B8" s="413">
        <v>8</v>
      </c>
      <c r="L8" s="413" t="s">
        <v>372</v>
      </c>
      <c r="M8" s="413">
        <v>8</v>
      </c>
    </row>
    <row r="10" spans="1:20" ht="14" thickBot="1">
      <c r="A10" t="s">
        <v>373</v>
      </c>
      <c r="L10" t="s">
        <v>373</v>
      </c>
    </row>
    <row r="11" spans="1:20" ht="16">
      <c r="A11" s="414"/>
      <c r="B11" s="414" t="s">
        <v>374</v>
      </c>
      <c r="C11" s="414" t="s">
        <v>375</v>
      </c>
      <c r="D11" s="414" t="s">
        <v>376</v>
      </c>
      <c r="E11" s="414" t="s">
        <v>377</v>
      </c>
      <c r="F11" s="414" t="s">
        <v>378</v>
      </c>
      <c r="L11" s="414"/>
      <c r="M11" s="414" t="s">
        <v>374</v>
      </c>
      <c r="N11" s="414" t="s">
        <v>375</v>
      </c>
      <c r="O11" s="414" t="s">
        <v>376</v>
      </c>
      <c r="P11" s="414" t="s">
        <v>377</v>
      </c>
      <c r="Q11" s="414" t="s">
        <v>378</v>
      </c>
    </row>
    <row r="12" spans="1:20">
      <c r="A12" t="s">
        <v>379</v>
      </c>
      <c r="B12">
        <v>1</v>
      </c>
      <c r="C12">
        <v>5.3567620748509395</v>
      </c>
      <c r="D12">
        <v>5.3567620748509395</v>
      </c>
      <c r="E12">
        <v>5.9116840479343216</v>
      </c>
      <c r="F12">
        <v>5.1065450661941486E-2</v>
      </c>
      <c r="L12" t="s">
        <v>379</v>
      </c>
      <c r="M12">
        <v>1</v>
      </c>
      <c r="N12">
        <v>9.9486080646787105</v>
      </c>
      <c r="O12">
        <v>9.9486080646787105</v>
      </c>
      <c r="P12">
        <v>25.632160557033188</v>
      </c>
      <c r="Q12">
        <v>2.3042520682473584E-3</v>
      </c>
    </row>
    <row r="13" spans="1:20">
      <c r="A13" t="s">
        <v>380</v>
      </c>
      <c r="B13">
        <v>6</v>
      </c>
      <c r="C13">
        <v>5.4367879251490603</v>
      </c>
      <c r="D13">
        <v>0.90613132085817671</v>
      </c>
      <c r="L13" t="s">
        <v>380</v>
      </c>
      <c r="M13">
        <v>6</v>
      </c>
      <c r="N13">
        <v>2.3287794353212852</v>
      </c>
      <c r="O13">
        <v>0.38812990588688084</v>
      </c>
    </row>
    <row r="14" spans="1:20" ht="14" thickBot="1">
      <c r="A14" s="413" t="s">
        <v>381</v>
      </c>
      <c r="B14" s="413">
        <v>7</v>
      </c>
      <c r="C14" s="413">
        <v>10.79355</v>
      </c>
      <c r="D14" s="413"/>
      <c r="E14" s="413"/>
      <c r="F14" s="413"/>
      <c r="L14" s="413" t="s">
        <v>381</v>
      </c>
      <c r="M14" s="413">
        <v>7</v>
      </c>
      <c r="N14" s="413">
        <v>12.277387499999996</v>
      </c>
      <c r="O14" s="413"/>
      <c r="P14" s="413"/>
      <c r="Q14" s="413"/>
    </row>
    <row r="15" spans="1:20" ht="14" thickBot="1"/>
    <row r="16" spans="1:20" ht="16">
      <c r="A16" s="414"/>
      <c r="B16" s="414" t="s">
        <v>382</v>
      </c>
      <c r="C16" s="414" t="s">
        <v>371</v>
      </c>
      <c r="D16" s="414" t="s">
        <v>383</v>
      </c>
      <c r="E16" s="414" t="s">
        <v>384</v>
      </c>
      <c r="F16" s="414" t="s">
        <v>385</v>
      </c>
      <c r="G16" s="414" t="s">
        <v>386</v>
      </c>
      <c r="H16" s="414" t="s">
        <v>387</v>
      </c>
      <c r="I16" s="414" t="s">
        <v>388</v>
      </c>
      <c r="L16" s="414"/>
      <c r="M16" s="414" t="s">
        <v>382</v>
      </c>
      <c r="N16" s="414" t="s">
        <v>371</v>
      </c>
      <c r="O16" s="414" t="s">
        <v>383</v>
      </c>
      <c r="P16" s="414" t="s">
        <v>384</v>
      </c>
      <c r="Q16" s="414" t="s">
        <v>385</v>
      </c>
      <c r="R16" s="414" t="s">
        <v>386</v>
      </c>
      <c r="S16" s="414" t="s">
        <v>387</v>
      </c>
      <c r="T16" s="414" t="s">
        <v>388</v>
      </c>
    </row>
    <row r="17" spans="1:20">
      <c r="A17" t="s">
        <v>389</v>
      </c>
      <c r="B17">
        <v>-1.5084045641934658</v>
      </c>
      <c r="C17">
        <v>2.6989126932618639</v>
      </c>
      <c r="D17">
        <v>-0.55889342695647981</v>
      </c>
      <c r="E17">
        <v>0.59646106825655376</v>
      </c>
      <c r="F17">
        <v>-8.1124060185415097</v>
      </c>
      <c r="G17">
        <v>5.0955968901545772</v>
      </c>
      <c r="H17">
        <v>-8.1124060185415097</v>
      </c>
      <c r="I17">
        <v>5.0955968901545772</v>
      </c>
      <c r="L17" t="s">
        <v>389</v>
      </c>
      <c r="M17">
        <v>-2.105290166841236</v>
      </c>
      <c r="N17">
        <v>1.3335982064206369</v>
      </c>
      <c r="O17">
        <v>-1.5786540179082964</v>
      </c>
      <c r="P17">
        <v>0.16549330069435617</v>
      </c>
      <c r="Q17">
        <v>-5.3684874227975676</v>
      </c>
      <c r="R17">
        <v>1.157907089115096</v>
      </c>
      <c r="S17">
        <v>-5.3684874227975676</v>
      </c>
      <c r="T17">
        <v>1.157907089115096</v>
      </c>
    </row>
    <row r="18" spans="1:20" ht="14" thickBot="1">
      <c r="A18" s="413" t="s">
        <v>363</v>
      </c>
      <c r="B18" s="413">
        <v>1.0513470331739434</v>
      </c>
      <c r="C18" s="413">
        <v>0.43240477980479314</v>
      </c>
      <c r="D18" s="413">
        <v>2.4313954939364186</v>
      </c>
      <c r="E18" s="413">
        <v>5.1065450661941521E-2</v>
      </c>
      <c r="F18" s="413">
        <v>-6.7093470221359745E-3</v>
      </c>
      <c r="G18" s="413">
        <v>2.1094034133700226</v>
      </c>
      <c r="H18" s="413">
        <v>-6.7093470221359745E-3</v>
      </c>
      <c r="I18" s="413">
        <v>2.1094034133700226</v>
      </c>
      <c r="L18" s="413" t="s">
        <v>364</v>
      </c>
      <c r="M18" s="413">
        <v>1.2332507446885537</v>
      </c>
      <c r="N18" s="413">
        <v>0.24358962060112938</v>
      </c>
      <c r="O18" s="413">
        <v>5.0628214028378675</v>
      </c>
      <c r="P18" s="413">
        <v>2.3042520682473584E-3</v>
      </c>
      <c r="Q18" s="413">
        <v>0.63720841522374339</v>
      </c>
      <c r="R18" s="413">
        <v>1.829293074153364</v>
      </c>
      <c r="S18" s="413">
        <v>0.63720841522374339</v>
      </c>
      <c r="T18" s="413">
        <v>1.829293074153364</v>
      </c>
    </row>
    <row r="22" spans="1:20">
      <c r="A22" t="s">
        <v>366</v>
      </c>
      <c r="L22" s="431" t="s">
        <v>395</v>
      </c>
      <c r="M22" s="431" t="s">
        <v>286</v>
      </c>
      <c r="N22" s="360" t="s">
        <v>399</v>
      </c>
      <c r="O22" s="360"/>
      <c r="P22" s="360"/>
      <c r="Q22" s="360"/>
    </row>
    <row r="23" spans="1:20" ht="14" thickBot="1">
      <c r="L23" s="431" t="s">
        <v>395</v>
      </c>
      <c r="M23" s="431" t="s">
        <v>253</v>
      </c>
      <c r="N23" s="360" t="s">
        <v>396</v>
      </c>
      <c r="O23" s="360"/>
      <c r="P23" s="360"/>
      <c r="Q23" s="360"/>
    </row>
    <row r="24" spans="1:20" ht="16">
      <c r="A24" s="412" t="s">
        <v>367</v>
      </c>
      <c r="B24" s="412"/>
      <c r="L24" s="431" t="s">
        <v>395</v>
      </c>
      <c r="M24" s="431" t="s">
        <v>394</v>
      </c>
      <c r="N24" s="360" t="s">
        <v>397</v>
      </c>
      <c r="O24" s="360"/>
      <c r="P24" s="360"/>
      <c r="Q24" s="360"/>
    </row>
    <row r="25" spans="1:20">
      <c r="A25" t="s">
        <v>368</v>
      </c>
      <c r="B25">
        <v>0.65801956479106949</v>
      </c>
      <c r="M25" s="305"/>
    </row>
    <row r="26" spans="1:20">
      <c r="A26" t="s">
        <v>369</v>
      </c>
      <c r="B26">
        <v>0.43298974764782844</v>
      </c>
    </row>
    <row r="27" spans="1:20">
      <c r="A27" t="s">
        <v>370</v>
      </c>
      <c r="B27">
        <v>0.33848803892246648</v>
      </c>
    </row>
    <row r="28" spans="1:20">
      <c r="A28" t="s">
        <v>371</v>
      </c>
      <c r="B28">
        <v>0.29937504998769227</v>
      </c>
    </row>
    <row r="29" spans="1:20" ht="14" thickBot="1">
      <c r="A29" s="413" t="s">
        <v>372</v>
      </c>
      <c r="B29" s="413">
        <v>8</v>
      </c>
    </row>
    <row r="31" spans="1:20" ht="14" thickBot="1">
      <c r="A31" t="s">
        <v>373</v>
      </c>
    </row>
    <row r="32" spans="1:20" ht="16">
      <c r="A32" s="414"/>
      <c r="B32" s="414" t="s">
        <v>374</v>
      </c>
      <c r="C32" s="414" t="s">
        <v>375</v>
      </c>
      <c r="D32" s="414" t="s">
        <v>376</v>
      </c>
      <c r="E32" s="414" t="s">
        <v>377</v>
      </c>
      <c r="F32" s="414" t="s">
        <v>378</v>
      </c>
    </row>
    <row r="33" spans="1:9">
      <c r="A33" t="s">
        <v>379</v>
      </c>
      <c r="B33">
        <v>1</v>
      </c>
      <c r="C33">
        <v>0.41064747666920043</v>
      </c>
      <c r="D33">
        <v>0.41064747666920043</v>
      </c>
      <c r="E33">
        <v>4.5818192442019265</v>
      </c>
      <c r="F33">
        <v>7.6095877149054483E-2</v>
      </c>
    </row>
    <row r="34" spans="1:9">
      <c r="A34" t="s">
        <v>380</v>
      </c>
      <c r="B34">
        <v>6</v>
      </c>
      <c r="C34">
        <v>0.53775252333079948</v>
      </c>
      <c r="D34">
        <v>8.9625420555133242E-2</v>
      </c>
    </row>
    <row r="35" spans="1:9" ht="14" thickBot="1">
      <c r="A35" s="413" t="s">
        <v>381</v>
      </c>
      <c r="B35" s="413">
        <v>7</v>
      </c>
      <c r="C35" s="413">
        <v>0.94839999999999991</v>
      </c>
      <c r="D35" s="413"/>
      <c r="E35" s="413"/>
      <c r="F35" s="413"/>
    </row>
    <row r="36" spans="1:9" ht="14" thickBot="1"/>
    <row r="37" spans="1:9" ht="16">
      <c r="A37" s="414"/>
      <c r="B37" s="414" t="s">
        <v>382</v>
      </c>
      <c r="C37" s="414" t="s">
        <v>371</v>
      </c>
      <c r="D37" s="414" t="s">
        <v>383</v>
      </c>
      <c r="E37" s="414" t="s">
        <v>384</v>
      </c>
      <c r="F37" s="414" t="s">
        <v>385</v>
      </c>
      <c r="G37" s="414" t="s">
        <v>386</v>
      </c>
      <c r="H37" s="414" t="s">
        <v>387</v>
      </c>
      <c r="I37" s="414" t="s">
        <v>388</v>
      </c>
    </row>
    <row r="38" spans="1:9">
      <c r="A38" t="s">
        <v>389</v>
      </c>
      <c r="B38">
        <v>0.2943992273693794</v>
      </c>
      <c r="C38">
        <v>0.70206244821877573</v>
      </c>
      <c r="D38">
        <v>0.419334815750805</v>
      </c>
      <c r="E38">
        <v>0.68957048247713693</v>
      </c>
      <c r="F38">
        <v>-1.4234856974209946</v>
      </c>
      <c r="G38">
        <v>2.0122841521597534</v>
      </c>
      <c r="H38">
        <v>-1.4234856974209946</v>
      </c>
      <c r="I38">
        <v>2.0122841521597534</v>
      </c>
    </row>
    <row r="39" spans="1:9" ht="14" thickBot="1">
      <c r="A39" s="413" t="s">
        <v>365</v>
      </c>
      <c r="B39" s="413">
        <v>0.65553260788995948</v>
      </c>
      <c r="C39" s="413">
        <v>0.30624945429304495</v>
      </c>
      <c r="D39" s="413">
        <v>2.1405184521984206</v>
      </c>
      <c r="E39" s="413">
        <v>7.6095877149054567E-2</v>
      </c>
      <c r="F39" s="413">
        <v>-9.3832811226371923E-2</v>
      </c>
      <c r="G39" s="413">
        <v>1.404898027006291</v>
      </c>
      <c r="H39" s="413">
        <v>-9.3832811226371923E-2</v>
      </c>
      <c r="I39" s="413">
        <v>1.404898027006291</v>
      </c>
    </row>
  </sheetData>
  <mergeCells count="3">
    <mergeCell ref="N22:Q22"/>
    <mergeCell ref="N23:Q23"/>
    <mergeCell ref="N24:Q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&amp; revenueforecast</vt:lpstr>
      <vt:lpstr>iron ore prices analysis</vt:lpstr>
      <vt:lpstr>modelling and valuation</vt:lpstr>
      <vt:lpstr>relative valuation</vt:lpstr>
      <vt:lpstr>Relative valuation regression</vt:lpstr>
      <vt:lpstr>Rel valun equation regression 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Sagar Marathe</cp:lastModifiedBy>
  <cp:lastPrinted>2024-03-22T19:37:52Z</cp:lastPrinted>
  <dcterms:created xsi:type="dcterms:W3CDTF">1999-11-21T04:51:56Z</dcterms:created>
  <dcterms:modified xsi:type="dcterms:W3CDTF">2024-04-07T20:01:26Z</dcterms:modified>
</cp:coreProperties>
</file>