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garmarathe/Desktop/"/>
    </mc:Choice>
  </mc:AlternateContent>
  <xr:revisionPtr revIDLastSave="0" documentId="13_ncr:1_{51D5F527-811C-EC4C-AEAE-F1AAF18CE82A}" xr6:coauthVersionLast="47" xr6:coauthVersionMax="47" xr10:uidLastSave="{00000000-0000-0000-0000-000000000000}"/>
  <bookViews>
    <workbookView xWindow="0" yWindow="760" windowWidth="30240" windowHeight="17400" activeTab="8" xr2:uid="{2B499F28-0806-0844-A2F0-613AC0A66348}"/>
  </bookViews>
  <sheets>
    <sheet name="WACC" sheetId="1" r:id="rId1"/>
    <sheet name="DCF-Input Sheet" sheetId="2" r:id="rId2"/>
    <sheet name="DCF - Output Sheet" sheetId="3" r:id="rId3"/>
    <sheet name="Linking Sheet" sheetId="6" r:id="rId4"/>
    <sheet name="Trading Comp" sheetId="7" r:id="rId5"/>
    <sheet name="100% Cash" sheetId="9" r:id="rId6"/>
    <sheet name="50 Cash  50 Stock" sheetId="10" r:id="rId7"/>
    <sheet name="100 Stock" sheetId="8" r:id="rId8"/>
    <sheet name="LBO Sheet" sheetId="11" r:id="rId9"/>
  </sheets>
  <externalReferences>
    <externalReference r:id="rId10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7" l="1"/>
  <c r="F31" i="7"/>
  <c r="F35" i="7"/>
  <c r="F43" i="7"/>
  <c r="E43" i="7"/>
  <c r="E39" i="7"/>
  <c r="E35" i="7"/>
  <c r="E31" i="7"/>
  <c r="E27" i="7"/>
  <c r="B43" i="7"/>
  <c r="B42" i="7"/>
  <c r="B39" i="7"/>
  <c r="B35" i="7"/>
  <c r="B31" i="7"/>
  <c r="B27" i="7"/>
  <c r="F42" i="7"/>
  <c r="F34" i="7"/>
  <c r="F30" i="7"/>
  <c r="F26" i="7"/>
  <c r="E42" i="7"/>
  <c r="E38" i="7"/>
  <c r="E34" i="7"/>
  <c r="E30" i="7"/>
  <c r="E26" i="7"/>
  <c r="N40" i="7"/>
  <c r="N38" i="7"/>
  <c r="M37" i="7"/>
  <c r="M39" i="7" s="1"/>
  <c r="K37" i="7"/>
  <c r="K39" i="7" s="1"/>
  <c r="N36" i="7"/>
  <c r="L37" i="7"/>
  <c r="L39" i="7" s="1"/>
  <c r="N34" i="7"/>
  <c r="E17" i="7"/>
  <c r="E15" i="7"/>
  <c r="L28" i="7"/>
  <c r="M28" i="7" s="1"/>
  <c r="N28" i="7" s="1"/>
  <c r="E10" i="7" s="1"/>
  <c r="E11" i="7" s="1"/>
  <c r="E13" i="7" s="1"/>
  <c r="A1" i="10"/>
  <c r="A1" i="9"/>
  <c r="A1" i="8"/>
  <c r="C10" i="1"/>
  <c r="D10" i="1" s="1"/>
  <c r="B6" i="1"/>
  <c r="N35" i="7" l="1"/>
  <c r="N37" i="7" s="1"/>
  <c r="N39" i="7" s="1"/>
  <c r="E23" i="7"/>
  <c r="B17" i="1"/>
  <c r="K16" i="1"/>
  <c r="L16" i="1" s="1"/>
  <c r="M16" i="1" s="1"/>
  <c r="B34" i="7" l="1"/>
  <c r="L17" i="7"/>
  <c r="L19" i="7" s="1"/>
  <c r="L21" i="7" s="1"/>
  <c r="L16" i="7"/>
  <c r="N22" i="7"/>
  <c r="K21" i="7"/>
  <c r="N20" i="7"/>
  <c r="B38" i="7" s="1"/>
  <c r="M19" i="7"/>
  <c r="M21" i="7" s="1"/>
  <c r="K19" i="7"/>
  <c r="N18" i="7"/>
  <c r="N17" i="7"/>
  <c r="N19" i="7" s="1"/>
  <c r="B30" i="7" s="1"/>
  <c r="N16" i="7"/>
  <c r="B26" i="7" s="1"/>
  <c r="N21" i="7" l="1"/>
  <c r="C18" i="11" s="1"/>
  <c r="K38" i="9" l="1"/>
  <c r="E53" i="11"/>
  <c r="F53" i="11" s="1"/>
  <c r="G53" i="11" s="1"/>
  <c r="H53" i="11" s="1"/>
  <c r="C20" i="11"/>
  <c r="C42" i="11" s="1"/>
  <c r="C27" i="11"/>
  <c r="F106" i="9"/>
  <c r="F6" i="6"/>
  <c r="C17" i="11" l="1"/>
  <c r="C39" i="11" s="1"/>
  <c r="C55" i="11" s="1"/>
  <c r="C16" i="11"/>
  <c r="C36" i="11" s="1"/>
  <c r="C45" i="11"/>
  <c r="C7" i="11"/>
  <c r="C12" i="11" l="1"/>
  <c r="C46" i="11"/>
  <c r="C47" i="11" s="1"/>
  <c r="D52" i="11"/>
  <c r="B16" i="7" l="1"/>
  <c r="B15" i="7"/>
  <c r="B17" i="7" s="1"/>
  <c r="L9" i="7"/>
  <c r="B9" i="7"/>
  <c r="M9" i="7"/>
  <c r="N9" i="7" s="1"/>
  <c r="B10" i="7" s="1"/>
  <c r="B11" i="7" l="1"/>
  <c r="C8" i="11"/>
  <c r="C9" i="11" s="1"/>
  <c r="C14" i="11" s="1"/>
  <c r="C21" i="11" s="1"/>
  <c r="C30" i="11" s="1"/>
  <c r="B13" i="7"/>
  <c r="B23" i="7" s="1"/>
  <c r="C43" i="7"/>
  <c r="C42" i="7"/>
  <c r="C26" i="7"/>
  <c r="C35" i="7"/>
  <c r="C27" i="7"/>
  <c r="C34" i="7" l="1"/>
  <c r="C31" i="7"/>
  <c r="C30" i="7"/>
  <c r="H118" i="9" l="1"/>
  <c r="H118" i="10"/>
  <c r="H118" i="8"/>
  <c r="C133" i="10"/>
  <c r="H131" i="10"/>
  <c r="C129" i="10"/>
  <c r="H128" i="10"/>
  <c r="F121" i="10"/>
  <c r="K121" i="10" s="1"/>
  <c r="F118" i="10"/>
  <c r="I118" i="10" s="1"/>
  <c r="D115" i="10"/>
  <c r="K115" i="10" s="1"/>
  <c r="F114" i="10"/>
  <c r="K112" i="10"/>
  <c r="F111" i="10"/>
  <c r="D109" i="10"/>
  <c r="K109" i="10" s="1"/>
  <c r="F108" i="10"/>
  <c r="D108" i="10"/>
  <c r="K108" i="10" s="1"/>
  <c r="F107" i="10"/>
  <c r="F110" i="10" s="1"/>
  <c r="F106" i="10"/>
  <c r="F105" i="10"/>
  <c r="K105" i="10" s="1"/>
  <c r="I90" i="10"/>
  <c r="G90" i="10"/>
  <c r="G89" i="10"/>
  <c r="I88" i="10"/>
  <c r="I92" i="10" s="1"/>
  <c r="G88" i="10"/>
  <c r="G92" i="10" s="1"/>
  <c r="I85" i="10"/>
  <c r="I84" i="10"/>
  <c r="L84" i="10" s="1"/>
  <c r="L85" i="10" s="1"/>
  <c r="I83" i="10"/>
  <c r="G83" i="10"/>
  <c r="N83" i="10" s="1"/>
  <c r="I82" i="10"/>
  <c r="I89" i="10" s="1"/>
  <c r="I81" i="10"/>
  <c r="N81" i="10" s="1"/>
  <c r="G79" i="10"/>
  <c r="I78" i="10"/>
  <c r="G78" i="10"/>
  <c r="N78" i="10" s="1"/>
  <c r="I77" i="10"/>
  <c r="N77" i="10" s="1"/>
  <c r="L76" i="10"/>
  <c r="L79" i="10" s="1"/>
  <c r="N75" i="10"/>
  <c r="I75" i="10"/>
  <c r="I74" i="10"/>
  <c r="G74" i="10"/>
  <c r="N74" i="10" s="1"/>
  <c r="I73" i="10"/>
  <c r="K38" i="10"/>
  <c r="E34" i="10"/>
  <c r="K31" i="10"/>
  <c r="E31" i="10"/>
  <c r="K30" i="10"/>
  <c r="B8" i="10"/>
  <c r="L8" i="10" s="1"/>
  <c r="M8" i="10" s="1"/>
  <c r="D11" i="10" s="1"/>
  <c r="C133" i="9"/>
  <c r="H131" i="9"/>
  <c r="C129" i="9"/>
  <c r="H128" i="9"/>
  <c r="F121" i="9"/>
  <c r="K121" i="9" s="1"/>
  <c r="F118" i="9"/>
  <c r="I118" i="9" s="1"/>
  <c r="D115" i="9"/>
  <c r="K115" i="9" s="1"/>
  <c r="F114" i="9"/>
  <c r="K112" i="9"/>
  <c r="F111" i="9"/>
  <c r="D109" i="9"/>
  <c r="K109" i="9" s="1"/>
  <c r="F108" i="9"/>
  <c r="D108" i="9"/>
  <c r="K108" i="9" s="1"/>
  <c r="F107" i="9"/>
  <c r="F110" i="9" s="1"/>
  <c r="F105" i="9"/>
  <c r="K105" i="9" s="1"/>
  <c r="G90" i="9"/>
  <c r="G89" i="9"/>
  <c r="G88" i="9"/>
  <c r="G92" i="9" s="1"/>
  <c r="G85" i="9"/>
  <c r="L84" i="9"/>
  <c r="L85" i="9" s="1"/>
  <c r="I84" i="9"/>
  <c r="I83" i="9"/>
  <c r="G83" i="9"/>
  <c r="N83" i="9" s="1"/>
  <c r="I82" i="9"/>
  <c r="I88" i="9" s="1"/>
  <c r="I81" i="9"/>
  <c r="N81" i="9" s="1"/>
  <c r="G79" i="9"/>
  <c r="G86" i="9" s="1"/>
  <c r="N78" i="9"/>
  <c r="I78" i="9"/>
  <c r="G78" i="9"/>
  <c r="I77" i="9"/>
  <c r="N77" i="9" s="1"/>
  <c r="L76" i="9"/>
  <c r="L79" i="9" s="1"/>
  <c r="N75" i="9"/>
  <c r="I75" i="9"/>
  <c r="I74" i="9"/>
  <c r="G74" i="9"/>
  <c r="N74" i="9" s="1"/>
  <c r="I73" i="9"/>
  <c r="E34" i="9"/>
  <c r="K31" i="9"/>
  <c r="E31" i="9"/>
  <c r="K30" i="9"/>
  <c r="B8" i="9"/>
  <c r="C17" i="9" s="1"/>
  <c r="D11" i="8"/>
  <c r="I94" i="8"/>
  <c r="H131" i="8"/>
  <c r="K121" i="8"/>
  <c r="I118" i="8"/>
  <c r="C133" i="8"/>
  <c r="C129" i="8"/>
  <c r="F121" i="8"/>
  <c r="F118" i="8"/>
  <c r="F113" i="8"/>
  <c r="F106" i="8"/>
  <c r="D106" i="8"/>
  <c r="D108" i="8"/>
  <c r="F114" i="8"/>
  <c r="F111" i="8"/>
  <c r="F108" i="8"/>
  <c r="F105" i="8"/>
  <c r="L84" i="8"/>
  <c r="L76" i="8"/>
  <c r="K38" i="8"/>
  <c r="G74" i="8"/>
  <c r="G79" i="8"/>
  <c r="G86" i="8" s="1"/>
  <c r="G78" i="8"/>
  <c r="G83" i="8"/>
  <c r="N83" i="8" s="1"/>
  <c r="I74" i="8"/>
  <c r="I84" i="8"/>
  <c r="C32" i="6"/>
  <c r="I83" i="8"/>
  <c r="I82" i="8"/>
  <c r="I81" i="8"/>
  <c r="I78" i="8"/>
  <c r="I77" i="8"/>
  <c r="C12" i="6"/>
  <c r="I75" i="8"/>
  <c r="I73" i="8"/>
  <c r="E33" i="8"/>
  <c r="E37" i="8"/>
  <c r="K31" i="8"/>
  <c r="K30" i="8"/>
  <c r="K32" i="8" s="1"/>
  <c r="E34" i="8"/>
  <c r="E31" i="8"/>
  <c r="E30" i="8"/>
  <c r="C17" i="8"/>
  <c r="B15" i="1"/>
  <c r="B8" i="8"/>
  <c r="K118" i="8"/>
  <c r="H129" i="8" s="1"/>
  <c r="D115" i="8"/>
  <c r="K115" i="8" s="1"/>
  <c r="K112" i="8"/>
  <c r="D109" i="8"/>
  <c r="K109" i="8" s="1"/>
  <c r="K108" i="8"/>
  <c r="F107" i="8"/>
  <c r="F110" i="8" s="1"/>
  <c r="F116" i="8" s="1"/>
  <c r="F119" i="8" s="1"/>
  <c r="D107" i="8"/>
  <c r="K105" i="8"/>
  <c r="L85" i="8"/>
  <c r="I89" i="8"/>
  <c r="G90" i="8"/>
  <c r="N81" i="8"/>
  <c r="L79" i="8"/>
  <c r="N78" i="8"/>
  <c r="N77" i="8"/>
  <c r="N75" i="8"/>
  <c r="L8" i="8"/>
  <c r="M8" i="8" s="1"/>
  <c r="C18" i="8" s="1"/>
  <c r="D110" i="8" l="1"/>
  <c r="I94" i="10"/>
  <c r="I95" i="10" s="1"/>
  <c r="F113" i="10"/>
  <c r="F116" i="10" s="1"/>
  <c r="F119" i="10" s="1"/>
  <c r="G86" i="10"/>
  <c r="E32" i="10"/>
  <c r="E38" i="10" s="1"/>
  <c r="C13" i="10"/>
  <c r="C20" i="10" s="1"/>
  <c r="K34" i="10" s="1"/>
  <c r="K118" i="10"/>
  <c r="H129" i="10" s="1"/>
  <c r="H130" i="10" s="1"/>
  <c r="H132" i="10" s="1"/>
  <c r="E30" i="10"/>
  <c r="I79" i="10"/>
  <c r="I86" i="10" s="1"/>
  <c r="C17" i="10"/>
  <c r="C18" i="10" s="1"/>
  <c r="D106" i="10"/>
  <c r="G85" i="10"/>
  <c r="I94" i="9"/>
  <c r="I95" i="9" s="1"/>
  <c r="F113" i="9"/>
  <c r="F116" i="9" s="1"/>
  <c r="F119" i="9" s="1"/>
  <c r="E30" i="9"/>
  <c r="I90" i="9"/>
  <c r="I92" i="9" s="1"/>
  <c r="L8" i="9"/>
  <c r="M8" i="9" s="1"/>
  <c r="D11" i="9" s="1"/>
  <c r="I79" i="9"/>
  <c r="I86" i="9" s="1"/>
  <c r="I85" i="9"/>
  <c r="K118" i="9"/>
  <c r="H129" i="9" s="1"/>
  <c r="H130" i="9" s="1"/>
  <c r="H132" i="9" s="1"/>
  <c r="I89" i="9"/>
  <c r="D106" i="9"/>
  <c r="E32" i="8"/>
  <c r="E38" i="8" s="1"/>
  <c r="E39" i="8" s="1"/>
  <c r="C13" i="8"/>
  <c r="C20" i="8" s="1"/>
  <c r="K34" i="8" s="1"/>
  <c r="J60" i="8" s="1"/>
  <c r="K73" i="8" s="1"/>
  <c r="J54" i="8"/>
  <c r="K84" i="8" s="1"/>
  <c r="N84" i="8" s="1"/>
  <c r="K37" i="8"/>
  <c r="J53" i="8"/>
  <c r="J59" i="8"/>
  <c r="K33" i="8"/>
  <c r="N74" i="8"/>
  <c r="K106" i="8"/>
  <c r="K107" i="8" s="1"/>
  <c r="K110" i="8" s="1"/>
  <c r="I79" i="8"/>
  <c r="G85" i="8"/>
  <c r="G88" i="8"/>
  <c r="I90" i="8"/>
  <c r="I85" i="8"/>
  <c r="I88" i="8"/>
  <c r="G89" i="8"/>
  <c r="D113" i="8" l="1"/>
  <c r="D116" i="8" s="1"/>
  <c r="D119" i="8" s="1"/>
  <c r="G94" i="8"/>
  <c r="E33" i="10"/>
  <c r="E37" i="10"/>
  <c r="E39" i="10" s="1"/>
  <c r="K32" i="10"/>
  <c r="K33" i="10" s="1"/>
  <c r="J60" i="10"/>
  <c r="K73" i="10" s="1"/>
  <c r="K39" i="10"/>
  <c r="D107" i="10"/>
  <c r="D110" i="10" s="1"/>
  <c r="K106" i="10"/>
  <c r="K107" i="10" s="1"/>
  <c r="K110" i="10" s="1"/>
  <c r="E33" i="9"/>
  <c r="K32" i="9"/>
  <c r="E37" i="9"/>
  <c r="D107" i="9"/>
  <c r="D110" i="9" s="1"/>
  <c r="K106" i="9"/>
  <c r="K107" i="9" s="1"/>
  <c r="K110" i="9" s="1"/>
  <c r="E32" i="9"/>
  <c r="E38" i="9" s="1"/>
  <c r="C13" i="9"/>
  <c r="C20" i="9" s="1"/>
  <c r="K34" i="9" s="1"/>
  <c r="C18" i="9"/>
  <c r="K39" i="8"/>
  <c r="K40" i="8" s="1"/>
  <c r="K76" i="8" s="1"/>
  <c r="N76" i="8" s="1"/>
  <c r="J61" i="8"/>
  <c r="J55" i="8" s="1"/>
  <c r="J52" i="8" s="1"/>
  <c r="K82" i="8"/>
  <c r="C128" i="8"/>
  <c r="C130" i="8" s="1"/>
  <c r="N73" i="8"/>
  <c r="G92" i="8"/>
  <c r="I86" i="8"/>
  <c r="I95" i="8"/>
  <c r="I92" i="8"/>
  <c r="N94" i="8" l="1"/>
  <c r="G95" i="8"/>
  <c r="G94" i="10"/>
  <c r="D113" i="10"/>
  <c r="D116" i="10" s="1"/>
  <c r="D119" i="10" s="1"/>
  <c r="J59" i="10"/>
  <c r="J61" i="10" s="1"/>
  <c r="J55" i="10" s="1"/>
  <c r="K37" i="10"/>
  <c r="K40" i="10" s="1"/>
  <c r="K76" i="10" s="1"/>
  <c r="N76" i="10" s="1"/>
  <c r="J53" i="10"/>
  <c r="J54" i="10"/>
  <c r="K84" i="10" s="1"/>
  <c r="N84" i="10" s="1"/>
  <c r="K79" i="10"/>
  <c r="N73" i="10"/>
  <c r="J60" i="9"/>
  <c r="K73" i="9" s="1"/>
  <c r="K39" i="9"/>
  <c r="G94" i="9"/>
  <c r="D113" i="9"/>
  <c r="D116" i="9" s="1"/>
  <c r="D119" i="9" s="1"/>
  <c r="E39" i="9"/>
  <c r="K33" i="9"/>
  <c r="C132" i="8"/>
  <c r="C134" i="8" s="1"/>
  <c r="H114" i="8" s="1"/>
  <c r="K114" i="8" s="1"/>
  <c r="H111" i="8"/>
  <c r="K111" i="8" s="1"/>
  <c r="K113" i="8" s="1"/>
  <c r="K116" i="8" s="1"/>
  <c r="K119" i="8" s="1"/>
  <c r="K85" i="8"/>
  <c r="N82" i="8"/>
  <c r="K79" i="8"/>
  <c r="N79" i="8"/>
  <c r="C128" i="10" l="1"/>
  <c r="C130" i="10" s="1"/>
  <c r="K82" i="10"/>
  <c r="J52" i="10"/>
  <c r="G95" i="10"/>
  <c r="N94" i="10"/>
  <c r="N79" i="10"/>
  <c r="K37" i="9"/>
  <c r="K40" i="9" s="1"/>
  <c r="K76" i="9" s="1"/>
  <c r="N76" i="9" s="1"/>
  <c r="J59" i="9"/>
  <c r="J61" i="9" s="1"/>
  <c r="J55" i="9" s="1"/>
  <c r="J53" i="9"/>
  <c r="J54" i="9"/>
  <c r="K84" i="9" s="1"/>
  <c r="N84" i="9" s="1"/>
  <c r="N94" i="9"/>
  <c r="G95" i="9"/>
  <c r="K79" i="9"/>
  <c r="N73" i="9"/>
  <c r="N79" i="9" s="1"/>
  <c r="N85" i="8"/>
  <c r="N86" i="8" s="1"/>
  <c r="N90" i="8"/>
  <c r="N88" i="8"/>
  <c r="K123" i="8"/>
  <c r="H128" i="8" s="1"/>
  <c r="H130" i="8" s="1"/>
  <c r="H132" i="8" s="1"/>
  <c r="K124" i="8"/>
  <c r="N89" i="8"/>
  <c r="K85" i="10" l="1"/>
  <c r="N82" i="10"/>
  <c r="C132" i="10"/>
  <c r="C134" i="10" s="1"/>
  <c r="H114" i="10" s="1"/>
  <c r="K114" i="10" s="1"/>
  <c r="H111" i="10"/>
  <c r="K111" i="10" s="1"/>
  <c r="K113" i="10" s="1"/>
  <c r="K116" i="10" s="1"/>
  <c r="K119" i="10" s="1"/>
  <c r="C128" i="9"/>
  <c r="C130" i="9" s="1"/>
  <c r="K82" i="9"/>
  <c r="J52" i="9"/>
  <c r="N92" i="8"/>
  <c r="N95" i="8"/>
  <c r="N89" i="10" l="1"/>
  <c r="N90" i="10"/>
  <c r="N88" i="10"/>
  <c r="N85" i="10"/>
  <c r="N86" i="10" s="1"/>
  <c r="K124" i="10"/>
  <c r="K123" i="10"/>
  <c r="K85" i="9"/>
  <c r="N82" i="9"/>
  <c r="H111" i="9"/>
  <c r="K111" i="9" s="1"/>
  <c r="K113" i="9" s="1"/>
  <c r="C132" i="9"/>
  <c r="C134" i="9" s="1"/>
  <c r="H114" i="9" s="1"/>
  <c r="K114" i="9" s="1"/>
  <c r="N95" i="10" l="1"/>
  <c r="N92" i="10"/>
  <c r="K116" i="9"/>
  <c r="K119" i="9" s="1"/>
  <c r="N89" i="9"/>
  <c r="N88" i="9"/>
  <c r="N90" i="9"/>
  <c r="N85" i="9"/>
  <c r="N86" i="9" s="1"/>
  <c r="N92" i="9" l="1"/>
  <c r="N95" i="9"/>
  <c r="K124" i="9"/>
  <c r="K123" i="9"/>
  <c r="B16" i="2" l="1"/>
  <c r="B40" i="6" l="1"/>
  <c r="B37" i="6"/>
  <c r="B35" i="6"/>
  <c r="B34" i="6"/>
  <c r="I29" i="6"/>
  <c r="I26" i="6"/>
  <c r="I27" i="6"/>
  <c r="B25" i="6"/>
  <c r="I25" i="6"/>
  <c r="I24" i="6"/>
  <c r="I23" i="6"/>
  <c r="I22" i="6"/>
  <c r="C21" i="6"/>
  <c r="C25" i="6" s="1"/>
  <c r="B21" i="6"/>
  <c r="I19" i="6"/>
  <c r="I18" i="6"/>
  <c r="I17" i="6"/>
  <c r="I12" i="6"/>
  <c r="B42" i="6"/>
  <c r="B12" i="6"/>
  <c r="B39" i="6" s="1"/>
  <c r="F13" i="6"/>
  <c r="I11" i="6"/>
  <c r="F12" i="6"/>
  <c r="B9" i="6"/>
  <c r="I10" i="6"/>
  <c r="F11" i="6"/>
  <c r="I9" i="6"/>
  <c r="I8" i="6"/>
  <c r="I6" i="6"/>
  <c r="B36" i="6" l="1"/>
  <c r="I15" i="6" s="1"/>
  <c r="B15" i="6"/>
  <c r="F14" i="6"/>
  <c r="F16" i="6" s="1"/>
  <c r="I5" i="6" s="1"/>
  <c r="B41" i="6"/>
  <c r="I16" i="6" s="1"/>
  <c r="I13" i="6"/>
  <c r="B31" i="6"/>
  <c r="C31" i="6" s="1"/>
  <c r="I20" i="6" l="1"/>
  <c r="I30" i="6"/>
  <c r="I31" i="6" s="1"/>
  <c r="C6" i="6" s="1"/>
  <c r="C9" i="6" s="1"/>
  <c r="C15" i="6" s="1"/>
  <c r="C33" i="6" s="1"/>
  <c r="B32" i="6"/>
  <c r="B33" i="6" s="1"/>
  <c r="B23" i="3" l="1"/>
  <c r="G72" i="2" l="1"/>
  <c r="G64" i="2"/>
  <c r="D35" i="3" s="1"/>
  <c r="A62" i="2"/>
  <c r="G62" i="2"/>
  <c r="D37" i="3" s="1"/>
  <c r="B28" i="3"/>
  <c r="J6" i="2"/>
  <c r="K6" i="2" s="1"/>
  <c r="J5" i="2"/>
  <c r="K5" i="2" s="1"/>
  <c r="C17" i="3"/>
  <c r="C10" i="3"/>
  <c r="C6" i="3"/>
  <c r="C43" i="11" s="1"/>
  <c r="D43" i="11" s="1"/>
  <c r="C5" i="3"/>
  <c r="D5" i="3"/>
  <c r="E5" i="3" s="1"/>
  <c r="F5" i="3" s="1"/>
  <c r="G5" i="3" s="1"/>
  <c r="H5" i="3" s="1"/>
  <c r="D40" i="2"/>
  <c r="B14" i="3" s="1"/>
  <c r="B33" i="2"/>
  <c r="C33" i="2"/>
  <c r="C34" i="2" s="1"/>
  <c r="D33" i="2"/>
  <c r="E33" i="2"/>
  <c r="F33" i="2"/>
  <c r="C38" i="2"/>
  <c r="C51" i="2" s="1"/>
  <c r="D38" i="2"/>
  <c r="D51" i="2" s="1"/>
  <c r="E38" i="2"/>
  <c r="E51" i="2" s="1"/>
  <c r="B38" i="2"/>
  <c r="B51" i="2" s="1"/>
  <c r="C27" i="2"/>
  <c r="C49" i="2" s="1"/>
  <c r="D27" i="2"/>
  <c r="D49" i="2" s="1"/>
  <c r="E27" i="2"/>
  <c r="E49" i="2" s="1"/>
  <c r="F27" i="2"/>
  <c r="F49" i="2" s="1"/>
  <c r="B27" i="2"/>
  <c r="B49" i="2" s="1"/>
  <c r="C24" i="2"/>
  <c r="C48" i="2" s="1"/>
  <c r="D24" i="2"/>
  <c r="D48" i="2" s="1"/>
  <c r="E24" i="2"/>
  <c r="E48" i="2" s="1"/>
  <c r="B24" i="2"/>
  <c r="B48" i="2" s="1"/>
  <c r="C16" i="2"/>
  <c r="C17" i="2" s="1"/>
  <c r="C47" i="2" s="1"/>
  <c r="D16" i="2"/>
  <c r="D17" i="2" s="1"/>
  <c r="D47" i="2" s="1"/>
  <c r="E16" i="2"/>
  <c r="E17" i="2" s="1"/>
  <c r="E47" i="2" s="1"/>
  <c r="B17" i="2"/>
  <c r="B47" i="2" s="1"/>
  <c r="F23" i="2"/>
  <c r="F24" i="2" s="1"/>
  <c r="F48" i="2" s="1"/>
  <c r="C20" i="2"/>
  <c r="C50" i="2" s="1"/>
  <c r="D20" i="2"/>
  <c r="D50" i="2" s="1"/>
  <c r="E20" i="2"/>
  <c r="E50" i="2" s="1"/>
  <c r="F20" i="2"/>
  <c r="F50" i="2" s="1"/>
  <c r="B20" i="2"/>
  <c r="B50" i="2" s="1"/>
  <c r="D14" i="2"/>
  <c r="D46" i="2" s="1"/>
  <c r="E14" i="2"/>
  <c r="E46" i="2" s="1"/>
  <c r="F14" i="2"/>
  <c r="F46" i="2" s="1"/>
  <c r="C14" i="2"/>
  <c r="C46" i="2" s="1"/>
  <c r="C12" i="2"/>
  <c r="D12" i="2" s="1"/>
  <c r="E12" i="2" s="1"/>
  <c r="F12" i="2" s="1"/>
  <c r="G44" i="2"/>
  <c r="H44" i="2" s="1"/>
  <c r="I44" i="2" s="1"/>
  <c r="J44" i="2" s="1"/>
  <c r="K44" i="2" s="1"/>
  <c r="C44" i="2"/>
  <c r="D44" i="2" s="1"/>
  <c r="E44" i="2" s="1"/>
  <c r="F44" i="2" s="1"/>
  <c r="E34" i="2" l="1"/>
  <c r="G48" i="2"/>
  <c r="H48" i="2" s="1"/>
  <c r="I48" i="2" s="1"/>
  <c r="J48" i="2" s="1"/>
  <c r="K48" i="2" s="1"/>
  <c r="C18" i="3"/>
  <c r="E43" i="11"/>
  <c r="D34" i="2"/>
  <c r="D35" i="2" s="1"/>
  <c r="D52" i="2" s="1"/>
  <c r="G46" i="2"/>
  <c r="D37" i="11" s="1"/>
  <c r="D36" i="11" s="1"/>
  <c r="C12" i="3"/>
  <c r="C13" i="3" s="1"/>
  <c r="L6" i="2"/>
  <c r="D23" i="3" s="1"/>
  <c r="F38" i="2"/>
  <c r="F51" i="2" s="1"/>
  <c r="G51" i="2" s="1"/>
  <c r="H51" i="2" s="1"/>
  <c r="I51" i="2" s="1"/>
  <c r="J51" i="2" s="1"/>
  <c r="K51" i="2" s="1"/>
  <c r="F16" i="2"/>
  <c r="C8" i="3" s="1"/>
  <c r="C40" i="11"/>
  <c r="D40" i="11" s="1"/>
  <c r="E40" i="11" s="1"/>
  <c r="F40" i="11" s="1"/>
  <c r="G40" i="11" s="1"/>
  <c r="H40" i="11" s="1"/>
  <c r="C11" i="3"/>
  <c r="C16" i="3"/>
  <c r="F34" i="2"/>
  <c r="C19" i="3" s="1"/>
  <c r="G49" i="2"/>
  <c r="E35" i="2"/>
  <c r="E52" i="2" s="1"/>
  <c r="C35" i="2"/>
  <c r="C52" i="2" s="1"/>
  <c r="G50" i="2"/>
  <c r="F43" i="11" l="1"/>
  <c r="C9" i="3"/>
  <c r="F35" i="2"/>
  <c r="F52" i="2" s="1"/>
  <c r="G52" i="2" s="1"/>
  <c r="B19" i="3" s="1"/>
  <c r="C14" i="3"/>
  <c r="C15" i="3" s="1"/>
  <c r="C20" i="3" s="1"/>
  <c r="H49" i="2"/>
  <c r="D18" i="3"/>
  <c r="F17" i="2"/>
  <c r="F47" i="2" s="1"/>
  <c r="G47" i="2" s="1"/>
  <c r="H47" i="2" s="1"/>
  <c r="H32" i="2"/>
  <c r="E23" i="3"/>
  <c r="F23" i="3" s="1"/>
  <c r="G23" i="3" s="1"/>
  <c r="H23" i="3" s="1"/>
  <c r="H50" i="2"/>
  <c r="D11" i="3"/>
  <c r="H46" i="2"/>
  <c r="D7" i="3"/>
  <c r="G43" i="11" l="1"/>
  <c r="D9" i="3"/>
  <c r="H52" i="2"/>
  <c r="I52" i="2" s="1"/>
  <c r="J52" i="2" s="1"/>
  <c r="K52" i="2" s="1"/>
  <c r="D6" i="3"/>
  <c r="I49" i="2"/>
  <c r="E18" i="3"/>
  <c r="I46" i="2"/>
  <c r="E7" i="3"/>
  <c r="E6" i="3" s="1"/>
  <c r="I47" i="2"/>
  <c r="E9" i="3"/>
  <c r="I50" i="2"/>
  <c r="E11" i="3"/>
  <c r="D10" i="3"/>
  <c r="D16" i="3" s="1"/>
  <c r="D19" i="3"/>
  <c r="D17" i="3"/>
  <c r="D8" i="3"/>
  <c r="B14" i="1"/>
  <c r="E36" i="1"/>
  <c r="D34" i="1"/>
  <c r="E34" i="1"/>
  <c r="F34" i="1"/>
  <c r="G34" i="1"/>
  <c r="H34" i="1"/>
  <c r="I34" i="1"/>
  <c r="J34" i="1"/>
  <c r="K34" i="1"/>
  <c r="L34" i="1"/>
  <c r="C34" i="1"/>
  <c r="D30" i="1"/>
  <c r="E30" i="1"/>
  <c r="F30" i="1"/>
  <c r="G30" i="1"/>
  <c r="H30" i="1"/>
  <c r="I30" i="1"/>
  <c r="J30" i="1"/>
  <c r="K30" i="1"/>
  <c r="L30" i="1"/>
  <c r="C30" i="1"/>
  <c r="D27" i="1"/>
  <c r="E27" i="1" s="1"/>
  <c r="F27" i="1" s="1"/>
  <c r="G27" i="1" s="1"/>
  <c r="H27" i="1" s="1"/>
  <c r="I27" i="1" s="1"/>
  <c r="J27" i="1" s="1"/>
  <c r="K27" i="1" s="1"/>
  <c r="L27" i="1" s="1"/>
  <c r="D23" i="1"/>
  <c r="E23" i="1"/>
  <c r="C23" i="1"/>
  <c r="G16" i="1"/>
  <c r="D6" i="1" s="1"/>
  <c r="C6" i="1"/>
  <c r="G70" i="2" s="1"/>
  <c r="D32" i="3" s="1"/>
  <c r="H43" i="11" l="1"/>
  <c r="J49" i="2"/>
  <c r="F18" i="3"/>
  <c r="E37" i="11"/>
  <c r="D42" i="11"/>
  <c r="J46" i="2"/>
  <c r="F7" i="3"/>
  <c r="F6" i="3" s="1"/>
  <c r="J50" i="2"/>
  <c r="F11" i="3"/>
  <c r="D12" i="3"/>
  <c r="D14" i="3" s="1"/>
  <c r="J47" i="2"/>
  <c r="F9" i="3"/>
  <c r="D36" i="1"/>
  <c r="D38" i="1" s="1"/>
  <c r="J36" i="1"/>
  <c r="J38" i="1" s="1"/>
  <c r="E6" i="1"/>
  <c r="C9" i="1" s="1"/>
  <c r="F36" i="1"/>
  <c r="F38" i="1" s="1"/>
  <c r="C36" i="1"/>
  <c r="C38" i="1" s="1"/>
  <c r="L36" i="1"/>
  <c r="L38" i="1" s="1"/>
  <c r="D13" i="3"/>
  <c r="D15" i="3"/>
  <c r="D20" i="3" s="1"/>
  <c r="E19" i="3"/>
  <c r="E10" i="3"/>
  <c r="E16" i="3" s="1"/>
  <c r="E8" i="3"/>
  <c r="E17" i="3"/>
  <c r="H36" i="1"/>
  <c r="H38" i="1" s="1"/>
  <c r="E38" i="1"/>
  <c r="C24" i="1"/>
  <c r="K36" i="1"/>
  <c r="K38" i="1" s="1"/>
  <c r="I36" i="1"/>
  <c r="I38" i="1" s="1"/>
  <c r="G36" i="1"/>
  <c r="G38" i="1" s="1"/>
  <c r="F37" i="11" l="1"/>
  <c r="G37" i="11" s="1"/>
  <c r="H37" i="11" s="1"/>
  <c r="E36" i="11"/>
  <c r="F36" i="11" s="1"/>
  <c r="G36" i="11" s="1"/>
  <c r="D54" i="11"/>
  <c r="D55" i="11" s="1"/>
  <c r="D39" i="11"/>
  <c r="E42" i="11"/>
  <c r="K49" i="2"/>
  <c r="H18" i="3" s="1"/>
  <c r="G18" i="3"/>
  <c r="K46" i="2"/>
  <c r="H7" i="3" s="1"/>
  <c r="J7" i="3" s="1"/>
  <c r="G7" i="3"/>
  <c r="G6" i="3" s="1"/>
  <c r="K47" i="2"/>
  <c r="H9" i="3" s="1"/>
  <c r="G9" i="3"/>
  <c r="K50" i="2"/>
  <c r="H11" i="3" s="1"/>
  <c r="G11" i="3"/>
  <c r="D9" i="1"/>
  <c r="E12" i="3"/>
  <c r="F19" i="3"/>
  <c r="F8" i="3"/>
  <c r="F17" i="3"/>
  <c r="F10" i="3"/>
  <c r="F16" i="3" s="1"/>
  <c r="D46" i="11" l="1"/>
  <c r="E52" i="11"/>
  <c r="D45" i="11"/>
  <c r="E54" i="11" s="1"/>
  <c r="E45" i="11" s="1"/>
  <c r="F42" i="11"/>
  <c r="E39" i="11"/>
  <c r="E13" i="3"/>
  <c r="E14" i="3"/>
  <c r="E15" i="3" s="1"/>
  <c r="E20" i="3" s="1"/>
  <c r="B22" i="3"/>
  <c r="D24" i="3" s="1"/>
  <c r="D25" i="3" s="1"/>
  <c r="G54" i="2"/>
  <c r="F12" i="3"/>
  <c r="F14" i="3" s="1"/>
  <c r="H6" i="3"/>
  <c r="G19" i="3"/>
  <c r="G10" i="3"/>
  <c r="G16" i="3" s="1"/>
  <c r="G8" i="3"/>
  <c r="G17" i="3"/>
  <c r="H24" i="3" l="1"/>
  <c r="F24" i="3"/>
  <c r="G24" i="3"/>
  <c r="E24" i="3"/>
  <c r="E25" i="3"/>
  <c r="E55" i="11"/>
  <c r="E46" i="11" s="1"/>
  <c r="E47" i="11" s="1"/>
  <c r="D47" i="11"/>
  <c r="F54" i="11"/>
  <c r="F45" i="11" s="1"/>
  <c r="G42" i="11"/>
  <c r="F39" i="11"/>
  <c r="G12" i="3"/>
  <c r="G14" i="3" s="1"/>
  <c r="J6" i="3"/>
  <c r="H8" i="3"/>
  <c r="H17" i="3"/>
  <c r="J17" i="3" s="1"/>
  <c r="H19" i="3"/>
  <c r="J19" i="3" s="1"/>
  <c r="H10" i="3"/>
  <c r="H16" i="3" s="1"/>
  <c r="F15" i="3"/>
  <c r="F20" i="3" s="1"/>
  <c r="F13" i="3"/>
  <c r="F52" i="11" l="1"/>
  <c r="F55" i="11" s="1"/>
  <c r="F25" i="3"/>
  <c r="G52" i="11"/>
  <c r="F46" i="11"/>
  <c r="F47" i="11" s="1"/>
  <c r="G54" i="11"/>
  <c r="G45" i="11" s="1"/>
  <c r="H36" i="11"/>
  <c r="G39" i="11"/>
  <c r="J18" i="3"/>
  <c r="J10" i="3"/>
  <c r="J16" i="3" s="1"/>
  <c r="J8" i="3"/>
  <c r="H12" i="3"/>
  <c r="H14" i="3" s="1"/>
  <c r="G15" i="3"/>
  <c r="G20" i="3" s="1"/>
  <c r="G25" i="3" s="1"/>
  <c r="G13" i="3"/>
  <c r="H39" i="11" l="1"/>
  <c r="H58" i="11" s="1"/>
  <c r="H42" i="11"/>
  <c r="H54" i="11" s="1"/>
  <c r="H45" i="11" s="1"/>
  <c r="G55" i="11"/>
  <c r="H13" i="3"/>
  <c r="J13" i="3" s="1"/>
  <c r="J12" i="3"/>
  <c r="J9" i="3"/>
  <c r="G46" i="11" l="1"/>
  <c r="G47" i="11" s="1"/>
  <c r="H52" i="11"/>
  <c r="H55" i="11" s="1"/>
  <c r="H46" i="11" s="1"/>
  <c r="H47" i="11" s="1"/>
  <c r="H59" i="11" s="1"/>
  <c r="J14" i="3"/>
  <c r="H15" i="3"/>
  <c r="H60" i="11" l="1"/>
  <c r="H63" i="11" s="1"/>
  <c r="H64" i="11" s="1"/>
  <c r="H65" i="11" s="1"/>
  <c r="H20" i="3"/>
  <c r="H25" i="3" s="1"/>
  <c r="D26" i="3" s="1"/>
  <c r="J15" i="3"/>
  <c r="J20" i="3" s="1"/>
  <c r="J28" i="3" l="1"/>
  <c r="D29" i="3" s="1"/>
  <c r="D31" i="3" s="1"/>
  <c r="D33" i="3" l="1"/>
  <c r="D36" i="3" s="1"/>
  <c r="D3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tc={A3F6F603-51FE-4C45-922C-FD99522B8890}</author>
    <author>tc={D2C5C134-A597-A64D-A475-9ECE627985DB}</author>
    <author>tc={07FFE9D1-0FF3-8F4A-9C72-69D2221FFD7B}</author>
    <author>tc={C2DF6288-01E8-B94F-8F33-BF37308E2C8B}</author>
    <author>tc={E965DC5B-98A6-034B-8B31-C7D58CC729F9}</author>
    <author>tc={5C7B8D68-53FF-6C44-BCA7-A8091E57788E}</author>
    <author>tc={E667BF91-CB6A-B34C-B901-851949DC6E35}</author>
    <author>Freeman, Ken</author>
  </authors>
  <commentList>
    <comment ref="A6" authorId="0" shapeId="0" xr:uid="{A3F6F603-51FE-4C45-922C-FD99522B8890}">
      <text>
        <t>[Threaded comment]
Your version of Excel allows you to read this threaded comment; however, any edits to it will get removed if the file is opened in a newer version of Excel. Learn more: https://go.microsoft.com/fwlink/?linkid=870924
Comment:
    YUM 10-K Pg 46 (Debt obligations &amp; Interest payments)</t>
      </text>
    </comment>
    <comment ref="B6" authorId="1" shapeId="0" xr:uid="{D2C5C134-A597-A64D-A475-9ECE627985D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Tax/EBT </t>
      </text>
    </comment>
    <comment ref="C6" authorId="2" shapeId="0" xr:uid="{07FFE9D1-0FF3-8F4A-9C72-69D2221FFD7B}">
      <text>
        <t>[Threaded comment]
Your version of Excel allows you to read this threaded comment; however, any edits to it will get removed if the file is opened in a newer version of Excel. Learn more: https://go.microsoft.com/fwlink/?linkid=870924
Comment:
    YUM 10-Q Pg 7 (LT(11,169) + ST(24))</t>
      </text>
    </comment>
    <comment ref="F6" authorId="3" shapeId="0" xr:uid="{C2DF6288-01E8-B94F-8F33-BF37308E2C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 10-YR T-bill Yield
</t>
      </text>
    </comment>
    <comment ref="G6" authorId="4" shapeId="0" xr:uid="{E965DC5B-98A6-034B-8B31-C7D58CC729F9}">
      <text>
        <t>[Threaded comment]
Your version of Excel allows you to read this threaded comment; however, any edits to it will get removed if the file is opened in a newer version of Excel. Learn more: https://go.microsoft.com/fwlink/?linkid=870924
Comment:
    YFinance (5 Yr monthly avg)</t>
      </text>
    </comment>
    <comment ref="H6" authorId="5" shapeId="0" xr:uid="{5C7B8D68-53FF-6C44-BCA7-A8091E57788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https://pages.stern.nyu.edu/~adamodar/
Implied ERP on November 1, 2024= 4.04%</t>
      </text>
    </comment>
    <comment ref="G15" authorId="6" shapeId="0" xr:uid="{E667BF91-CB6A-B34C-B901-851949DC6E35}">
      <text>
        <t>[Threaded comment]
Your version of Excel allows you to read this threaded comment; however, any edits to it will get removed if the file is opened in a newer version of Excel. Learn more: https://go.microsoft.com/fwlink/?linkid=870924
Comment:
    YUM 10-K Pg 1</t>
      </text>
    </comment>
    <comment ref="I16" authorId="7" shapeId="0" xr:uid="{07B276FB-5DEC-E145-A667-BB66653830FF}">
      <text>
        <r>
          <rPr>
            <b/>
            <sz val="9"/>
            <color rgb="FF000000"/>
            <rFont val="Tahoma"/>
            <family val="2"/>
          </rPr>
          <t>YUM 10-K 12-2024 Pg 91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tc={A0E18A93-21A3-0B45-A049-5917DFB8191C}</author>
    <author>tc={C5867172-006E-4248-B916-B2F1BE67548A}</author>
  </authors>
  <commentList>
    <comment ref="D40" authorId="0" shapeId="0" xr:uid="{A0E18A93-21A3-0B45-A049-5917DFB8191C}">
      <text>
        <t>[Threaded comment]
Your version of Excel allows you to read this threaded comment; however, any edits to it will get removed if the file is opened in a newer version of Excel. Learn more: https://go.microsoft.com/fwlink/?linkid=870924
Comment:
    YUM 10-K 12-31-2023 Pg 36 
Average of last 3 years</t>
      </text>
    </comment>
    <comment ref="G72" authorId="1" shapeId="0" xr:uid="{C5867172-006E-4248-B916-B2F1BE67548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YUM 10-Q 9/30/24 Pg 7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tc={0147EEC5-C209-144B-ADB8-0581EB5BA952}</author>
  </authors>
  <commentList>
    <comment ref="F10" authorId="0" shapeId="0" xr:uid="{0147EEC5-C209-144B-ADB8-0581EB5BA952}">
      <text>
        <t>[Threaded comment]
Your version of Excel allows you to read this threaded comment; however, any edits to it will get removed if the file is opened in a newer version of Excel. Learn more: https://go.microsoft.com/fwlink/?linkid=870924
Comment:
    YUM 12-2023  10-K Pg 76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Freeman, Ken</author>
  </authors>
  <commentList>
    <comment ref="J9" authorId="0" shapeId="0" xr:uid="{585B7FAB-B758-D44B-ADC7-FE79644D5E7D}">
      <text>
        <r>
          <rPr>
            <sz val="9"/>
            <color rgb="FF000000"/>
            <rFont val="Tahoma"/>
            <family val="2"/>
          </rPr>
          <t>YUM 10-K Pg 91 12-2023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Freeman</author>
  </authors>
  <commentList>
    <comment ref="H8" authorId="0" shapeId="0" xr:uid="{8D5E13FB-3160-3849-84A5-2CFB6EC68EFF}">
      <text>
        <r>
          <rPr>
            <b/>
            <sz val="9"/>
            <color rgb="FF000000"/>
            <rFont val="Tahoma"/>
            <family val="2"/>
          </rPr>
          <t xml:space="preserve">YTM 10-K 12-23 Pg 1
</t>
        </r>
      </text>
    </comment>
    <comment ref="D118" authorId="0" shapeId="0" xr:uid="{4E375ECA-C030-744C-9E57-AA87AA29B64E}">
      <text>
        <r>
          <rPr>
            <b/>
            <sz val="9"/>
            <color rgb="FF000000"/>
            <rFont val="Tahoma"/>
            <family val="2"/>
          </rPr>
          <t>Ken Freeman: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u/>
            <sz val="9"/>
            <color rgb="FF000000"/>
            <rFont val="Tahoma"/>
            <family val="2"/>
          </rPr>
          <t>AMZN, 10Q, 3/31/17, cover page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"477,975,499 shares of common stock, par value $0.01 per share, outstanding as of April 18, 2017"</t>
        </r>
      </text>
    </comment>
    <comment ref="C124" authorId="0" shapeId="0" xr:uid="{B7A93244-3334-F348-9844-7CB6882A4D91}">
      <text>
        <r>
          <rPr>
            <sz val="9"/>
            <color rgb="FF000000"/>
            <rFont val="Tahoma"/>
            <family val="2"/>
          </rPr>
          <t>Marginal Federal Tax Rate</t>
        </r>
      </text>
    </comment>
    <comment ref="C125" authorId="0" shapeId="0" xr:uid="{A21C9D3C-0B8B-2A41-AE6C-427D4AA5334E}">
      <text>
        <r>
          <rPr>
            <b/>
            <sz val="9"/>
            <color rgb="FF000000"/>
            <rFont val="Tahoma"/>
            <family val="2"/>
          </rPr>
          <t>Ken Freeman: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u/>
            <sz val="9"/>
            <color rgb="FF000000"/>
            <rFont val="Tahoma"/>
            <family val="2"/>
          </rPr>
          <t>MCD 10-K Pg</t>
        </r>
        <r>
          <rPr>
            <sz val="9"/>
            <color rgb="FF000000"/>
            <rFont val="Tahoma"/>
            <family val="2"/>
          </rPr>
          <t xml:space="preserve"> 22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Freeman</author>
  </authors>
  <commentList>
    <comment ref="H8" authorId="0" shapeId="0" xr:uid="{346AD2AF-81CB-7847-9F02-0559043E4D6E}">
      <text>
        <r>
          <rPr>
            <b/>
            <sz val="9"/>
            <color rgb="FF000000"/>
            <rFont val="Tahoma"/>
            <family val="2"/>
          </rPr>
          <t xml:space="preserve">YUM 10-K 12-23 Pg 1
</t>
        </r>
      </text>
    </comment>
    <comment ref="D118" authorId="0" shapeId="0" xr:uid="{64D644BE-6243-F547-95EF-033017727FC1}">
      <text>
        <r>
          <rPr>
            <b/>
            <sz val="9"/>
            <color rgb="FF000000"/>
            <rFont val="Tahoma"/>
            <family val="2"/>
          </rPr>
          <t>Ken Freeman: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u/>
            <sz val="9"/>
            <color rgb="FF000000"/>
            <rFont val="Tahoma"/>
            <family val="2"/>
          </rPr>
          <t>AMZN, 10Q, 3/31/17, cover page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"477,975,499 shares of common stock, par value $0.01 per share, outstanding as of April 18, 2017"</t>
        </r>
      </text>
    </comment>
    <comment ref="C124" authorId="0" shapeId="0" xr:uid="{20BFC0CB-8912-484E-8CC7-DF8F6A35AF0E}">
      <text>
        <r>
          <rPr>
            <sz val="9"/>
            <color rgb="FF000000"/>
            <rFont val="Tahoma"/>
            <family val="2"/>
          </rPr>
          <t>Marginal Federal Tax Rate</t>
        </r>
      </text>
    </comment>
    <comment ref="C125" authorId="0" shapeId="0" xr:uid="{85B5A42C-0E17-8B45-8D3E-E3039B1449DD}">
      <text>
        <r>
          <rPr>
            <b/>
            <sz val="9"/>
            <color rgb="FF000000"/>
            <rFont val="Tahoma"/>
            <family val="2"/>
          </rPr>
          <t>Ken Freeman: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u/>
            <sz val="9"/>
            <color rgb="FF000000"/>
            <rFont val="Tahoma"/>
            <family val="2"/>
          </rPr>
          <t>MCD 10-K Pg</t>
        </r>
        <r>
          <rPr>
            <sz val="9"/>
            <color rgb="FF000000"/>
            <rFont val="Tahoma"/>
            <family val="2"/>
          </rPr>
          <t xml:space="preserve"> 22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Freeman</author>
  </authors>
  <commentList>
    <comment ref="H8" authorId="0" shapeId="0" xr:uid="{C19FA92C-0A82-0A45-B40F-3F26D375EDD5}">
      <text>
        <r>
          <rPr>
            <b/>
            <sz val="9"/>
            <color rgb="FF000000"/>
            <rFont val="Tahoma"/>
            <family val="2"/>
          </rPr>
          <t xml:space="preserve">YUM 10-K 12-23 Pg 1
</t>
        </r>
      </text>
    </comment>
    <comment ref="D118" authorId="0" shapeId="0" xr:uid="{8CA88136-5D30-E84A-BD1A-6E57AE94BE34}">
      <text>
        <r>
          <rPr>
            <b/>
            <sz val="9"/>
            <color rgb="FF000000"/>
            <rFont val="Tahoma"/>
            <family val="2"/>
          </rPr>
          <t>MCD 10-K 2023 Pg 1</t>
        </r>
      </text>
    </comment>
    <comment ref="C124" authorId="0" shapeId="0" xr:uid="{002F8FB9-9B63-214B-9762-DA387830474B}">
      <text>
        <r>
          <rPr>
            <sz val="9"/>
            <color rgb="FF000000"/>
            <rFont val="Tahoma"/>
            <family val="2"/>
          </rPr>
          <t>Marginal Federal Tax Rate</t>
        </r>
      </text>
    </comment>
    <comment ref="C125" authorId="0" shapeId="0" xr:uid="{3E5924E9-9D8C-2347-9AF5-A73CB8180CD4}">
      <text>
        <r>
          <rPr>
            <b/>
            <sz val="9"/>
            <color rgb="FF000000"/>
            <rFont val="Tahoma"/>
            <family val="2"/>
          </rPr>
          <t>Ken Freeman: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u/>
            <sz val="9"/>
            <color rgb="FF000000"/>
            <rFont val="Tahoma"/>
            <family val="2"/>
          </rPr>
          <t>MCD 10-K Pg</t>
        </r>
        <r>
          <rPr>
            <sz val="9"/>
            <color rgb="FF000000"/>
            <rFont val="Tahoma"/>
            <family val="2"/>
          </rPr>
          <t xml:space="preserve"> 22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</author>
    <author>tc={DA839A19-9464-C74C-A631-7EA891421480}</author>
    <author>tc={6A624BD0-6A90-4F4C-B7AA-B1772B8529DE}</author>
    <author>tc={DA13A287-D555-9541-A088-300C38353653}</author>
  </authors>
  <commentList>
    <comment ref="C5" authorId="0" shapeId="0" xr:uid="{2B349535-C8C8-7C40-9E1C-5381F0DEC8A7}">
      <text>
        <r>
          <rPr>
            <b/>
            <sz val="9"/>
            <color indexed="81"/>
            <rFont val="Tahoma"/>
            <family val="2"/>
          </rPr>
          <t>Ken Freeman, CFA:</t>
        </r>
        <r>
          <rPr>
            <sz val="9"/>
            <color indexed="81"/>
            <rFont val="Tahoma"/>
            <family val="2"/>
          </rPr>
          <t xml:space="preserve">
Last day of 2023
</t>
        </r>
      </text>
    </comment>
    <comment ref="C10" authorId="1" shapeId="0" xr:uid="{DA839A19-9464-C74C-A631-7EA8914214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YUM 10-K 12-2023 B/S
</t>
      </text>
    </comment>
    <comment ref="C11" authorId="2" shapeId="0" xr:uid="{6A624BD0-6A90-4F4C-B7AA-B1772B8529DE}">
      <text>
        <t>[Threaded comment]
Your version of Excel allows you to read this threaded comment; however, any edits to it will get removed if the file is opened in a newer version of Excel. Learn more: https://go.microsoft.com/fwlink/?linkid=870924
Comment:
    YUM 10-K 12-2023 B/S</t>
      </text>
    </comment>
    <comment ref="C19" authorId="3" shapeId="0" xr:uid="{DA13A287-D555-9541-A088-300C3835365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YUM 10-K 12-2023 Pg 57
</t>
      </text>
    </comment>
  </commentList>
</comments>
</file>

<file path=xl/sharedStrings.xml><?xml version="1.0" encoding="utf-8"?>
<sst xmlns="http://schemas.openxmlformats.org/spreadsheetml/2006/main" count="778" uniqueCount="358">
  <si>
    <t>WACC - YUM</t>
  </si>
  <si>
    <t>kd</t>
  </si>
  <si>
    <t>Tax Rate</t>
  </si>
  <si>
    <t>Debt</t>
  </si>
  <si>
    <t>Equity</t>
  </si>
  <si>
    <t>Total Cap</t>
  </si>
  <si>
    <t>Beta</t>
  </si>
  <si>
    <t>MRP</t>
  </si>
  <si>
    <t>Actual Capital Structure</t>
  </si>
  <si>
    <t>Target Capital Structure</t>
  </si>
  <si>
    <t>WACC</t>
  </si>
  <si>
    <t>Current</t>
  </si>
  <si>
    <t>FD Shares Out</t>
  </si>
  <si>
    <t>Market Cap</t>
  </si>
  <si>
    <t>Tax</t>
  </si>
  <si>
    <t>EBT</t>
  </si>
  <si>
    <t>Tax/EBT</t>
  </si>
  <si>
    <t>Average Tax /EBT</t>
  </si>
  <si>
    <t>Total Debt</t>
  </si>
  <si>
    <t>Total Capital</t>
  </si>
  <si>
    <t>Debt to Total Capital</t>
  </si>
  <si>
    <t>Debt Maturing in 1 year</t>
  </si>
  <si>
    <t>Lomg-Term Debt</t>
  </si>
  <si>
    <t>Share price</t>
  </si>
  <si>
    <t>Wtg Avg shares(in Millions)</t>
  </si>
  <si>
    <t>Cost of equity</t>
  </si>
  <si>
    <t>Cost of debt</t>
  </si>
  <si>
    <t>YUM Price (11/14/24)</t>
  </si>
  <si>
    <t>(USD in Millions, except per share data)</t>
  </si>
  <si>
    <t>Historical Data</t>
  </si>
  <si>
    <t>YUM - INPUT SHEET</t>
  </si>
  <si>
    <t>Company name</t>
  </si>
  <si>
    <t>Today's date</t>
  </si>
  <si>
    <t>Fiscal year end</t>
  </si>
  <si>
    <t>Month</t>
  </si>
  <si>
    <t>Day</t>
  </si>
  <si>
    <t>Year</t>
  </si>
  <si>
    <t>DCF length in years (5 or 10)</t>
  </si>
  <si>
    <t>Total Revenues</t>
  </si>
  <si>
    <t>growth</t>
  </si>
  <si>
    <t>EBITDA</t>
  </si>
  <si>
    <t>margin</t>
  </si>
  <si>
    <t>Depreciation &amp; Amortization</t>
  </si>
  <si>
    <t>% of sales</t>
  </si>
  <si>
    <t>One-time items</t>
  </si>
  <si>
    <t>EBIT (Actual Operating income)</t>
  </si>
  <si>
    <t>Capital Expenditures</t>
  </si>
  <si>
    <t>Total Current Assets</t>
  </si>
  <si>
    <t>Cash</t>
  </si>
  <si>
    <t>Total Current Liabilities</t>
  </si>
  <si>
    <t>Short-term debt</t>
  </si>
  <si>
    <t>Working Capital</t>
  </si>
  <si>
    <r>
      <t>D</t>
    </r>
    <r>
      <rPr>
        <i/>
        <sz val="10"/>
        <rFont val="Arial"/>
        <family val="2"/>
      </rPr>
      <t xml:space="preserve"> in Working Capital</t>
    </r>
  </si>
  <si>
    <t>Taxes</t>
  </si>
  <si>
    <t>% of EBIT</t>
  </si>
  <si>
    <t>Tax rate</t>
  </si>
  <si>
    <t>Projected Data</t>
  </si>
  <si>
    <t>Revenue growth</t>
  </si>
  <si>
    <t>EBITDA margin</t>
  </si>
  <si>
    <t>Capex as a % of revenue</t>
  </si>
  <si>
    <t>D&amp;A as a % of revenue</t>
  </si>
  <si>
    <t>Taxes / EBIT</t>
  </si>
  <si>
    <t>Changes in working capital</t>
  </si>
  <si>
    <t>Forecast Drivers</t>
  </si>
  <si>
    <t>less: D&amp;A</t>
  </si>
  <si>
    <t>EBIT</t>
  </si>
  <si>
    <t>less: Taxes</t>
  </si>
  <si>
    <t>EBIAT</t>
  </si>
  <si>
    <t>plus: D&amp;A</t>
  </si>
  <si>
    <t>less: Capex</t>
  </si>
  <si>
    <t>less: changes in workings capital</t>
  </si>
  <si>
    <t>Free cash flow</t>
  </si>
  <si>
    <t>EBIT Margin</t>
  </si>
  <si>
    <t>YUM - OUTPUT SHEET</t>
  </si>
  <si>
    <t>Dates</t>
  </si>
  <si>
    <t>Serial #</t>
  </si>
  <si>
    <t>N</t>
  </si>
  <si>
    <t>Midyear convention</t>
  </si>
  <si>
    <t>Discount factor</t>
  </si>
  <si>
    <t>PV of cash flows</t>
  </si>
  <si>
    <t>Total PV of cash flows</t>
  </si>
  <si>
    <t>Terminal value</t>
  </si>
  <si>
    <t>PV of terminal value</t>
  </si>
  <si>
    <t>TEV</t>
  </si>
  <si>
    <t>less: net debt</t>
  </si>
  <si>
    <t>Total equity value</t>
  </si>
  <si>
    <t>FD shares out</t>
  </si>
  <si>
    <t>DCF Intrinisic Stock Price</t>
  </si>
  <si>
    <t>Current Share Price (9/27/24)</t>
  </si>
  <si>
    <t>Premium / (Discount)</t>
  </si>
  <si>
    <t>Normalised</t>
  </si>
  <si>
    <t>Weighted Average Cost of Capital</t>
  </si>
  <si>
    <t>Perpetuity Growth Rate</t>
  </si>
  <si>
    <t>Midyear Convention</t>
  </si>
  <si>
    <t>YES</t>
  </si>
  <si>
    <t>Current Data</t>
  </si>
  <si>
    <t>Shares out (millions)</t>
  </si>
  <si>
    <t>Preferred stock ($ in millions)</t>
  </si>
  <si>
    <t>Convertible debt ($ in millions)</t>
  </si>
  <si>
    <t>Total short &amp; long-term debt ($ in millions)</t>
  </si>
  <si>
    <t>Cash and cash equivalents ($ in millions)</t>
  </si>
  <si>
    <t>Minority interests ($ in millions)</t>
  </si>
  <si>
    <t>Balance Sheet</t>
  </si>
  <si>
    <t>Income Statement</t>
  </si>
  <si>
    <t>Cash Flow Statement</t>
  </si>
  <si>
    <t>ASSETS</t>
  </si>
  <si>
    <t>Net Revenues</t>
  </si>
  <si>
    <t>Net Income</t>
  </si>
  <si>
    <t>Cash and equivalents</t>
  </si>
  <si>
    <t>Depreciation and amortization</t>
  </si>
  <si>
    <t>Accounts Receivable</t>
  </si>
  <si>
    <t>Selling, general, &amp; Administrative</t>
  </si>
  <si>
    <t>Other operating expenses</t>
  </si>
  <si>
    <t>Accounts payable</t>
  </si>
  <si>
    <t>PP&amp;E</t>
  </si>
  <si>
    <t>Cash from operations</t>
  </si>
  <si>
    <t>Goodwill &amp; Intangibles</t>
  </si>
  <si>
    <t>Pretax income</t>
  </si>
  <si>
    <t>Capital expenditures</t>
  </si>
  <si>
    <t>Other Long Term Assets</t>
  </si>
  <si>
    <t>Net income</t>
  </si>
  <si>
    <t>Total Assets</t>
  </si>
  <si>
    <t>Changes in all other long-term assets</t>
  </si>
  <si>
    <t>LIABILITIES</t>
  </si>
  <si>
    <t>Cash from investing</t>
  </si>
  <si>
    <t>Current Liabilities</t>
  </si>
  <si>
    <t>Total Liabilities</t>
  </si>
  <si>
    <t>Dividends</t>
  </si>
  <si>
    <t>Shareholder's equity</t>
  </si>
  <si>
    <t>Cash from financing</t>
  </si>
  <si>
    <t>Common Stock par value</t>
  </si>
  <si>
    <t>Total change in cash</t>
  </si>
  <si>
    <t>Retained Earnings</t>
  </si>
  <si>
    <t>Total liabilities and SE</t>
  </si>
  <si>
    <t>PP&amp;E (BOP)</t>
  </si>
  <si>
    <t>Less: Depreciation</t>
  </si>
  <si>
    <t>PPE (EOP)</t>
  </si>
  <si>
    <t>Intangibles and GW (BOP)</t>
  </si>
  <si>
    <t>New purchases</t>
  </si>
  <si>
    <t>Amortization</t>
  </si>
  <si>
    <t>Intangibles and GW (EOP)</t>
  </si>
  <si>
    <t xml:space="preserve">Linking the 3 Financial Statements - YUM </t>
  </si>
  <si>
    <t>8/31/13-8/31/14</t>
  </si>
  <si>
    <t>Cost of Goods Sold (net of Depr)</t>
  </si>
  <si>
    <t>Advertising &amp; Promotion</t>
  </si>
  <si>
    <t>Depreciation</t>
  </si>
  <si>
    <t>Other Current Assets</t>
  </si>
  <si>
    <t>Income tax expense</t>
  </si>
  <si>
    <t>Income Taxes Payable</t>
  </si>
  <si>
    <r>
      <t>Dividends</t>
    </r>
    <r>
      <rPr>
        <vertAlign val="superscript"/>
        <sz val="11"/>
        <rFont val="Calibri"/>
        <family val="2"/>
      </rPr>
      <t>1</t>
    </r>
  </si>
  <si>
    <r>
      <t>1</t>
    </r>
    <r>
      <rPr>
        <sz val="11"/>
        <rFont val="Calibri"/>
        <family val="2"/>
      </rPr>
      <t xml:space="preserve"> All dividends were cash dividends</t>
    </r>
  </si>
  <si>
    <t>New purchases of intangibles &amp;GW</t>
  </si>
  <si>
    <t>Changes in LT Deferred Taxes, net</t>
  </si>
  <si>
    <t>Changes in Other LT Liabilities</t>
  </si>
  <si>
    <t>Increase in Revolver</t>
  </si>
  <si>
    <t>Increase in common stock</t>
  </si>
  <si>
    <t>Increase in APIC</t>
  </si>
  <si>
    <t>Increase in Accumulated Other Comp</t>
  </si>
  <si>
    <t>Beginning cash balance (8/2013)</t>
  </si>
  <si>
    <t>Ending cash balance (8/2014)</t>
  </si>
  <si>
    <t>check</t>
  </si>
  <si>
    <t>Plus: Capx</t>
  </si>
  <si>
    <t xml:space="preserve">Franchising expense and (gain)/loss </t>
  </si>
  <si>
    <t>Interest expense</t>
  </si>
  <si>
    <t>Deferred Income taxes</t>
  </si>
  <si>
    <t>Short term Borrowings</t>
  </si>
  <si>
    <t>Other Liabilities and deferred credit</t>
  </si>
  <si>
    <t>Long-term Debt</t>
  </si>
  <si>
    <t>Accumulated Other Comp loss</t>
  </si>
  <si>
    <t>Additional Deficit</t>
  </si>
  <si>
    <t xml:space="preserve"> Deferred Taxes, net</t>
  </si>
  <si>
    <t>Transaction Scenario</t>
  </si>
  <si>
    <t>Current stock price</t>
  </si>
  <si>
    <t xml:space="preserve">Options </t>
  </si>
  <si>
    <t>Strike</t>
  </si>
  <si>
    <t xml:space="preserve">In the </t>
  </si>
  <si>
    <t>New Shares</t>
  </si>
  <si>
    <t>Exercisable</t>
  </si>
  <si>
    <t>Price</t>
  </si>
  <si>
    <t>Money</t>
  </si>
  <si>
    <t>Issued</t>
  </si>
  <si>
    <t>Offer Price</t>
  </si>
  <si>
    <t>Premium</t>
  </si>
  <si>
    <t>million</t>
  </si>
  <si>
    <t>Stock</t>
  </si>
  <si>
    <t>Breakdown of Consideration is:</t>
  </si>
  <si>
    <t>Exchange Ratio</t>
  </si>
  <si>
    <t>New Shares Issued</t>
  </si>
  <si>
    <t>FEE</t>
  </si>
  <si>
    <t>Transaction Expense</t>
  </si>
  <si>
    <t>Note: Transaction Expense is FEE x Offer Value</t>
  </si>
  <si>
    <t>Transaction Assumptions</t>
  </si>
  <si>
    <t>Deal Information</t>
  </si>
  <si>
    <t>Offer Price per share</t>
  </si>
  <si>
    <t>Percentage Stock</t>
  </si>
  <si>
    <t>Percentage Cash</t>
  </si>
  <si>
    <t>Exchange Ratio (a)</t>
  </si>
  <si>
    <t>Shares Issued (mm's) (b)</t>
  </si>
  <si>
    <t>Transaction Expenses</t>
  </si>
  <si>
    <t>Offer Value Calculation</t>
  </si>
  <si>
    <t>Goodwill Calculation</t>
  </si>
  <si>
    <t>Offer Price per Share</t>
  </si>
  <si>
    <t>Offer Value</t>
  </si>
  <si>
    <t>Less: Tangible Book Value of WFM (c)</t>
  </si>
  <si>
    <t>= Offer Value ($ in m)</t>
  </si>
  <si>
    <t>Plus: Transaction Expenses</t>
  </si>
  <si>
    <t>= Goodwill Created</t>
  </si>
  <si>
    <t>(a) (Offer Price / Acquiror Share Price) * % stock in deal</t>
  </si>
  <si>
    <t>(b) Exchange Ratio x Beta Shares Out = New shares issued</t>
  </si>
  <si>
    <t>(c) Target Equity - Target Goodwill = Tangible Book Value</t>
  </si>
  <si>
    <t>Sources and Uses of Funds</t>
  </si>
  <si>
    <t>Sources of Funds</t>
  </si>
  <si>
    <t>Acquisition Debt Financing</t>
  </si>
  <si>
    <t>Stock Issued</t>
  </si>
  <si>
    <t>Total:</t>
  </si>
  <si>
    <t>Uses of Funds</t>
  </si>
  <si>
    <t>Purchase of Equity</t>
  </si>
  <si>
    <t>Transaction Expenses*</t>
  </si>
  <si>
    <t>*Assuming no Financing Fees</t>
  </si>
  <si>
    <t>Opening Balance Sheet</t>
  </si>
  <si>
    <t>(USD in millions)</t>
  </si>
  <si>
    <t>PRO FORMA</t>
  </si>
  <si>
    <t>ADJUSTMENTS</t>
  </si>
  <si>
    <t>COMBINED</t>
  </si>
  <si>
    <t>*</t>
  </si>
  <si>
    <t>Goodwill</t>
  </si>
  <si>
    <t>Intangible assets</t>
  </si>
  <si>
    <t>Other Long-Term Assets</t>
  </si>
  <si>
    <t>Other Liabilities</t>
  </si>
  <si>
    <t>Total Liabilities &amp; Equity</t>
  </si>
  <si>
    <t>Net Debt</t>
  </si>
  <si>
    <t>Total Capitalization</t>
  </si>
  <si>
    <t>Total Debt / Total Capitalization</t>
  </si>
  <si>
    <t>Total Debt / EBITDA</t>
  </si>
  <si>
    <t>Pro Forma Income Statement</t>
  </si>
  <si>
    <t>LTM</t>
  </si>
  <si>
    <t>Net sales</t>
  </si>
  <si>
    <t>Cost of goods sold</t>
  </si>
  <si>
    <t>Gross profit</t>
  </si>
  <si>
    <t>SG&amp;A</t>
  </si>
  <si>
    <t>Income from operations</t>
  </si>
  <si>
    <t>(c)</t>
  </si>
  <si>
    <t>(a)</t>
  </si>
  <si>
    <t>Other (Income) Expense - net</t>
  </si>
  <si>
    <t>Income before income taxes</t>
  </si>
  <si>
    <t>Income taxes</t>
  </si>
  <si>
    <t>(b)</t>
  </si>
  <si>
    <t>Equity-method activity, net of tax</t>
  </si>
  <si>
    <t>Shares Outstanding</t>
  </si>
  <si>
    <t>GAAP EPS</t>
  </si>
  <si>
    <t>D&amp;A</t>
  </si>
  <si>
    <t>Assumptions:</t>
  </si>
  <si>
    <t>Accretion / (Dilution) $</t>
  </si>
  <si>
    <t>Tax Rate =</t>
  </si>
  <si>
    <t>Accretion / (Dilution) %</t>
  </si>
  <si>
    <t>Interest rate on new debt =</t>
  </si>
  <si>
    <t>(a) Calculation</t>
  </si>
  <si>
    <t>(c) Calculation:</t>
  </si>
  <si>
    <t>New Debt</t>
  </si>
  <si>
    <t>GAAP EPS Dilution</t>
  </si>
  <si>
    <t>x Interest Rate</t>
  </si>
  <si>
    <t>x PF Shares Outstanding</t>
  </si>
  <si>
    <t>= Pre-tax Cost of Debt</t>
  </si>
  <si>
    <t>= Net Income Dilution</t>
  </si>
  <si>
    <t>(b) Calculation</t>
  </si>
  <si>
    <t>divide by (1-Tax Rate)</t>
  </si>
  <si>
    <t>Pretax Income</t>
  </si>
  <si>
    <t>= Pretax Synergies to Breakeven</t>
  </si>
  <si>
    <t>x Tax Rate</t>
  </si>
  <si>
    <t>= Tax Adjustment</t>
  </si>
  <si>
    <t>YUM</t>
  </si>
  <si>
    <t>MCD</t>
  </si>
  <si>
    <t>11/14 Close</t>
  </si>
  <si>
    <t>MCD Stock Price</t>
  </si>
  <si>
    <r>
      <rPr>
        <b/>
        <u/>
        <sz val="10"/>
        <rFont val="Arial"/>
        <family val="2"/>
      </rPr>
      <t>MCD has offered to buy Whole Foods Markets</t>
    </r>
    <r>
      <rPr>
        <b/>
        <sz val="10"/>
        <rFont val="Arial"/>
        <family val="2"/>
      </rPr>
      <t>:</t>
    </r>
  </si>
  <si>
    <t>Trading Comparables</t>
  </si>
  <si>
    <t>(in thousands)</t>
  </si>
  <si>
    <t>Ticker</t>
  </si>
  <si>
    <t>Company</t>
  </si>
  <si>
    <t>Shares Out</t>
  </si>
  <si>
    <t>Options Ex.</t>
  </si>
  <si>
    <t>FD Equity Value</t>
  </si>
  <si>
    <t>Preferreds/Convertibles</t>
  </si>
  <si>
    <t>Minority Interests</t>
  </si>
  <si>
    <t>Associate Investments</t>
  </si>
  <si>
    <t>Sales (P/S)</t>
  </si>
  <si>
    <t>Metric</t>
  </si>
  <si>
    <t>Multiple</t>
  </si>
  <si>
    <t>Annualized Stub</t>
  </si>
  <si>
    <t>EBITDA (TEV/EBITDA)</t>
  </si>
  <si>
    <t>Earnings (P/E)</t>
  </si>
  <si>
    <t>Capex</t>
  </si>
  <si>
    <t>FCF (P/FCF)</t>
  </si>
  <si>
    <t>Source:  SEC Filings and Yahoo! Finance</t>
  </si>
  <si>
    <t xml:space="preserve"># of </t>
  </si>
  <si>
    <t>Wgthd Avg</t>
  </si>
  <si>
    <t>In the</t>
  </si>
  <si>
    <t xml:space="preserve">Shares in </t>
  </si>
  <si>
    <t>Options Ex</t>
  </si>
  <si>
    <t>Strike Price</t>
  </si>
  <si>
    <t>Money?</t>
  </si>
  <si>
    <t>the money</t>
  </si>
  <si>
    <t>Price (11/14/24)</t>
  </si>
  <si>
    <t>Note:  Prices as of market close 11/14/24. FCF = EBITDA - Capex.</t>
  </si>
  <si>
    <t>($ in millions, except per share data)</t>
  </si>
  <si>
    <t>Select Operating and Financial Data</t>
  </si>
  <si>
    <t>Current Date</t>
  </si>
  <si>
    <t>Share Price</t>
  </si>
  <si>
    <t>Fully Diluted Shares Out</t>
  </si>
  <si>
    <t>Total Enterprise Value</t>
  </si>
  <si>
    <t>LTM Revenue</t>
  </si>
  <si>
    <t>LTM EBITDA</t>
  </si>
  <si>
    <t>FCF after debt paydown</t>
  </si>
  <si>
    <t>TEV/EBITDA multiple</t>
  </si>
  <si>
    <t>LBO Assumptions</t>
  </si>
  <si>
    <t>Exit Date</t>
  </si>
  <si>
    <t>LBO Debt Capacity (Debt/EBITDA)</t>
  </si>
  <si>
    <t>Minimum Cash Balance</t>
  </si>
  <si>
    <t>EBITDA multiple in EXIT year</t>
  </si>
  <si>
    <t>Required IRR</t>
  </si>
  <si>
    <t>Operating &amp; Financial Data</t>
  </si>
  <si>
    <t>Projected Annual Forecast</t>
  </si>
  <si>
    <t>Revenue</t>
  </si>
  <si>
    <t>% growth</t>
  </si>
  <si>
    <t>FCF after required debt paydown</t>
  </si>
  <si>
    <t>Debt Schedule</t>
  </si>
  <si>
    <t>Debt, Beginning of Period</t>
  </si>
  <si>
    <t xml:space="preserve"> - Required Paydown</t>
  </si>
  <si>
    <t xml:space="preserve"> - Optional Paydown (after min cash balance)</t>
  </si>
  <si>
    <t>LBO Debt, End of Period</t>
  </si>
  <si>
    <t>Questions:</t>
  </si>
  <si>
    <t>1) What is the implied TEV in the exit year?</t>
  </si>
  <si>
    <t>2) What is the implied Equity Value at the exit year?</t>
  </si>
  <si>
    <t>3) What is the maximum amount financial sponsors can invest in this company?</t>
  </si>
  <si>
    <t>4) How much do sponsors have to acquire the company and pay off its debt?</t>
  </si>
  <si>
    <t xml:space="preserve">FCF </t>
  </si>
  <si>
    <t>Debt paydownn</t>
  </si>
  <si>
    <t>9 months</t>
  </si>
  <si>
    <t>Sales</t>
  </si>
  <si>
    <t>Op. Income</t>
  </si>
  <si>
    <t>FCF</t>
  </si>
  <si>
    <t>YUM Calc</t>
  </si>
  <si>
    <t>YUM Options Calc</t>
  </si>
  <si>
    <t>10-yr Treasury</t>
  </si>
  <si>
    <t>HOLD or NO ACTION</t>
  </si>
  <si>
    <t>YUM Shs Out</t>
  </si>
  <si>
    <t>YUM Fully Diluted Shs Out</t>
  </si>
  <si>
    <t>Offer Value for YUM</t>
  </si>
  <si>
    <t>YUM Stock Price</t>
  </si>
  <si>
    <t>YUM FD shares Out (mm)</t>
  </si>
  <si>
    <t>x YUM Shares Out (mm)</t>
  </si>
  <si>
    <t>EXERCISE: LBO Analysis for Company YUM</t>
  </si>
  <si>
    <t>5) What is the highest purchase price sponsors would be willing to pay today YUM shares today?</t>
  </si>
  <si>
    <t>6) Given YUM's current share price, is an LBO likely?</t>
  </si>
  <si>
    <t>QSR</t>
  </si>
  <si>
    <t>Restaurant brand international</t>
  </si>
  <si>
    <t>QSR Options Calc</t>
  </si>
  <si>
    <t>QSR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</si>
</sst>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#,##0.0_);\(#,##0.0\)"/>
    <numFmt numFmtId="165" formatCode="0.00%;\(0.00%\)"/>
    <numFmt numFmtId="166" formatCode="m/d/yy;@"/>
    <numFmt numFmtId="167" formatCode="&quot;$&quot;#,##0.00_);\(&quot;$&quot;#,##0.00\)"/>
    <numFmt numFmtId="168" formatCode="#,##0.000_);\(#,##0.000\)"/>
    <numFmt numFmtId="169" formatCode="#,##0_);\(#,##0\);\-\-"/>
    <numFmt numFmtId="170" formatCode="0000&quot;A&quot;"/>
    <numFmt numFmtId="171" formatCode="0.000"/>
    <numFmt numFmtId="172" formatCode="0%;\(0%\)"/>
    <numFmt numFmtId="173" formatCode="[$$-409]#,##0"/>
    <numFmt numFmtId="174" formatCode="[$$-409]#,##0.00_);\([$$-409]#,##0.00\)"/>
    <numFmt numFmtId="175" formatCode="[$$-409]#,##0.00"/>
    <numFmt numFmtId="176" formatCode="0000&quot;E&quot;"/>
    <numFmt numFmtId="177" formatCode="0.0%;\(0.0%\)"/>
    <numFmt numFmtId="178" formatCode="&quot;$&quot;#,##0_);\(&quot;$&quot;#,##0\)"/>
    <numFmt numFmtId="179" formatCode="[$$-409]#,##0_);\([$$-409]#,##0\)"/>
    <numFmt numFmtId="180" formatCode="0.0%"/>
    <numFmt numFmtId="181" formatCode="mm/dd/yy;@"/>
    <numFmt numFmtId="182" formatCode="0.000_);\(0.000\)"/>
    <numFmt numFmtId="183" formatCode="&quot;$&quot;#,##0.0_);\(&quot;$&quot;#,##0.0\)"/>
    <numFmt numFmtId="184" formatCode="0.0%_);\(0.0%\)"/>
    <numFmt numFmtId="185" formatCode="&quot;$&quot;#,##0.00_);[Red]\(&quot;$&quot;#,##0.00\)"/>
    <numFmt numFmtId="186" formatCode="#0.0\x"/>
    <numFmt numFmtId="188" formatCode="0.0&quot;x&quot;;\(0.0&quot;x&quot;\)"/>
  </numFmts>
  <fonts count="8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 (Body)"/>
    </font>
    <font>
      <sz val="10"/>
      <name val="Arial"/>
      <family val="2"/>
    </font>
    <font>
      <b/>
      <sz val="11"/>
      <name val="Aptos Narrow"/>
      <family val="2"/>
      <scheme val="minor"/>
    </font>
    <font>
      <sz val="1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000000"/>
      <name val="Tahoma"/>
      <family val="2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rgb="FF0070C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00B050"/>
      <name val="Aptos Narrow"/>
      <family val="2"/>
      <scheme val="minor"/>
    </font>
    <font>
      <b/>
      <sz val="10"/>
      <name val="MS Sans Serif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0"/>
      <name val="Symbol"/>
      <family val="1"/>
      <charset val="2"/>
    </font>
    <font>
      <b/>
      <sz val="10"/>
      <color rgb="FF0070C0"/>
      <name val="Arial"/>
      <family val="2"/>
    </font>
    <font>
      <b/>
      <i/>
      <sz val="10"/>
      <name val="Arial"/>
      <family val="2"/>
    </font>
    <font>
      <sz val="10"/>
      <color rgb="FF00B050"/>
      <name val="Arial"/>
      <family val="2"/>
    </font>
    <font>
      <b/>
      <sz val="24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vertAlign val="superscript"/>
      <sz val="11"/>
      <name val="Aptos Narrow"/>
      <family val="2"/>
      <scheme val="minor"/>
    </font>
    <font>
      <sz val="11"/>
      <color rgb="FF0000CC"/>
      <name val="Aptos Narrow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b/>
      <sz val="22"/>
      <color indexed="8"/>
      <name val="Arial"/>
      <family val="2"/>
    </font>
    <font>
      <b/>
      <sz val="14"/>
      <color indexed="12"/>
      <name val="Arial"/>
      <family val="2"/>
    </font>
    <font>
      <sz val="10"/>
      <color rgb="FF0070C0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4"/>
      <name val="Arial"/>
      <family val="2"/>
    </font>
    <font>
      <b/>
      <sz val="18"/>
      <color indexed="12"/>
      <name val="Arial"/>
      <family val="2"/>
    </font>
    <font>
      <b/>
      <sz val="24"/>
      <color indexed="12"/>
      <name val="Arial"/>
      <family val="2"/>
    </font>
    <font>
      <b/>
      <i/>
      <sz val="18"/>
      <name val="Arial"/>
      <family val="2"/>
    </font>
    <font>
      <i/>
      <sz val="18"/>
      <name val="Arial"/>
      <family val="2"/>
    </font>
    <font>
      <b/>
      <i/>
      <sz val="18"/>
      <color indexed="12"/>
      <name val="Arial"/>
      <family val="2"/>
    </font>
    <font>
      <b/>
      <sz val="19"/>
      <color indexed="9"/>
      <name val="Arial"/>
      <family val="2"/>
    </font>
    <font>
      <b/>
      <sz val="22"/>
      <color indexed="9"/>
      <name val="Arial"/>
      <family val="2"/>
    </font>
    <font>
      <sz val="14"/>
      <name val="Arial"/>
      <family val="2"/>
    </font>
    <font>
      <sz val="14"/>
      <color rgb="FF00B050"/>
      <name val="Arial"/>
      <family val="2"/>
    </font>
    <font>
      <sz val="14"/>
      <color indexed="8"/>
      <name val="Arial"/>
      <family val="2"/>
    </font>
    <font>
      <u/>
      <sz val="14"/>
      <color rgb="FF00B050"/>
      <name val="Arial"/>
      <family val="2"/>
    </font>
    <font>
      <sz val="16"/>
      <name val="Arial"/>
      <family val="2"/>
    </font>
    <font>
      <b/>
      <sz val="24"/>
      <color indexed="8"/>
      <name val="Arial"/>
      <family val="2"/>
    </font>
    <font>
      <b/>
      <i/>
      <sz val="18"/>
      <color indexed="8"/>
      <name val="Arial"/>
      <family val="2"/>
    </font>
    <font>
      <sz val="18"/>
      <name val="Arial"/>
      <family val="2"/>
    </font>
    <font>
      <sz val="18"/>
      <color indexed="8"/>
      <name val="Arial"/>
      <family val="2"/>
    </font>
    <font>
      <u/>
      <sz val="18"/>
      <name val="Arial"/>
      <family val="2"/>
    </font>
    <font>
      <b/>
      <sz val="18"/>
      <name val="Arial"/>
      <family val="2"/>
    </font>
    <font>
      <b/>
      <sz val="18"/>
      <color rgb="FF00B050"/>
      <name val="Arial"/>
      <family val="2"/>
    </font>
    <font>
      <sz val="18"/>
      <color rgb="FF00B050"/>
      <name val="Arial"/>
      <family val="2"/>
    </font>
    <font>
      <u/>
      <sz val="18"/>
      <color rgb="FF00B05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b/>
      <i/>
      <sz val="14"/>
      <color indexed="8"/>
      <name val="Arial"/>
      <family val="2"/>
    </font>
    <font>
      <b/>
      <i/>
      <sz val="10"/>
      <color indexed="8"/>
      <name val="Arial"/>
      <family val="2"/>
    </font>
    <font>
      <i/>
      <sz val="8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7"/>
      <color indexed="10"/>
      <name val="Times New Roman"/>
      <family val="1"/>
    </font>
    <font>
      <sz val="8"/>
      <name val="Inherit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u/>
      <sz val="9"/>
      <color rgb="FF000000"/>
      <name val="Tahoma"/>
      <family val="2"/>
    </font>
    <font>
      <sz val="10"/>
      <color theme="1"/>
      <name val="Arial"/>
      <family val="2"/>
    </font>
    <font>
      <i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24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i/>
      <sz val="9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theme="1"/>
      </bottom>
      <diagonal/>
    </border>
    <border>
      <left style="thick">
        <color theme="0"/>
      </left>
      <right style="thick">
        <color theme="0"/>
      </right>
      <top/>
      <bottom style="thin">
        <color theme="1"/>
      </bottom>
      <diagonal/>
    </border>
    <border>
      <left/>
      <right style="thick">
        <color theme="0"/>
      </right>
      <top/>
      <bottom style="thin">
        <color theme="1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theme="0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>
      <protection locked="0"/>
    </xf>
    <xf numFmtId="164" fontId="4" fillId="0" borderId="0" applyFont="0" applyFill="0" applyBorder="0" applyAlignment="0">
      <protection locked="0"/>
    </xf>
    <xf numFmtId="169" fontId="12" fillId="0" borderId="0"/>
    <xf numFmtId="0" fontId="16" fillId="0" borderId="0" applyNumberFormat="0" applyFill="0" applyBorder="0" applyAlignment="0" applyProtection="0"/>
    <xf numFmtId="0" fontId="4" fillId="0" borderId="0"/>
  </cellStyleXfs>
  <cellXfs count="345">
    <xf numFmtId="0" fontId="0" fillId="0" borderId="0" xfId="0"/>
    <xf numFmtId="0" fontId="3" fillId="0" borderId="0" xfId="0" applyFont="1"/>
    <xf numFmtId="164" fontId="5" fillId="0" borderId="0" xfId="2" applyFont="1" applyAlignment="1">
      <alignment horizontal="center"/>
      <protection locked="0"/>
    </xf>
    <xf numFmtId="164" fontId="6" fillId="0" borderId="0" xfId="2" applyFont="1">
      <protection locked="0"/>
    </xf>
    <xf numFmtId="165" fontId="7" fillId="2" borderId="0" xfId="2" applyNumberFormat="1" applyFont="1" applyFill="1" applyAlignment="1">
      <alignment horizontal="center"/>
      <protection locked="0"/>
    </xf>
    <xf numFmtId="37" fontId="9" fillId="0" borderId="0" xfId="2" applyNumberFormat="1" applyFont="1">
      <protection locked="0"/>
    </xf>
    <xf numFmtId="165" fontId="8" fillId="2" borderId="0" xfId="2" applyNumberFormat="1" applyFont="1" applyFill="1" applyAlignment="1">
      <alignment horizontal="center"/>
      <protection locked="0"/>
    </xf>
    <xf numFmtId="39" fontId="8" fillId="2" borderId="0" xfId="2" applyNumberFormat="1" applyFont="1" applyFill="1" applyAlignment="1">
      <alignment horizontal="center"/>
      <protection locked="0"/>
    </xf>
    <xf numFmtId="164" fontId="9" fillId="0" borderId="0" xfId="2" applyFont="1">
      <protection locked="0"/>
    </xf>
    <xf numFmtId="165" fontId="9" fillId="0" borderId="0" xfId="2" applyNumberFormat="1" applyFont="1" applyAlignment="1">
      <alignment horizontal="center"/>
      <protection locked="0"/>
    </xf>
    <xf numFmtId="164" fontId="5" fillId="0" borderId="0" xfId="2" applyFont="1">
      <protection locked="0"/>
    </xf>
    <xf numFmtId="165" fontId="5" fillId="0" borderId="1" xfId="2" applyNumberFormat="1" applyFont="1" applyBorder="1" applyAlignment="1">
      <alignment horizontal="center"/>
      <protection locked="0"/>
    </xf>
    <xf numFmtId="166" fontId="11" fillId="0" borderId="1" xfId="0" applyNumberFormat="1" applyFont="1" applyBorder="1" applyAlignment="1">
      <alignment horizontal="center"/>
    </xf>
    <xf numFmtId="164" fontId="9" fillId="0" borderId="0" xfId="2" applyFont="1" applyFill="1">
      <protection locked="0"/>
    </xf>
    <xf numFmtId="167" fontId="8" fillId="0" borderId="0" xfId="2" applyNumberFormat="1" applyFont="1" applyFill="1">
      <protection locked="0"/>
    </xf>
    <xf numFmtId="164" fontId="5" fillId="0" borderId="0" xfId="2" applyFont="1" applyAlignment="1">
      <alignment horizontal="left" indent="1"/>
      <protection locked="0"/>
    </xf>
    <xf numFmtId="168" fontId="8" fillId="0" borderId="0" xfId="0" applyNumberFormat="1" applyFont="1"/>
    <xf numFmtId="167" fontId="5" fillId="0" borderId="0" xfId="2" applyNumberFormat="1" applyFont="1">
      <protection locked="0"/>
    </xf>
    <xf numFmtId="171" fontId="0" fillId="0" borderId="0" xfId="0" applyNumberFormat="1"/>
    <xf numFmtId="2" fontId="0" fillId="0" borderId="0" xfId="0" applyNumberFormat="1"/>
    <xf numFmtId="170" fontId="0" fillId="0" borderId="2" xfId="0" applyNumberFormat="1" applyBorder="1"/>
    <xf numFmtId="9" fontId="0" fillId="0" borderId="0" xfId="1" applyFont="1"/>
    <xf numFmtId="173" fontId="2" fillId="0" borderId="0" xfId="0" applyNumberFormat="1" applyFont="1"/>
    <xf numFmtId="174" fontId="2" fillId="0" borderId="0" xfId="0" applyNumberFormat="1" applyFont="1"/>
    <xf numFmtId="175" fontId="2" fillId="0" borderId="0" xfId="0" applyNumberFormat="1" applyFont="1"/>
    <xf numFmtId="0" fontId="13" fillId="0" borderId="0" xfId="0" applyFont="1"/>
    <xf numFmtId="173" fontId="13" fillId="0" borderId="2" xfId="0" applyNumberFormat="1" applyFont="1" applyBorder="1"/>
    <xf numFmtId="174" fontId="13" fillId="0" borderId="2" xfId="0" applyNumberFormat="1" applyFont="1" applyBorder="1"/>
    <xf numFmtId="39" fontId="7" fillId="0" borderId="0" xfId="2" applyNumberFormat="1" applyFont="1">
      <protection locked="0"/>
    </xf>
    <xf numFmtId="172" fontId="7" fillId="0" borderId="0" xfId="3" applyNumberFormat="1" applyFont="1" applyFill="1">
      <protection locked="0"/>
    </xf>
    <xf numFmtId="37" fontId="14" fillId="0" borderId="0" xfId="2" applyNumberFormat="1" applyFont="1">
      <protection locked="0"/>
    </xf>
    <xf numFmtId="172" fontId="7" fillId="0" borderId="0" xfId="2" applyNumberFormat="1" applyFont="1" applyFill="1" applyAlignment="1">
      <alignment horizontal="center"/>
      <protection locked="0"/>
    </xf>
    <xf numFmtId="172" fontId="14" fillId="0" borderId="0" xfId="2" applyNumberFormat="1" applyFont="1" applyFill="1" applyAlignment="1">
      <alignment horizontal="center"/>
      <protection locked="0"/>
    </xf>
    <xf numFmtId="164" fontId="9" fillId="0" borderId="0" xfId="2" applyFont="1" applyFill="1" applyBorder="1">
      <protection locked="0"/>
    </xf>
    <xf numFmtId="10" fontId="0" fillId="0" borderId="0" xfId="0" applyNumberFormat="1"/>
    <xf numFmtId="165" fontId="15" fillId="0" borderId="0" xfId="0" applyNumberFormat="1" applyFont="1"/>
    <xf numFmtId="164" fontId="5" fillId="0" borderId="0" xfId="2" applyFont="1" applyBorder="1">
      <protection locked="0"/>
    </xf>
    <xf numFmtId="165" fontId="5" fillId="0" borderId="0" xfId="2" applyNumberFormat="1" applyFont="1" applyBorder="1" applyAlignment="1">
      <alignment horizontal="center"/>
      <protection locked="0"/>
    </xf>
    <xf numFmtId="0" fontId="2" fillId="0" borderId="0" xfId="0" applyFont="1"/>
    <xf numFmtId="0" fontId="4" fillId="0" borderId="0" xfId="5" applyFont="1" applyFill="1"/>
    <xf numFmtId="14" fontId="4" fillId="0" borderId="0" xfId="5" applyNumberFormat="1" applyFont="1" applyFill="1"/>
    <xf numFmtId="0" fontId="18" fillId="0" borderId="0" xfId="5" applyFont="1" applyAlignment="1">
      <alignment horizontal="center"/>
    </xf>
    <xf numFmtId="0" fontId="13" fillId="2" borderId="0" xfId="0" applyFont="1" applyFill="1"/>
    <xf numFmtId="0" fontId="17" fillId="0" borderId="0" xfId="5" applyFont="1" applyBorder="1" applyAlignment="1">
      <alignment horizontal="centerContinuous"/>
    </xf>
    <xf numFmtId="170" fontId="0" fillId="0" borderId="0" xfId="0" applyNumberFormat="1"/>
    <xf numFmtId="0" fontId="19" fillId="0" borderId="0" xfId="5" applyFont="1" applyFill="1" applyAlignment="1">
      <alignment horizontal="left" indent="1"/>
    </xf>
    <xf numFmtId="0" fontId="19" fillId="0" borderId="0" xfId="5" applyFont="1" applyAlignment="1">
      <alignment horizontal="left" indent="1"/>
    </xf>
    <xf numFmtId="0" fontId="4" fillId="0" borderId="0" xfId="5" applyFont="1" applyAlignment="1">
      <alignment horizontal="left" indent="1"/>
    </xf>
    <xf numFmtId="0" fontId="20" fillId="0" borderId="0" xfId="5" applyFont="1" applyAlignment="1">
      <alignment horizontal="left" indent="2"/>
    </xf>
    <xf numFmtId="0" fontId="19" fillId="0" borderId="0" xfId="5" applyFont="1" applyAlignment="1">
      <alignment horizontal="left" indent="3"/>
    </xf>
    <xf numFmtId="177" fontId="4" fillId="0" borderId="0" xfId="5" applyNumberFormat="1" applyFont="1"/>
    <xf numFmtId="178" fontId="21" fillId="0" borderId="0" xfId="5" applyNumberFormat="1" applyFont="1" applyFill="1"/>
    <xf numFmtId="177" fontId="0" fillId="0" borderId="0" xfId="0" applyNumberFormat="1"/>
    <xf numFmtId="177" fontId="15" fillId="0" borderId="0" xfId="0" applyNumberFormat="1" applyFont="1"/>
    <xf numFmtId="178" fontId="4" fillId="0" borderId="0" xfId="5" applyNumberFormat="1" applyFont="1"/>
    <xf numFmtId="177" fontId="4" fillId="0" borderId="0" xfId="5" applyNumberFormat="1" applyFont="1" applyFill="1"/>
    <xf numFmtId="37" fontId="21" fillId="0" borderId="0" xfId="5" applyNumberFormat="1" applyFont="1" applyFill="1"/>
    <xf numFmtId="37" fontId="4" fillId="0" borderId="0" xfId="5" applyNumberFormat="1" applyFont="1" applyFill="1"/>
    <xf numFmtId="179" fontId="0" fillId="0" borderId="0" xfId="0" applyNumberFormat="1"/>
    <xf numFmtId="9" fontId="0" fillId="2" borderId="0" xfId="1" applyFont="1" applyFill="1"/>
    <xf numFmtId="176" fontId="0" fillId="0" borderId="6" xfId="0" applyNumberFormat="1" applyBorder="1"/>
    <xf numFmtId="176" fontId="0" fillId="0" borderId="8" xfId="0" applyNumberFormat="1" applyBorder="1"/>
    <xf numFmtId="176" fontId="0" fillId="0" borderId="7" xfId="0" applyNumberFormat="1" applyBorder="1"/>
    <xf numFmtId="9" fontId="15" fillId="0" borderId="0" xfId="0" applyNumberFormat="1" applyFont="1"/>
    <xf numFmtId="0" fontId="15" fillId="0" borderId="0" xfId="0" applyFont="1"/>
    <xf numFmtId="179" fontId="15" fillId="0" borderId="0" xfId="0" applyNumberFormat="1" applyFont="1"/>
    <xf numFmtId="37" fontId="4" fillId="0" borderId="2" xfId="5" applyNumberFormat="1" applyFont="1" applyFill="1" applyBorder="1"/>
    <xf numFmtId="0" fontId="15" fillId="0" borderId="2" xfId="0" applyFont="1" applyBorder="1"/>
    <xf numFmtId="178" fontId="18" fillId="0" borderId="0" xfId="5" applyNumberFormat="1" applyFont="1" applyFill="1"/>
    <xf numFmtId="180" fontId="15" fillId="0" borderId="0" xfId="0" applyNumberFormat="1" applyFont="1"/>
    <xf numFmtId="14" fontId="0" fillId="0" borderId="0" xfId="0" applyNumberFormat="1"/>
    <xf numFmtId="0" fontId="18" fillId="0" borderId="0" xfId="5" applyFont="1"/>
    <xf numFmtId="0" fontId="4" fillId="0" borderId="0" xfId="5" applyFont="1"/>
    <xf numFmtId="0" fontId="22" fillId="0" borderId="0" xfId="5" applyFont="1"/>
    <xf numFmtId="10" fontId="0" fillId="0" borderId="0" xfId="1" applyNumberFormat="1" applyFont="1"/>
    <xf numFmtId="176" fontId="0" fillId="0" borderId="0" xfId="0" applyNumberFormat="1"/>
    <xf numFmtId="37" fontId="23" fillId="0" borderId="0" xfId="5" applyNumberFormat="1" applyFont="1" applyFill="1"/>
    <xf numFmtId="37" fontId="0" fillId="0" borderId="0" xfId="0" applyNumberFormat="1"/>
    <xf numFmtId="9" fontId="13" fillId="0" borderId="0" xfId="1" applyFont="1"/>
    <xf numFmtId="9" fontId="15" fillId="0" borderId="0" xfId="1" applyFont="1" applyFill="1"/>
    <xf numFmtId="0" fontId="0" fillId="2" borderId="0" xfId="0" applyFill="1" applyAlignment="1">
      <alignment horizontal="center"/>
    </xf>
    <xf numFmtId="166" fontId="4" fillId="0" borderId="0" xfId="5" applyNumberFormat="1" applyFont="1" applyFill="1"/>
    <xf numFmtId="37" fontId="15" fillId="0" borderId="0" xfId="0" applyNumberFormat="1" applyFont="1"/>
    <xf numFmtId="0" fontId="0" fillId="0" borderId="0" xfId="1" applyNumberFormat="1" applyFont="1"/>
    <xf numFmtId="0" fontId="24" fillId="0" borderId="9" xfId="0" applyFont="1" applyBorder="1"/>
    <xf numFmtId="0" fontId="0" fillId="0" borderId="10" xfId="0" applyBorder="1"/>
    <xf numFmtId="39" fontId="5" fillId="0" borderId="11" xfId="6" applyNumberFormat="1" applyFont="1" applyBorder="1"/>
    <xf numFmtId="39" fontId="9" fillId="0" borderId="11" xfId="6" applyNumberFormat="1" applyFont="1" applyBorder="1"/>
    <xf numFmtId="39" fontId="9" fillId="0" borderId="0" xfId="6" applyNumberFormat="1" applyFont="1"/>
    <xf numFmtId="39" fontId="9" fillId="0" borderId="11" xfId="6" applyNumberFormat="1" applyFont="1" applyBorder="1" applyAlignment="1">
      <alignment horizontal="right"/>
    </xf>
    <xf numFmtId="39" fontId="5" fillId="0" borderId="12" xfId="6" applyNumberFormat="1" applyFont="1" applyBorder="1"/>
    <xf numFmtId="181" fontId="9" fillId="0" borderId="12" xfId="6" applyNumberFormat="1" applyFont="1" applyBorder="1"/>
    <xf numFmtId="39" fontId="5" fillId="0" borderId="0" xfId="6" applyNumberFormat="1" applyFont="1"/>
    <xf numFmtId="39" fontId="9" fillId="0" borderId="0" xfId="6" applyNumberFormat="1" applyFont="1" applyAlignment="1">
      <alignment horizontal="right"/>
    </xf>
    <xf numFmtId="39" fontId="9" fillId="0" borderId="0" xfId="6" applyNumberFormat="1" applyFont="1" applyAlignment="1">
      <alignment horizontal="left" indent="1"/>
    </xf>
    <xf numFmtId="39" fontId="9" fillId="0" borderId="14" xfId="6" applyNumberFormat="1" applyFont="1" applyBorder="1"/>
    <xf numFmtId="39" fontId="28" fillId="0" borderId="0" xfId="6" applyNumberFormat="1" applyFont="1"/>
    <xf numFmtId="37" fontId="25" fillId="0" borderId="0" xfId="6" applyNumberFormat="1" applyFont="1" applyAlignment="1">
      <alignment horizontal="right"/>
    </xf>
    <xf numFmtId="37" fontId="7" fillId="2" borderId="0" xfId="6" applyNumberFormat="1" applyFont="1" applyFill="1"/>
    <xf numFmtId="37" fontId="25" fillId="0" borderId="0" xfId="6" applyNumberFormat="1" applyFont="1"/>
    <xf numFmtId="37" fontId="9" fillId="0" borderId="0" xfId="6" applyNumberFormat="1" applyFont="1" applyAlignment="1">
      <alignment horizontal="right"/>
    </xf>
    <xf numFmtId="37" fontId="9" fillId="2" borderId="13" xfId="6" applyNumberFormat="1" applyFont="1" applyFill="1" applyBorder="1"/>
    <xf numFmtId="37" fontId="9" fillId="0" borderId="0" xfId="6" applyNumberFormat="1" applyFont="1"/>
    <xf numFmtId="37" fontId="29" fillId="0" borderId="0" xfId="6" applyNumberFormat="1" applyFont="1" applyAlignment="1">
      <alignment horizontal="right"/>
    </xf>
    <xf numFmtId="37" fontId="27" fillId="0" borderId="0" xfId="6" applyNumberFormat="1" applyFont="1"/>
    <xf numFmtId="37" fontId="26" fillId="0" borderId="0" xfId="6" applyNumberFormat="1" applyFont="1" applyAlignment="1">
      <alignment horizontal="right"/>
    </xf>
    <xf numFmtId="37" fontId="27" fillId="0" borderId="0" xfId="6" applyNumberFormat="1" applyFont="1" applyAlignment="1">
      <alignment horizontal="right"/>
    </xf>
    <xf numFmtId="37" fontId="25" fillId="0" borderId="14" xfId="6" applyNumberFormat="1" applyFont="1" applyBorder="1" applyAlignment="1">
      <alignment horizontal="right"/>
    </xf>
    <xf numFmtId="37" fontId="5" fillId="2" borderId="13" xfId="6" applyNumberFormat="1" applyFont="1" applyFill="1" applyBorder="1"/>
    <xf numFmtId="37" fontId="5" fillId="0" borderId="0" xfId="6" applyNumberFormat="1" applyFont="1"/>
    <xf numFmtId="37" fontId="26" fillId="0" borderId="0" xfId="6" applyNumberFormat="1" applyFont="1"/>
    <xf numFmtId="37" fontId="7" fillId="0" borderId="0" xfId="6" applyNumberFormat="1" applyFont="1" applyAlignment="1">
      <alignment horizontal="right"/>
    </xf>
    <xf numFmtId="37" fontId="7" fillId="2" borderId="0" xfId="6" applyNumberFormat="1" applyFont="1" applyFill="1" applyAlignment="1">
      <alignment horizontal="right"/>
    </xf>
    <xf numFmtId="37" fontId="9" fillId="2" borderId="0" xfId="6" applyNumberFormat="1" applyFont="1" applyFill="1" applyAlignment="1">
      <alignment horizontal="right"/>
    </xf>
    <xf numFmtId="37" fontId="27" fillId="3" borderId="0" xfId="6" applyNumberFormat="1" applyFont="1" applyFill="1"/>
    <xf numFmtId="0" fontId="0" fillId="0" borderId="0" xfId="0"/>
    <xf numFmtId="0" fontId="2" fillId="0" borderId="0" xfId="0" applyFont="1"/>
    <xf numFmtId="0" fontId="17" fillId="0" borderId="3" xfId="5" applyFont="1" applyBorder="1" applyAlignment="1">
      <alignment horizontal="center"/>
    </xf>
    <xf numFmtId="0" fontId="17" fillId="0" borderId="4" xfId="5" applyFont="1" applyBorder="1" applyAlignment="1">
      <alignment horizontal="center"/>
    </xf>
    <xf numFmtId="0" fontId="17" fillId="0" borderId="5" xfId="5" applyFont="1" applyBorder="1" applyAlignment="1">
      <alignment horizontal="center"/>
    </xf>
    <xf numFmtId="0" fontId="32" fillId="0" borderId="9" xfId="0" applyFont="1" applyBorder="1"/>
    <xf numFmtId="0" fontId="33" fillId="0" borderId="0" xfId="0" applyFont="1"/>
    <xf numFmtId="0" fontId="18" fillId="0" borderId="0" xfId="0" applyFont="1" applyAlignment="1">
      <alignment horizontal="center"/>
    </xf>
    <xf numFmtId="167" fontId="34" fillId="0" borderId="0" xfId="0" applyNumberFormat="1" applyFont="1"/>
    <xf numFmtId="0" fontId="0" fillId="0" borderId="15" xfId="0" applyBorder="1"/>
    <xf numFmtId="0" fontId="0" fillId="0" borderId="16" xfId="0" applyBorder="1"/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0" xfId="0" applyFont="1"/>
    <xf numFmtId="0" fontId="0" fillId="0" borderId="18" xfId="0" applyBorder="1"/>
    <xf numFmtId="166" fontId="18" fillId="0" borderId="1" xfId="0" applyNumberFormat="1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0" fillId="0" borderId="0" xfId="0" applyAlignment="1">
      <alignment horizontal="right"/>
    </xf>
    <xf numFmtId="168" fontId="34" fillId="0" borderId="0" xfId="0" applyNumberFormat="1" applyFont="1"/>
    <xf numFmtId="168" fontId="34" fillId="0" borderId="18" xfId="0" applyNumberFormat="1" applyFont="1" applyBorder="1"/>
    <xf numFmtId="0" fontId="0" fillId="0" borderId="0" xfId="0" applyAlignment="1">
      <alignment horizontal="center"/>
    </xf>
    <xf numFmtId="182" fontId="0" fillId="0" borderId="19" xfId="0" applyNumberFormat="1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21" xfId="0" applyBorder="1"/>
    <xf numFmtId="168" fontId="0" fillId="0" borderId="0" xfId="0" applyNumberFormat="1"/>
    <xf numFmtId="183" fontId="0" fillId="2" borderId="0" xfId="0" applyNumberFormat="1" applyFill="1"/>
    <xf numFmtId="183" fontId="0" fillId="0" borderId="0" xfId="0" applyNumberFormat="1"/>
    <xf numFmtId="177" fontId="34" fillId="0" borderId="0" xfId="0" applyNumberFormat="1" applyFont="1"/>
    <xf numFmtId="168" fontId="0" fillId="2" borderId="0" xfId="0" applyNumberFormat="1" applyFill="1"/>
    <xf numFmtId="0" fontId="32" fillId="0" borderId="0" xfId="0" applyFont="1"/>
    <xf numFmtId="0" fontId="38" fillId="0" borderId="0" xfId="0" applyFont="1"/>
    <xf numFmtId="0" fontId="39" fillId="0" borderId="11" xfId="0" applyFont="1" applyBorder="1"/>
    <xf numFmtId="0" fontId="0" fillId="0" borderId="11" xfId="0" applyBorder="1"/>
    <xf numFmtId="9" fontId="40" fillId="0" borderId="11" xfId="1" applyFont="1" applyBorder="1" applyAlignment="1">
      <alignment horizontal="left"/>
    </xf>
    <xf numFmtId="0" fontId="41" fillId="0" borderId="22" xfId="0" applyFont="1" applyBorder="1"/>
    <xf numFmtId="0" fontId="42" fillId="0" borderId="22" xfId="0" applyFont="1" applyBorder="1"/>
    <xf numFmtId="9" fontId="43" fillId="0" borderId="22" xfId="1" applyFont="1" applyBorder="1" applyAlignment="1">
      <alignment horizontal="left"/>
    </xf>
    <xf numFmtId="0" fontId="44" fillId="4" borderId="23" xfId="0" applyFont="1" applyFill="1" applyBorder="1" applyAlignment="1">
      <alignment horizontal="centerContinuous"/>
    </xf>
    <xf numFmtId="0" fontId="45" fillId="4" borderId="24" xfId="0" applyFont="1" applyFill="1" applyBorder="1" applyAlignment="1">
      <alignment horizontal="centerContinuous"/>
    </xf>
    <xf numFmtId="0" fontId="45" fillId="4" borderId="25" xfId="0" applyFont="1" applyFill="1" applyBorder="1" applyAlignment="1">
      <alignment horizontal="centerContinuous"/>
    </xf>
    <xf numFmtId="0" fontId="46" fillId="0" borderId="0" xfId="0" applyFont="1"/>
    <xf numFmtId="0" fontId="45" fillId="4" borderId="13" xfId="0" applyFont="1" applyFill="1" applyBorder="1" applyAlignment="1">
      <alignment horizontal="centerContinuous"/>
    </xf>
    <xf numFmtId="0" fontId="46" fillId="0" borderId="18" xfId="0" applyFont="1" applyBorder="1"/>
    <xf numFmtId="167" fontId="47" fillId="2" borderId="19" xfId="0" applyNumberFormat="1" applyFont="1" applyFill="1" applyBorder="1"/>
    <xf numFmtId="184" fontId="47" fillId="2" borderId="19" xfId="0" applyNumberFormat="1" applyFont="1" applyFill="1" applyBorder="1"/>
    <xf numFmtId="168" fontId="47" fillId="2" borderId="19" xfId="0" applyNumberFormat="1" applyFont="1" applyFill="1" applyBorder="1"/>
    <xf numFmtId="168" fontId="46" fillId="2" borderId="19" xfId="0" applyNumberFormat="1" applyFont="1" applyFill="1" applyBorder="1"/>
    <xf numFmtId="184" fontId="46" fillId="2" borderId="19" xfId="0" applyNumberFormat="1" applyFont="1" applyFill="1" applyBorder="1"/>
    <xf numFmtId="185" fontId="47" fillId="2" borderId="19" xfId="0" applyNumberFormat="1" applyFont="1" applyFill="1" applyBorder="1"/>
    <xf numFmtId="0" fontId="46" fillId="0" borderId="20" xfId="0" applyFont="1" applyBorder="1"/>
    <xf numFmtId="0" fontId="46" fillId="0" borderId="14" xfId="0" applyFont="1" applyBorder="1"/>
    <xf numFmtId="183" fontId="47" fillId="2" borderId="19" xfId="0" applyNumberFormat="1" applyFont="1" applyFill="1" applyBorder="1" applyAlignment="1">
      <alignment horizontal="right"/>
    </xf>
    <xf numFmtId="0" fontId="46" fillId="0" borderId="16" xfId="0" applyFont="1" applyBorder="1"/>
    <xf numFmtId="168" fontId="48" fillId="0" borderId="16" xfId="0" applyNumberFormat="1" applyFont="1" applyBorder="1" applyAlignment="1">
      <alignment horizontal="right"/>
    </xf>
    <xf numFmtId="185" fontId="46" fillId="0" borderId="0" xfId="0" applyNumberFormat="1" applyFont="1"/>
    <xf numFmtId="183" fontId="46" fillId="0" borderId="18" xfId="0" applyNumberFormat="1" applyFont="1" applyBorder="1"/>
    <xf numFmtId="0" fontId="46" fillId="0" borderId="18" xfId="0" quotePrefix="1" applyFont="1" applyBorder="1"/>
    <xf numFmtId="168" fontId="49" fillId="2" borderId="19" xfId="0" applyNumberFormat="1" applyFont="1" applyFill="1" applyBorder="1"/>
    <xf numFmtId="164" fontId="46" fillId="0" borderId="18" xfId="0" applyNumberFormat="1" applyFont="1" applyBorder="1"/>
    <xf numFmtId="164" fontId="46" fillId="2" borderId="19" xfId="0" applyNumberFormat="1" applyFont="1" applyFill="1" applyBorder="1" applyAlignment="1">
      <alignment horizontal="right"/>
    </xf>
    <xf numFmtId="0" fontId="46" fillId="0" borderId="20" xfId="0" quotePrefix="1" applyFont="1" applyBorder="1"/>
    <xf numFmtId="183" fontId="48" fillId="2" borderId="21" xfId="0" applyNumberFormat="1" applyFont="1" applyFill="1" applyBorder="1"/>
    <xf numFmtId="164" fontId="49" fillId="2" borderId="19" xfId="0" applyNumberFormat="1" applyFont="1" applyFill="1" applyBorder="1" applyAlignment="1">
      <alignment horizontal="right"/>
    </xf>
    <xf numFmtId="183" fontId="46" fillId="0" borderId="18" xfId="0" quotePrefix="1" applyNumberFormat="1" applyFont="1" applyBorder="1"/>
    <xf numFmtId="183" fontId="48" fillId="2" borderId="19" xfId="0" applyNumberFormat="1" applyFont="1" applyFill="1" applyBorder="1" applyAlignment="1">
      <alignment horizontal="right"/>
    </xf>
    <xf numFmtId="183" fontId="46" fillId="0" borderId="16" xfId="0" quotePrefix="1" applyNumberFormat="1" applyFont="1" applyBorder="1"/>
    <xf numFmtId="183" fontId="46" fillId="0" borderId="16" xfId="0" applyNumberFormat="1" applyFont="1" applyBorder="1" applyAlignment="1">
      <alignment horizontal="right"/>
    </xf>
    <xf numFmtId="0" fontId="0" fillId="0" borderId="0" xfId="0" quotePrefix="1"/>
    <xf numFmtId="0" fontId="50" fillId="0" borderId="0" xfId="0" applyFont="1"/>
    <xf numFmtId="183" fontId="50" fillId="0" borderId="0" xfId="0" quotePrefix="1" applyNumberFormat="1" applyFont="1"/>
    <xf numFmtId="183" fontId="50" fillId="0" borderId="0" xfId="0" applyNumberFormat="1" applyFont="1"/>
    <xf numFmtId="0" fontId="51" fillId="0" borderId="0" xfId="0" applyFont="1"/>
    <xf numFmtId="9" fontId="38" fillId="0" borderId="11" xfId="1" applyFont="1" applyBorder="1" applyAlignment="1">
      <alignment horizontal="left"/>
    </xf>
    <xf numFmtId="0" fontId="52" fillId="0" borderId="22" xfId="0" applyFont="1" applyBorder="1"/>
    <xf numFmtId="9" fontId="38" fillId="0" borderId="0" xfId="1" applyFont="1" applyBorder="1" applyAlignment="1">
      <alignment horizontal="left"/>
    </xf>
    <xf numFmtId="0" fontId="53" fillId="0" borderId="0" xfId="0" applyFont="1"/>
    <xf numFmtId="0" fontId="45" fillId="4" borderId="23" xfId="0" applyFont="1" applyFill="1" applyBorder="1" applyAlignment="1">
      <alignment horizontal="centerContinuous"/>
    </xf>
    <xf numFmtId="0" fontId="53" fillId="0" borderId="18" xfId="0" applyFont="1" applyBorder="1"/>
    <xf numFmtId="183" fontId="54" fillId="2" borderId="19" xfId="0" applyNumberFormat="1" applyFont="1" applyFill="1" applyBorder="1"/>
    <xf numFmtId="164" fontId="53" fillId="2" borderId="19" xfId="0" applyNumberFormat="1" applyFont="1" applyFill="1" applyBorder="1"/>
    <xf numFmtId="164" fontId="55" fillId="2" borderId="19" xfId="0" applyNumberFormat="1" applyFont="1" applyFill="1" applyBorder="1"/>
    <xf numFmtId="0" fontId="53" fillId="0" borderId="20" xfId="0" applyFont="1" applyBorder="1"/>
    <xf numFmtId="0" fontId="56" fillId="0" borderId="14" xfId="0" applyFont="1" applyBorder="1"/>
    <xf numFmtId="183" fontId="57" fillId="2" borderId="21" xfId="0" applyNumberFormat="1" applyFont="1" applyFill="1" applyBorder="1"/>
    <xf numFmtId="183" fontId="53" fillId="0" borderId="0" xfId="0" applyNumberFormat="1" applyFont="1"/>
    <xf numFmtId="183" fontId="58" fillId="2" borderId="19" xfId="0" applyNumberFormat="1" applyFont="1" applyFill="1" applyBorder="1"/>
    <xf numFmtId="164" fontId="59" fillId="2" borderId="19" xfId="0" applyNumberFormat="1" applyFont="1" applyFill="1" applyBorder="1"/>
    <xf numFmtId="183" fontId="56" fillId="2" borderId="21" xfId="0" applyNumberFormat="1" applyFont="1" applyFill="1" applyBorder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33" fillId="0" borderId="11" xfId="0" applyFont="1" applyBorder="1"/>
    <xf numFmtId="0" fontId="63" fillId="0" borderId="11" xfId="0" applyFont="1" applyBorder="1"/>
    <xf numFmtId="9" fontId="18" fillId="0" borderId="11" xfId="1" applyFont="1" applyBorder="1" applyAlignment="1">
      <alignment horizontal="left"/>
    </xf>
    <xf numFmtId="0" fontId="64" fillId="0" borderId="22" xfId="0" applyFont="1" applyBorder="1"/>
    <xf numFmtId="0" fontId="65" fillId="0" borderId="22" xfId="0" applyFont="1" applyBorder="1"/>
    <xf numFmtId="0" fontId="19" fillId="0" borderId="22" xfId="0" applyFont="1" applyBorder="1"/>
    <xf numFmtId="9" fontId="18" fillId="0" borderId="0" xfId="1" applyFont="1" applyBorder="1" applyAlignment="1">
      <alignment horizontal="left"/>
    </xf>
    <xf numFmtId="9" fontId="18" fillId="0" borderId="0" xfId="1" applyFont="1" applyAlignment="1">
      <alignment horizontal="center"/>
    </xf>
    <xf numFmtId="0" fontId="66" fillId="0" borderId="0" xfId="0" applyFont="1"/>
    <xf numFmtId="0" fontId="0" fillId="0" borderId="14" xfId="0" applyBorder="1" applyAlignment="1">
      <alignment horizontal="centerContinuous"/>
    </xf>
    <xf numFmtId="0" fontId="0" fillId="0" borderId="14" xfId="0" applyBorder="1" applyAlignment="1">
      <alignment horizontal="center"/>
    </xf>
    <xf numFmtId="178" fontId="23" fillId="0" borderId="0" xfId="0" applyNumberFormat="1" applyFont="1"/>
    <xf numFmtId="183" fontId="62" fillId="0" borderId="0" xfId="0" applyNumberFormat="1" applyFont="1"/>
    <xf numFmtId="183" fontId="23" fillId="2" borderId="0" xfId="0" applyNumberFormat="1" applyFont="1" applyFill="1"/>
    <xf numFmtId="178" fontId="0" fillId="0" borderId="0" xfId="0" applyNumberFormat="1"/>
    <xf numFmtId="164" fontId="0" fillId="0" borderId="0" xfId="0" applyNumberFormat="1"/>
    <xf numFmtId="164" fontId="62" fillId="0" borderId="0" xfId="0" applyNumberFormat="1" applyFont="1"/>
    <xf numFmtId="164" fontId="0" fillId="2" borderId="0" xfId="0" applyNumberFormat="1" applyFill="1"/>
    <xf numFmtId="37" fontId="23" fillId="0" borderId="0" xfId="0" applyNumberFormat="1" applyFont="1"/>
    <xf numFmtId="164" fontId="23" fillId="2" borderId="0" xfId="0" applyNumberFormat="1" applyFont="1" applyFill="1"/>
    <xf numFmtId="183" fontId="18" fillId="0" borderId="0" xfId="0" applyNumberFormat="1" applyFont="1"/>
    <xf numFmtId="178" fontId="18" fillId="0" borderId="26" xfId="0" applyNumberFormat="1" applyFont="1" applyBorder="1"/>
    <xf numFmtId="0" fontId="19" fillId="0" borderId="0" xfId="0" applyFont="1"/>
    <xf numFmtId="168" fontId="19" fillId="0" borderId="0" xfId="0" applyNumberFormat="1" applyFont="1"/>
    <xf numFmtId="0" fontId="67" fillId="0" borderId="0" xfId="0" applyFont="1"/>
    <xf numFmtId="0" fontId="68" fillId="0" borderId="0" xfId="0" applyFont="1"/>
    <xf numFmtId="178" fontId="23" fillId="5" borderId="0" xfId="0" applyNumberFormat="1" applyFont="1" applyFill="1"/>
    <xf numFmtId="178" fontId="23" fillId="2" borderId="0" xfId="0" applyNumberFormat="1" applyFont="1" applyFill="1"/>
    <xf numFmtId="37" fontId="0" fillId="5" borderId="0" xfId="0" applyNumberFormat="1" applyFill="1"/>
    <xf numFmtId="37" fontId="0" fillId="2" borderId="0" xfId="0" applyNumberFormat="1" applyFill="1"/>
    <xf numFmtId="184" fontId="0" fillId="5" borderId="0" xfId="0" applyNumberFormat="1" applyFill="1"/>
    <xf numFmtId="184" fontId="0" fillId="0" borderId="0" xfId="0" applyNumberFormat="1"/>
    <xf numFmtId="184" fontId="0" fillId="2" borderId="0" xfId="0" applyNumberFormat="1" applyFill="1"/>
    <xf numFmtId="178" fontId="0" fillId="5" borderId="0" xfId="0" applyNumberFormat="1" applyFill="1"/>
    <xf numFmtId="186" fontId="0" fillId="5" borderId="0" xfId="0" applyNumberFormat="1" applyFill="1"/>
    <xf numFmtId="186" fontId="0" fillId="2" borderId="0" xfId="0" applyNumberFormat="1" applyFill="1"/>
    <xf numFmtId="0" fontId="69" fillId="0" borderId="0" xfId="0" applyFont="1"/>
    <xf numFmtId="0" fontId="18" fillId="0" borderId="1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166" fontId="18" fillId="0" borderId="28" xfId="0" applyNumberFormat="1" applyFont="1" applyBorder="1" applyAlignment="1">
      <alignment horizontal="center"/>
    </xf>
    <xf numFmtId="0" fontId="0" fillId="2" borderId="0" xfId="0" applyFill="1"/>
    <xf numFmtId="0" fontId="18" fillId="0" borderId="0" xfId="0" applyFont="1" applyAlignment="1">
      <alignment horizontal="left" indent="1"/>
    </xf>
    <xf numFmtId="0" fontId="0" fillId="0" borderId="0" xfId="0" quotePrefix="1" applyAlignment="1">
      <alignment horizontal="right"/>
    </xf>
    <xf numFmtId="168" fontId="23" fillId="0" borderId="0" xfId="0" applyNumberFormat="1" applyFont="1"/>
    <xf numFmtId="168" fontId="23" fillId="2" borderId="0" xfId="0" applyNumberFormat="1" applyFont="1" applyFill="1"/>
    <xf numFmtId="185" fontId="0" fillId="0" borderId="0" xfId="0" applyNumberFormat="1"/>
    <xf numFmtId="0" fontId="70" fillId="0" borderId="0" xfId="0" applyFont="1"/>
    <xf numFmtId="0" fontId="35" fillId="0" borderId="0" xfId="0" applyFont="1"/>
    <xf numFmtId="167" fontId="0" fillId="2" borderId="0" xfId="0" applyNumberFormat="1" applyFill="1"/>
    <xf numFmtId="165" fontId="34" fillId="0" borderId="0" xfId="0" applyNumberFormat="1" applyFont="1"/>
    <xf numFmtId="165" fontId="0" fillId="2" borderId="0" xfId="0" applyNumberFormat="1" applyFill="1"/>
    <xf numFmtId="165" fontId="23" fillId="2" borderId="0" xfId="0" applyNumberFormat="1" applyFont="1" applyFill="1"/>
    <xf numFmtId="0" fontId="18" fillId="0" borderId="0" xfId="0" quotePrefix="1" applyFont="1"/>
    <xf numFmtId="183" fontId="18" fillId="2" borderId="0" xfId="0" applyNumberFormat="1" applyFont="1" applyFill="1"/>
    <xf numFmtId="167" fontId="18" fillId="2" borderId="0" xfId="0" applyNumberFormat="1" applyFont="1" applyFill="1"/>
    <xf numFmtId="167" fontId="74" fillId="0" borderId="0" xfId="0" applyNumberFormat="1" applyFont="1" applyFill="1"/>
    <xf numFmtId="167" fontId="74" fillId="0" borderId="0" xfId="0" applyNumberFormat="1" applyFont="1"/>
    <xf numFmtId="177" fontId="13" fillId="0" borderId="0" xfId="0" applyNumberFormat="1" applyFont="1" applyFill="1"/>
    <xf numFmtId="0" fontId="61" fillId="0" borderId="1" xfId="0" applyFont="1" applyBorder="1" applyAlignment="1">
      <alignment horizontal="center"/>
    </xf>
    <xf numFmtId="183" fontId="15" fillId="2" borderId="0" xfId="0" applyNumberFormat="1" applyFont="1" applyFill="1"/>
    <xf numFmtId="168" fontId="15" fillId="2" borderId="0" xfId="0" applyNumberFormat="1" applyFont="1" applyFill="1"/>
    <xf numFmtId="0" fontId="75" fillId="0" borderId="0" xfId="0" applyFont="1"/>
    <xf numFmtId="167" fontId="8" fillId="0" borderId="0" xfId="0" applyNumberFormat="1" applyFont="1"/>
    <xf numFmtId="37" fontId="8" fillId="2" borderId="0" xfId="0" applyNumberFormat="1" applyFont="1" applyFill="1"/>
    <xf numFmtId="37" fontId="7" fillId="2" borderId="0" xfId="0" applyNumberFormat="1" applyFont="1" applyFill="1"/>
    <xf numFmtId="0" fontId="11" fillId="0" borderId="0" xfId="0" applyFont="1"/>
    <xf numFmtId="37" fontId="11" fillId="0" borderId="26" xfId="0" applyNumberFormat="1" applyFont="1" applyBorder="1"/>
    <xf numFmtId="178" fontId="11" fillId="0" borderId="26" xfId="0" applyNumberFormat="1" applyFont="1" applyBorder="1"/>
    <xf numFmtId="178" fontId="8" fillId="2" borderId="0" xfId="0" applyNumberFormat="1" applyFont="1" applyFill="1"/>
    <xf numFmtId="0" fontId="11" fillId="0" borderId="0" xfId="0" applyFont="1" applyAlignment="1">
      <alignment horizontal="center"/>
    </xf>
    <xf numFmtId="178" fontId="7" fillId="0" borderId="0" xfId="0" applyNumberFormat="1" applyFont="1"/>
    <xf numFmtId="188" fontId="11" fillId="0" borderId="0" xfId="0" applyNumberFormat="1" applyFont="1"/>
    <xf numFmtId="0" fontId="76" fillId="0" borderId="0" xfId="0" applyFont="1"/>
    <xf numFmtId="0" fontId="8" fillId="0" borderId="0" xfId="0" applyFont="1"/>
    <xf numFmtId="167" fontId="7" fillId="0" borderId="0" xfId="0" applyNumberFormat="1" applyFont="1"/>
    <xf numFmtId="0" fontId="77" fillId="0" borderId="9" xfId="0" applyFont="1" applyBorder="1"/>
    <xf numFmtId="0" fontId="78" fillId="0" borderId="10" xfId="0" applyFont="1" applyBorder="1"/>
    <xf numFmtId="0" fontId="79" fillId="6" borderId="0" xfId="0" applyFont="1" applyFill="1"/>
    <xf numFmtId="0" fontId="0" fillId="6" borderId="0" xfId="0" applyFill="1"/>
    <xf numFmtId="0" fontId="8" fillId="2" borderId="0" xfId="0" applyFont="1" applyFill="1"/>
    <xf numFmtId="167" fontId="8" fillId="2" borderId="0" xfId="0" applyNumberFormat="1" applyFont="1" applyFill="1"/>
    <xf numFmtId="0" fontId="11" fillId="0" borderId="0" xfId="0" applyFont="1" applyAlignment="1">
      <alignment horizontal="left" indent="1"/>
    </xf>
    <xf numFmtId="164" fontId="11" fillId="0" borderId="0" xfId="0" applyNumberFormat="1" applyFont="1"/>
    <xf numFmtId="164" fontId="8" fillId="2" borderId="0" xfId="0" applyNumberFormat="1" applyFont="1" applyFill="1"/>
    <xf numFmtId="178" fontId="11" fillId="0" borderId="0" xfId="0" applyNumberFormat="1" applyFont="1"/>
    <xf numFmtId="188" fontId="8" fillId="2" borderId="0" xfId="0" applyNumberFormat="1" applyFont="1" applyFill="1"/>
    <xf numFmtId="188" fontId="7" fillId="0" borderId="0" xfId="0" applyNumberFormat="1" applyFont="1"/>
    <xf numFmtId="177" fontId="8" fillId="2" borderId="0" xfId="0" applyNumberFormat="1" applyFont="1" applyFill="1"/>
    <xf numFmtId="0" fontId="80" fillId="6" borderId="0" xfId="0" applyFont="1" applyFill="1"/>
    <xf numFmtId="0" fontId="79" fillId="0" borderId="0" xfId="0" applyFont="1"/>
    <xf numFmtId="0" fontId="80" fillId="0" borderId="0" xfId="0" applyFont="1"/>
    <xf numFmtId="0" fontId="11" fillId="7" borderId="16" xfId="0" applyFont="1" applyFill="1" applyBorder="1" applyAlignment="1">
      <alignment horizontal="centerContinuous"/>
    </xf>
    <xf numFmtId="170" fontId="11" fillId="0" borderId="24" xfId="0" applyNumberFormat="1" applyFont="1" applyBorder="1" applyAlignment="1">
      <alignment horizontal="center"/>
    </xf>
    <xf numFmtId="176" fontId="11" fillId="0" borderId="24" xfId="0" applyNumberFormat="1" applyFont="1" applyBorder="1" applyAlignment="1">
      <alignment horizontal="center"/>
    </xf>
    <xf numFmtId="164" fontId="7" fillId="0" borderId="0" xfId="0" applyNumberFormat="1" applyFont="1"/>
    <xf numFmtId="0" fontId="81" fillId="0" borderId="0" xfId="0" applyFont="1" applyAlignment="1">
      <alignment horizontal="left" indent="1"/>
    </xf>
    <xf numFmtId="180" fontId="8" fillId="2" borderId="0" xfId="0" applyNumberFormat="1" applyFont="1" applyFill="1"/>
    <xf numFmtId="180" fontId="7" fillId="2" borderId="0" xfId="0" applyNumberFormat="1" applyFont="1" applyFill="1"/>
    <xf numFmtId="180" fontId="0" fillId="0" borderId="0" xfId="0" applyNumberFormat="1"/>
    <xf numFmtId="164" fontId="11" fillId="0" borderId="16" xfId="0" applyNumberFormat="1" applyFont="1" applyBorder="1"/>
    <xf numFmtId="164" fontId="0" fillId="0" borderId="16" xfId="0" applyNumberFormat="1" applyBorder="1"/>
    <xf numFmtId="164" fontId="0" fillId="8" borderId="13" xfId="0" applyNumberFormat="1" applyFill="1" applyBorder="1"/>
    <xf numFmtId="167" fontId="0" fillId="8" borderId="13" xfId="0" applyNumberFormat="1" applyFill="1" applyBorder="1"/>
    <xf numFmtId="177" fontId="0" fillId="8" borderId="13" xfId="0" applyNumberFormat="1" applyFill="1" applyBorder="1"/>
    <xf numFmtId="164" fontId="8" fillId="0" borderId="0" xfId="0" applyNumberFormat="1" applyFont="1" applyFill="1"/>
    <xf numFmtId="164" fontId="0" fillId="0" borderId="0" xfId="0" applyNumberFormat="1" applyBorder="1"/>
    <xf numFmtId="176" fontId="11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/>
    <xf numFmtId="180" fontId="7" fillId="0" borderId="0" xfId="0" applyNumberFormat="1" applyFont="1" applyFill="1" applyBorder="1"/>
    <xf numFmtId="0" fontId="0" fillId="0" borderId="0" xfId="0" applyFill="1" applyBorder="1"/>
    <xf numFmtId="164" fontId="7" fillId="0" borderId="0" xfId="0" applyNumberFormat="1" applyFont="1" applyFill="1" applyBorder="1"/>
    <xf numFmtId="164" fontId="11" fillId="0" borderId="0" xfId="0" applyNumberFormat="1" applyFont="1" applyFill="1" applyBorder="1"/>
    <xf numFmtId="0" fontId="11" fillId="0" borderId="0" xfId="0" applyFont="1" applyFill="1" applyBorder="1" applyAlignment="1">
      <alignment horizontal="centerContinuous"/>
    </xf>
    <xf numFmtId="164" fontId="8" fillId="0" borderId="0" xfId="0" applyNumberFormat="1" applyFont="1" applyFill="1" applyBorder="1"/>
    <xf numFmtId="0" fontId="0" fillId="0" borderId="18" xfId="0" applyFill="1" applyBorder="1"/>
    <xf numFmtId="0" fontId="11" fillId="0" borderId="18" xfId="0" applyFont="1" applyFill="1" applyBorder="1" applyAlignment="1">
      <alignment horizontal="centerContinuous"/>
    </xf>
    <xf numFmtId="0" fontId="11" fillId="7" borderId="15" xfId="0" applyFont="1" applyFill="1" applyBorder="1" applyAlignment="1">
      <alignment horizontal="right"/>
    </xf>
    <xf numFmtId="0" fontId="11" fillId="7" borderId="16" xfId="0" applyFont="1" applyFill="1" applyBorder="1" applyAlignment="1">
      <alignment horizontal="center" vertical="center"/>
    </xf>
    <xf numFmtId="164" fontId="14" fillId="0" borderId="0" xfId="0" applyNumberFormat="1" applyFont="1" applyFill="1"/>
    <xf numFmtId="0" fontId="0" fillId="0" borderId="0" xfId="0" applyAlignment="1">
      <alignment vertical="center"/>
    </xf>
    <xf numFmtId="0" fontId="76" fillId="0" borderId="0" xfId="0" applyFont="1" applyAlignment="1">
      <alignment horizontal="left"/>
    </xf>
    <xf numFmtId="166" fontId="11" fillId="0" borderId="0" xfId="0" applyNumberFormat="1" applyFont="1" applyAlignment="1">
      <alignment horizontal="center"/>
    </xf>
    <xf numFmtId="0" fontId="11" fillId="0" borderId="27" xfId="0" applyFont="1" applyBorder="1" applyAlignment="1">
      <alignment horizontal="center"/>
    </xf>
    <xf numFmtId="178" fontId="8" fillId="0" borderId="0" xfId="0" applyNumberFormat="1" applyFont="1"/>
    <xf numFmtId="178" fontId="0" fillId="0" borderId="29" xfId="0" applyNumberFormat="1" applyBorder="1"/>
    <xf numFmtId="37" fontId="8" fillId="0" borderId="0" xfId="0" applyNumberFormat="1" applyFont="1"/>
    <xf numFmtId="37" fontId="9" fillId="0" borderId="29" xfId="0" applyNumberFormat="1" applyFont="1" applyBorder="1"/>
    <xf numFmtId="178" fontId="11" fillId="0" borderId="30" xfId="0" applyNumberFormat="1" applyFont="1" applyBorder="1"/>
    <xf numFmtId="178" fontId="5" fillId="0" borderId="31" xfId="0" applyNumberFormat="1" applyFont="1" applyBorder="1"/>
    <xf numFmtId="37" fontId="9" fillId="0" borderId="28" xfId="0" applyNumberFormat="1" applyFont="1" applyBorder="1"/>
    <xf numFmtId="0" fontId="18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178" fontId="15" fillId="0" borderId="0" xfId="0" applyNumberFormat="1" applyFont="1"/>
    <xf numFmtId="37" fontId="7" fillId="0" borderId="0" xfId="0" applyNumberFormat="1" applyFont="1"/>
    <xf numFmtId="174" fontId="0" fillId="2" borderId="0" xfId="0" applyNumberFormat="1" applyFill="1"/>
  </cellXfs>
  <cellStyles count="7">
    <cellStyle name="Normal" xfId="0" builtinId="0"/>
    <cellStyle name="Normal 2" xfId="3" xr:uid="{F4D0EE5F-2B22-9147-BAC3-F1844D2D9D89}"/>
    <cellStyle name="Normal 3" xfId="6" xr:uid="{C0EDFF5A-7D91-C94A-8025-85F6476039FA}"/>
    <cellStyle name="Normal 3 2 2" xfId="2" xr:uid="{EBF6132A-EA83-DD46-90E0-4FBCD5E7A427}"/>
    <cellStyle name="Normal 5" xfId="4" xr:uid="{06BC4535-CCA1-414C-A5CB-0DFE4ADF5837}"/>
    <cellStyle name="Normal_JCP DCF 2Q08 v8" xfId="5" xr:uid="{7223D940-9DD0-BD4E-97BE-96F27EA78D3E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garmarathe/Downloads/ACFM%20Assignment%207%20-%20FirstName.LastName%20(1).xlsx" TargetMode="External"/><Relationship Id="rId1" Type="http://schemas.openxmlformats.org/officeDocument/2006/relationships/externalLinkPath" Target="/Users/sagarmarathe/Downloads/ACFM%20Assignment%207%20-%20FirstName.LastNam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"/>
      <sheetName val="Deal Assumptions"/>
      <sheetName val="Sources &amp; Uses"/>
      <sheetName val="OPBS"/>
      <sheetName val="AMZN BS"/>
      <sheetName val="WFM BS"/>
      <sheetName val="IS"/>
      <sheetName val="AMZN IS"/>
      <sheetName val="WFM 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gar Marathe" id="{277A122F-4847-8A44-AA62-2C9411F22DDF}" userId="S::sm3015@scarletmail.rutgers.edu::f464ecd4-5643-479f-9bc9-134acab2dd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4-11-28T15:04:44.05" personId="{277A122F-4847-8A44-AA62-2C9411F22DDF}" id="{A3F6F603-51FE-4C45-922C-FD99522B8890}">
    <text>YUM 10-K Pg 46 (Debt obligations &amp; Interest payments)</text>
  </threadedComment>
  <threadedComment ref="B6" dT="2024-11-28T14:22:02.93" personId="{277A122F-4847-8A44-AA62-2C9411F22DDF}" id="{D2C5C134-A597-A64D-A475-9ECE627985DB}">
    <text xml:space="preserve">Average Tax/EBT </text>
  </threadedComment>
  <threadedComment ref="C6" dT="2024-11-28T14:30:31.30" personId="{277A122F-4847-8A44-AA62-2C9411F22DDF}" id="{07FFE9D1-0FF3-8F4A-9C72-69D2221FFD7B}">
    <text>YUM 10-Q Pg 7 (LT(11,169) + ST(24))</text>
  </threadedComment>
  <threadedComment ref="F6" dT="2024-11-28T14:21:44.55" personId="{277A122F-4847-8A44-AA62-2C9411F22DDF}" id="{C2DF6288-01E8-B94F-8F33-BF37308E2C8B}">
    <text xml:space="preserve">US 10-YR T-bill Yield
</text>
  </threadedComment>
  <threadedComment ref="G6" dT="2024-11-28T14:15:29.58" personId="{277A122F-4847-8A44-AA62-2C9411F22DDF}" id="{E965DC5B-98A6-034B-8B31-C7D58CC729F9}">
    <text>YFinance (5 Yr monthly avg)</text>
  </threadedComment>
  <threadedComment ref="H6" dT="2024-11-28T14:20:50.41" personId="{277A122F-4847-8A44-AA62-2C9411F22DDF}" id="{5C7B8D68-53FF-6C44-BCA7-A8091E57788E}">
    <text>https://pages.stern.nyu.edu/~adamodar/
Implied ERP on November 1, 2024= 4.04%</text>
    <extLst>
      <x:ext xmlns:xltc2="http://schemas.microsoft.com/office/spreadsheetml/2020/threadedcomments2" uri="{F7C98A9C-CBB3-438F-8F68-D28B6AF4A901}">
        <xltc2:checksum>1478827391</xltc2:checksum>
        <xltc2:hyperlink startIndex="0" length="38" url="https://pages.stern.nyu.edu/~adamodar/"/>
      </x:ext>
    </extLst>
  </threadedComment>
  <threadedComment ref="G15" dT="2024-11-28T14:36:29.62" personId="{277A122F-4847-8A44-AA62-2C9411F22DDF}" id="{E667BF91-CB6A-B34C-B901-851949DC6E35}">
    <text>YUM 10-K Pg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0" dT="2024-11-28T18:24:42.64" personId="{277A122F-4847-8A44-AA62-2C9411F22DDF}" id="{A0E18A93-21A3-0B45-A049-5917DFB8191C}">
    <text>YUM 10-K 12-31-2023 Pg 36 
Average of last 3 years</text>
  </threadedComment>
  <threadedComment ref="G72" dT="2024-12-01T15:38:03.48" personId="{277A122F-4847-8A44-AA62-2C9411F22DDF}" id="{C5867172-006E-4248-B916-B2F1BE67548A}">
    <text xml:space="preserve">YUM 10-Q 9/30/24 Pg 7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0" dT="2024-12-04T01:24:13.82" personId="{277A122F-4847-8A44-AA62-2C9411F22DDF}" id="{0147EEC5-C209-144B-ADB8-0581EB5BA952}">
    <text>YUM 12-2023  10-K Pg 76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0" dT="2024-12-07T03:57:00.39" personId="{277A122F-4847-8A44-AA62-2C9411F22DDF}" id="{DA839A19-9464-C74C-A631-7EA891421480}">
    <text xml:space="preserve">YUM 10-K 12-2023 B/S
</text>
  </threadedComment>
  <threadedComment ref="C11" dT="2024-12-07T03:57:10.13" personId="{277A122F-4847-8A44-AA62-2C9411F22DDF}" id="{6A624BD0-6A90-4F4C-B7AA-B1772B8529DE}">
    <text>YUM 10-K 12-2023 B/S</text>
  </threadedComment>
  <threadedComment ref="C19" dT="2024-12-07T03:28:54.57" personId="{277A122F-4847-8A44-AA62-2C9411F22DDF}" id="{DA13A287-D555-9541-A088-300C38353653}">
    <text xml:space="preserve">YUM 10-K 12-2023 Pg 57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821A-CC89-1242-8A5E-A8570945BE61}">
  <dimension ref="A1:M38"/>
  <sheetViews>
    <sheetView showGridLines="0" topLeftCell="A2" workbookViewId="0">
      <selection activeCell="G16" sqref="G16"/>
    </sheetView>
  </sheetViews>
  <sheetFormatPr baseColWidth="10" defaultRowHeight="16"/>
  <sheetData>
    <row r="1" spans="1:13" ht="24">
      <c r="A1" s="1" t="s">
        <v>0</v>
      </c>
    </row>
    <row r="2" spans="1:13">
      <c r="A2" t="s">
        <v>28</v>
      </c>
    </row>
    <row r="5" spans="1:13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343</v>
      </c>
      <c r="G5" s="2" t="s">
        <v>6</v>
      </c>
      <c r="H5" s="2" t="s">
        <v>7</v>
      </c>
      <c r="I5" s="3"/>
    </row>
    <row r="6" spans="1:13">
      <c r="A6" s="4">
        <v>4.5999999999999999E-2</v>
      </c>
      <c r="B6" s="29">
        <f>C24</f>
        <v>0.12782323028700526</v>
      </c>
      <c r="C6" s="30">
        <f>11169+24</f>
        <v>11193</v>
      </c>
      <c r="D6" s="28">
        <f>$G$16</f>
        <v>38428.589160000003</v>
      </c>
      <c r="E6" s="5">
        <f>C6+D6</f>
        <v>49621.589160000003</v>
      </c>
      <c r="F6" s="6">
        <v>3.9699999999999999E-2</v>
      </c>
      <c r="G6" s="7">
        <v>1.1000000000000001</v>
      </c>
      <c r="H6" s="6">
        <v>4.0399999999999998E-2</v>
      </c>
      <c r="I6" s="3"/>
    </row>
    <row r="7" spans="1:13">
      <c r="A7" s="8"/>
      <c r="B7" s="8"/>
      <c r="C7" s="8"/>
      <c r="D7" s="8"/>
      <c r="E7" s="8"/>
      <c r="F7" s="8"/>
      <c r="G7" s="8"/>
      <c r="H7" s="8"/>
      <c r="I7" s="3"/>
    </row>
    <row r="8" spans="1:13">
      <c r="A8" s="8"/>
      <c r="B8" s="8"/>
      <c r="C8" s="2" t="s">
        <v>3</v>
      </c>
      <c r="D8" s="2" t="s">
        <v>4</v>
      </c>
      <c r="E8" s="8"/>
      <c r="F8" s="8"/>
      <c r="G8" s="8"/>
      <c r="H8" s="8"/>
      <c r="I8" s="3"/>
    </row>
    <row r="9" spans="1:13">
      <c r="A9" s="8" t="s">
        <v>8</v>
      </c>
      <c r="B9" s="8"/>
      <c r="C9" s="9">
        <f>C6/E6</f>
        <v>0.22556714102624276</v>
      </c>
      <c r="D9" s="9">
        <f>D6/E6</f>
        <v>0.77443285897375724</v>
      </c>
      <c r="E9" s="8"/>
      <c r="F9" s="8"/>
      <c r="G9" s="8"/>
      <c r="H9" s="8"/>
      <c r="I9" s="3"/>
    </row>
    <row r="10" spans="1:13">
      <c r="A10" s="8" t="s">
        <v>9</v>
      </c>
      <c r="B10" s="8"/>
      <c r="C10" s="31">
        <f>AVERAGE(C38:L38)</f>
        <v>0.22780644407906961</v>
      </c>
      <c r="D10" s="32">
        <f>1-C10</f>
        <v>0.77219355592093042</v>
      </c>
      <c r="E10" s="8"/>
      <c r="F10" s="3"/>
      <c r="G10" s="3"/>
      <c r="H10" s="3"/>
      <c r="I10" s="3"/>
    </row>
    <row r="11" spans="1:13">
      <c r="A11" s="8"/>
      <c r="B11" s="8"/>
      <c r="C11" s="31"/>
      <c r="D11" s="32"/>
      <c r="E11" s="8"/>
      <c r="F11" s="3"/>
      <c r="G11" s="3"/>
      <c r="H11" s="3"/>
      <c r="I11" s="3"/>
    </row>
    <row r="12" spans="1:13" ht="17" thickBot="1">
      <c r="A12" s="36"/>
      <c r="B12" s="37"/>
      <c r="C12" s="8"/>
      <c r="D12" s="8"/>
      <c r="E12" s="3"/>
      <c r="F12" s="3"/>
      <c r="G12" s="3"/>
      <c r="H12" s="3"/>
      <c r="I12" s="3"/>
    </row>
    <row r="13" spans="1:13" ht="17" thickBot="1">
      <c r="E13" s="3"/>
      <c r="F13" s="3"/>
      <c r="G13" s="12" t="s">
        <v>11</v>
      </c>
      <c r="H13" s="3"/>
      <c r="I13" s="282" t="s">
        <v>342</v>
      </c>
    </row>
    <row r="14" spans="1:13">
      <c r="A14" s="33" t="s">
        <v>25</v>
      </c>
      <c r="B14" s="34">
        <f>F6 +(G6*H6)</f>
        <v>8.4139999999999993E-2</v>
      </c>
      <c r="E14" s="13" t="s">
        <v>27</v>
      </c>
      <c r="F14" s="13"/>
      <c r="G14" s="14">
        <v>136.74</v>
      </c>
      <c r="H14" s="3"/>
      <c r="I14" t="s">
        <v>294</v>
      </c>
      <c r="J14" t="s">
        <v>295</v>
      </c>
      <c r="K14" t="s">
        <v>11</v>
      </c>
      <c r="L14" t="s">
        <v>296</v>
      </c>
      <c r="M14" t="s">
        <v>297</v>
      </c>
    </row>
    <row r="15" spans="1:13">
      <c r="A15" s="33" t="s">
        <v>26</v>
      </c>
      <c r="B15" s="35">
        <f>A6</f>
        <v>4.5999999999999999E-2</v>
      </c>
      <c r="E15" s="8" t="s">
        <v>12</v>
      </c>
      <c r="F15" s="8"/>
      <c r="G15" s="16">
        <v>281.03399999999999</v>
      </c>
      <c r="H15" s="3"/>
      <c r="I15" t="s">
        <v>298</v>
      </c>
      <c r="J15" t="s">
        <v>299</v>
      </c>
      <c r="K15" t="s">
        <v>178</v>
      </c>
      <c r="L15" t="s">
        <v>300</v>
      </c>
      <c r="M15" t="s">
        <v>301</v>
      </c>
    </row>
    <row r="16" spans="1:13" ht="17" thickBot="1">
      <c r="E16" s="15" t="s">
        <v>13</v>
      </c>
      <c r="F16" s="15"/>
      <c r="G16" s="17">
        <f>G14*G15</f>
        <v>38428.589160000003</v>
      </c>
      <c r="H16" s="3"/>
      <c r="I16" s="283">
        <v>7.4989999999999997</v>
      </c>
      <c r="J16" s="272">
        <v>83.37</v>
      </c>
      <c r="K16" s="284">
        <f>G14</f>
        <v>136.74</v>
      </c>
      <c r="L16" s="137" t="str">
        <f>IF(K16&gt;J16,"YES","NO")</f>
        <v>YES</v>
      </c>
      <c r="M16">
        <f>IF(L16="YES",((K16-J16)/K16*I16),0)</f>
        <v>2.9268804300131639</v>
      </c>
    </row>
    <row r="17" spans="1:12" ht="17" thickBot="1">
      <c r="A17" s="10" t="s">
        <v>10</v>
      </c>
      <c r="B17" s="11">
        <f>(B14*D10)+(B15*C10*(1-B6))</f>
        <v>7.4111990266954669E-2</v>
      </c>
    </row>
    <row r="20" spans="1:12">
      <c r="C20" s="20">
        <v>2023</v>
      </c>
      <c r="D20" s="20">
        <v>2022</v>
      </c>
      <c r="E20" s="20">
        <v>2021</v>
      </c>
    </row>
    <row r="21" spans="1:12">
      <c r="A21" t="s">
        <v>14</v>
      </c>
      <c r="C21">
        <v>221</v>
      </c>
      <c r="D21">
        <v>337</v>
      </c>
      <c r="E21">
        <v>99</v>
      </c>
    </row>
    <row r="22" spans="1:12">
      <c r="A22" t="s">
        <v>15</v>
      </c>
      <c r="C22">
        <v>1818</v>
      </c>
      <c r="D22">
        <v>1662</v>
      </c>
      <c r="E22">
        <v>1674</v>
      </c>
    </row>
    <row r="23" spans="1:12">
      <c r="A23" t="s">
        <v>16</v>
      </c>
      <c r="C23" s="18">
        <f>C21/C22</f>
        <v>0.12156215621562157</v>
      </c>
      <c r="D23" s="18">
        <f t="shared" ref="D23:E23" si="0">D21/D22</f>
        <v>0.20276774969915765</v>
      </c>
      <c r="E23" s="18">
        <f t="shared" si="0"/>
        <v>5.9139784946236562E-2</v>
      </c>
    </row>
    <row r="24" spans="1:12">
      <c r="A24" t="s">
        <v>17</v>
      </c>
      <c r="C24" s="19">
        <f>AVERAGE(C23:E23)</f>
        <v>0.12782323028700526</v>
      </c>
    </row>
    <row r="27" spans="1:12">
      <c r="C27" s="20">
        <v>2023</v>
      </c>
      <c r="D27" s="20">
        <f>C27-1</f>
        <v>2022</v>
      </c>
      <c r="E27" s="20">
        <f t="shared" ref="E27:K27" si="1">D27-1</f>
        <v>2021</v>
      </c>
      <c r="F27" s="20">
        <f t="shared" si="1"/>
        <v>2020</v>
      </c>
      <c r="G27" s="20">
        <f t="shared" si="1"/>
        <v>2019</v>
      </c>
      <c r="H27" s="20">
        <f t="shared" si="1"/>
        <v>2018</v>
      </c>
      <c r="I27" s="20">
        <f t="shared" si="1"/>
        <v>2017</v>
      </c>
      <c r="J27" s="20">
        <f t="shared" si="1"/>
        <v>2016</v>
      </c>
      <c r="K27" s="20">
        <f t="shared" si="1"/>
        <v>2015</v>
      </c>
      <c r="L27" s="20">
        <f>K27-1</f>
        <v>2014</v>
      </c>
    </row>
    <row r="28" spans="1:12">
      <c r="A28" s="115" t="s">
        <v>21</v>
      </c>
      <c r="B28" s="115"/>
      <c r="C28" s="25">
        <v>79</v>
      </c>
      <c r="D28" s="25">
        <v>79</v>
      </c>
      <c r="E28" s="25">
        <v>88</v>
      </c>
      <c r="F28" s="25">
        <v>97</v>
      </c>
      <c r="G28" s="25">
        <v>71</v>
      </c>
      <c r="H28" s="25">
        <v>321</v>
      </c>
      <c r="I28" s="25">
        <v>375</v>
      </c>
      <c r="J28" s="25">
        <v>66</v>
      </c>
      <c r="K28" s="25">
        <v>921</v>
      </c>
      <c r="L28" s="25">
        <v>0</v>
      </c>
    </row>
    <row r="29" spans="1:12">
      <c r="A29" s="115" t="s">
        <v>22</v>
      </c>
      <c r="B29" s="115"/>
      <c r="C29" s="26">
        <v>11100</v>
      </c>
      <c r="D29" s="26">
        <v>11400</v>
      </c>
      <c r="E29" s="26">
        <v>11120</v>
      </c>
      <c r="F29" s="26">
        <v>10210</v>
      </c>
      <c r="G29" s="26">
        <v>10060</v>
      </c>
      <c r="H29" s="26">
        <v>9750</v>
      </c>
      <c r="I29" s="26">
        <v>9430</v>
      </c>
      <c r="J29" s="26">
        <v>9060</v>
      </c>
      <c r="K29" s="26">
        <v>3010</v>
      </c>
      <c r="L29" s="26">
        <v>3080</v>
      </c>
    </row>
    <row r="30" spans="1:12">
      <c r="A30" s="116" t="s">
        <v>18</v>
      </c>
      <c r="B30" s="116"/>
      <c r="C30" s="22">
        <f>SUM(C28:C29)</f>
        <v>11179</v>
      </c>
      <c r="D30" s="22">
        <f t="shared" ref="D30:L30" si="2">SUM(D28:D29)</f>
        <v>11479</v>
      </c>
      <c r="E30" s="22">
        <f t="shared" si="2"/>
        <v>11208</v>
      </c>
      <c r="F30" s="22">
        <f t="shared" si="2"/>
        <v>10307</v>
      </c>
      <c r="G30" s="22">
        <f t="shared" si="2"/>
        <v>10131</v>
      </c>
      <c r="H30" s="22">
        <f t="shared" si="2"/>
        <v>10071</v>
      </c>
      <c r="I30" s="22">
        <f t="shared" si="2"/>
        <v>9805</v>
      </c>
      <c r="J30" s="22">
        <f t="shared" si="2"/>
        <v>9126</v>
      </c>
      <c r="K30" s="22">
        <f t="shared" si="2"/>
        <v>3931</v>
      </c>
      <c r="L30" s="22">
        <f t="shared" si="2"/>
        <v>3080</v>
      </c>
    </row>
    <row r="31" spans="1:12">
      <c r="A31" s="115"/>
      <c r="B31" s="115"/>
    </row>
    <row r="32" spans="1:12">
      <c r="A32" s="115" t="s">
        <v>24</v>
      </c>
      <c r="B32" s="115"/>
      <c r="C32" s="25">
        <v>281</v>
      </c>
      <c r="D32" s="25">
        <v>280</v>
      </c>
      <c r="E32" s="25">
        <v>289</v>
      </c>
      <c r="F32" s="25">
        <v>300</v>
      </c>
      <c r="G32" s="25">
        <v>300</v>
      </c>
      <c r="H32" s="25">
        <v>306</v>
      </c>
      <c r="I32" s="25">
        <v>332</v>
      </c>
      <c r="J32" s="25">
        <v>355</v>
      </c>
      <c r="K32" s="25">
        <v>420</v>
      </c>
      <c r="L32" s="25">
        <v>434</v>
      </c>
    </row>
    <row r="33" spans="1:12">
      <c r="A33" s="115" t="s">
        <v>23</v>
      </c>
      <c r="B33" s="115"/>
      <c r="C33" s="27">
        <v>129.49</v>
      </c>
      <c r="D33" s="27">
        <v>130.51</v>
      </c>
      <c r="E33" s="27">
        <v>125.17</v>
      </c>
      <c r="F33" s="27">
        <v>101.49</v>
      </c>
      <c r="G33" s="27">
        <v>105.77</v>
      </c>
      <c r="H33" s="27">
        <v>93.98</v>
      </c>
      <c r="I33" s="27">
        <v>84.59</v>
      </c>
      <c r="J33" s="27">
        <v>65.53</v>
      </c>
      <c r="K33" s="27">
        <v>52.03</v>
      </c>
      <c r="L33" s="27">
        <v>51.96</v>
      </c>
    </row>
    <row r="34" spans="1:12">
      <c r="A34" s="116" t="s">
        <v>13</v>
      </c>
      <c r="B34" s="116"/>
      <c r="C34" s="23">
        <f>C33*C32</f>
        <v>36386.69</v>
      </c>
      <c r="D34" s="23">
        <f t="shared" ref="D34:L34" si="3">D33*D32</f>
        <v>36542.799999999996</v>
      </c>
      <c r="E34" s="23">
        <f t="shared" si="3"/>
        <v>36174.129999999997</v>
      </c>
      <c r="F34" s="23">
        <f t="shared" si="3"/>
        <v>30447</v>
      </c>
      <c r="G34" s="23">
        <f t="shared" si="3"/>
        <v>31731</v>
      </c>
      <c r="H34" s="23">
        <f t="shared" si="3"/>
        <v>28757.88</v>
      </c>
      <c r="I34" s="23">
        <f t="shared" si="3"/>
        <v>28083.88</v>
      </c>
      <c r="J34" s="23">
        <f t="shared" si="3"/>
        <v>23263.15</v>
      </c>
      <c r="K34" s="23">
        <f t="shared" si="3"/>
        <v>21852.600000000002</v>
      </c>
      <c r="L34" s="23">
        <f t="shared" si="3"/>
        <v>22550.639999999999</v>
      </c>
    </row>
    <row r="35" spans="1:12">
      <c r="A35" s="115"/>
      <c r="B35" s="115"/>
      <c r="C35" s="20"/>
      <c r="D35" s="20"/>
      <c r="E35" s="20"/>
      <c r="F35" s="20"/>
      <c r="G35" s="20"/>
      <c r="H35" s="20"/>
      <c r="I35" s="20"/>
      <c r="J35" s="20"/>
      <c r="K35" s="20"/>
      <c r="L35" s="20"/>
    </row>
    <row r="36" spans="1:12">
      <c r="A36" s="116" t="s">
        <v>19</v>
      </c>
      <c r="B36" s="116"/>
      <c r="C36" s="24">
        <f>SUM(C30,C34)</f>
        <v>47565.69</v>
      </c>
      <c r="D36" s="24">
        <f t="shared" ref="D36:L36" si="4">SUM(D30,D34)</f>
        <v>48021.799999999996</v>
      </c>
      <c r="E36" s="24">
        <f t="shared" si="4"/>
        <v>47382.13</v>
      </c>
      <c r="F36" s="24">
        <f t="shared" si="4"/>
        <v>40754</v>
      </c>
      <c r="G36" s="24">
        <f t="shared" si="4"/>
        <v>41862</v>
      </c>
      <c r="H36" s="24">
        <f t="shared" si="4"/>
        <v>38828.880000000005</v>
      </c>
      <c r="I36" s="24">
        <f t="shared" si="4"/>
        <v>37888.880000000005</v>
      </c>
      <c r="J36" s="24">
        <f t="shared" si="4"/>
        <v>32389.15</v>
      </c>
      <c r="K36" s="24">
        <f t="shared" si="4"/>
        <v>25783.600000000002</v>
      </c>
      <c r="L36" s="24">
        <f t="shared" si="4"/>
        <v>25630.639999999999</v>
      </c>
    </row>
    <row r="37" spans="1:12">
      <c r="A37" s="115"/>
      <c r="B37" s="115"/>
    </row>
    <row r="38" spans="1:12">
      <c r="A38" s="115" t="s">
        <v>20</v>
      </c>
      <c r="B38" s="115"/>
      <c r="C38" s="21">
        <f>C30/C36</f>
        <v>0.23502234488767007</v>
      </c>
      <c r="D38" s="21">
        <f t="shared" ref="D38:K38" si="5">D30/D36</f>
        <v>0.23903727057294813</v>
      </c>
      <c r="E38" s="21">
        <f t="shared" si="5"/>
        <v>0.23654487461834242</v>
      </c>
      <c r="F38" s="21">
        <f t="shared" si="5"/>
        <v>0.2529076900426952</v>
      </c>
      <c r="G38" s="21">
        <f t="shared" si="5"/>
        <v>0.24200945965314605</v>
      </c>
      <c r="H38" s="21">
        <f t="shared" si="5"/>
        <v>0.25936879971814791</v>
      </c>
      <c r="I38" s="21">
        <f t="shared" si="5"/>
        <v>0.25878305191391243</v>
      </c>
      <c r="J38" s="21">
        <f t="shared" si="5"/>
        <v>0.28176102182366625</v>
      </c>
      <c r="K38" s="21">
        <f t="shared" si="5"/>
        <v>0.15246125444080733</v>
      </c>
      <c r="L38" s="21">
        <f>L30/L36</f>
        <v>0.12016867311936028</v>
      </c>
    </row>
  </sheetData>
  <mergeCells count="11">
    <mergeCell ref="A37:B37"/>
    <mergeCell ref="A38:B38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</mergeCells>
  <pageMargins left="0.7" right="0.7" top="0.75" bottom="0.75" header="0.3" footer="0.3"/>
  <ignoredErrors>
    <ignoredError sqref="C30:L30" formulaRange="1"/>
    <ignoredError sqref="E6 B6:C6 D9 G16" unlocked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1719-DC38-D744-92A9-360A2EE4849A}">
  <dimension ref="A1:L74"/>
  <sheetViews>
    <sheetView topLeftCell="A49" workbookViewId="0">
      <selection activeCell="L58" sqref="L58"/>
    </sheetView>
  </sheetViews>
  <sheetFormatPr baseColWidth="10" defaultRowHeight="16"/>
  <cols>
    <col min="1" max="1" width="33.6640625" bestFit="1" customWidth="1"/>
  </cols>
  <sheetData>
    <row r="1" spans="1:12" ht="24">
      <c r="A1" s="1" t="s">
        <v>30</v>
      </c>
    </row>
    <row r="3" spans="1:12">
      <c r="A3" t="s">
        <v>31</v>
      </c>
    </row>
    <row r="4" spans="1:12">
      <c r="E4" s="41" t="s">
        <v>34</v>
      </c>
      <c r="F4" s="41" t="s">
        <v>35</v>
      </c>
      <c r="G4" s="41" t="s">
        <v>36</v>
      </c>
      <c r="J4" s="41" t="s">
        <v>74</v>
      </c>
      <c r="K4" s="41" t="s">
        <v>75</v>
      </c>
      <c r="L4" s="41" t="s">
        <v>76</v>
      </c>
    </row>
    <row r="5" spans="1:12">
      <c r="A5" s="39" t="s">
        <v>32</v>
      </c>
      <c r="E5" s="42">
        <v>11</v>
      </c>
      <c r="F5" s="42">
        <v>14</v>
      </c>
      <c r="G5" s="42">
        <v>2024</v>
      </c>
      <c r="J5" s="70">
        <f>DATE(G5,E5,F5)</f>
        <v>45610</v>
      </c>
      <c r="K5">
        <f>VALUE(J5)</f>
        <v>45610</v>
      </c>
    </row>
    <row r="6" spans="1:12">
      <c r="A6" s="40" t="s">
        <v>33</v>
      </c>
      <c r="E6" s="42">
        <v>12</v>
      </c>
      <c r="F6" s="42">
        <v>31</v>
      </c>
      <c r="G6" s="42">
        <v>2024</v>
      </c>
      <c r="J6" s="70">
        <f>DATE(G6,E6,F6)</f>
        <v>45657</v>
      </c>
      <c r="K6">
        <f>VALUE(J6)</f>
        <v>45657</v>
      </c>
      <c r="L6">
        <f>(K6-K5)/365</f>
        <v>0.12876712328767123</v>
      </c>
    </row>
    <row r="8" spans="1:12">
      <c r="A8" t="s">
        <v>37</v>
      </c>
      <c r="E8" s="42">
        <v>5</v>
      </c>
    </row>
    <row r="9" spans="1:12" ht="17" thickBot="1"/>
    <row r="10" spans="1:12" ht="19" thickBot="1">
      <c r="A10" s="117" t="s">
        <v>29</v>
      </c>
      <c r="B10" s="118"/>
      <c r="C10" s="118"/>
      <c r="D10" s="118"/>
      <c r="E10" s="118"/>
      <c r="F10" s="119"/>
      <c r="G10" s="43"/>
      <c r="H10" s="43"/>
      <c r="I10" s="43"/>
      <c r="J10" s="43"/>
      <c r="K10" s="43"/>
      <c r="L10" s="43"/>
    </row>
    <row r="12" spans="1:12">
      <c r="B12" s="20">
        <v>2019</v>
      </c>
      <c r="C12" s="20">
        <f>B12+1</f>
        <v>2020</v>
      </c>
      <c r="D12" s="20">
        <f t="shared" ref="D12:F12" si="0">C12+1</f>
        <v>2021</v>
      </c>
      <c r="E12" s="20">
        <f t="shared" si="0"/>
        <v>2022</v>
      </c>
      <c r="F12" s="20">
        <f t="shared" si="0"/>
        <v>2023</v>
      </c>
      <c r="G12" s="44"/>
      <c r="H12" s="44"/>
      <c r="I12" s="44"/>
      <c r="J12" s="44"/>
      <c r="K12" s="44"/>
    </row>
    <row r="13" spans="1:12">
      <c r="A13" s="39" t="s">
        <v>38</v>
      </c>
      <c r="B13" s="51">
        <v>5597</v>
      </c>
      <c r="C13" s="51">
        <v>5652</v>
      </c>
      <c r="D13" s="51">
        <v>6584</v>
      </c>
      <c r="E13" s="51">
        <v>6842</v>
      </c>
      <c r="F13" s="51">
        <v>7076</v>
      </c>
    </row>
    <row r="14" spans="1:12">
      <c r="A14" s="45" t="s">
        <v>39</v>
      </c>
      <c r="C14" s="50">
        <f>C13/B13-1</f>
        <v>9.8266928711809864E-3</v>
      </c>
      <c r="D14" s="50">
        <f t="shared" ref="D14:F14" si="1">D13/C13-1</f>
        <v>0.1648973814578909</v>
      </c>
      <c r="E14" s="50">
        <f t="shared" si="1"/>
        <v>3.9185905224787376E-2</v>
      </c>
      <c r="F14" s="50">
        <f t="shared" si="1"/>
        <v>3.4200526161940914E-2</v>
      </c>
    </row>
    <row r="16" spans="1:12">
      <c r="A16" s="39" t="s">
        <v>40</v>
      </c>
      <c r="B16" s="54">
        <f>SUM(B19,B23,B22)</f>
        <v>2042</v>
      </c>
      <c r="C16" s="54">
        <f t="shared" ref="C16:F16" si="2">SUM(C19,C23,C22)</f>
        <v>1447</v>
      </c>
      <c r="D16" s="54">
        <f t="shared" si="2"/>
        <v>2303</v>
      </c>
      <c r="E16" s="54">
        <f t="shared" si="2"/>
        <v>2333</v>
      </c>
      <c r="F16" s="54">
        <f t="shared" si="2"/>
        <v>2350</v>
      </c>
    </row>
    <row r="17" spans="1:8">
      <c r="A17" s="46" t="s">
        <v>41</v>
      </c>
      <c r="B17" s="50">
        <f>B16/B13</f>
        <v>0.3648383062354833</v>
      </c>
      <c r="C17" s="50">
        <f t="shared" ref="C17:F17" si="3">C16/C13</f>
        <v>0.25601556970983724</v>
      </c>
      <c r="D17" s="50">
        <f t="shared" si="3"/>
        <v>0.34978736330498178</v>
      </c>
      <c r="E17" s="50">
        <f t="shared" si="3"/>
        <v>0.34098216895644551</v>
      </c>
      <c r="F17" s="50">
        <f t="shared" si="3"/>
        <v>0.33210853589598643</v>
      </c>
    </row>
    <row r="19" spans="1:8">
      <c r="A19" s="39" t="s">
        <v>42</v>
      </c>
      <c r="B19" s="56">
        <v>112</v>
      </c>
      <c r="C19" s="56">
        <v>146</v>
      </c>
      <c r="D19" s="56">
        <v>164</v>
      </c>
      <c r="E19" s="56">
        <v>146</v>
      </c>
      <c r="F19" s="56">
        <v>153</v>
      </c>
    </row>
    <row r="20" spans="1:8">
      <c r="A20" s="46" t="s">
        <v>43</v>
      </c>
      <c r="B20" s="55">
        <f>B19/B13</f>
        <v>2.0010720028586743E-2</v>
      </c>
      <c r="C20" s="55">
        <f t="shared" ref="C20:F20" si="4">C19/C13</f>
        <v>2.5831564048124558E-2</v>
      </c>
      <c r="D20" s="55">
        <f t="shared" si="4"/>
        <v>2.490886998784933E-2</v>
      </c>
      <c r="E20" s="55">
        <f t="shared" si="4"/>
        <v>2.1338789827535808E-2</v>
      </c>
      <c r="F20" s="55">
        <f t="shared" si="4"/>
        <v>2.1622385528547203E-2</v>
      </c>
    </row>
    <row r="21" spans="1:8">
      <c r="B21" s="55"/>
      <c r="C21" s="55"/>
      <c r="D21" s="55"/>
      <c r="E21" s="55"/>
      <c r="F21" s="55"/>
    </row>
    <row r="22" spans="1:8">
      <c r="A22" s="39" t="s">
        <v>44</v>
      </c>
      <c r="B22" s="56">
        <v>0</v>
      </c>
      <c r="C22" s="56">
        <v>-202</v>
      </c>
      <c r="D22" s="56">
        <v>0</v>
      </c>
      <c r="E22" s="56">
        <v>0</v>
      </c>
      <c r="F22" s="56">
        <v>-121</v>
      </c>
    </row>
    <row r="23" spans="1:8">
      <c r="A23" s="39" t="s">
        <v>45</v>
      </c>
      <c r="B23" s="56">
        <v>1930</v>
      </c>
      <c r="C23" s="56">
        <v>1503</v>
      </c>
      <c r="D23" s="56">
        <v>2139</v>
      </c>
      <c r="E23" s="56">
        <v>2187</v>
      </c>
      <c r="F23" s="56">
        <f>2318</f>
        <v>2318</v>
      </c>
    </row>
    <row r="24" spans="1:8">
      <c r="A24" s="46" t="s">
        <v>41</v>
      </c>
      <c r="B24" s="55">
        <f>B23/B13</f>
        <v>0.34482758620689657</v>
      </c>
      <c r="C24" s="55">
        <f t="shared" ref="C24:F24" si="5">C23/C13</f>
        <v>0.26592356687898089</v>
      </c>
      <c r="D24" s="55">
        <f t="shared" si="5"/>
        <v>0.32487849331713242</v>
      </c>
      <c r="E24" s="55">
        <f t="shared" si="5"/>
        <v>0.31964337912890967</v>
      </c>
      <c r="F24" s="55">
        <f t="shared" si="5"/>
        <v>0.32758620689655171</v>
      </c>
    </row>
    <row r="25" spans="1:8">
      <c r="B25" s="45"/>
      <c r="C25" s="45"/>
      <c r="D25" s="45"/>
      <c r="E25" s="45"/>
      <c r="F25" s="45"/>
    </row>
    <row r="26" spans="1:8">
      <c r="A26" s="39" t="s">
        <v>46</v>
      </c>
      <c r="B26" s="56">
        <v>196</v>
      </c>
      <c r="C26" s="56">
        <v>160</v>
      </c>
      <c r="D26" s="56">
        <v>230</v>
      </c>
      <c r="E26" s="56">
        <v>279</v>
      </c>
      <c r="F26" s="56">
        <v>285</v>
      </c>
    </row>
    <row r="27" spans="1:8">
      <c r="A27" s="46" t="s">
        <v>43</v>
      </c>
      <c r="B27" s="50">
        <f>B26/B13</f>
        <v>3.5018760050026798E-2</v>
      </c>
      <c r="C27" s="50">
        <f t="shared" ref="C27:F27" si="6">C26/C13</f>
        <v>2.8308563340410473E-2</v>
      </c>
      <c r="D27" s="50">
        <f t="shared" si="6"/>
        <v>3.4933171324422842E-2</v>
      </c>
      <c r="E27" s="50">
        <f t="shared" si="6"/>
        <v>4.0777550423852678E-2</v>
      </c>
      <c r="F27" s="50">
        <f t="shared" si="6"/>
        <v>4.0276992651215378E-2</v>
      </c>
    </row>
    <row r="29" spans="1:8">
      <c r="A29" s="39" t="s">
        <v>47</v>
      </c>
      <c r="B29" s="56">
        <v>1527</v>
      </c>
      <c r="C29" s="56">
        <v>1689</v>
      </c>
      <c r="D29" s="56">
        <v>1532</v>
      </c>
      <c r="E29" s="56">
        <v>1609</v>
      </c>
      <c r="F29" s="56">
        <v>1609</v>
      </c>
    </row>
    <row r="30" spans="1:8">
      <c r="A30" s="39" t="s">
        <v>48</v>
      </c>
      <c r="B30" s="56">
        <v>605</v>
      </c>
      <c r="C30" s="56">
        <v>730</v>
      </c>
      <c r="D30" s="56">
        <v>486</v>
      </c>
      <c r="E30" s="56">
        <v>367</v>
      </c>
      <c r="F30" s="56">
        <v>512</v>
      </c>
    </row>
    <row r="31" spans="1:8">
      <c r="A31" s="39" t="s">
        <v>49</v>
      </c>
      <c r="B31" s="56">
        <v>1541</v>
      </c>
      <c r="C31" s="56">
        <v>1675</v>
      </c>
      <c r="D31" s="56">
        <v>1415</v>
      </c>
      <c r="E31" s="56">
        <v>1665</v>
      </c>
      <c r="F31" s="56">
        <v>1277</v>
      </c>
    </row>
    <row r="32" spans="1:8">
      <c r="A32" s="39" t="s">
        <v>50</v>
      </c>
      <c r="B32" s="56">
        <v>431</v>
      </c>
      <c r="C32" s="56">
        <v>451</v>
      </c>
      <c r="D32" s="56">
        <v>68</v>
      </c>
      <c r="E32" s="56">
        <v>398</v>
      </c>
      <c r="F32" s="56">
        <v>53</v>
      </c>
      <c r="H32" s="58">
        <f>F16-F34-F26</f>
        <v>2167</v>
      </c>
    </row>
    <row r="33" spans="1:11">
      <c r="A33" s="47" t="s">
        <v>51</v>
      </c>
      <c r="B33" s="58">
        <f>(B29-B30)-(B31-B32)</f>
        <v>-188</v>
      </c>
      <c r="C33" s="58">
        <f t="shared" ref="C33:F33" si="7">(C29-C30)-(C31-C32)</f>
        <v>-265</v>
      </c>
      <c r="D33" s="58">
        <f t="shared" si="7"/>
        <v>-301</v>
      </c>
      <c r="E33" s="58">
        <f t="shared" si="7"/>
        <v>-25</v>
      </c>
      <c r="F33" s="58">
        <f t="shared" si="7"/>
        <v>-127</v>
      </c>
    </row>
    <row r="34" spans="1:11">
      <c r="A34" s="48" t="s">
        <v>52</v>
      </c>
      <c r="C34" s="58">
        <f>C33-B33</f>
        <v>-77</v>
      </c>
      <c r="D34" s="58">
        <f t="shared" ref="D34:F34" si="8">D33-C33</f>
        <v>-36</v>
      </c>
      <c r="E34" s="58">
        <f t="shared" si="8"/>
        <v>276</v>
      </c>
      <c r="F34" s="58">
        <f t="shared" si="8"/>
        <v>-102</v>
      </c>
    </row>
    <row r="35" spans="1:11">
      <c r="A35" s="49" t="s">
        <v>43</v>
      </c>
      <c r="B35" s="50"/>
      <c r="C35" s="50">
        <f>C34/C13</f>
        <v>-1.362349610757254E-2</v>
      </c>
      <c r="D35" s="50">
        <f t="shared" ref="D35:F35" si="9">D34/D13</f>
        <v>-5.4678007290400975E-3</v>
      </c>
      <c r="E35" s="50">
        <f t="shared" si="9"/>
        <v>4.033908213972523E-2</v>
      </c>
      <c r="F35" s="50">
        <f t="shared" si="9"/>
        <v>-1.4414923685698135E-2</v>
      </c>
    </row>
    <row r="37" spans="1:11">
      <c r="A37" s="39" t="s">
        <v>53</v>
      </c>
      <c r="B37" s="56">
        <v>79</v>
      </c>
      <c r="C37" s="56">
        <v>116</v>
      </c>
      <c r="D37" s="56">
        <v>99</v>
      </c>
      <c r="E37" s="56">
        <v>337</v>
      </c>
      <c r="F37" s="56">
        <v>221</v>
      </c>
    </row>
    <row r="38" spans="1:11">
      <c r="A38" s="46" t="s">
        <v>54</v>
      </c>
      <c r="B38" s="50">
        <f>B37/B23</f>
        <v>4.093264248704663E-2</v>
      </c>
      <c r="C38" s="50">
        <f>C37/C23</f>
        <v>7.7178975382568196E-2</v>
      </c>
      <c r="D38" s="50">
        <f>D37/D23</f>
        <v>4.6283309957924262E-2</v>
      </c>
      <c r="E38" s="50">
        <f>E37/E23</f>
        <v>0.15409236396890719</v>
      </c>
      <c r="F38" s="50">
        <f>F37/F23</f>
        <v>9.5340811044003451E-2</v>
      </c>
    </row>
    <row r="40" spans="1:11">
      <c r="A40" s="39" t="s">
        <v>55</v>
      </c>
      <c r="D40" s="59">
        <f>AVERAGE(0.206,0.209,0.214)</f>
        <v>0.20966666666666667</v>
      </c>
    </row>
    <row r="41" spans="1:11" ht="17" thickBot="1"/>
    <row r="42" spans="1:11" ht="19" thickBot="1">
      <c r="A42" s="117" t="s">
        <v>56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9"/>
    </row>
    <row r="44" spans="1:11">
      <c r="A44" s="39" t="s">
        <v>63</v>
      </c>
      <c r="B44" s="20">
        <v>2019</v>
      </c>
      <c r="C44" s="20">
        <f>B44+1</f>
        <v>2020</v>
      </c>
      <c r="D44" s="20">
        <f t="shared" ref="D44:F44" si="10">C44+1</f>
        <v>2021</v>
      </c>
      <c r="E44" s="20">
        <f t="shared" si="10"/>
        <v>2022</v>
      </c>
      <c r="F44" s="20">
        <f t="shared" si="10"/>
        <v>2023</v>
      </c>
      <c r="G44" s="60">
        <f>2024</f>
        <v>2024</v>
      </c>
      <c r="H44" s="61">
        <f>G44+1</f>
        <v>2025</v>
      </c>
      <c r="I44" s="62">
        <f t="shared" ref="I44:K44" si="11">H44+1</f>
        <v>2026</v>
      </c>
      <c r="J44" s="62">
        <f t="shared" si="11"/>
        <v>2027</v>
      </c>
      <c r="K44" s="62">
        <f t="shared" si="11"/>
        <v>2028</v>
      </c>
    </row>
    <row r="45" spans="1:11">
      <c r="A45" s="39"/>
    </row>
    <row r="46" spans="1:11">
      <c r="A46" t="s">
        <v>57</v>
      </c>
      <c r="B46" s="53"/>
      <c r="C46" s="53">
        <f>C14</f>
        <v>9.8266928711809864E-3</v>
      </c>
      <c r="D46" s="53">
        <f>D14</f>
        <v>0.1648973814578909</v>
      </c>
      <c r="E46" s="53">
        <f>E14</f>
        <v>3.9185905224787376E-2</v>
      </c>
      <c r="F46" s="53">
        <f>F14</f>
        <v>3.4200526161940914E-2</v>
      </c>
      <c r="G46" s="52">
        <f>AVERAGE(C46:F46)</f>
        <v>6.2027626428950045E-2</v>
      </c>
      <c r="H46" s="53">
        <f>G46</f>
        <v>6.2027626428950045E-2</v>
      </c>
      <c r="I46" s="53">
        <f t="shared" ref="I46:K46" si="12">H46</f>
        <v>6.2027626428950045E-2</v>
      </c>
      <c r="J46" s="53">
        <f t="shared" si="12"/>
        <v>6.2027626428950045E-2</v>
      </c>
      <c r="K46" s="53">
        <f t="shared" si="12"/>
        <v>6.2027626428950045E-2</v>
      </c>
    </row>
    <row r="47" spans="1:11">
      <c r="A47" t="s">
        <v>58</v>
      </c>
      <c r="B47" s="53">
        <f>B17</f>
        <v>0.3648383062354833</v>
      </c>
      <c r="C47" s="53">
        <f>C17</f>
        <v>0.25601556970983724</v>
      </c>
      <c r="D47" s="53">
        <f>D17</f>
        <v>0.34978736330498178</v>
      </c>
      <c r="E47" s="53">
        <f>E17</f>
        <v>0.34098216895644551</v>
      </c>
      <c r="F47" s="53">
        <f>F17</f>
        <v>0.33210853589598643</v>
      </c>
      <c r="G47" s="52">
        <f>AVERAGE(B47:F47)</f>
        <v>0.32874638882054691</v>
      </c>
      <c r="H47" s="53">
        <f t="shared" ref="H47:K51" si="13">G47</f>
        <v>0.32874638882054691</v>
      </c>
      <c r="I47" s="53">
        <f t="shared" si="13"/>
        <v>0.32874638882054691</v>
      </c>
      <c r="J47" s="53">
        <f t="shared" si="13"/>
        <v>0.32874638882054691</v>
      </c>
      <c r="K47" s="53">
        <f t="shared" si="13"/>
        <v>0.32874638882054691</v>
      </c>
    </row>
    <row r="48" spans="1:11">
      <c r="A48" t="s">
        <v>72</v>
      </c>
      <c r="B48" s="53">
        <f>B24</f>
        <v>0.34482758620689657</v>
      </c>
      <c r="C48" s="53">
        <f>C24</f>
        <v>0.26592356687898089</v>
      </c>
      <c r="D48" s="53">
        <f>D24</f>
        <v>0.32487849331713242</v>
      </c>
      <c r="E48" s="53">
        <f>E24</f>
        <v>0.31964337912890967</v>
      </c>
      <c r="F48" s="53">
        <f>F24</f>
        <v>0.32758620689655171</v>
      </c>
      <c r="G48" s="52">
        <f>AVERAGE(B48:F48)</f>
        <v>0.31657184648569425</v>
      </c>
      <c r="H48" s="53">
        <f>G48</f>
        <v>0.31657184648569425</v>
      </c>
      <c r="I48" s="53">
        <f t="shared" ref="I48:K48" si="14">H48</f>
        <v>0.31657184648569425</v>
      </c>
      <c r="J48" s="53">
        <f t="shared" si="14"/>
        <v>0.31657184648569425</v>
      </c>
      <c r="K48" s="53">
        <f t="shared" si="14"/>
        <v>0.31657184648569425</v>
      </c>
    </row>
    <row r="49" spans="1:11">
      <c r="A49" t="s">
        <v>59</v>
      </c>
      <c r="B49" s="53">
        <f>B27</f>
        <v>3.5018760050026798E-2</v>
      </c>
      <c r="C49" s="53">
        <f>C27</f>
        <v>2.8308563340410473E-2</v>
      </c>
      <c r="D49" s="53">
        <f>D27</f>
        <v>3.4933171324422842E-2</v>
      </c>
      <c r="E49" s="53">
        <f>E27</f>
        <v>4.0777550423852678E-2</v>
      </c>
      <c r="F49" s="53">
        <f>F27</f>
        <v>4.0276992651215378E-2</v>
      </c>
      <c r="G49" s="52">
        <f t="shared" ref="G49:G51" si="15">AVERAGE(B49:F49)</f>
        <v>3.5863007557985632E-2</v>
      </c>
      <c r="H49" s="53">
        <f t="shared" si="13"/>
        <v>3.5863007557985632E-2</v>
      </c>
      <c r="I49" s="53">
        <f t="shared" si="13"/>
        <v>3.5863007557985632E-2</v>
      </c>
      <c r="J49" s="53">
        <f t="shared" si="13"/>
        <v>3.5863007557985632E-2</v>
      </c>
      <c r="K49" s="53">
        <f t="shared" si="13"/>
        <v>3.5863007557985632E-2</v>
      </c>
    </row>
    <row r="50" spans="1:11">
      <c r="A50" t="s">
        <v>60</v>
      </c>
      <c r="B50" s="53">
        <f>B20</f>
        <v>2.0010720028586743E-2</v>
      </c>
      <c r="C50" s="53">
        <f>C20</f>
        <v>2.5831564048124558E-2</v>
      </c>
      <c r="D50" s="53">
        <f>D20</f>
        <v>2.490886998784933E-2</v>
      </c>
      <c r="E50" s="53">
        <f>E20</f>
        <v>2.1338789827535808E-2</v>
      </c>
      <c r="F50" s="53">
        <f>F20</f>
        <v>2.1622385528547203E-2</v>
      </c>
      <c r="G50" s="52">
        <f t="shared" si="15"/>
        <v>2.2742465884128725E-2</v>
      </c>
      <c r="H50" s="53">
        <f t="shared" si="13"/>
        <v>2.2742465884128725E-2</v>
      </c>
      <c r="I50" s="53">
        <f t="shared" si="13"/>
        <v>2.2742465884128725E-2</v>
      </c>
      <c r="J50" s="53">
        <f t="shared" si="13"/>
        <v>2.2742465884128725E-2</v>
      </c>
      <c r="K50" s="53">
        <f t="shared" si="13"/>
        <v>2.2742465884128725E-2</v>
      </c>
    </row>
    <row r="51" spans="1:11">
      <c r="A51" t="s">
        <v>61</v>
      </c>
      <c r="B51" s="53">
        <f>B38</f>
        <v>4.093264248704663E-2</v>
      </c>
      <c r="C51" s="53">
        <f t="shared" ref="C51:F51" si="16">C38</f>
        <v>7.7178975382568196E-2</v>
      </c>
      <c r="D51" s="53">
        <f t="shared" si="16"/>
        <v>4.6283309957924262E-2</v>
      </c>
      <c r="E51" s="53">
        <f t="shared" si="16"/>
        <v>0.15409236396890719</v>
      </c>
      <c r="F51" s="53">
        <f t="shared" si="16"/>
        <v>9.5340811044003451E-2</v>
      </c>
      <c r="G51" s="52">
        <f t="shared" si="15"/>
        <v>8.2765620568089948E-2</v>
      </c>
      <c r="H51" s="53">
        <f t="shared" si="13"/>
        <v>8.2765620568089948E-2</v>
      </c>
      <c r="I51" s="53">
        <f t="shared" si="13"/>
        <v>8.2765620568089948E-2</v>
      </c>
      <c r="J51" s="53">
        <f t="shared" si="13"/>
        <v>8.2765620568089948E-2</v>
      </c>
      <c r="K51" s="53">
        <f t="shared" si="13"/>
        <v>8.2765620568089948E-2</v>
      </c>
    </row>
    <row r="52" spans="1:11">
      <c r="A52" t="s">
        <v>62</v>
      </c>
      <c r="B52" s="53"/>
      <c r="C52" s="53">
        <f>C35</f>
        <v>-1.362349610757254E-2</v>
      </c>
      <c r="D52" s="53">
        <f>D35</f>
        <v>-5.4678007290400975E-3</v>
      </c>
      <c r="E52" s="53">
        <f>E35</f>
        <v>4.033908213972523E-2</v>
      </c>
      <c r="F52" s="53">
        <f>F35</f>
        <v>-1.4414923685698135E-2</v>
      </c>
      <c r="G52" s="52">
        <f>AVERAGE(C52:F52)</f>
        <v>1.7082154043536143E-3</v>
      </c>
      <c r="H52" s="53">
        <f>G52</f>
        <v>1.7082154043536143E-3</v>
      </c>
      <c r="I52" s="53">
        <f t="shared" ref="I52:K52" si="17">H52</f>
        <v>1.7082154043536143E-3</v>
      </c>
      <c r="J52" s="53">
        <f t="shared" si="17"/>
        <v>1.7082154043536143E-3</v>
      </c>
      <c r="K52" s="53">
        <f t="shared" si="17"/>
        <v>1.7082154043536143E-3</v>
      </c>
    </row>
    <row r="54" spans="1:11">
      <c r="A54" s="39" t="s">
        <v>91</v>
      </c>
      <c r="G54" s="35">
        <f>WACC!B17</f>
        <v>7.4111990266954669E-2</v>
      </c>
    </row>
    <row r="56" spans="1:11">
      <c r="A56" s="39" t="s">
        <v>92</v>
      </c>
      <c r="G56" s="78">
        <v>0.03</v>
      </c>
    </row>
    <row r="58" spans="1:11">
      <c r="A58" s="39" t="s">
        <v>93</v>
      </c>
      <c r="G58" s="80" t="s">
        <v>94</v>
      </c>
    </row>
    <row r="59" spans="1:11" ht="17" thickBot="1"/>
    <row r="60" spans="1:11" ht="19" thickBot="1">
      <c r="A60" s="117" t="s">
        <v>95</v>
      </c>
      <c r="B60" s="118"/>
      <c r="C60" s="118"/>
      <c r="D60" s="118"/>
      <c r="E60" s="118"/>
      <c r="F60" s="118"/>
      <c r="G60" s="118"/>
      <c r="H60" s="118"/>
      <c r="I60" s="118"/>
      <c r="J60" s="118"/>
      <c r="K60" s="119"/>
    </row>
    <row r="62" spans="1:11">
      <c r="A62" s="81" t="str">
        <f>"Price as of ("&amp;E5&amp;"/"&amp;F5&amp;"/"&amp;G5&amp;")"</f>
        <v>Price as of (11/14/2024)</v>
      </c>
      <c r="G62">
        <f>WACC!G14</f>
        <v>136.74</v>
      </c>
    </row>
    <row r="64" spans="1:11">
      <c r="A64" s="39" t="s">
        <v>96</v>
      </c>
      <c r="G64">
        <f>WACC!G15</f>
        <v>281.03399999999999</v>
      </c>
    </row>
    <row r="66" spans="1:7">
      <c r="A66" s="39" t="s">
        <v>97</v>
      </c>
      <c r="G66">
        <v>0</v>
      </c>
    </row>
    <row r="68" spans="1:7">
      <c r="A68" s="39" t="s">
        <v>98</v>
      </c>
      <c r="G68">
        <v>0</v>
      </c>
    </row>
    <row r="70" spans="1:7">
      <c r="A70" s="39" t="s">
        <v>99</v>
      </c>
      <c r="G70" s="82">
        <f>WACC!C6</f>
        <v>11193</v>
      </c>
    </row>
    <row r="72" spans="1:7">
      <c r="A72" s="39" t="s">
        <v>100</v>
      </c>
      <c r="G72" s="25">
        <f>457</f>
        <v>457</v>
      </c>
    </row>
    <row r="74" spans="1:7">
      <c r="A74" s="39" t="s">
        <v>101</v>
      </c>
      <c r="G74">
        <v>0</v>
      </c>
    </row>
  </sheetData>
  <mergeCells count="3">
    <mergeCell ref="A10:F10"/>
    <mergeCell ref="A42:K42"/>
    <mergeCell ref="A60:K6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AC7B-75B3-B144-92AF-BB3423506162}">
  <dimension ref="A2:J38"/>
  <sheetViews>
    <sheetView topLeftCell="A11" zoomScale="110" zoomScaleNormal="110" workbookViewId="0">
      <selection activeCell="D36" sqref="D36"/>
    </sheetView>
  </sheetViews>
  <sheetFormatPr baseColWidth="10" defaultRowHeight="16"/>
  <cols>
    <col min="1" max="1" width="27.5" bestFit="1" customWidth="1"/>
  </cols>
  <sheetData>
    <row r="2" spans="1:10" ht="24">
      <c r="A2" s="1" t="s">
        <v>73</v>
      </c>
    </row>
    <row r="4" spans="1:10">
      <c r="J4" t="s">
        <v>90</v>
      </c>
    </row>
    <row r="5" spans="1:10">
      <c r="C5" s="20">
        <f>2023</f>
        <v>2023</v>
      </c>
      <c r="D5" s="60">
        <f>2024</f>
        <v>2024</v>
      </c>
      <c r="E5" s="61">
        <f>D5+1</f>
        <v>2025</v>
      </c>
      <c r="F5" s="62">
        <f t="shared" ref="F5:H5" si="0">E5+1</f>
        <v>2026</v>
      </c>
      <c r="G5" s="62">
        <f t="shared" si="0"/>
        <v>2027</v>
      </c>
      <c r="H5" s="62">
        <f t="shared" si="0"/>
        <v>2028</v>
      </c>
      <c r="J5" s="75">
        <v>2028</v>
      </c>
    </row>
    <row r="6" spans="1:10">
      <c r="A6" t="s">
        <v>38</v>
      </c>
      <c r="C6" s="65">
        <f>'DCF-Input Sheet'!F13</f>
        <v>7076</v>
      </c>
      <c r="D6" s="58">
        <f>C6*(1+D7)</f>
        <v>7514.9074846112508</v>
      </c>
      <c r="E6" s="58">
        <f t="shared" ref="E6:H6" si="1">D6*(1+E7)</f>
        <v>7981.0393587148383</v>
      </c>
      <c r="F6" s="58">
        <f t="shared" si="1"/>
        <v>8476.0842865719496</v>
      </c>
      <c r="G6" s="58">
        <f t="shared" si="1"/>
        <v>9001.8356762797284</v>
      </c>
      <c r="H6" s="58">
        <f t="shared" si="1"/>
        <v>9560.198176782802</v>
      </c>
      <c r="J6" s="58">
        <f>H6</f>
        <v>9560.198176782802</v>
      </c>
    </row>
    <row r="7" spans="1:10">
      <c r="A7" t="s">
        <v>39</v>
      </c>
      <c r="D7" s="53">
        <f>'DCF-Input Sheet'!G46</f>
        <v>6.2027626428950045E-2</v>
      </c>
      <c r="E7" s="53">
        <f>'DCF-Input Sheet'!H46</f>
        <v>6.2027626428950045E-2</v>
      </c>
      <c r="F7" s="53">
        <f>'DCF-Input Sheet'!I46</f>
        <v>6.2027626428950045E-2</v>
      </c>
      <c r="G7" s="53">
        <f>'DCF-Input Sheet'!J46</f>
        <v>6.2027626428950045E-2</v>
      </c>
      <c r="H7" s="53">
        <f>'DCF-Input Sheet'!K46</f>
        <v>6.2027626428950045E-2</v>
      </c>
      <c r="J7" s="53">
        <f t="shared" ref="J7:J19" si="2">H7</f>
        <v>6.2027626428950045E-2</v>
      </c>
    </row>
    <row r="8" spans="1:10">
      <c r="A8" t="s">
        <v>40</v>
      </c>
      <c r="C8" s="64">
        <f>'DCF-Input Sheet'!F16</f>
        <v>2350</v>
      </c>
      <c r="D8" s="57">
        <f>D9*D6</f>
        <v>2470.4986978864486</v>
      </c>
      <c r="E8" s="57">
        <f t="shared" ref="E8:H8" si="3">E9*E6</f>
        <v>2623.7378682121566</v>
      </c>
      <c r="F8" s="57">
        <f t="shared" si="3"/>
        <v>2786.4821005491103</v>
      </c>
      <c r="G8" s="57">
        <f t="shared" si="3"/>
        <v>2959.3209713329265</v>
      </c>
      <c r="H8" s="57">
        <f t="shared" si="3"/>
        <v>3142.8806270261225</v>
      </c>
      <c r="J8" s="57">
        <f t="shared" si="2"/>
        <v>3142.8806270261225</v>
      </c>
    </row>
    <row r="9" spans="1:10">
      <c r="A9" t="s">
        <v>41</v>
      </c>
      <c r="C9" s="55">
        <f>C8/C6</f>
        <v>0.33210853589598643</v>
      </c>
      <c r="D9" s="53">
        <f>'DCF-Input Sheet'!G47</f>
        <v>0.32874638882054691</v>
      </c>
      <c r="E9" s="53">
        <f>'DCF-Input Sheet'!H47</f>
        <v>0.32874638882054691</v>
      </c>
      <c r="F9" s="53">
        <f>'DCF-Input Sheet'!I47</f>
        <v>0.32874638882054691</v>
      </c>
      <c r="G9" s="53">
        <f>'DCF-Input Sheet'!J47</f>
        <v>0.32874638882054691</v>
      </c>
      <c r="H9" s="53">
        <f>'DCF-Input Sheet'!K47</f>
        <v>0.32874638882054691</v>
      </c>
      <c r="J9" s="52">
        <f>J8/J6</f>
        <v>0.32874638882054691</v>
      </c>
    </row>
    <row r="10" spans="1:10">
      <c r="A10" t="s">
        <v>64</v>
      </c>
      <c r="C10" s="64">
        <f>'DCF-Input Sheet'!F19</f>
        <v>153</v>
      </c>
      <c r="D10" s="57">
        <f>D11*D6</f>
        <v>170.90752709115498</v>
      </c>
      <c r="E10" s="57">
        <f t="shared" ref="E10:H10" si="4">E11*E6</f>
        <v>181.5085153354608</v>
      </c>
      <c r="F10" s="57">
        <f t="shared" si="4"/>
        <v>192.76705771836214</v>
      </c>
      <c r="G10" s="57">
        <f t="shared" si="4"/>
        <v>204.72394076232456</v>
      </c>
      <c r="H10" s="57">
        <f t="shared" si="4"/>
        <v>217.42248088099251</v>
      </c>
      <c r="J10" s="76">
        <f>J17</f>
        <v>342.85745946980211</v>
      </c>
    </row>
    <row r="11" spans="1:10">
      <c r="A11" t="s">
        <v>43</v>
      </c>
      <c r="C11" s="55">
        <f>C10/C6</f>
        <v>2.1622385528547203E-2</v>
      </c>
      <c r="D11" s="53">
        <f>'DCF-Input Sheet'!G50</f>
        <v>2.2742465884128725E-2</v>
      </c>
      <c r="E11" s="53">
        <f>'DCF-Input Sheet'!H50</f>
        <v>2.2742465884128725E-2</v>
      </c>
      <c r="F11" s="53">
        <f>'DCF-Input Sheet'!I50</f>
        <v>2.2742465884128725E-2</v>
      </c>
      <c r="G11" s="53">
        <f>'DCF-Input Sheet'!J50</f>
        <v>2.2742465884128725E-2</v>
      </c>
      <c r="H11" s="53">
        <f>'DCF-Input Sheet'!K50</f>
        <v>2.2742465884128725E-2</v>
      </c>
      <c r="J11" s="53"/>
    </row>
    <row r="12" spans="1:10">
      <c r="A12" t="s">
        <v>65</v>
      </c>
      <c r="C12" s="64">
        <f>'DCF-Input Sheet'!F23</f>
        <v>2318</v>
      </c>
      <c r="D12" s="57">
        <f>D8-D10</f>
        <v>2299.5911707952937</v>
      </c>
      <c r="E12" s="57">
        <f>E8-E10</f>
        <v>2442.2293528766959</v>
      </c>
      <c r="F12" s="57">
        <f t="shared" ref="F12:H12" si="5">F8-F10</f>
        <v>2593.7150428307482</v>
      </c>
      <c r="G12" s="57">
        <f t="shared" si="5"/>
        <v>2754.5970305706019</v>
      </c>
      <c r="H12" s="57">
        <f t="shared" si="5"/>
        <v>2925.4581461451298</v>
      </c>
      <c r="J12" s="57">
        <f>J8-J10</f>
        <v>2800.0231675563205</v>
      </c>
    </row>
    <row r="13" spans="1:10">
      <c r="A13" t="s">
        <v>41</v>
      </c>
      <c r="C13" s="55">
        <f>C12/C6</f>
        <v>0.32758620689655171</v>
      </c>
      <c r="D13" s="53">
        <f>D12/D6</f>
        <v>0.3060039229364182</v>
      </c>
      <c r="E13" s="53">
        <f t="shared" ref="E13:H13" si="6">E12/E6</f>
        <v>0.3060039229364182</v>
      </c>
      <c r="F13" s="53">
        <f t="shared" si="6"/>
        <v>0.3060039229364182</v>
      </c>
      <c r="G13" s="53">
        <f t="shared" si="6"/>
        <v>0.3060039229364182</v>
      </c>
      <c r="H13" s="53">
        <f t="shared" si="6"/>
        <v>0.30600392293641815</v>
      </c>
      <c r="J13" s="53">
        <f t="shared" si="2"/>
        <v>0.30600392293641815</v>
      </c>
    </row>
    <row r="14" spans="1:10">
      <c r="A14" t="s">
        <v>66</v>
      </c>
      <c r="B14" s="63">
        <f>'DCF-Input Sheet'!D40</f>
        <v>0.20966666666666667</v>
      </c>
      <c r="C14" s="66">
        <f>(B14)*C12</f>
        <v>486.00733333333335</v>
      </c>
      <c r="D14" s="66">
        <f>($B$14)*D12</f>
        <v>482.14761547674658</v>
      </c>
      <c r="E14" s="66">
        <f t="shared" ref="E14:H14" si="7">($B$14)*E12</f>
        <v>512.05408765314723</v>
      </c>
      <c r="F14" s="66">
        <f t="shared" si="7"/>
        <v>543.81558731351356</v>
      </c>
      <c r="G14" s="66">
        <f t="shared" si="7"/>
        <v>577.54717740963622</v>
      </c>
      <c r="H14" s="66">
        <f t="shared" si="7"/>
        <v>613.3710579750956</v>
      </c>
      <c r="J14" s="66">
        <f t="shared" si="2"/>
        <v>613.3710579750956</v>
      </c>
    </row>
    <row r="15" spans="1:10">
      <c r="A15" s="38" t="s">
        <v>67</v>
      </c>
      <c r="C15" s="68">
        <f>C8-C10-C14</f>
        <v>1710.9926666666665</v>
      </c>
      <c r="D15" s="68">
        <f>D8-D10-D14</f>
        <v>1817.4435553185472</v>
      </c>
      <c r="E15" s="68">
        <f t="shared" ref="E15:H15" si="8">E8-E10-E14</f>
        <v>1930.1752652235486</v>
      </c>
      <c r="F15" s="68">
        <f t="shared" si="8"/>
        <v>2049.8994555172349</v>
      </c>
      <c r="G15" s="68">
        <f t="shared" si="8"/>
        <v>2177.0498531609655</v>
      </c>
      <c r="H15" s="68">
        <f t="shared" si="8"/>
        <v>2312.0870881700343</v>
      </c>
      <c r="J15" s="68">
        <f t="shared" si="2"/>
        <v>2312.0870881700343</v>
      </c>
    </row>
    <row r="16" spans="1:10">
      <c r="A16" t="s">
        <v>68</v>
      </c>
      <c r="C16" s="64">
        <f>C10</f>
        <v>153</v>
      </c>
      <c r="D16" s="57">
        <f>D10</f>
        <v>170.90752709115498</v>
      </c>
      <c r="E16" s="57">
        <f t="shared" ref="E16:H16" si="9">E10</f>
        <v>181.5085153354608</v>
      </c>
      <c r="F16" s="57">
        <f t="shared" si="9"/>
        <v>192.76705771836214</v>
      </c>
      <c r="G16" s="57">
        <f t="shared" si="9"/>
        <v>204.72394076232456</v>
      </c>
      <c r="H16" s="57">
        <f t="shared" si="9"/>
        <v>217.42248088099251</v>
      </c>
      <c r="J16" s="76">
        <f>J10</f>
        <v>342.85745946980211</v>
      </c>
    </row>
    <row r="17" spans="1:10">
      <c r="A17" t="s">
        <v>69</v>
      </c>
      <c r="C17" s="64">
        <f>'DCF-Input Sheet'!F26</f>
        <v>285</v>
      </c>
      <c r="D17" s="57">
        <f>D18*D6</f>
        <v>269.50718391817611</v>
      </c>
      <c r="E17" s="57">
        <f t="shared" ref="E17:H17" si="10">E18*E6</f>
        <v>286.22407484217104</v>
      </c>
      <c r="F17" s="57">
        <f t="shared" si="10"/>
        <v>303.97787483145311</v>
      </c>
      <c r="G17" s="57">
        <f t="shared" si="10"/>
        <v>322.8329008941646</v>
      </c>
      <c r="H17" s="57">
        <f t="shared" si="10"/>
        <v>342.85745946980211</v>
      </c>
      <c r="J17" s="57">
        <f t="shared" si="2"/>
        <v>342.85745946980211</v>
      </c>
    </row>
    <row r="18" spans="1:10">
      <c r="A18" t="s">
        <v>43</v>
      </c>
      <c r="C18" s="55">
        <f>C17/C6</f>
        <v>4.0276992651215378E-2</v>
      </c>
      <c r="D18" s="53">
        <f>'DCF-Input Sheet'!G49</f>
        <v>3.5863007557985632E-2</v>
      </c>
      <c r="E18" s="53">
        <f>'DCF-Input Sheet'!H49</f>
        <v>3.5863007557985632E-2</v>
      </c>
      <c r="F18" s="53">
        <f>'DCF-Input Sheet'!I49</f>
        <v>3.5863007557985632E-2</v>
      </c>
      <c r="G18" s="53">
        <f>'DCF-Input Sheet'!J49</f>
        <v>3.5863007557985632E-2</v>
      </c>
      <c r="H18" s="53">
        <f>'DCF-Input Sheet'!K49</f>
        <v>3.5863007557985632E-2</v>
      </c>
      <c r="J18" s="53">
        <f>J17/J6</f>
        <v>3.5863007557985632E-2</v>
      </c>
    </row>
    <row r="19" spans="1:10">
      <c r="A19" t="s">
        <v>70</v>
      </c>
      <c r="B19" s="69">
        <f>'DCF-Input Sheet'!G52</f>
        <v>1.7082154043536143E-3</v>
      </c>
      <c r="C19" s="67">
        <f>'DCF-Input Sheet'!F34</f>
        <v>-102</v>
      </c>
      <c r="D19" s="66">
        <f>$B$19*D6</f>
        <v>12.83708072750521</v>
      </c>
      <c r="E19" s="66">
        <f t="shared" ref="E19:H19" si="11">$B$19*E6</f>
        <v>13.633334375309179</v>
      </c>
      <c r="F19" s="66">
        <f t="shared" si="11"/>
        <v>14.478977746921819</v>
      </c>
      <c r="G19" s="66">
        <f t="shared" si="11"/>
        <v>15.377074369680967</v>
      </c>
      <c r="H19" s="66">
        <f t="shared" si="11"/>
        <v>16.33087779425372</v>
      </c>
      <c r="J19" s="66">
        <f t="shared" si="2"/>
        <v>16.33087779425372</v>
      </c>
    </row>
    <row r="20" spans="1:10">
      <c r="A20" s="38" t="s">
        <v>71</v>
      </c>
      <c r="C20" s="68">
        <f>C15+C16-C17+C19</f>
        <v>1476.9926666666665</v>
      </c>
      <c r="D20" s="68">
        <f t="shared" ref="D20:H20" si="12">D15+D16-D17+D19</f>
        <v>1731.6809792190313</v>
      </c>
      <c r="E20" s="68">
        <f t="shared" si="12"/>
        <v>1839.0930400921477</v>
      </c>
      <c r="F20" s="68">
        <f t="shared" si="12"/>
        <v>1953.1676161510657</v>
      </c>
      <c r="G20" s="68">
        <f t="shared" si="12"/>
        <v>2074.3179673988066</v>
      </c>
      <c r="H20" s="68">
        <f t="shared" si="12"/>
        <v>2202.9829873754788</v>
      </c>
      <c r="J20" s="68">
        <f>J15+J16-J17-J19</f>
        <v>2295.7562103757805</v>
      </c>
    </row>
    <row r="22" spans="1:10">
      <c r="A22" s="71" t="s">
        <v>10</v>
      </c>
      <c r="B22" s="74">
        <f>WACC!B17</f>
        <v>7.4111990266954669E-2</v>
      </c>
    </row>
    <row r="23" spans="1:10">
      <c r="A23" s="71" t="s">
        <v>77</v>
      </c>
      <c r="B23" t="str">
        <f>'DCF-Input Sheet'!G58</f>
        <v>YES</v>
      </c>
      <c r="D23" s="19">
        <f>IF(B23="YES",'DCF-Input Sheet'!L6/2,'DCF-Input Sheet'!L6)</f>
        <v>6.4383561643835616E-2</v>
      </c>
      <c r="E23" s="19">
        <f>1+D23</f>
        <v>1.0643835616438355</v>
      </c>
      <c r="F23" s="19">
        <f t="shared" ref="F23:H23" si="13">1+E23</f>
        <v>2.0643835616438357</v>
      </c>
      <c r="G23" s="19">
        <f t="shared" si="13"/>
        <v>3.0643835616438357</v>
      </c>
      <c r="H23" s="19">
        <f t="shared" si="13"/>
        <v>4.0643835616438357</v>
      </c>
      <c r="I23" s="19"/>
    </row>
    <row r="24" spans="1:10">
      <c r="A24" s="72" t="s">
        <v>78</v>
      </c>
      <c r="D24" s="18">
        <f>1/(1+$B$22)^D23</f>
        <v>0.99540752242839281</v>
      </c>
      <c r="E24" s="18">
        <f t="shared" ref="E24:H24" si="14">1/(1+$B$22)^E23</f>
        <v>0.92672601316087988</v>
      </c>
      <c r="F24" s="18">
        <f t="shared" si="14"/>
        <v>0.86278341696060556</v>
      </c>
      <c r="G24" s="18">
        <f t="shared" si="14"/>
        <v>0.80325275648973382</v>
      </c>
      <c r="H24" s="18">
        <f t="shared" si="14"/>
        <v>0.74782961531794956</v>
      </c>
    </row>
    <row r="25" spans="1:10">
      <c r="A25" s="72" t="s">
        <v>79</v>
      </c>
      <c r="D25" s="58">
        <f>D24*D20</f>
        <v>1723.7282731607891</v>
      </c>
      <c r="E25" s="58">
        <f t="shared" ref="E25:H25" si="15">E24*E20</f>
        <v>1704.3353608765183</v>
      </c>
      <c r="F25" s="58">
        <f t="shared" si="15"/>
        <v>1685.160629759617</v>
      </c>
      <c r="G25" s="58">
        <f t="shared" si="15"/>
        <v>1666.2016251492732</v>
      </c>
      <c r="H25" s="58">
        <f t="shared" si="15"/>
        <v>1647.4559200009917</v>
      </c>
    </row>
    <row r="26" spans="1:10">
      <c r="A26" s="72" t="s">
        <v>80</v>
      </c>
      <c r="D26" s="19">
        <f>SUM(D25:H25)</f>
        <v>8426.8818089471897</v>
      </c>
    </row>
    <row r="28" spans="1:10">
      <c r="A28" s="71" t="s">
        <v>81</v>
      </c>
      <c r="B28" s="79">
        <f>'DCF-Input Sheet'!G56</f>
        <v>0.03</v>
      </c>
      <c r="J28" s="58">
        <f>J20*(1+B28)/(B22-B28)</f>
        <v>53605.128274124894</v>
      </c>
    </row>
    <row r="29" spans="1:10">
      <c r="A29" s="72" t="s">
        <v>82</v>
      </c>
      <c r="D29" s="58">
        <f>J28*H24</f>
        <v>40087.502456308161</v>
      </c>
    </row>
    <row r="31" spans="1:10">
      <c r="A31" s="72" t="s">
        <v>83</v>
      </c>
      <c r="D31" s="58">
        <f>D29+D26</f>
        <v>48514.38426525535</v>
      </c>
    </row>
    <row r="32" spans="1:10">
      <c r="A32" s="72" t="s">
        <v>84</v>
      </c>
      <c r="D32" s="77">
        <f>'DCF-Input Sheet'!G70-'DCF-Input Sheet'!G72</f>
        <v>10736</v>
      </c>
    </row>
    <row r="33" spans="1:6">
      <c r="A33" s="72" t="s">
        <v>85</v>
      </c>
      <c r="D33" s="58">
        <f>D31-D32</f>
        <v>37778.38426525535</v>
      </c>
    </row>
    <row r="35" spans="1:6">
      <c r="A35" s="72" t="s">
        <v>86</v>
      </c>
      <c r="D35" s="19">
        <f>'DCF-Input Sheet'!G64</f>
        <v>281.03399999999999</v>
      </c>
    </row>
    <row r="36" spans="1:6">
      <c r="A36" s="72" t="s">
        <v>87</v>
      </c>
      <c r="D36" s="344">
        <f>D33/D35</f>
        <v>134.42638351678212</v>
      </c>
    </row>
    <row r="37" spans="1:6">
      <c r="A37" s="72" t="s">
        <v>88</v>
      </c>
      <c r="D37" s="83">
        <f>'DCF-Input Sheet'!G62</f>
        <v>136.74</v>
      </c>
    </row>
    <row r="38" spans="1:6">
      <c r="A38" s="73" t="s">
        <v>89</v>
      </c>
      <c r="D38" s="74">
        <f>-(D36/D37-1)</f>
        <v>1.6919822167748122E-2</v>
      </c>
      <c r="E38" s="250" t="s">
        <v>344</v>
      </c>
      <c r="F38" s="250"/>
    </row>
  </sheetData>
  <pageMargins left="0.7" right="0.7" top="0.75" bottom="0.75" header="0.3" footer="0.3"/>
  <ignoredErrors>
    <ignoredError sqref="J1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3D13D-D718-874D-9DFE-348376D4FB88}">
  <dimension ref="A1:J43"/>
  <sheetViews>
    <sheetView topLeftCell="A16" zoomScale="110" zoomScaleNormal="110" workbookViewId="0">
      <selection activeCell="B36" sqref="B36"/>
    </sheetView>
  </sheetViews>
  <sheetFormatPr baseColWidth="10" defaultRowHeight="16"/>
  <cols>
    <col min="1" max="1" width="24.1640625" bestFit="1" customWidth="1"/>
    <col min="5" max="5" width="27.83203125" bestFit="1" customWidth="1"/>
    <col min="8" max="8" width="29" bestFit="1" customWidth="1"/>
  </cols>
  <sheetData>
    <row r="1" spans="1:10" ht="32">
      <c r="A1" s="84" t="s">
        <v>141</v>
      </c>
      <c r="B1" s="85"/>
      <c r="C1" s="85"/>
      <c r="D1" s="85"/>
      <c r="E1" s="85"/>
      <c r="F1" s="85"/>
      <c r="G1" s="85"/>
      <c r="H1" s="85"/>
      <c r="I1" s="85"/>
    </row>
    <row r="3" spans="1:10" ht="17" thickBot="1">
      <c r="A3" s="86" t="s">
        <v>102</v>
      </c>
      <c r="B3" s="87"/>
      <c r="C3" s="87"/>
      <c r="D3" s="88"/>
      <c r="E3" s="86" t="s">
        <v>103</v>
      </c>
      <c r="F3" s="89" t="s">
        <v>142</v>
      </c>
      <c r="G3" s="88"/>
      <c r="H3" s="86" t="s">
        <v>104</v>
      </c>
      <c r="I3" s="89" t="s">
        <v>142</v>
      </c>
    </row>
    <row r="4" spans="1:10">
      <c r="A4" s="90"/>
      <c r="B4" s="91">
        <v>44926</v>
      </c>
      <c r="C4" s="91">
        <v>45291</v>
      </c>
      <c r="D4" s="88"/>
      <c r="E4" s="92"/>
      <c r="F4" s="93"/>
      <c r="G4" s="88"/>
      <c r="H4" s="88"/>
      <c r="I4" s="88"/>
    </row>
    <row r="5" spans="1:10">
      <c r="A5" s="92" t="s">
        <v>105</v>
      </c>
      <c r="B5" s="88"/>
      <c r="C5" s="88"/>
      <c r="D5" s="88"/>
      <c r="E5" s="88" t="s">
        <v>106</v>
      </c>
      <c r="F5" s="97">
        <v>7076</v>
      </c>
      <c r="G5" s="88"/>
      <c r="H5" s="88" t="s">
        <v>107</v>
      </c>
      <c r="I5" s="98">
        <f>F16</f>
        <v>1523</v>
      </c>
      <c r="J5" s="77"/>
    </row>
    <row r="6" spans="1:10">
      <c r="A6" s="88" t="s">
        <v>108</v>
      </c>
      <c r="B6" s="99">
        <v>367</v>
      </c>
      <c r="C6" s="98">
        <f>I31</f>
        <v>1357</v>
      </c>
      <c r="D6" s="88"/>
      <c r="E6" s="88" t="s">
        <v>143</v>
      </c>
      <c r="F6" s="100">
        <f>1774-F9</f>
        <v>1695</v>
      </c>
      <c r="G6" s="88"/>
      <c r="H6" s="88" t="s">
        <v>109</v>
      </c>
      <c r="I6" s="101">
        <f>F9+F10</f>
        <v>153</v>
      </c>
      <c r="J6" s="77"/>
    </row>
    <row r="7" spans="1:10">
      <c r="A7" s="88" t="s">
        <v>110</v>
      </c>
      <c r="B7" s="99">
        <v>648</v>
      </c>
      <c r="C7" s="99">
        <v>737</v>
      </c>
      <c r="D7" s="88"/>
      <c r="E7" s="88" t="s">
        <v>111</v>
      </c>
      <c r="F7" s="97">
        <v>1193</v>
      </c>
      <c r="G7" s="88"/>
      <c r="H7" s="88" t="s">
        <v>62</v>
      </c>
      <c r="I7" s="102"/>
      <c r="J7" s="77"/>
    </row>
    <row r="8" spans="1:10">
      <c r="A8" s="88" t="s">
        <v>146</v>
      </c>
      <c r="B8" s="99">
        <v>594</v>
      </c>
      <c r="C8" s="99">
        <v>360</v>
      </c>
      <c r="D8" s="88"/>
      <c r="E8" s="88" t="s">
        <v>144</v>
      </c>
      <c r="F8" s="97">
        <v>1683</v>
      </c>
      <c r="G8" s="88"/>
      <c r="H8" s="94" t="s">
        <v>110</v>
      </c>
      <c r="I8" s="101">
        <f>-(C7-B7)</f>
        <v>-89</v>
      </c>
      <c r="J8" s="77"/>
    </row>
    <row r="9" spans="1:10">
      <c r="A9" s="92" t="s">
        <v>47</v>
      </c>
      <c r="B9" s="104">
        <f>SUM(B6:B8)</f>
        <v>1609</v>
      </c>
      <c r="C9" s="104">
        <f>SUM(C6:C8)</f>
        <v>2454</v>
      </c>
      <c r="D9" s="88"/>
      <c r="E9" s="88" t="s">
        <v>145</v>
      </c>
      <c r="F9" s="97">
        <v>79</v>
      </c>
      <c r="G9" s="88"/>
      <c r="H9" s="94" t="s">
        <v>170</v>
      </c>
      <c r="I9" s="101">
        <f>-(C14-B14)</f>
        <v>-295</v>
      </c>
      <c r="J9" s="77"/>
    </row>
    <row r="10" spans="1:10">
      <c r="A10" s="88"/>
      <c r="B10" s="102"/>
      <c r="C10" s="102"/>
      <c r="D10" s="88"/>
      <c r="E10" s="88" t="s">
        <v>139</v>
      </c>
      <c r="F10" s="103">
        <v>74</v>
      </c>
      <c r="G10" s="88"/>
      <c r="H10" s="94" t="s">
        <v>146</v>
      </c>
      <c r="I10" s="101">
        <f>-(C8-B8)</f>
        <v>234</v>
      </c>
      <c r="J10" s="77"/>
    </row>
    <row r="11" spans="1:10">
      <c r="A11" s="88" t="s">
        <v>114</v>
      </c>
      <c r="B11" s="99">
        <v>1171</v>
      </c>
      <c r="C11" s="99">
        <v>1197</v>
      </c>
      <c r="D11" s="88"/>
      <c r="E11" s="88" t="s">
        <v>163</v>
      </c>
      <c r="F11" s="103">
        <f>513</f>
        <v>513</v>
      </c>
      <c r="G11" s="88"/>
      <c r="H11" s="94" t="s">
        <v>113</v>
      </c>
      <c r="I11" s="101">
        <f>C18-B18</f>
        <v>-82</v>
      </c>
      <c r="J11" s="77"/>
    </row>
    <row r="12" spans="1:10">
      <c r="A12" s="88" t="s">
        <v>116</v>
      </c>
      <c r="B12" s="99">
        <f>638+354</f>
        <v>992</v>
      </c>
      <c r="C12" s="99">
        <f>642+377</f>
        <v>1019</v>
      </c>
      <c r="D12" s="88"/>
      <c r="E12" s="88" t="s">
        <v>162</v>
      </c>
      <c r="F12" s="100">
        <f>123-29</f>
        <v>94</v>
      </c>
      <c r="G12" s="88"/>
      <c r="H12" s="94" t="s">
        <v>148</v>
      </c>
      <c r="I12" s="101">
        <f>C20-B20</f>
        <v>39</v>
      </c>
      <c r="J12" s="77"/>
    </row>
    <row r="13" spans="1:10">
      <c r="A13" s="88" t="s">
        <v>119</v>
      </c>
      <c r="B13" s="99">
        <v>1324</v>
      </c>
      <c r="C13" s="99">
        <v>1361</v>
      </c>
      <c r="D13" s="88"/>
      <c r="E13" s="88" t="s">
        <v>112</v>
      </c>
      <c r="F13" s="97">
        <f>14 -13</f>
        <v>1</v>
      </c>
      <c r="G13" s="88"/>
      <c r="H13" s="92" t="s">
        <v>115</v>
      </c>
      <c r="I13" s="108">
        <f>SUM(I5:I12)</f>
        <v>1483</v>
      </c>
      <c r="J13" s="77"/>
    </row>
    <row r="14" spans="1:10">
      <c r="A14" s="88" t="s">
        <v>164</v>
      </c>
      <c r="B14" s="99">
        <v>750</v>
      </c>
      <c r="C14" s="99">
        <v>1045</v>
      </c>
      <c r="D14" s="88"/>
      <c r="E14" s="88" t="s">
        <v>117</v>
      </c>
      <c r="F14" s="105">
        <f>F5-F6-F7-F8-F9-F10-F12-F13-F11</f>
        <v>1744</v>
      </c>
      <c r="G14" s="88"/>
      <c r="H14" s="88"/>
      <c r="I14" s="102"/>
      <c r="J14" s="77"/>
    </row>
    <row r="15" spans="1:10">
      <c r="A15" s="92" t="s">
        <v>121</v>
      </c>
      <c r="B15" s="104">
        <f>SUM(B11:B14)+B9</f>
        <v>5846</v>
      </c>
      <c r="C15" s="104">
        <f>SUM(C11:C14)+C9</f>
        <v>7076</v>
      </c>
      <c r="D15" s="88"/>
      <c r="E15" s="88" t="s">
        <v>147</v>
      </c>
      <c r="F15" s="97">
        <v>221</v>
      </c>
      <c r="G15" s="88"/>
      <c r="H15" s="88" t="s">
        <v>118</v>
      </c>
      <c r="I15" s="98">
        <f>-B36</f>
        <v>-105</v>
      </c>
      <c r="J15" s="77"/>
    </row>
    <row r="16" spans="1:10">
      <c r="A16" s="88"/>
      <c r="B16" s="102"/>
      <c r="C16" s="102"/>
      <c r="D16" s="88"/>
      <c r="E16" s="92" t="s">
        <v>120</v>
      </c>
      <c r="F16" s="106">
        <f>F14-F15</f>
        <v>1523</v>
      </c>
      <c r="G16" s="88"/>
      <c r="H16" s="88" t="s">
        <v>151</v>
      </c>
      <c r="I16" s="98">
        <f>-B41</f>
        <v>-101</v>
      </c>
      <c r="J16" s="77"/>
    </row>
    <row r="17" spans="1:10" ht="17">
      <c r="A17" s="92" t="s">
        <v>123</v>
      </c>
      <c r="B17" s="102"/>
      <c r="C17" s="102"/>
      <c r="D17" s="88"/>
      <c r="E17" s="95" t="s">
        <v>149</v>
      </c>
      <c r="F17" s="107">
        <v>678</v>
      </c>
      <c r="G17" s="88"/>
      <c r="H17" s="88" t="s">
        <v>122</v>
      </c>
      <c r="I17" s="101">
        <f>-(C13-B13)</f>
        <v>-37</v>
      </c>
      <c r="J17" s="77"/>
    </row>
    <row r="18" spans="1:10" ht="17">
      <c r="A18" s="88" t="s">
        <v>113</v>
      </c>
      <c r="B18" s="99">
        <v>1251</v>
      </c>
      <c r="C18" s="99">
        <v>1169</v>
      </c>
      <c r="D18" s="88"/>
      <c r="E18" s="96" t="s">
        <v>150</v>
      </c>
      <c r="F18" s="93"/>
      <c r="G18" s="88"/>
      <c r="H18" s="88" t="s">
        <v>152</v>
      </c>
      <c r="I18" s="101">
        <f>C23-B23</f>
        <v>-311</v>
      </c>
      <c r="J18" s="77"/>
    </row>
    <row r="19" spans="1:10">
      <c r="A19" s="88" t="s">
        <v>165</v>
      </c>
      <c r="B19" s="99">
        <v>398</v>
      </c>
      <c r="C19" s="99">
        <v>53</v>
      </c>
      <c r="D19" s="88"/>
      <c r="E19" s="88"/>
      <c r="F19" s="93"/>
      <c r="G19" s="88"/>
      <c r="H19" s="88" t="s">
        <v>153</v>
      </c>
      <c r="I19" s="101">
        <f>C24-B24</f>
        <v>66</v>
      </c>
      <c r="J19" s="77"/>
    </row>
    <row r="20" spans="1:10">
      <c r="A20" s="88" t="s">
        <v>148</v>
      </c>
      <c r="B20" s="99">
        <v>16</v>
      </c>
      <c r="C20" s="99">
        <v>55</v>
      </c>
      <c r="D20" s="88"/>
      <c r="E20" s="88"/>
      <c r="F20" s="93"/>
      <c r="G20" s="88"/>
      <c r="H20" s="92" t="s">
        <v>124</v>
      </c>
      <c r="I20" s="108">
        <f>SUM(I15:I19)</f>
        <v>-488</v>
      </c>
      <c r="J20" s="77"/>
    </row>
    <row r="21" spans="1:10">
      <c r="A21" s="92" t="s">
        <v>125</v>
      </c>
      <c r="B21" s="104">
        <f>SUM(B18:B20)</f>
        <v>1665</v>
      </c>
      <c r="C21" s="104">
        <f>SUM(C18:C20)</f>
        <v>1277</v>
      </c>
      <c r="D21" s="88"/>
      <c r="E21" s="88"/>
      <c r="F21" s="93"/>
      <c r="G21" s="88"/>
      <c r="H21" s="88"/>
      <c r="I21" s="102"/>
      <c r="J21" s="77"/>
    </row>
    <row r="22" spans="1:10">
      <c r="A22" s="88"/>
      <c r="B22" s="102"/>
      <c r="C22" s="102"/>
      <c r="D22" s="88"/>
      <c r="E22" s="88"/>
      <c r="F22" s="93"/>
      <c r="G22" s="88"/>
      <c r="H22" s="88" t="s">
        <v>154</v>
      </c>
      <c r="I22" s="101">
        <f>C19-B19</f>
        <v>-345</v>
      </c>
      <c r="J22" s="77"/>
    </row>
    <row r="23" spans="1:10">
      <c r="A23" s="88" t="s">
        <v>167</v>
      </c>
      <c r="B23" s="99">
        <v>11453</v>
      </c>
      <c r="C23" s="99">
        <v>11142</v>
      </c>
      <c r="D23" s="92"/>
      <c r="E23" s="88"/>
      <c r="F23" s="93"/>
      <c r="G23" s="92"/>
      <c r="H23" s="88" t="s">
        <v>155</v>
      </c>
      <c r="I23" s="101">
        <f>C28-B28</f>
        <v>60</v>
      </c>
      <c r="J23" s="77"/>
    </row>
    <row r="24" spans="1:10">
      <c r="A24" s="88" t="s">
        <v>166</v>
      </c>
      <c r="B24" s="99">
        <v>1604</v>
      </c>
      <c r="C24" s="99">
        <v>1670</v>
      </c>
      <c r="D24" s="88"/>
      <c r="E24" s="92"/>
      <c r="F24" s="92"/>
      <c r="G24" s="88"/>
      <c r="H24" s="88" t="s">
        <v>156</v>
      </c>
      <c r="I24" s="101">
        <f>C29-B29</f>
        <v>891</v>
      </c>
      <c r="J24" s="77"/>
    </row>
    <row r="25" spans="1:10">
      <c r="A25" s="92" t="s">
        <v>126</v>
      </c>
      <c r="B25" s="104">
        <f>B21+SUM(B23:B24)</f>
        <v>14722</v>
      </c>
      <c r="C25" s="104">
        <f>C21+SUM(C23:C24)</f>
        <v>14089</v>
      </c>
      <c r="D25" s="88"/>
      <c r="E25" s="88"/>
      <c r="F25" s="93"/>
      <c r="G25" s="88"/>
      <c r="H25" s="88" t="s">
        <v>157</v>
      </c>
      <c r="I25" s="101">
        <f>C30-B30</f>
        <v>67</v>
      </c>
      <c r="J25" s="77"/>
    </row>
    <row r="26" spans="1:10">
      <c r="A26" s="88"/>
      <c r="B26" s="102"/>
      <c r="C26" s="102"/>
      <c r="D26" s="88"/>
      <c r="E26" s="88"/>
      <c r="F26" s="93"/>
      <c r="G26" s="88"/>
      <c r="H26" s="88" t="s">
        <v>127</v>
      </c>
      <c r="I26" s="98">
        <f>-F17</f>
        <v>-678</v>
      </c>
      <c r="J26" s="77"/>
    </row>
    <row r="27" spans="1:10">
      <c r="A27" s="92" t="s">
        <v>128</v>
      </c>
      <c r="B27" s="102"/>
      <c r="C27" s="102"/>
      <c r="D27" s="88"/>
      <c r="E27" s="88"/>
      <c r="F27" s="93"/>
      <c r="G27" s="88"/>
      <c r="H27" s="92" t="s">
        <v>129</v>
      </c>
      <c r="I27" s="108">
        <f>SUM(I22:I26)</f>
        <v>-5</v>
      </c>
      <c r="J27" s="77"/>
    </row>
    <row r="28" spans="1:10">
      <c r="A28" s="88" t="s">
        <v>130</v>
      </c>
      <c r="B28" s="99">
        <v>0</v>
      </c>
      <c r="C28" s="99">
        <v>60</v>
      </c>
      <c r="D28" s="88"/>
      <c r="E28" s="88"/>
      <c r="F28" s="93"/>
      <c r="G28" s="88"/>
      <c r="H28" s="92"/>
      <c r="I28" s="109"/>
      <c r="J28" s="77"/>
    </row>
    <row r="29" spans="1:10">
      <c r="A29" s="88" t="s">
        <v>169</v>
      </c>
      <c r="B29" s="99">
        <v>-8507</v>
      </c>
      <c r="C29" s="99">
        <v>-7616</v>
      </c>
      <c r="D29" s="88"/>
      <c r="E29" s="88"/>
      <c r="F29" s="93"/>
      <c r="G29" s="88"/>
      <c r="H29" s="92" t="s">
        <v>158</v>
      </c>
      <c r="I29" s="98">
        <f>B6</f>
        <v>367</v>
      </c>
      <c r="J29" s="77"/>
    </row>
    <row r="30" spans="1:10">
      <c r="A30" s="88" t="s">
        <v>168</v>
      </c>
      <c r="B30" s="99">
        <v>-369</v>
      </c>
      <c r="C30" s="99">
        <v>-302</v>
      </c>
      <c r="D30" s="88"/>
      <c r="E30" s="88"/>
      <c r="F30" s="93"/>
      <c r="G30" s="88"/>
      <c r="H30" s="92" t="s">
        <v>131</v>
      </c>
      <c r="I30" s="108">
        <f>I13+I20+I27</f>
        <v>990</v>
      </c>
      <c r="J30" s="77"/>
    </row>
    <row r="31" spans="1:10">
      <c r="A31" s="88" t="s">
        <v>132</v>
      </c>
      <c r="B31" s="110">
        <f>B15-B25-B28-B29-B30</f>
        <v>0</v>
      </c>
      <c r="C31" s="101">
        <f>B31+F16-F17</f>
        <v>845</v>
      </c>
      <c r="D31" s="88"/>
      <c r="E31" s="88"/>
      <c r="F31" s="93"/>
      <c r="G31" s="88"/>
      <c r="H31" s="92" t="s">
        <v>159</v>
      </c>
      <c r="I31" s="108">
        <f>I29+I30</f>
        <v>1357</v>
      </c>
      <c r="J31" s="77"/>
    </row>
    <row r="32" spans="1:10">
      <c r="A32" s="92" t="s">
        <v>133</v>
      </c>
      <c r="B32" s="104">
        <f>B25+SUM(B28:B31)</f>
        <v>5846</v>
      </c>
      <c r="C32" s="114">
        <f>C25+SUM(C28:C31)</f>
        <v>7076</v>
      </c>
      <c r="D32" s="88"/>
      <c r="E32" s="88"/>
      <c r="F32" s="93"/>
      <c r="G32" s="88"/>
      <c r="H32" s="92"/>
      <c r="I32" s="92"/>
      <c r="J32" s="77"/>
    </row>
    <row r="33" spans="1:10">
      <c r="A33" s="92" t="s">
        <v>160</v>
      </c>
      <c r="B33" s="88">
        <f>B15-B32</f>
        <v>0</v>
      </c>
      <c r="C33" s="88">
        <f>C15-C32</f>
        <v>0</v>
      </c>
      <c r="D33" s="88"/>
      <c r="E33" s="88"/>
      <c r="F33" s="93"/>
      <c r="G33" s="88"/>
      <c r="H33" s="88"/>
      <c r="I33" s="88"/>
      <c r="J33" s="77"/>
    </row>
    <row r="34" spans="1:10">
      <c r="A34" s="88" t="s">
        <v>134</v>
      </c>
      <c r="B34" s="111">
        <f>B11</f>
        <v>1171</v>
      </c>
      <c r="C34" s="102"/>
      <c r="D34" s="88"/>
      <c r="E34" s="88"/>
      <c r="F34" s="93"/>
      <c r="G34" s="88"/>
      <c r="H34" s="88"/>
      <c r="I34" s="88"/>
      <c r="J34" s="77"/>
    </row>
    <row r="35" spans="1:10">
      <c r="A35" s="88" t="s">
        <v>135</v>
      </c>
      <c r="B35" s="112">
        <f>F9</f>
        <v>79</v>
      </c>
      <c r="C35" s="102"/>
      <c r="D35" s="92"/>
      <c r="E35" s="88"/>
      <c r="F35" s="93"/>
      <c r="G35" s="92"/>
      <c r="H35" s="88"/>
      <c r="I35" s="88"/>
      <c r="J35" s="77"/>
    </row>
    <row r="36" spans="1:10">
      <c r="A36" s="88" t="s">
        <v>161</v>
      </c>
      <c r="B36" s="113">
        <f>B37-B34+B35</f>
        <v>105</v>
      </c>
      <c r="C36" s="102"/>
      <c r="D36" s="92"/>
      <c r="E36" s="92"/>
      <c r="F36" s="92"/>
      <c r="G36" s="92"/>
      <c r="H36" s="88"/>
      <c r="I36" s="88"/>
      <c r="J36" s="77"/>
    </row>
    <row r="37" spans="1:10">
      <c r="A37" s="88" t="s">
        <v>136</v>
      </c>
      <c r="B37" s="111">
        <f>C11</f>
        <v>1197</v>
      </c>
      <c r="C37" s="102"/>
      <c r="D37" s="88"/>
      <c r="E37" s="92"/>
      <c r="F37" s="92"/>
      <c r="G37" s="88"/>
      <c r="H37" s="88"/>
      <c r="I37" s="88"/>
    </row>
    <row r="38" spans="1:10">
      <c r="D38" s="88"/>
      <c r="E38" s="88"/>
      <c r="F38" s="93"/>
      <c r="G38" s="88"/>
    </row>
    <row r="39" spans="1:10">
      <c r="A39" s="88" t="s">
        <v>137</v>
      </c>
      <c r="B39" s="111">
        <f>B12</f>
        <v>992</v>
      </c>
      <c r="D39" s="88"/>
      <c r="E39" s="88"/>
      <c r="F39" s="93"/>
      <c r="G39" s="88"/>
    </row>
    <row r="40" spans="1:10">
      <c r="A40" s="88" t="s">
        <v>139</v>
      </c>
      <c r="B40" s="112">
        <f>F10</f>
        <v>74</v>
      </c>
      <c r="D40" s="88"/>
      <c r="E40" s="88"/>
      <c r="F40" s="93"/>
      <c r="G40" s="88"/>
    </row>
    <row r="41" spans="1:10">
      <c r="A41" s="88" t="s">
        <v>138</v>
      </c>
      <c r="B41" s="100">
        <f>B42+B40-B39</f>
        <v>101</v>
      </c>
      <c r="D41" s="88"/>
      <c r="E41" s="88"/>
      <c r="F41" s="93"/>
      <c r="G41" s="88"/>
    </row>
    <row r="42" spans="1:10">
      <c r="A42" s="88" t="s">
        <v>140</v>
      </c>
      <c r="B42" s="111">
        <f>C12</f>
        <v>1019</v>
      </c>
      <c r="D42" s="88"/>
      <c r="E42" s="88"/>
      <c r="F42" s="93"/>
      <c r="G42" s="88"/>
    </row>
    <row r="43" spans="1:10">
      <c r="E43" s="88"/>
      <c r="F43" s="9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2CF5-2D79-5549-98C9-F13EB1ADA981}">
  <dimension ref="A1:N46"/>
  <sheetViews>
    <sheetView topLeftCell="A8" zoomScaleNormal="100" workbookViewId="0">
      <selection activeCell="H18" sqref="H18"/>
    </sheetView>
  </sheetViews>
  <sheetFormatPr baseColWidth="10" defaultRowHeight="16"/>
  <cols>
    <col min="1" max="1" width="20.6640625" bestFit="1" customWidth="1"/>
    <col min="5" max="5" width="15.6640625" customWidth="1"/>
  </cols>
  <sheetData>
    <row r="1" spans="1:14" ht="32">
      <c r="A1" s="84" t="s">
        <v>275</v>
      </c>
      <c r="B1" s="85"/>
      <c r="C1" s="85"/>
      <c r="D1" s="85"/>
      <c r="E1" s="85"/>
    </row>
    <row r="2" spans="1:14">
      <c r="A2" s="271" t="s">
        <v>276</v>
      </c>
    </row>
    <row r="4" spans="1:14">
      <c r="A4" t="s">
        <v>277</v>
      </c>
      <c r="B4" s="137" t="s">
        <v>270</v>
      </c>
      <c r="E4" s="137" t="s">
        <v>354</v>
      </c>
    </row>
    <row r="5" spans="1:14" ht="34">
      <c r="A5" t="s">
        <v>278</v>
      </c>
      <c r="B5" s="137" t="s">
        <v>270</v>
      </c>
      <c r="E5" s="341" t="s">
        <v>355</v>
      </c>
    </row>
    <row r="6" spans="1:14">
      <c r="J6" s="282" t="s">
        <v>342</v>
      </c>
    </row>
    <row r="7" spans="1:14">
      <c r="A7" t="s">
        <v>302</v>
      </c>
      <c r="B7" s="272">
        <v>136.74</v>
      </c>
      <c r="E7" s="272">
        <v>67.849999999999994</v>
      </c>
      <c r="J7" t="s">
        <v>294</v>
      </c>
      <c r="K7" t="s">
        <v>295</v>
      </c>
      <c r="L7" t="s">
        <v>11</v>
      </c>
      <c r="M7" t="s">
        <v>296</v>
      </c>
      <c r="N7" t="s">
        <v>297</v>
      </c>
    </row>
    <row r="8" spans="1:14">
      <c r="J8" t="s">
        <v>298</v>
      </c>
      <c r="K8" t="s">
        <v>299</v>
      </c>
      <c r="L8" t="s">
        <v>178</v>
      </c>
      <c r="M8" t="s">
        <v>300</v>
      </c>
      <c r="N8" t="s">
        <v>301</v>
      </c>
    </row>
    <row r="9" spans="1:14">
      <c r="A9" t="s">
        <v>279</v>
      </c>
      <c r="B9" s="273">
        <f>WACC!G15</f>
        <v>281.03399999999999</v>
      </c>
      <c r="E9" s="273">
        <v>313.35000000000002</v>
      </c>
      <c r="J9" s="283">
        <v>7.4989999999999997</v>
      </c>
      <c r="K9" s="272">
        <v>83.37</v>
      </c>
      <c r="L9" s="284">
        <f>B7</f>
        <v>136.74</v>
      </c>
      <c r="M9" s="137" t="str">
        <f>IF(L9&gt;K9,"YES","NO")</f>
        <v>YES</v>
      </c>
      <c r="N9">
        <f>IF(M9="YES",((L9-K9)/L9*J9),0)</f>
        <v>2.9268804300131639</v>
      </c>
    </row>
    <row r="10" spans="1:14">
      <c r="A10" t="s">
        <v>280</v>
      </c>
      <c r="B10" s="274">
        <f>N9</f>
        <v>2.9268804300131639</v>
      </c>
      <c r="E10" s="274">
        <f>N28</f>
        <v>0.60539425202652908</v>
      </c>
    </row>
    <row r="11" spans="1:14">
      <c r="A11" s="275" t="s">
        <v>12</v>
      </c>
      <c r="B11" s="276">
        <f>SUM(B9:B10)</f>
        <v>283.96088043001316</v>
      </c>
      <c r="E11" s="276">
        <f>SUM(E9:E10)</f>
        <v>313.95539425202657</v>
      </c>
    </row>
    <row r="13" spans="1:14">
      <c r="A13" s="275" t="s">
        <v>281</v>
      </c>
      <c r="B13" s="277">
        <f>B7*B11</f>
        <v>38828.810790000003</v>
      </c>
      <c r="E13" s="277">
        <f>E11*E7</f>
        <v>21301.873500000002</v>
      </c>
      <c r="J13" s="330" t="s">
        <v>341</v>
      </c>
    </row>
    <row r="14" spans="1:14" ht="17" thickBot="1">
      <c r="K14" s="279" t="s">
        <v>337</v>
      </c>
      <c r="L14" s="279"/>
      <c r="M14" s="279" t="s">
        <v>337</v>
      </c>
    </row>
    <row r="15" spans="1:14">
      <c r="A15" t="s">
        <v>18</v>
      </c>
      <c r="B15" s="278">
        <f>'Linking Sheet'!C19+'Linking Sheet'!C23</f>
        <v>11195</v>
      </c>
      <c r="E15" s="278">
        <f>12854+101</f>
        <v>12955</v>
      </c>
      <c r="K15" s="331">
        <v>45077</v>
      </c>
      <c r="L15" s="279">
        <v>2023</v>
      </c>
      <c r="M15" s="331">
        <v>45443</v>
      </c>
      <c r="N15" s="332" t="s">
        <v>235</v>
      </c>
    </row>
    <row r="16" spans="1:14">
      <c r="A16" t="s">
        <v>48</v>
      </c>
      <c r="B16" s="273">
        <f>'Linking Sheet'!C6</f>
        <v>1357</v>
      </c>
      <c r="E16" s="273">
        <v>1139</v>
      </c>
      <c r="J16" t="s">
        <v>338</v>
      </c>
      <c r="K16" s="333">
        <v>5040</v>
      </c>
      <c r="L16" s="333">
        <f>'Linking Sheet'!F5</f>
        <v>7076</v>
      </c>
      <c r="M16" s="333">
        <v>5187</v>
      </c>
      <c r="N16" s="334">
        <f>M16+L16-K16</f>
        <v>7223</v>
      </c>
    </row>
    <row r="17" spans="1:14">
      <c r="A17" s="275" t="s">
        <v>230</v>
      </c>
      <c r="B17" s="277">
        <f>B15-B16</f>
        <v>9838</v>
      </c>
      <c r="E17" s="277">
        <f>E15-E16</f>
        <v>11816</v>
      </c>
      <c r="J17" t="s">
        <v>339</v>
      </c>
      <c r="K17" s="335">
        <v>1709</v>
      </c>
      <c r="L17" s="335">
        <f>2318</f>
        <v>2318</v>
      </c>
      <c r="M17" s="335">
        <v>1746</v>
      </c>
      <c r="N17" s="336">
        <f>M17+L17-K17</f>
        <v>2355</v>
      </c>
    </row>
    <row r="18" spans="1:14">
      <c r="J18" t="s">
        <v>250</v>
      </c>
      <c r="K18" s="335">
        <v>104</v>
      </c>
      <c r="L18" s="335">
        <v>153</v>
      </c>
      <c r="M18" s="335">
        <v>120</v>
      </c>
      <c r="N18" s="336">
        <f>M18+L18-K18</f>
        <v>169</v>
      </c>
    </row>
    <row r="19" spans="1:14">
      <c r="A19" t="s">
        <v>282</v>
      </c>
      <c r="B19" s="278">
        <v>0</v>
      </c>
      <c r="E19" s="278">
        <v>0</v>
      </c>
      <c r="J19" s="291" t="s">
        <v>40</v>
      </c>
      <c r="K19" s="337">
        <f t="shared" ref="K19:M19" si="0">SUM(K17:K18)</f>
        <v>1813</v>
      </c>
      <c r="L19" s="337">
        <f t="shared" si="0"/>
        <v>2471</v>
      </c>
      <c r="M19" s="337">
        <f t="shared" si="0"/>
        <v>1866</v>
      </c>
      <c r="N19" s="338">
        <f t="shared" ref="N19" si="1">SUM(N17:N18)</f>
        <v>2524</v>
      </c>
    </row>
    <row r="20" spans="1:14">
      <c r="A20" t="s">
        <v>283</v>
      </c>
      <c r="B20" s="273">
        <v>0</v>
      </c>
      <c r="E20" s="273">
        <v>0</v>
      </c>
      <c r="J20" t="s">
        <v>291</v>
      </c>
      <c r="K20" s="335">
        <v>179</v>
      </c>
      <c r="L20" s="335">
        <v>285</v>
      </c>
      <c r="M20" s="335">
        <v>151</v>
      </c>
      <c r="N20" s="336">
        <f>M20+L20-K20</f>
        <v>257</v>
      </c>
    </row>
    <row r="21" spans="1:14">
      <c r="A21" t="s">
        <v>284</v>
      </c>
      <c r="B21" s="273">
        <v>0</v>
      </c>
      <c r="E21" s="273">
        <v>0</v>
      </c>
      <c r="J21" s="291" t="s">
        <v>340</v>
      </c>
      <c r="K21" s="337">
        <f t="shared" ref="K21:N21" si="2">K19-K20</f>
        <v>1634</v>
      </c>
      <c r="L21" s="337">
        <f>L19-L20</f>
        <v>2186</v>
      </c>
      <c r="M21" s="337">
        <f t="shared" si="2"/>
        <v>1715</v>
      </c>
      <c r="N21" s="338">
        <f t="shared" si="2"/>
        <v>2267</v>
      </c>
    </row>
    <row r="22" spans="1:14" ht="17" thickBot="1">
      <c r="J22" t="s">
        <v>107</v>
      </c>
      <c r="K22" s="335">
        <v>1063</v>
      </c>
      <c r="L22" s="335">
        <v>1597</v>
      </c>
      <c r="M22" s="335">
        <v>1134</v>
      </c>
      <c r="N22" s="339">
        <f>M22+L22-K22</f>
        <v>1668</v>
      </c>
    </row>
    <row r="23" spans="1:14">
      <c r="A23" s="275" t="s">
        <v>83</v>
      </c>
      <c r="B23" s="277">
        <f>B13+B17+B19+B20-B21</f>
        <v>48666.810790000003</v>
      </c>
      <c r="E23" s="277">
        <f>E13+E17+E19+E20-E21</f>
        <v>33117.873500000002</v>
      </c>
    </row>
    <row r="25" spans="1:14">
      <c r="A25" s="275" t="s">
        <v>285</v>
      </c>
      <c r="B25" s="279" t="s">
        <v>286</v>
      </c>
      <c r="C25" s="279" t="s">
        <v>287</v>
      </c>
      <c r="D25" s="279"/>
      <c r="J25" s="282" t="s">
        <v>356</v>
      </c>
    </row>
    <row r="26" spans="1:14">
      <c r="A26" t="s">
        <v>235</v>
      </c>
      <c r="B26" s="280">
        <f>N16</f>
        <v>7223</v>
      </c>
      <c r="C26" s="281">
        <f>$B$13/B26</f>
        <v>5.3757179551432923</v>
      </c>
      <c r="D26" s="281"/>
      <c r="E26" s="342">
        <f>N34</f>
        <v>7920</v>
      </c>
      <c r="F26" s="281">
        <f>$E$13/E26</f>
        <v>2.6896304924242425</v>
      </c>
      <c r="J26" t="s">
        <v>294</v>
      </c>
      <c r="K26" t="s">
        <v>295</v>
      </c>
      <c r="L26" t="s">
        <v>11</v>
      </c>
      <c r="M26" t="s">
        <v>296</v>
      </c>
      <c r="N26" t="s">
        <v>297</v>
      </c>
    </row>
    <row r="27" spans="1:14">
      <c r="A27" t="s">
        <v>288</v>
      </c>
      <c r="B27" s="343">
        <f>L16</f>
        <v>7076</v>
      </c>
      <c r="C27" s="281">
        <f>$B$13/B27</f>
        <v>5.487395532786886</v>
      </c>
      <c r="D27" s="281"/>
      <c r="E27" s="342">
        <f>L34</f>
        <v>7022</v>
      </c>
      <c r="F27" s="281">
        <f>$E$13/E27</f>
        <v>3.0335906436912561</v>
      </c>
      <c r="J27" t="s">
        <v>298</v>
      </c>
      <c r="K27" t="s">
        <v>299</v>
      </c>
      <c r="L27" t="s">
        <v>178</v>
      </c>
      <c r="M27" t="s">
        <v>300</v>
      </c>
      <c r="N27" t="s">
        <v>301</v>
      </c>
    </row>
    <row r="28" spans="1:14">
      <c r="B28" s="64"/>
      <c r="C28" s="275"/>
      <c r="D28" s="275"/>
      <c r="E28" s="64"/>
      <c r="J28" s="283">
        <v>2.52</v>
      </c>
      <c r="K28" s="272">
        <v>51.55</v>
      </c>
      <c r="L28" s="284">
        <f>E7</f>
        <v>67.849999999999994</v>
      </c>
      <c r="M28" s="137" t="str">
        <f>IF(L28&gt;K28,"YES","NO")</f>
        <v>YES</v>
      </c>
      <c r="N28">
        <f>IF(M28="YES",((L28-K28)/L28*J28),0)</f>
        <v>0.60539425202652908</v>
      </c>
    </row>
    <row r="29" spans="1:14">
      <c r="A29" s="275" t="s">
        <v>289</v>
      </c>
      <c r="B29" s="64"/>
      <c r="C29" s="275"/>
      <c r="D29" s="275"/>
      <c r="E29" s="64"/>
    </row>
    <row r="30" spans="1:14">
      <c r="A30" t="s">
        <v>235</v>
      </c>
      <c r="B30" s="280">
        <f>N19</f>
        <v>2524</v>
      </c>
      <c r="C30" s="281">
        <f>$B$23/B30</f>
        <v>19.281620756735343</v>
      </c>
      <c r="D30" s="281"/>
      <c r="E30" s="342">
        <f>N37</f>
        <v>2488</v>
      </c>
      <c r="F30" s="281">
        <f>$E$13/E30</f>
        <v>8.5618462620578786</v>
      </c>
    </row>
    <row r="31" spans="1:14">
      <c r="A31" t="s">
        <v>288</v>
      </c>
      <c r="B31" s="343">
        <f>L19</f>
        <v>2471</v>
      </c>
      <c r="C31" s="281">
        <f>$B$23/B31</f>
        <v>19.695188502630515</v>
      </c>
      <c r="D31" s="281"/>
      <c r="E31" s="342">
        <f>L37</f>
        <v>2242</v>
      </c>
      <c r="F31" s="281">
        <f>$E$13/E31</f>
        <v>9.5012816681534353</v>
      </c>
      <c r="J31" s="330" t="s">
        <v>357</v>
      </c>
    </row>
    <row r="32" spans="1:14" ht="17" thickBot="1">
      <c r="B32" s="64"/>
      <c r="C32" s="275"/>
      <c r="D32" s="275"/>
      <c r="E32" s="64"/>
      <c r="K32" s="279" t="s">
        <v>337</v>
      </c>
      <c r="L32" s="279"/>
      <c r="M32" s="279" t="s">
        <v>337</v>
      </c>
    </row>
    <row r="33" spans="1:14">
      <c r="A33" s="275" t="s">
        <v>290</v>
      </c>
      <c r="B33" s="64"/>
      <c r="C33" s="275"/>
      <c r="D33" s="275"/>
      <c r="E33" s="64"/>
      <c r="K33" s="331">
        <v>45077</v>
      </c>
      <c r="L33" s="279">
        <v>2023</v>
      </c>
      <c r="M33" s="331">
        <v>45443</v>
      </c>
      <c r="N33" s="332" t="s">
        <v>235</v>
      </c>
    </row>
    <row r="34" spans="1:14">
      <c r="A34" t="s">
        <v>235</v>
      </c>
      <c r="B34" s="280">
        <f>N22</f>
        <v>1668</v>
      </c>
      <c r="C34" s="281">
        <f>$B$13/B34</f>
        <v>23.278663543165468</v>
      </c>
      <c r="D34" s="281"/>
      <c r="E34" s="82">
        <f>N40</f>
        <v>1810</v>
      </c>
      <c r="F34" s="281">
        <f>$E$13/E34</f>
        <v>11.768990883977901</v>
      </c>
      <c r="J34" t="s">
        <v>338</v>
      </c>
      <c r="K34" s="333">
        <v>5202</v>
      </c>
      <c r="L34" s="333">
        <v>7022</v>
      </c>
      <c r="M34" s="333">
        <v>6100</v>
      </c>
      <c r="N34" s="334">
        <f>M34+L34-K34</f>
        <v>7920</v>
      </c>
    </row>
    <row r="35" spans="1:14">
      <c r="A35" t="s">
        <v>288</v>
      </c>
      <c r="B35" s="343">
        <f>L22</f>
        <v>1597</v>
      </c>
      <c r="C35" s="281">
        <f>$B$13/B35</f>
        <v>24.31359473387602</v>
      </c>
      <c r="D35" s="281"/>
      <c r="E35" s="82">
        <f>L40</f>
        <v>1718</v>
      </c>
      <c r="F35" s="281">
        <f>$E$13/E35</f>
        <v>12.399227881257277</v>
      </c>
      <c r="J35" t="s">
        <v>339</v>
      </c>
      <c r="K35" s="335">
        <v>1583</v>
      </c>
      <c r="L35" s="335">
        <v>2051</v>
      </c>
      <c r="M35" s="335">
        <v>1784</v>
      </c>
      <c r="N35" s="336">
        <f>M35+L35-K35</f>
        <v>2252</v>
      </c>
    </row>
    <row r="36" spans="1:14">
      <c r="B36" s="64"/>
      <c r="C36" s="275"/>
      <c r="D36" s="275"/>
      <c r="E36" s="64"/>
      <c r="J36" t="s">
        <v>250</v>
      </c>
      <c r="K36" s="335">
        <v>142</v>
      </c>
      <c r="L36" s="335">
        <v>191</v>
      </c>
      <c r="M36" s="335">
        <v>187</v>
      </c>
      <c r="N36" s="336">
        <f>M36+L36-K36</f>
        <v>236</v>
      </c>
    </row>
    <row r="37" spans="1:14">
      <c r="A37" s="275" t="s">
        <v>291</v>
      </c>
      <c r="B37" s="64"/>
      <c r="C37" s="275"/>
      <c r="D37" s="275"/>
      <c r="E37" s="64"/>
      <c r="J37" s="291" t="s">
        <v>40</v>
      </c>
      <c r="K37" s="337">
        <f t="shared" ref="K37:M37" si="3">SUM(K35:K36)</f>
        <v>1725</v>
      </c>
      <c r="L37" s="337">
        <f t="shared" si="3"/>
        <v>2242</v>
      </c>
      <c r="M37" s="337">
        <f t="shared" si="3"/>
        <v>1971</v>
      </c>
      <c r="N37" s="338">
        <f t="shared" ref="N37" si="4">SUM(N35:N36)</f>
        <v>2488</v>
      </c>
    </row>
    <row r="38" spans="1:14">
      <c r="A38" t="s">
        <v>235</v>
      </c>
      <c r="B38" s="280">
        <f>N20</f>
        <v>257</v>
      </c>
      <c r="C38" s="275"/>
      <c r="D38" s="275"/>
      <c r="E38" s="82">
        <f>N38</f>
        <v>171</v>
      </c>
      <c r="J38" t="s">
        <v>291</v>
      </c>
      <c r="K38" s="335">
        <v>73</v>
      </c>
      <c r="L38" s="335">
        <v>120</v>
      </c>
      <c r="M38" s="335">
        <v>124</v>
      </c>
      <c r="N38" s="336">
        <f>M38+L38-K38</f>
        <v>171</v>
      </c>
    </row>
    <row r="39" spans="1:14">
      <c r="A39" t="s">
        <v>288</v>
      </c>
      <c r="B39" s="343">
        <f>L20</f>
        <v>285</v>
      </c>
      <c r="C39" s="275"/>
      <c r="D39" s="275"/>
      <c r="E39" s="82">
        <f>L38</f>
        <v>120</v>
      </c>
      <c r="J39" s="291" t="s">
        <v>340</v>
      </c>
      <c r="K39" s="337">
        <f t="shared" ref="K39:N39" si="5">K37-K38</f>
        <v>1652</v>
      </c>
      <c r="L39" s="337">
        <f>L37-L38</f>
        <v>2122</v>
      </c>
      <c r="M39" s="337">
        <f t="shared" ref="M39:N39" si="6">M37-M38</f>
        <v>1847</v>
      </c>
      <c r="N39" s="338">
        <f t="shared" si="6"/>
        <v>2317</v>
      </c>
    </row>
    <row r="40" spans="1:14" ht="17" thickBot="1">
      <c r="B40" s="64"/>
      <c r="C40" s="275"/>
      <c r="D40" s="275"/>
      <c r="E40" s="64"/>
      <c r="J40" t="s">
        <v>107</v>
      </c>
      <c r="K40" s="335">
        <v>992</v>
      </c>
      <c r="L40" s="335">
        <v>1718</v>
      </c>
      <c r="M40" s="335">
        <v>1084</v>
      </c>
      <c r="N40" s="339">
        <f>M40+L40-K40</f>
        <v>1810</v>
      </c>
    </row>
    <row r="41" spans="1:14">
      <c r="A41" s="275" t="s">
        <v>292</v>
      </c>
      <c r="B41" s="64"/>
      <c r="C41" s="275"/>
      <c r="D41" s="275"/>
      <c r="E41" s="64"/>
    </row>
    <row r="42" spans="1:14">
      <c r="A42" t="s">
        <v>235</v>
      </c>
      <c r="B42" s="342">
        <f>N21</f>
        <v>2267</v>
      </c>
      <c r="C42" s="281">
        <f>$B$13/B42</f>
        <v>17.127838901632114</v>
      </c>
      <c r="D42" s="281"/>
      <c r="E42" s="342">
        <f>N39</f>
        <v>2317</v>
      </c>
      <c r="F42" s="281">
        <f>$E$13/E42</f>
        <v>9.1937304704359093</v>
      </c>
    </row>
    <row r="43" spans="1:14">
      <c r="A43" t="s">
        <v>288</v>
      </c>
      <c r="B43" s="82">
        <f>N22</f>
        <v>1668</v>
      </c>
      <c r="C43" s="281">
        <f>$B$13/B43</f>
        <v>23.278663543165468</v>
      </c>
      <c r="D43" s="281"/>
      <c r="E43" s="342">
        <f>L39</f>
        <v>2122</v>
      </c>
      <c r="F43" s="281">
        <f>$E$13/E43</f>
        <v>10.038583176248823</v>
      </c>
    </row>
    <row r="45" spans="1:14">
      <c r="A45" t="s">
        <v>303</v>
      </c>
    </row>
    <row r="46" spans="1:14">
      <c r="A46" s="271" t="s">
        <v>293</v>
      </c>
    </row>
  </sheetData>
  <pageMargins left="0.7" right="0.7" top="0.75" bottom="0.75" header="0.3" footer="0.3"/>
  <ignoredErrors>
    <ignoredError sqref="K19" formulaRange="1"/>
  </ignoredError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9202-9757-5047-B1C4-7ADC8AD8C12A}">
  <dimension ref="A1:O136"/>
  <sheetViews>
    <sheetView topLeftCell="A120" zoomScaleNormal="100" workbookViewId="0">
      <selection activeCell="F101" sqref="F101"/>
    </sheetView>
  </sheetViews>
  <sheetFormatPr baseColWidth="10" defaultRowHeight="16"/>
  <cols>
    <col min="2" max="2" width="28" bestFit="1" customWidth="1"/>
    <col min="5" max="5" width="12.6640625" bestFit="1" customWidth="1"/>
    <col min="7" max="7" width="11.33203125" customWidth="1"/>
    <col min="10" max="10" width="15.83203125" bestFit="1" customWidth="1"/>
    <col min="11" max="11" width="12.6640625" bestFit="1" customWidth="1"/>
  </cols>
  <sheetData>
    <row r="1" spans="1:13" ht="28">
      <c r="A1" s="120" t="str">
        <f>"MCD Acquisition of YUM for $"&amp;TEXT(B8,"#,##.00")&amp;" per Share"</f>
        <v>MCD Acquisition of YUM for $164.09 per Share</v>
      </c>
      <c r="B1" s="85"/>
      <c r="C1" s="85"/>
      <c r="D1" s="85"/>
      <c r="E1" s="85"/>
      <c r="F1" s="85"/>
      <c r="G1" s="85"/>
      <c r="H1" s="85"/>
      <c r="I1" s="85"/>
      <c r="J1" s="85"/>
    </row>
    <row r="2" spans="1:13" ht="18">
      <c r="A2" s="121" t="s">
        <v>171</v>
      </c>
    </row>
    <row r="4" spans="1:13">
      <c r="C4" s="122" t="s">
        <v>271</v>
      </c>
      <c r="D4" s="122" t="s">
        <v>270</v>
      </c>
    </row>
    <row r="5" spans="1:13">
      <c r="A5" t="s">
        <v>172</v>
      </c>
      <c r="C5" s="123">
        <v>298.56</v>
      </c>
      <c r="D5" s="123">
        <v>136.74</v>
      </c>
      <c r="E5" t="s">
        <v>272</v>
      </c>
    </row>
    <row r="6" spans="1:13" ht="17" thickBot="1">
      <c r="F6" s="124"/>
      <c r="G6" s="125"/>
      <c r="H6" s="125"/>
      <c r="I6" s="125"/>
      <c r="J6" s="126" t="s">
        <v>173</v>
      </c>
      <c r="K6" s="127" t="s">
        <v>174</v>
      </c>
      <c r="L6" s="127" t="s">
        <v>175</v>
      </c>
      <c r="M6" s="128" t="s">
        <v>176</v>
      </c>
    </row>
    <row r="7" spans="1:13" ht="17" thickBot="1">
      <c r="A7" s="129" t="s">
        <v>274</v>
      </c>
      <c r="F7" s="130"/>
      <c r="H7" s="340">
        <v>2023</v>
      </c>
      <c r="J7" s="132" t="s">
        <v>177</v>
      </c>
      <c r="K7" s="122" t="s">
        <v>178</v>
      </c>
      <c r="L7" s="122" t="s">
        <v>179</v>
      </c>
      <c r="M7" s="133" t="s">
        <v>180</v>
      </c>
    </row>
    <row r="8" spans="1:13">
      <c r="A8" t="s">
        <v>181</v>
      </c>
      <c r="B8" s="266">
        <f>D5*(1+B9)</f>
        <v>164.08799999999999</v>
      </c>
      <c r="F8" s="130"/>
      <c r="G8" s="134" t="s">
        <v>345</v>
      </c>
      <c r="H8" s="253">
        <v>281.33999999999997</v>
      </c>
      <c r="J8" s="136">
        <v>7.4989999999999997</v>
      </c>
      <c r="K8" s="123">
        <v>83.37</v>
      </c>
      <c r="L8" s="137" t="str">
        <f>IF(B8&gt;K8,"YES","NO")</f>
        <v>YES</v>
      </c>
      <c r="M8" s="138">
        <f>IF(L8="YES",((B8-K8)/B8)*J8,0)</f>
        <v>3.6889003583443025</v>
      </c>
    </row>
    <row r="9" spans="1:13">
      <c r="A9" t="s">
        <v>182</v>
      </c>
      <c r="B9" s="267">
        <v>0.2</v>
      </c>
      <c r="F9" s="130"/>
      <c r="J9" s="130"/>
      <c r="M9" s="139"/>
    </row>
    <row r="10" spans="1:13">
      <c r="F10" s="140"/>
      <c r="G10" s="141"/>
      <c r="H10" s="141"/>
      <c r="I10" s="141"/>
      <c r="J10" s="140"/>
      <c r="K10" s="141"/>
      <c r="L10" s="141"/>
      <c r="M10" s="142"/>
    </row>
    <row r="11" spans="1:13">
      <c r="A11" t="s">
        <v>346</v>
      </c>
      <c r="D11" s="143">
        <f>H8+M8</f>
        <v>285.02890035834429</v>
      </c>
      <c r="E11" t="s">
        <v>183</v>
      </c>
    </row>
    <row r="13" spans="1:13">
      <c r="A13" t="s">
        <v>347</v>
      </c>
      <c r="C13" s="144">
        <f>D11*B8</f>
        <v>46769.822201999996</v>
      </c>
      <c r="D13" s="145"/>
    </row>
    <row r="15" spans="1:13">
      <c r="D15" s="122" t="s">
        <v>184</v>
      </c>
      <c r="E15" s="122" t="s">
        <v>48</v>
      </c>
    </row>
    <row r="16" spans="1:13">
      <c r="A16" t="s">
        <v>185</v>
      </c>
      <c r="D16" s="146">
        <v>0</v>
      </c>
      <c r="E16" s="146">
        <v>1</v>
      </c>
    </row>
    <row r="17" spans="1:11">
      <c r="A17" t="s">
        <v>186</v>
      </c>
      <c r="C17" s="147">
        <f>(B8/C5)*D16</f>
        <v>0</v>
      </c>
    </row>
    <row r="18" spans="1:11">
      <c r="A18" t="s">
        <v>187</v>
      </c>
      <c r="C18" s="147">
        <f>C17*D11</f>
        <v>0</v>
      </c>
      <c r="D18" t="s">
        <v>183</v>
      </c>
    </row>
    <row r="19" spans="1:11">
      <c r="E19" s="122" t="s">
        <v>188</v>
      </c>
    </row>
    <row r="20" spans="1:11">
      <c r="A20" t="s">
        <v>189</v>
      </c>
      <c r="C20" s="265">
        <f>E20*C13</f>
        <v>467.69822201999995</v>
      </c>
      <c r="D20" t="s">
        <v>183</v>
      </c>
      <c r="E20" s="146">
        <v>0.01</v>
      </c>
    </row>
    <row r="22" spans="1:11">
      <c r="A22" s="129" t="s">
        <v>190</v>
      </c>
    </row>
    <row r="25" spans="1:11" ht="17" customHeight="1">
      <c r="A25" s="120"/>
      <c r="E25" s="149"/>
    </row>
    <row r="26" spans="1:11" ht="31" thickBot="1">
      <c r="A26" s="150" t="s">
        <v>191</v>
      </c>
      <c r="B26" s="151"/>
      <c r="C26" s="151"/>
      <c r="D26" s="152"/>
      <c r="E26" s="151"/>
      <c r="F26" s="151"/>
      <c r="G26" s="151"/>
      <c r="H26" s="151"/>
      <c r="I26" s="151"/>
      <c r="J26" s="151"/>
      <c r="K26" s="151"/>
    </row>
    <row r="27" spans="1:11" ht="23">
      <c r="A27" s="153"/>
      <c r="B27" s="154"/>
      <c r="C27" s="154"/>
      <c r="D27" s="155"/>
    </row>
    <row r="29" spans="1:11" ht="28">
      <c r="A29" s="156" t="s">
        <v>192</v>
      </c>
      <c r="B29" s="157"/>
      <c r="C29" s="157"/>
      <c r="D29" s="157"/>
      <c r="E29" s="158"/>
      <c r="F29" s="159"/>
      <c r="G29" s="156" t="s">
        <v>191</v>
      </c>
      <c r="H29" s="157"/>
      <c r="I29" s="157"/>
      <c r="J29" s="157"/>
      <c r="K29" s="160"/>
    </row>
    <row r="30" spans="1:11" ht="18">
      <c r="A30" s="161" t="s">
        <v>193</v>
      </c>
      <c r="B30" s="159"/>
      <c r="C30" s="159"/>
      <c r="D30" s="159"/>
      <c r="E30" s="162">
        <f>B8</f>
        <v>164.08799999999999</v>
      </c>
      <c r="F30" s="159"/>
      <c r="G30" s="161" t="s">
        <v>194</v>
      </c>
      <c r="H30" s="159"/>
      <c r="I30" s="159"/>
      <c r="J30" s="159"/>
      <c r="K30" s="163">
        <f>D16</f>
        <v>0</v>
      </c>
    </row>
    <row r="31" spans="1:11" ht="18">
      <c r="A31" s="161" t="s">
        <v>348</v>
      </c>
      <c r="B31" s="159"/>
      <c r="C31" s="159"/>
      <c r="D31" s="159"/>
      <c r="E31" s="162">
        <f>D5</f>
        <v>136.74</v>
      </c>
      <c r="F31" s="159"/>
      <c r="G31" s="161" t="s">
        <v>195</v>
      </c>
      <c r="H31" s="159"/>
      <c r="I31" s="159"/>
      <c r="J31" s="159"/>
      <c r="K31" s="163">
        <f>E16</f>
        <v>1</v>
      </c>
    </row>
    <row r="32" spans="1:11" ht="18">
      <c r="A32" s="161" t="s">
        <v>349</v>
      </c>
      <c r="B32" s="159"/>
      <c r="C32" s="159"/>
      <c r="D32" s="159"/>
      <c r="E32" s="164">
        <f>D11</f>
        <v>285.02890035834429</v>
      </c>
      <c r="F32" s="159"/>
      <c r="G32" s="161" t="s">
        <v>196</v>
      </c>
      <c r="H32" s="159"/>
      <c r="I32" s="159"/>
      <c r="J32" s="159"/>
      <c r="K32" s="165">
        <f>(E30/E34)*K30</f>
        <v>0</v>
      </c>
    </row>
    <row r="33" spans="1:14" ht="18">
      <c r="A33" s="161" t="s">
        <v>182</v>
      </c>
      <c r="B33" s="159"/>
      <c r="C33" s="159"/>
      <c r="D33" s="159"/>
      <c r="E33" s="166">
        <f>E30/E31-1</f>
        <v>0.19999999999999996</v>
      </c>
      <c r="F33" s="159"/>
      <c r="G33" s="161" t="s">
        <v>197</v>
      </c>
      <c r="H33" s="159"/>
      <c r="I33" s="159"/>
      <c r="J33" s="159"/>
      <c r="K33" s="165">
        <f>K32*E32</f>
        <v>0</v>
      </c>
    </row>
    <row r="34" spans="1:14" ht="18">
      <c r="A34" s="161" t="s">
        <v>273</v>
      </c>
      <c r="B34" s="159"/>
      <c r="C34" s="159"/>
      <c r="D34" s="159"/>
      <c r="E34" s="167">
        <f>C5</f>
        <v>298.56</v>
      </c>
      <c r="F34" s="159"/>
      <c r="G34" s="168" t="s">
        <v>198</v>
      </c>
      <c r="H34" s="169"/>
      <c r="I34" s="169"/>
      <c r="J34" s="169"/>
      <c r="K34" s="170">
        <f>C20</f>
        <v>467.69822201999995</v>
      </c>
    </row>
    <row r="35" spans="1:14" ht="18">
      <c r="A35" s="171"/>
      <c r="B35" s="171"/>
      <c r="C35" s="171"/>
      <c r="D35" s="171"/>
      <c r="E35" s="172"/>
      <c r="F35" s="173"/>
      <c r="G35" s="159"/>
      <c r="H35" s="159"/>
      <c r="I35" s="159"/>
      <c r="J35" s="159"/>
      <c r="K35" s="171"/>
    </row>
    <row r="36" spans="1:14" ht="28">
      <c r="A36" s="156" t="s">
        <v>199</v>
      </c>
      <c r="B36" s="157"/>
      <c r="C36" s="157"/>
      <c r="D36" s="157"/>
      <c r="E36" s="158"/>
      <c r="F36" s="159"/>
      <c r="G36" s="156" t="s">
        <v>200</v>
      </c>
      <c r="H36" s="157"/>
      <c r="I36" s="157"/>
      <c r="J36" s="157"/>
      <c r="K36" s="160"/>
    </row>
    <row r="37" spans="1:14" ht="18">
      <c r="A37" s="161" t="s">
        <v>201</v>
      </c>
      <c r="B37" s="159"/>
      <c r="C37" s="159"/>
      <c r="D37" s="159"/>
      <c r="E37" s="167">
        <f>E30</f>
        <v>164.08799999999999</v>
      </c>
      <c r="F37" s="159"/>
      <c r="G37" s="174" t="s">
        <v>202</v>
      </c>
      <c r="H37" s="159"/>
      <c r="I37" s="159"/>
      <c r="J37" s="159"/>
      <c r="K37" s="170">
        <f>E39</f>
        <v>46769.822201999996</v>
      </c>
    </row>
    <row r="38" spans="1:14" ht="18">
      <c r="A38" s="175" t="s">
        <v>350</v>
      </c>
      <c r="B38" s="159"/>
      <c r="C38" s="159"/>
      <c r="D38" s="159"/>
      <c r="E38" s="176">
        <f>E32</f>
        <v>285.02890035834429</v>
      </c>
      <c r="F38" s="159"/>
      <c r="G38" s="177" t="s">
        <v>203</v>
      </c>
      <c r="H38" s="159"/>
      <c r="I38" s="159"/>
      <c r="J38" s="159"/>
      <c r="K38" s="178">
        <f>-(I84-I76)</f>
        <v>7655</v>
      </c>
    </row>
    <row r="39" spans="1:14" ht="18">
      <c r="A39" s="179" t="s">
        <v>204</v>
      </c>
      <c r="B39" s="169"/>
      <c r="C39" s="169"/>
      <c r="D39" s="169"/>
      <c r="E39" s="180">
        <f>E37*E38</f>
        <v>46769.822201999996</v>
      </c>
      <c r="F39" s="159"/>
      <c r="G39" s="174" t="s">
        <v>205</v>
      </c>
      <c r="H39" s="159"/>
      <c r="I39" s="159"/>
      <c r="J39" s="159"/>
      <c r="K39" s="181">
        <f>K34</f>
        <v>467.69822201999995</v>
      </c>
    </row>
    <row r="40" spans="1:14" ht="18">
      <c r="A40" s="159"/>
      <c r="B40" s="159"/>
      <c r="C40" s="159"/>
      <c r="D40" s="159"/>
      <c r="E40" s="159"/>
      <c r="F40" s="159"/>
      <c r="G40" s="182" t="s">
        <v>206</v>
      </c>
      <c r="H40" s="159"/>
      <c r="I40" s="159"/>
      <c r="J40" s="159"/>
      <c r="K40" s="183">
        <f>SUM(K37:K39)</f>
        <v>54892.520424019996</v>
      </c>
    </row>
    <row r="41" spans="1:14" ht="18">
      <c r="A41" s="159"/>
      <c r="B41" s="159"/>
      <c r="C41" s="159"/>
      <c r="D41" s="159"/>
      <c r="E41" s="159"/>
      <c r="F41" s="159"/>
      <c r="G41" s="184"/>
      <c r="H41" s="171"/>
      <c r="I41" s="171"/>
      <c r="J41" s="171"/>
      <c r="K41" s="185"/>
    </row>
    <row r="42" spans="1:14" ht="20">
      <c r="A42" s="186" t="s">
        <v>207</v>
      </c>
      <c r="B42" s="187"/>
      <c r="C42" s="187"/>
      <c r="D42" s="187"/>
      <c r="E42" s="187"/>
      <c r="F42" s="187"/>
      <c r="G42" s="188"/>
      <c r="H42" s="187"/>
      <c r="I42" s="187"/>
      <c r="J42" s="187"/>
      <c r="K42" s="189"/>
    </row>
    <row r="43" spans="1:14">
      <c r="A43" s="186" t="s">
        <v>208</v>
      </c>
    </row>
    <row r="44" spans="1:14">
      <c r="A44" s="186" t="s">
        <v>209</v>
      </c>
    </row>
    <row r="47" spans="1:14" ht="30">
      <c r="A47" s="190"/>
      <c r="B47" s="190"/>
      <c r="G47" s="149"/>
    </row>
    <row r="48" spans="1:14" ht="31" thickBot="1">
      <c r="A48" s="150" t="s">
        <v>210</v>
      </c>
      <c r="B48" s="150"/>
      <c r="C48" s="151"/>
      <c r="D48" s="151"/>
      <c r="E48" s="152"/>
      <c r="F48" s="191"/>
      <c r="G48" s="151"/>
      <c r="H48" s="151"/>
      <c r="I48" s="151"/>
      <c r="J48" s="151"/>
      <c r="K48" s="151"/>
      <c r="L48" s="151"/>
      <c r="M48" s="151"/>
      <c r="N48" s="151"/>
    </row>
    <row r="49" spans="1:14" ht="30">
      <c r="A49" s="192"/>
      <c r="B49" s="192"/>
      <c r="C49" s="154"/>
      <c r="D49" s="154"/>
      <c r="E49" s="155"/>
      <c r="F49" s="193"/>
    </row>
    <row r="50" spans="1:14" ht="23">
      <c r="A50" s="194"/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</row>
    <row r="51" spans="1:14" ht="28">
      <c r="A51" s="194"/>
      <c r="B51" s="194"/>
      <c r="C51" s="194"/>
      <c r="D51" s="194"/>
      <c r="E51" s="195" t="s">
        <v>211</v>
      </c>
      <c r="F51" s="157"/>
      <c r="G51" s="157"/>
      <c r="H51" s="157"/>
      <c r="I51" s="157"/>
      <c r="J51" s="158"/>
      <c r="K51" s="194"/>
      <c r="L51" s="194"/>
      <c r="M51" s="194"/>
      <c r="N51" s="194"/>
    </row>
    <row r="52" spans="1:14" ht="23">
      <c r="A52" s="194"/>
      <c r="B52" s="194"/>
      <c r="C52" s="194"/>
      <c r="D52" s="194"/>
      <c r="E52" s="196" t="s">
        <v>48</v>
      </c>
      <c r="F52" s="194"/>
      <c r="G52" s="194"/>
      <c r="H52" s="194"/>
      <c r="I52" s="194"/>
      <c r="J52" s="197">
        <f>J55-SUM(J53:J54)</f>
        <v>467.69822202000069</v>
      </c>
      <c r="K52" s="194"/>
      <c r="L52" s="194"/>
      <c r="M52" s="194"/>
      <c r="N52" s="194"/>
    </row>
    <row r="53" spans="1:14" ht="23">
      <c r="A53" s="194"/>
      <c r="B53" s="194"/>
      <c r="C53" s="194"/>
      <c r="D53" s="194"/>
      <c r="E53" s="196" t="s">
        <v>212</v>
      </c>
      <c r="F53" s="194"/>
      <c r="G53" s="194"/>
      <c r="H53" s="194"/>
      <c r="I53" s="194"/>
      <c r="J53" s="198">
        <f>K31*E39</f>
        <v>46769.822201999996</v>
      </c>
      <c r="K53" s="194"/>
      <c r="L53" s="194"/>
      <c r="M53" s="194"/>
      <c r="N53" s="194"/>
    </row>
    <row r="54" spans="1:14" ht="23">
      <c r="A54" s="194"/>
      <c r="B54" s="194"/>
      <c r="C54" s="194"/>
      <c r="D54" s="194"/>
      <c r="E54" s="196" t="s">
        <v>213</v>
      </c>
      <c r="F54" s="194"/>
      <c r="G54" s="194"/>
      <c r="H54" s="194"/>
      <c r="I54" s="194"/>
      <c r="J54" s="199">
        <f>K30*E39</f>
        <v>0</v>
      </c>
      <c r="K54" s="194"/>
      <c r="L54" s="194"/>
      <c r="M54" s="194"/>
      <c r="N54" s="194"/>
    </row>
    <row r="55" spans="1:14" ht="23">
      <c r="A55" s="194"/>
      <c r="B55" s="194"/>
      <c r="C55" s="194"/>
      <c r="D55" s="194"/>
      <c r="E55" s="200"/>
      <c r="F55" s="201" t="s">
        <v>214</v>
      </c>
      <c r="G55" s="201"/>
      <c r="H55" s="201"/>
      <c r="I55" s="201"/>
      <c r="J55" s="202">
        <f>J61</f>
        <v>47237.520424019996</v>
      </c>
      <c r="K55" s="194"/>
      <c r="L55" s="194"/>
      <c r="M55" s="194"/>
      <c r="N55" s="194"/>
    </row>
    <row r="56" spans="1:14" ht="23">
      <c r="A56" s="194"/>
      <c r="B56" s="194"/>
      <c r="C56" s="194"/>
      <c r="D56" s="194"/>
      <c r="E56" s="194"/>
      <c r="F56" s="194"/>
      <c r="G56" s="194"/>
      <c r="H56" s="194"/>
      <c r="I56" s="194"/>
      <c r="J56" s="203"/>
      <c r="K56" s="194"/>
      <c r="L56" s="194"/>
      <c r="M56" s="194"/>
      <c r="N56" s="194"/>
    </row>
    <row r="57" spans="1:14" ht="23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</row>
    <row r="58" spans="1:14" ht="28">
      <c r="A58" s="194"/>
      <c r="B58" s="194"/>
      <c r="C58" s="194"/>
      <c r="D58" s="194"/>
      <c r="E58" s="195" t="s">
        <v>215</v>
      </c>
      <c r="F58" s="157"/>
      <c r="G58" s="157"/>
      <c r="H58" s="157"/>
      <c r="I58" s="157"/>
      <c r="J58" s="158"/>
      <c r="K58" s="194"/>
      <c r="L58" s="194"/>
      <c r="M58" s="194"/>
      <c r="N58" s="194"/>
    </row>
    <row r="59" spans="1:14" ht="23">
      <c r="A59" s="194"/>
      <c r="B59" s="194"/>
      <c r="C59" s="194"/>
      <c r="D59" s="194"/>
      <c r="E59" s="196" t="s">
        <v>216</v>
      </c>
      <c r="F59" s="194"/>
      <c r="G59" s="194"/>
      <c r="H59" s="194"/>
      <c r="I59" s="194"/>
      <c r="J59" s="204">
        <f>E39</f>
        <v>46769.822201999996</v>
      </c>
      <c r="K59" s="194"/>
      <c r="L59" s="194"/>
      <c r="M59" s="194"/>
      <c r="N59" s="194"/>
    </row>
    <row r="60" spans="1:14" ht="23">
      <c r="A60" s="194"/>
      <c r="B60" s="194"/>
      <c r="C60" s="194"/>
      <c r="D60" s="194"/>
      <c r="E60" s="196" t="s">
        <v>217</v>
      </c>
      <c r="F60" s="194"/>
      <c r="G60" s="194"/>
      <c r="H60" s="194"/>
      <c r="I60" s="194"/>
      <c r="J60" s="205">
        <f>K34</f>
        <v>467.69822201999995</v>
      </c>
      <c r="K60" s="194"/>
      <c r="L60" s="194"/>
      <c r="M60" s="194"/>
      <c r="N60" s="194"/>
    </row>
    <row r="61" spans="1:14" ht="23">
      <c r="A61" s="194"/>
      <c r="B61" s="194"/>
      <c r="C61" s="194"/>
      <c r="D61" s="194"/>
      <c r="E61" s="200"/>
      <c r="F61" s="201" t="s">
        <v>214</v>
      </c>
      <c r="G61" s="201"/>
      <c r="H61" s="201"/>
      <c r="I61" s="201"/>
      <c r="J61" s="206">
        <f>SUM(J59:J60)</f>
        <v>47237.520424019996</v>
      </c>
      <c r="K61" s="194"/>
      <c r="L61" s="194"/>
      <c r="M61" s="194"/>
      <c r="N61" s="194"/>
    </row>
    <row r="62" spans="1:14" ht="23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</row>
    <row r="63" spans="1:14" ht="23">
      <c r="A63" s="194"/>
      <c r="B63" s="194"/>
      <c r="C63" s="194"/>
      <c r="D63" s="194"/>
      <c r="E63" s="194" t="s">
        <v>218</v>
      </c>
      <c r="K63" s="194"/>
      <c r="L63" s="194"/>
      <c r="M63" s="194"/>
      <c r="N63" s="194"/>
    </row>
    <row r="66" spans="1:15" ht="28">
      <c r="A66" s="207"/>
      <c r="B66" s="148"/>
      <c r="C66" s="208"/>
      <c r="H66" s="129"/>
      <c r="J66" s="209"/>
      <c r="K66" s="209"/>
      <c r="L66" s="209"/>
      <c r="M66" s="209"/>
      <c r="N66" s="209"/>
      <c r="O66" s="209"/>
    </row>
    <row r="67" spans="1:15" ht="19" thickBot="1">
      <c r="A67" s="207"/>
      <c r="B67" s="210" t="s">
        <v>219</v>
      </c>
      <c r="C67" s="211"/>
      <c r="D67" s="151"/>
      <c r="E67" s="151"/>
      <c r="F67" s="151"/>
      <c r="G67" s="212"/>
      <c r="H67" s="151"/>
      <c r="I67" s="151"/>
      <c r="J67" s="209"/>
      <c r="K67" s="209"/>
      <c r="L67" s="209"/>
      <c r="M67" s="209"/>
      <c r="N67" s="209"/>
      <c r="O67" s="209"/>
    </row>
    <row r="68" spans="1:15" ht="18">
      <c r="A68" s="207"/>
      <c r="B68" s="213"/>
      <c r="C68" s="214"/>
      <c r="D68" s="215"/>
      <c r="E68" s="215"/>
      <c r="F68" s="215"/>
      <c r="G68" s="216"/>
      <c r="J68" s="209"/>
      <c r="K68" s="209"/>
      <c r="L68" s="209"/>
      <c r="M68" s="209"/>
      <c r="N68" s="209"/>
      <c r="O68" s="209"/>
    </row>
    <row r="69" spans="1:15" ht="17" thickBot="1">
      <c r="A69" s="207"/>
      <c r="C69" s="129"/>
      <c r="G69" s="217"/>
      <c r="H69" s="217"/>
      <c r="I69" s="129"/>
      <c r="J69" s="209"/>
      <c r="K69" s="209"/>
      <c r="L69" s="209"/>
      <c r="M69" s="209"/>
      <c r="N69" s="209"/>
      <c r="O69" s="209"/>
    </row>
    <row r="70" spans="1:15" ht="17" thickBot="1">
      <c r="A70" s="207"/>
      <c r="B70" s="218" t="s">
        <v>220</v>
      </c>
      <c r="G70" s="268" t="s">
        <v>271</v>
      </c>
      <c r="I70" s="247" t="s">
        <v>270</v>
      </c>
      <c r="J70" s="209"/>
      <c r="N70" s="137" t="s">
        <v>221</v>
      </c>
      <c r="O70" s="209"/>
    </row>
    <row r="71" spans="1:15" ht="17" thickBot="1">
      <c r="A71" s="207"/>
      <c r="G71" s="131">
        <v>45291</v>
      </c>
      <c r="I71" s="131">
        <v>45291</v>
      </c>
      <c r="J71" s="209"/>
      <c r="K71" s="219" t="s">
        <v>222</v>
      </c>
      <c r="L71" s="219"/>
      <c r="N71" s="220" t="s">
        <v>223</v>
      </c>
      <c r="O71" s="209"/>
    </row>
    <row r="72" spans="1:15">
      <c r="A72" s="207"/>
      <c r="G72" s="125"/>
      <c r="I72" s="125"/>
      <c r="J72" s="209"/>
      <c r="K72" s="209"/>
      <c r="L72" s="209"/>
      <c r="M72" s="209"/>
      <c r="N72" s="209"/>
      <c r="O72" s="209"/>
    </row>
    <row r="73" spans="1:15">
      <c r="A73" t="s">
        <v>224</v>
      </c>
      <c r="B73" s="145"/>
      <c r="C73" s="145" t="s">
        <v>48</v>
      </c>
      <c r="D73" s="145"/>
      <c r="E73" s="145"/>
      <c r="F73" s="145"/>
      <c r="G73" s="221">
        <v>4579.3</v>
      </c>
      <c r="I73" s="221">
        <f>'Linking Sheet'!C6</f>
        <v>1357</v>
      </c>
      <c r="J73" s="222"/>
      <c r="K73" s="269">
        <f>-'100% Cash'!J60</f>
        <v>-467.69822201999995</v>
      </c>
      <c r="L73" s="223"/>
      <c r="M73" s="145"/>
      <c r="N73" s="224">
        <f>G73+I73+K73+L73</f>
        <v>5468.6017779800004</v>
      </c>
      <c r="O73" s="222"/>
    </row>
    <row r="74" spans="1:15">
      <c r="A74" s="207"/>
      <c r="B74" s="225"/>
      <c r="C74" s="225" t="s">
        <v>146</v>
      </c>
      <c r="D74" s="225"/>
      <c r="E74" s="225"/>
      <c r="F74" s="225"/>
      <c r="G74" s="77">
        <f>2488+52.3+866.3</f>
        <v>3406.6000000000004</v>
      </c>
      <c r="I74" s="77">
        <f>'Linking Sheet'!C7+'Linking Sheet'!C14+'Linking Sheet'!C8</f>
        <v>2142</v>
      </c>
      <c r="J74" s="226"/>
      <c r="K74" s="227"/>
      <c r="L74" s="227"/>
      <c r="M74" s="225"/>
      <c r="N74" s="77">
        <f t="shared" ref="N74:N78" si="0">G74+I74+K74+L74</f>
        <v>5548.6</v>
      </c>
      <c r="O74" s="226"/>
    </row>
    <row r="75" spans="1:15">
      <c r="A75" s="207"/>
      <c r="B75" s="225"/>
      <c r="C75" s="225" t="s">
        <v>114</v>
      </c>
      <c r="D75" s="225"/>
      <c r="E75" s="225"/>
      <c r="F75" s="225"/>
      <c r="G75" s="228">
        <v>24907.599999999999</v>
      </c>
      <c r="I75" s="228">
        <f>'Linking Sheet'!C11</f>
        <v>1197</v>
      </c>
      <c r="J75" s="226"/>
      <c r="K75" s="227"/>
      <c r="L75" s="227"/>
      <c r="M75" s="225"/>
      <c r="N75" s="77">
        <f t="shared" si="0"/>
        <v>26104.6</v>
      </c>
      <c r="O75" s="226"/>
    </row>
    <row r="76" spans="1:15">
      <c r="A76" s="207"/>
      <c r="B76" s="225"/>
      <c r="C76" s="225" t="s">
        <v>225</v>
      </c>
      <c r="D76" s="225"/>
      <c r="E76" s="225"/>
      <c r="F76" s="225"/>
      <c r="G76" s="228">
        <v>3040.4</v>
      </c>
      <c r="I76" s="228">
        <v>642</v>
      </c>
      <c r="J76" s="226"/>
      <c r="K76" s="229">
        <f>K40</f>
        <v>54892.520424019996</v>
      </c>
      <c r="L76" s="229">
        <f>-I76</f>
        <v>-642</v>
      </c>
      <c r="M76" s="225"/>
      <c r="N76" s="77">
        <f t="shared" si="0"/>
        <v>57932.920424019998</v>
      </c>
      <c r="O76" s="226"/>
    </row>
    <row r="77" spans="1:15">
      <c r="A77" s="207"/>
      <c r="B77" s="225"/>
      <c r="C77" s="225" t="s">
        <v>226</v>
      </c>
      <c r="D77" s="225"/>
      <c r="E77" s="225"/>
      <c r="F77" s="225"/>
      <c r="G77" s="228">
        <v>3018.2</v>
      </c>
      <c r="I77" s="228">
        <f>377</f>
        <v>377</v>
      </c>
      <c r="J77" s="226"/>
      <c r="K77" s="227"/>
      <c r="L77" s="227"/>
      <c r="M77" s="225"/>
      <c r="N77" s="77">
        <f t="shared" si="0"/>
        <v>3395.2</v>
      </c>
      <c r="O77" s="226"/>
    </row>
    <row r="78" spans="1:15">
      <c r="A78" s="207"/>
      <c r="B78" s="225"/>
      <c r="C78" s="225" t="s">
        <v>227</v>
      </c>
      <c r="D78" s="225"/>
      <c r="E78" s="225"/>
      <c r="F78" s="225"/>
      <c r="G78" s="228">
        <f>5617.8+1080.2+13514-3018.2</f>
        <v>17193.8</v>
      </c>
      <c r="I78" s="228">
        <f>'Linking Sheet'!C13</f>
        <v>1361</v>
      </c>
      <c r="J78" s="226"/>
      <c r="K78" s="227"/>
      <c r="L78" s="227"/>
      <c r="M78" s="225"/>
      <c r="N78" s="77">
        <f t="shared" si="0"/>
        <v>18554.8</v>
      </c>
      <c r="O78" s="226"/>
    </row>
    <row r="79" spans="1:15">
      <c r="A79" s="207"/>
      <c r="B79" s="145"/>
      <c r="C79" s="145"/>
      <c r="D79" s="230" t="s">
        <v>121</v>
      </c>
      <c r="E79" s="145"/>
      <c r="F79" s="145"/>
      <c r="G79" s="231">
        <f>SUM(G73:G78)</f>
        <v>56145.899999999994</v>
      </c>
      <c r="I79" s="231">
        <f>SUM(I73:I78)</f>
        <v>7076</v>
      </c>
      <c r="J79" s="222"/>
      <c r="K79" s="231">
        <f>SUM(K73:K78)</f>
        <v>54424.822201999996</v>
      </c>
      <c r="L79" s="231">
        <f>SUM(L73:L78)</f>
        <v>-642</v>
      </c>
      <c r="M79" s="145"/>
      <c r="N79" s="231">
        <f>SUM(N73:N78)</f>
        <v>117004.722202</v>
      </c>
      <c r="O79" s="222"/>
    </row>
    <row r="80" spans="1:15">
      <c r="A80" s="207"/>
      <c r="J80" s="209"/>
      <c r="O80" s="209"/>
    </row>
    <row r="81" spans="1:15">
      <c r="A81" t="s">
        <v>224</v>
      </c>
      <c r="B81" s="145"/>
      <c r="C81" s="145" t="s">
        <v>125</v>
      </c>
      <c r="D81" s="145"/>
      <c r="E81" s="145"/>
      <c r="F81" s="145"/>
      <c r="G81" s="221">
        <v>6859</v>
      </c>
      <c r="I81" s="221">
        <f>'Linking Sheet'!C21</f>
        <v>1277</v>
      </c>
      <c r="J81" s="222"/>
      <c r="K81" s="144"/>
      <c r="L81" s="144"/>
      <c r="M81" s="145"/>
      <c r="N81" s="224">
        <f>G81+I81+K81+L81</f>
        <v>8136</v>
      </c>
      <c r="O81" s="222"/>
    </row>
    <row r="82" spans="1:15">
      <c r="A82" s="207"/>
      <c r="B82" s="225"/>
      <c r="C82" s="225" t="s">
        <v>3</v>
      </c>
      <c r="D82" s="225"/>
      <c r="E82" s="225"/>
      <c r="F82" s="225"/>
      <c r="G82" s="228">
        <v>37152</v>
      </c>
      <c r="I82" s="228">
        <f>'Linking Sheet'!C23</f>
        <v>11142</v>
      </c>
      <c r="J82" s="226"/>
      <c r="K82" s="229">
        <f>J53</f>
        <v>46769.822201999996</v>
      </c>
      <c r="L82" s="227"/>
      <c r="M82" s="225"/>
      <c r="N82" s="77">
        <f t="shared" ref="N82:N84" si="1">G82+I82+K82+L82</f>
        <v>95063.822201999996</v>
      </c>
      <c r="O82" s="226"/>
    </row>
    <row r="83" spans="1:15">
      <c r="A83" s="207"/>
      <c r="B83" s="225"/>
      <c r="C83" s="225" t="s">
        <v>228</v>
      </c>
      <c r="D83" s="225"/>
      <c r="E83" s="225"/>
      <c r="F83" s="225"/>
      <c r="G83" s="228">
        <f>SUM(13057.7,363.2,790.1,949.7,1680.9)</f>
        <v>16841.600000000002</v>
      </c>
      <c r="I83" s="228">
        <f>'Linking Sheet'!C24</f>
        <v>1670</v>
      </c>
      <c r="J83" s="226"/>
      <c r="K83" s="227"/>
      <c r="L83" s="227"/>
      <c r="M83" s="225"/>
      <c r="N83" s="77">
        <f t="shared" si="1"/>
        <v>18511.600000000002</v>
      </c>
      <c r="O83" s="226"/>
    </row>
    <row r="84" spans="1:15">
      <c r="A84" s="207"/>
      <c r="B84" s="225"/>
      <c r="C84" s="225" t="s">
        <v>4</v>
      </c>
      <c r="D84" s="225"/>
      <c r="E84" s="225"/>
      <c r="F84" s="225"/>
      <c r="G84" s="228">
        <v>-4706.7</v>
      </c>
      <c r="I84" s="228">
        <f>SUM('Linking Sheet'!C28:C31)</f>
        <v>-7013</v>
      </c>
      <c r="J84" s="226"/>
      <c r="K84" s="229">
        <f>J54</f>
        <v>0</v>
      </c>
      <c r="L84" s="227">
        <f>-I84</f>
        <v>7013</v>
      </c>
      <c r="M84" s="225"/>
      <c r="N84" s="77">
        <f t="shared" si="1"/>
        <v>-4706.7000000000007</v>
      </c>
      <c r="O84" s="226"/>
    </row>
    <row r="85" spans="1:15">
      <c r="A85" s="207"/>
      <c r="B85" s="145"/>
      <c r="C85" s="145"/>
      <c r="D85" s="145" t="s">
        <v>229</v>
      </c>
      <c r="E85" s="145"/>
      <c r="F85" s="145"/>
      <c r="G85" s="231">
        <f>SUM(G81:G84)</f>
        <v>56145.900000000009</v>
      </c>
      <c r="I85" s="231">
        <f>SUM(I81:I84)</f>
        <v>7076</v>
      </c>
      <c r="J85" s="222"/>
      <c r="K85" s="231">
        <f>SUM(K81:K84)</f>
        <v>46769.822201999996</v>
      </c>
      <c r="L85" s="231">
        <f>SUM(L81:L84)</f>
        <v>7013</v>
      </c>
      <c r="M85" s="145"/>
      <c r="N85" s="231">
        <f>SUM(N81:N84)</f>
        <v>117004.722202</v>
      </c>
      <c r="O85" s="222"/>
    </row>
    <row r="86" spans="1:15">
      <c r="A86" s="207"/>
      <c r="C86" s="232" t="s">
        <v>160</v>
      </c>
      <c r="G86" s="233">
        <f>G79-G85</f>
        <v>0</v>
      </c>
      <c r="I86" s="233">
        <f>I79-I85</f>
        <v>0</v>
      </c>
      <c r="J86" s="234"/>
      <c r="K86" s="235"/>
      <c r="L86" s="235"/>
      <c r="M86" s="235"/>
      <c r="N86" s="233">
        <f>N79-N85</f>
        <v>0</v>
      </c>
      <c r="O86" s="234"/>
    </row>
    <row r="87" spans="1:15">
      <c r="A87" s="207"/>
      <c r="J87" s="209"/>
      <c r="O87" s="209"/>
    </row>
    <row r="88" spans="1:15">
      <c r="A88" s="207"/>
      <c r="B88" s="145"/>
      <c r="C88" s="145" t="s">
        <v>18</v>
      </c>
      <c r="D88" s="145"/>
      <c r="E88" s="145"/>
      <c r="F88" s="145"/>
      <c r="G88" s="236">
        <f>G82</f>
        <v>37152</v>
      </c>
      <c r="H88" s="145"/>
      <c r="I88" s="236">
        <f>I82</f>
        <v>11142</v>
      </c>
      <c r="J88" s="222"/>
      <c r="K88" s="145"/>
      <c r="L88" s="145"/>
      <c r="M88" s="145"/>
      <c r="N88" s="237">
        <f>N82</f>
        <v>95063.822201999996</v>
      </c>
      <c r="O88" s="222"/>
    </row>
    <row r="89" spans="1:15">
      <c r="A89" s="207"/>
      <c r="B89" s="225"/>
      <c r="C89" s="225" t="s">
        <v>230</v>
      </c>
      <c r="D89" s="225"/>
      <c r="E89" s="225"/>
      <c r="F89" s="225"/>
      <c r="G89" s="238">
        <f>G82-G73</f>
        <v>32572.7</v>
      </c>
      <c r="H89" s="225"/>
      <c r="I89" s="238">
        <f>I82-I73</f>
        <v>9785</v>
      </c>
      <c r="J89" s="226"/>
      <c r="K89" s="225"/>
      <c r="L89" s="225"/>
      <c r="M89" s="225"/>
      <c r="N89" s="239">
        <f>N82-N73</f>
        <v>89595.220424019994</v>
      </c>
      <c r="O89" s="226"/>
    </row>
    <row r="90" spans="1:15">
      <c r="A90" s="207"/>
      <c r="B90" s="225"/>
      <c r="C90" s="225" t="s">
        <v>231</v>
      </c>
      <c r="D90" s="225"/>
      <c r="E90" s="225"/>
      <c r="F90" s="225"/>
      <c r="G90" s="238">
        <f>G82+G84</f>
        <v>32445.3</v>
      </c>
      <c r="H90" s="225"/>
      <c r="I90" s="238">
        <f>I82+I84</f>
        <v>4129</v>
      </c>
      <c r="J90" s="226"/>
      <c r="K90" s="225"/>
      <c r="L90" s="225"/>
      <c r="M90" s="225"/>
      <c r="N90" s="239">
        <f>N82+N84</f>
        <v>90357.122201999999</v>
      </c>
      <c r="O90" s="226"/>
    </row>
    <row r="91" spans="1:15">
      <c r="A91" s="207"/>
      <c r="J91" s="209"/>
      <c r="O91" s="209"/>
    </row>
    <row r="92" spans="1:15">
      <c r="A92" t="s">
        <v>224</v>
      </c>
      <c r="C92" t="s">
        <v>232</v>
      </c>
      <c r="G92" s="240">
        <f>G88/G90</f>
        <v>1.1450656951854352</v>
      </c>
      <c r="H92" s="241"/>
      <c r="I92" s="240">
        <f>I88/I90</f>
        <v>2.6984742068297409</v>
      </c>
      <c r="J92" s="209"/>
      <c r="N92" s="242">
        <f>N88/N90</f>
        <v>1.0520899723817878</v>
      </c>
      <c r="O92" s="209"/>
    </row>
    <row r="93" spans="1:15">
      <c r="A93" s="207"/>
      <c r="J93" s="209"/>
      <c r="O93" s="209"/>
    </row>
    <row r="94" spans="1:15">
      <c r="A94" s="207"/>
      <c r="B94" s="145"/>
      <c r="C94" s="145" t="s">
        <v>40</v>
      </c>
      <c r="D94" s="145"/>
      <c r="E94" s="145"/>
      <c r="F94" s="145"/>
      <c r="G94" s="243">
        <f>D110+D121</f>
        <v>12028.400000000001</v>
      </c>
      <c r="H94" s="145"/>
      <c r="I94" s="243">
        <f>F110+F121</f>
        <v>2471</v>
      </c>
      <c r="J94" s="222"/>
      <c r="K94" s="145"/>
      <c r="L94" s="145"/>
      <c r="M94" s="145"/>
      <c r="N94" s="243">
        <f>G94+I94</f>
        <v>14499.400000000001</v>
      </c>
      <c r="O94" s="222"/>
    </row>
    <row r="95" spans="1:15">
      <c r="A95" t="s">
        <v>224</v>
      </c>
      <c r="C95" t="s">
        <v>233</v>
      </c>
      <c r="G95" s="244">
        <f>G88/G94</f>
        <v>3.088690100096438</v>
      </c>
      <c r="H95" s="145"/>
      <c r="I95" s="244">
        <f>I88/I94</f>
        <v>4.5091056252529338</v>
      </c>
      <c r="J95" s="209"/>
      <c r="N95" s="245">
        <f>N88/N94</f>
        <v>6.5563969682883423</v>
      </c>
      <c r="O95" s="209"/>
    </row>
    <row r="96" spans="1:15">
      <c r="A96" s="246"/>
      <c r="B96" s="209"/>
      <c r="C96" s="209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</row>
    <row r="97" spans="1:15">
      <c r="A97" s="246"/>
      <c r="B97" s="209"/>
      <c r="C97" s="209"/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09"/>
      <c r="O97" s="209"/>
    </row>
    <row r="98" spans="1:15" ht="28">
      <c r="A98" s="207"/>
      <c r="B98" s="148"/>
      <c r="C98" s="208"/>
      <c r="E98" s="129"/>
    </row>
    <row r="99" spans="1:15" ht="19" thickBot="1">
      <c r="A99" s="207"/>
      <c r="B99" s="210" t="s">
        <v>234</v>
      </c>
      <c r="C99" s="211"/>
      <c r="D99" s="212"/>
      <c r="E99" s="151"/>
      <c r="F99" s="151"/>
      <c r="G99" s="151"/>
    </row>
    <row r="100" spans="1:15" ht="19" thickBot="1">
      <c r="A100" s="207"/>
      <c r="B100" s="213"/>
      <c r="C100" s="214"/>
      <c r="D100" s="216"/>
    </row>
    <row r="101" spans="1:15" ht="17" thickBot="1">
      <c r="A101" s="207"/>
      <c r="B101" s="218" t="s">
        <v>220</v>
      </c>
      <c r="C101" s="129"/>
      <c r="D101" s="247" t="s">
        <v>271</v>
      </c>
      <c r="E101" s="129"/>
      <c r="F101" s="247" t="s">
        <v>270</v>
      </c>
    </row>
    <row r="102" spans="1:15">
      <c r="A102" s="207"/>
      <c r="D102" s="248" t="s">
        <v>235</v>
      </c>
      <c r="E102" s="137"/>
      <c r="F102" s="248" t="s">
        <v>235</v>
      </c>
      <c r="K102" s="137" t="s">
        <v>221</v>
      </c>
    </row>
    <row r="103" spans="1:15" ht="17" thickBot="1">
      <c r="A103" s="207"/>
      <c r="D103" s="249">
        <v>45291</v>
      </c>
      <c r="F103" s="249">
        <v>45291</v>
      </c>
      <c r="H103" s="219" t="s">
        <v>222</v>
      </c>
      <c r="I103" s="219"/>
      <c r="K103" s="220" t="s">
        <v>223</v>
      </c>
    </row>
    <row r="104" spans="1:15">
      <c r="A104" s="207"/>
    </row>
    <row r="105" spans="1:15">
      <c r="A105" t="s">
        <v>224</v>
      </c>
      <c r="B105" t="s">
        <v>236</v>
      </c>
      <c r="C105" s="145"/>
      <c r="D105" s="221">
        <v>25493.7</v>
      </c>
      <c r="F105" s="221">
        <f>'Linking Sheet'!F5</f>
        <v>7076</v>
      </c>
      <c r="G105" s="145"/>
      <c r="H105" s="144"/>
      <c r="I105" s="144"/>
      <c r="J105" s="145"/>
      <c r="K105" s="224">
        <f>D105+F105+H105+I105</f>
        <v>32569.7</v>
      </c>
      <c r="L105" s="145"/>
      <c r="M105" s="145"/>
    </row>
    <row r="106" spans="1:15">
      <c r="A106" s="207"/>
      <c r="B106" t="s">
        <v>237</v>
      </c>
      <c r="D106" s="228">
        <f>13847-D108</f>
        <v>10931.2</v>
      </c>
      <c r="F106" s="228">
        <f>1774+1683+123+14-29</f>
        <v>3565</v>
      </c>
      <c r="H106" s="250"/>
      <c r="I106" s="250"/>
      <c r="K106" s="77">
        <f>D106+F106+H106+I106</f>
        <v>14496.2</v>
      </c>
    </row>
    <row r="107" spans="1:15">
      <c r="A107" t="s">
        <v>224</v>
      </c>
      <c r="B107" s="251" t="s">
        <v>238</v>
      </c>
      <c r="D107" s="231">
        <f>D105-SUM(D106:D106)</f>
        <v>14562.5</v>
      </c>
      <c r="F107" s="231">
        <f>F105-SUM(F106:F106)</f>
        <v>3511</v>
      </c>
      <c r="H107" s="250"/>
      <c r="I107" s="250"/>
      <c r="K107" s="231">
        <f>K105-SUM(K106:K106)</f>
        <v>18073.5</v>
      </c>
    </row>
    <row r="108" spans="1:15">
      <c r="A108" s="207"/>
      <c r="B108" t="s">
        <v>239</v>
      </c>
      <c r="D108" s="228">
        <f>381.7+2435.2+98.9</f>
        <v>2915.7999999999997</v>
      </c>
      <c r="F108" s="228">
        <f>'Linking Sheet'!F7</f>
        <v>1193</v>
      </c>
      <c r="H108" s="250"/>
      <c r="I108" s="250"/>
      <c r="K108" s="77">
        <f>D108+F108+H108+I108</f>
        <v>4108.7999999999993</v>
      </c>
    </row>
    <row r="109" spans="1:15">
      <c r="A109" s="207"/>
      <c r="B109" t="s">
        <v>44</v>
      </c>
      <c r="D109" s="228">
        <f>'[1]AMZN IS'!F110</f>
        <v>0</v>
      </c>
      <c r="F109" s="228">
        <v>0</v>
      </c>
      <c r="H109" s="250"/>
      <c r="I109" s="250"/>
      <c r="K109" s="77">
        <f>D109+F109+H109+I109</f>
        <v>0</v>
      </c>
    </row>
    <row r="110" spans="1:15">
      <c r="A110" t="s">
        <v>224</v>
      </c>
      <c r="B110" s="251" t="s">
        <v>240</v>
      </c>
      <c r="D110" s="231">
        <f>D107-SUM(D108:D109)</f>
        <v>11646.7</v>
      </c>
      <c r="F110" s="231">
        <f>F107-SUM(F108:F109)</f>
        <v>2318</v>
      </c>
      <c r="G110" s="252" t="s">
        <v>241</v>
      </c>
      <c r="H110" s="250"/>
      <c r="I110" s="250"/>
      <c r="K110" s="231">
        <f>K107-SUM(K108:K109)</f>
        <v>13964.7</v>
      </c>
    </row>
    <row r="111" spans="1:15">
      <c r="A111" s="207"/>
      <c r="B111" t="s">
        <v>163</v>
      </c>
      <c r="D111" s="228">
        <v>1360.8</v>
      </c>
      <c r="F111" s="228">
        <f>'Linking Sheet'!F11</f>
        <v>513</v>
      </c>
      <c r="G111" s="252" t="s">
        <v>242</v>
      </c>
      <c r="H111" s="223">
        <f>C130</f>
        <v>1730.4834214739997</v>
      </c>
      <c r="I111" s="250"/>
      <c r="K111" s="77">
        <f>D111+F111+H111+I111</f>
        <v>3604.2834214739996</v>
      </c>
    </row>
    <row r="112" spans="1:15">
      <c r="A112" s="207"/>
      <c r="B112" t="s">
        <v>243</v>
      </c>
      <c r="D112" s="228">
        <v>-236.4</v>
      </c>
      <c r="F112" s="228">
        <v>-13</v>
      </c>
      <c r="H112" s="250"/>
      <c r="I112" s="250"/>
      <c r="K112" s="77">
        <f>D112+F112+H112+I112</f>
        <v>-249.4</v>
      </c>
    </row>
    <row r="113" spans="1:13">
      <c r="A113" t="s">
        <v>224</v>
      </c>
      <c r="B113" s="251" t="s">
        <v>244</v>
      </c>
      <c r="D113" s="231">
        <f>D110-SUM(D111:D112)</f>
        <v>10522.300000000001</v>
      </c>
      <c r="F113" s="231">
        <f>F110-SUM(F111:F112)</f>
        <v>1818</v>
      </c>
      <c r="H113" s="250"/>
      <c r="I113" s="250"/>
      <c r="K113" s="231">
        <f>K110-SUM(K111:K112)</f>
        <v>10609.816578526001</v>
      </c>
    </row>
    <row r="114" spans="1:13">
      <c r="A114" s="207"/>
      <c r="B114" t="s">
        <v>245</v>
      </c>
      <c r="D114" s="228">
        <v>2053.4</v>
      </c>
      <c r="F114" s="228">
        <f>'Linking Sheet'!F15</f>
        <v>221</v>
      </c>
      <c r="G114" s="252" t="s">
        <v>246</v>
      </c>
      <c r="H114" s="229">
        <f>C134</f>
        <v>-605.6691975158999</v>
      </c>
      <c r="I114" s="250"/>
      <c r="K114" s="77">
        <f>D114+F114+H114+I114</f>
        <v>1668.7308024841002</v>
      </c>
    </row>
    <row r="115" spans="1:13">
      <c r="A115" s="207"/>
      <c r="B115" t="s">
        <v>247</v>
      </c>
      <c r="D115" s="228">
        <f>-'[1]AMZN IS'!F117</f>
        <v>0</v>
      </c>
      <c r="F115" s="228">
        <v>0</v>
      </c>
      <c r="H115" s="250"/>
      <c r="I115" s="250"/>
      <c r="K115" s="77">
        <f>D115+F115+H115+I115</f>
        <v>0</v>
      </c>
    </row>
    <row r="116" spans="1:13">
      <c r="A116" t="s">
        <v>224</v>
      </c>
      <c r="B116" s="251" t="s">
        <v>120</v>
      </c>
      <c r="C116" s="145"/>
      <c r="D116" s="231">
        <f>D113-SUM(D114:D115)</f>
        <v>8468.9000000000015</v>
      </c>
      <c r="F116" s="231">
        <f>F113-SUM(F114:F115)</f>
        <v>1597</v>
      </c>
      <c r="G116" s="145"/>
      <c r="H116" s="144"/>
      <c r="I116" s="144"/>
      <c r="J116" s="145"/>
      <c r="K116" s="231">
        <f>K113-SUM(K114:K115)</f>
        <v>8941.0857760419003</v>
      </c>
      <c r="L116" s="145"/>
      <c r="M116" s="145"/>
    </row>
    <row r="117" spans="1:13">
      <c r="A117" s="207"/>
      <c r="H117" s="250"/>
      <c r="I117" s="250"/>
    </row>
    <row r="118" spans="1:13">
      <c r="A118" s="207"/>
      <c r="B118" t="s">
        <v>248</v>
      </c>
      <c r="D118" s="135">
        <v>722.05100000000004</v>
      </c>
      <c r="E118" s="207"/>
      <c r="F118" s="253">
        <f>H8</f>
        <v>281.33999999999997</v>
      </c>
      <c r="H118" s="270">
        <f>K33</f>
        <v>0</v>
      </c>
      <c r="I118" s="254">
        <f>-F118</f>
        <v>-281.33999999999997</v>
      </c>
      <c r="K118" s="143">
        <f>D118+F118+H118+I118</f>
        <v>722.05100000000016</v>
      </c>
    </row>
    <row r="119" spans="1:13">
      <c r="A119" s="207"/>
      <c r="B119" s="255" t="s">
        <v>249</v>
      </c>
      <c r="C119" s="255"/>
      <c r="D119" s="255">
        <f>D116/D118</f>
        <v>11.728949894121053</v>
      </c>
      <c r="E119" s="207"/>
      <c r="F119" s="255">
        <f>F116/F118</f>
        <v>5.6764057723750625</v>
      </c>
      <c r="G119" s="255"/>
      <c r="H119" s="255"/>
      <c r="I119" s="255"/>
      <c r="J119" s="255"/>
      <c r="K119" s="255">
        <f>K116/K118</f>
        <v>12.382900620651309</v>
      </c>
      <c r="L119" s="255"/>
      <c r="M119" s="255"/>
    </row>
    <row r="120" spans="1:13">
      <c r="A120" s="207"/>
      <c r="H120" s="256"/>
    </row>
    <row r="121" spans="1:13">
      <c r="A121" s="207"/>
      <c r="B121" s="251" t="s">
        <v>250</v>
      </c>
      <c r="D121" s="221">
        <v>381.7</v>
      </c>
      <c r="F121" s="221">
        <f>'Linking Sheet'!F9+'Linking Sheet'!F10</f>
        <v>153</v>
      </c>
      <c r="K121" s="224">
        <f>D121+F121</f>
        <v>534.70000000000005</v>
      </c>
    </row>
    <row r="122" spans="1:13">
      <c r="A122" s="207"/>
    </row>
    <row r="123" spans="1:13">
      <c r="A123" s="207"/>
      <c r="B123" s="257" t="s">
        <v>251</v>
      </c>
      <c r="I123" t="s">
        <v>252</v>
      </c>
      <c r="K123" s="258">
        <f>K119-D119</f>
        <v>0.65395072653025643</v>
      </c>
    </row>
    <row r="124" spans="1:13">
      <c r="A124" s="207"/>
      <c r="B124" t="s">
        <v>253</v>
      </c>
      <c r="C124" s="259">
        <v>0.35</v>
      </c>
      <c r="I124" t="s">
        <v>254</v>
      </c>
      <c r="K124" s="260">
        <f>K119/D119-1</f>
        <v>5.57552664504124E-2</v>
      </c>
    </row>
    <row r="125" spans="1:13">
      <c r="A125" s="207"/>
      <c r="B125" t="s">
        <v>255</v>
      </c>
      <c r="C125" s="259">
        <v>3.6999999999999998E-2</v>
      </c>
    </row>
    <row r="126" spans="1:13">
      <c r="A126" s="207"/>
    </row>
    <row r="127" spans="1:13">
      <c r="A127" s="207"/>
      <c r="B127" s="186" t="s">
        <v>256</v>
      </c>
      <c r="E127" s="186" t="s">
        <v>257</v>
      </c>
    </row>
    <row r="128" spans="1:13">
      <c r="A128" s="207"/>
      <c r="B128" t="s">
        <v>258</v>
      </c>
      <c r="C128" s="223">
        <f>J53</f>
        <v>46769.822201999996</v>
      </c>
      <c r="E128" t="s">
        <v>259</v>
      </c>
      <c r="H128" s="258">
        <f>0</f>
        <v>0</v>
      </c>
    </row>
    <row r="129" spans="1:8">
      <c r="A129" s="207"/>
      <c r="B129" t="s">
        <v>260</v>
      </c>
      <c r="C129" s="261">
        <f>C125</f>
        <v>3.6999999999999998E-2</v>
      </c>
      <c r="E129" t="s">
        <v>261</v>
      </c>
      <c r="H129" s="254">
        <f>K118</f>
        <v>722.05100000000016</v>
      </c>
    </row>
    <row r="130" spans="1:8">
      <c r="A130" s="207"/>
      <c r="B130" s="262" t="s">
        <v>262</v>
      </c>
      <c r="C130" s="263">
        <f>C128*C129</f>
        <v>1730.4834214739997</v>
      </c>
      <c r="E130" s="262" t="s">
        <v>263</v>
      </c>
      <c r="H130" s="264">
        <f>H128*H129</f>
        <v>0</v>
      </c>
    </row>
    <row r="131" spans="1:8">
      <c r="A131" s="207"/>
      <c r="B131" s="186" t="s">
        <v>264</v>
      </c>
      <c r="E131" t="s">
        <v>265</v>
      </c>
      <c r="H131" s="260">
        <f>(1-C124)</f>
        <v>0.65</v>
      </c>
    </row>
    <row r="132" spans="1:8">
      <c r="A132" s="207"/>
      <c r="B132" t="s">
        <v>266</v>
      </c>
      <c r="C132" s="223">
        <f>-C130</f>
        <v>-1730.4834214739997</v>
      </c>
      <c r="E132" s="262" t="s">
        <v>267</v>
      </c>
      <c r="H132" s="264">
        <f>H130/H131</f>
        <v>0</v>
      </c>
    </row>
    <row r="133" spans="1:8">
      <c r="A133" s="207"/>
      <c r="B133" t="s">
        <v>268</v>
      </c>
      <c r="C133" s="261">
        <f>C124</f>
        <v>0.35</v>
      </c>
    </row>
    <row r="134" spans="1:8">
      <c r="A134" s="207"/>
      <c r="B134" s="262" t="s">
        <v>269</v>
      </c>
      <c r="C134" s="263">
        <f>C132*C133</f>
        <v>-605.6691975158999</v>
      </c>
    </row>
    <row r="135" spans="1:8">
      <c r="A135" s="207"/>
    </row>
    <row r="136" spans="1:8">
      <c r="A136" s="207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54918-F4EB-9D4C-9DD3-F130FC117A95}">
  <dimension ref="A1:O136"/>
  <sheetViews>
    <sheetView topLeftCell="A114" workbookViewId="0"/>
  </sheetViews>
  <sheetFormatPr baseColWidth="10" defaultRowHeight="16"/>
  <cols>
    <col min="2" max="2" width="28" bestFit="1" customWidth="1"/>
    <col min="5" max="5" width="12.6640625" bestFit="1" customWidth="1"/>
    <col min="7" max="7" width="11.33203125" customWidth="1"/>
    <col min="10" max="10" width="15.83203125" bestFit="1" customWidth="1"/>
    <col min="11" max="11" width="12.6640625" bestFit="1" customWidth="1"/>
  </cols>
  <sheetData>
    <row r="1" spans="1:13" ht="28">
      <c r="A1" s="120" t="str">
        <f>"MCD Acquisition of YUM for $"&amp;TEXT(B8,"#,##.00")&amp;" per Share"</f>
        <v>MCD Acquisition of YUM for $164.09 per Share</v>
      </c>
      <c r="B1" s="85"/>
      <c r="C1" s="85"/>
      <c r="D1" s="85"/>
      <c r="E1" s="85"/>
      <c r="F1" s="85"/>
      <c r="G1" s="85"/>
      <c r="H1" s="85"/>
      <c r="I1" s="85"/>
      <c r="J1" s="85"/>
    </row>
    <row r="2" spans="1:13" ht="18">
      <c r="A2" s="121" t="s">
        <v>171</v>
      </c>
    </row>
    <row r="4" spans="1:13">
      <c r="C4" s="122" t="s">
        <v>271</v>
      </c>
      <c r="D4" s="122" t="s">
        <v>270</v>
      </c>
    </row>
    <row r="5" spans="1:13">
      <c r="A5" t="s">
        <v>172</v>
      </c>
      <c r="C5" s="123">
        <v>298.56</v>
      </c>
      <c r="D5" s="123">
        <v>136.74</v>
      </c>
      <c r="E5" t="s">
        <v>272</v>
      </c>
    </row>
    <row r="6" spans="1:13" ht="17" thickBot="1">
      <c r="F6" s="124"/>
      <c r="G6" s="125"/>
      <c r="H6" s="125"/>
      <c r="I6" s="125"/>
      <c r="J6" s="126" t="s">
        <v>173</v>
      </c>
      <c r="K6" s="127" t="s">
        <v>174</v>
      </c>
      <c r="L6" s="127" t="s">
        <v>175</v>
      </c>
      <c r="M6" s="128" t="s">
        <v>176</v>
      </c>
    </row>
    <row r="7" spans="1:13" ht="17" thickBot="1">
      <c r="A7" s="129" t="s">
        <v>274</v>
      </c>
      <c r="F7" s="130"/>
      <c r="H7" s="340">
        <v>2023</v>
      </c>
      <c r="J7" s="132" t="s">
        <v>177</v>
      </c>
      <c r="K7" s="122" t="s">
        <v>178</v>
      </c>
      <c r="L7" s="122" t="s">
        <v>179</v>
      </c>
      <c r="M7" s="133" t="s">
        <v>180</v>
      </c>
    </row>
    <row r="8" spans="1:13">
      <c r="A8" t="s">
        <v>181</v>
      </c>
      <c r="B8" s="266">
        <f>D5*(1+B9)</f>
        <v>164.08799999999999</v>
      </c>
      <c r="F8" s="130"/>
      <c r="G8" s="134" t="s">
        <v>345</v>
      </c>
      <c r="H8" s="253">
        <v>281.33999999999997</v>
      </c>
      <c r="J8" s="136">
        <v>7.4989999999999997</v>
      </c>
      <c r="K8" s="123">
        <v>83.37</v>
      </c>
      <c r="L8" s="137" t="str">
        <f>IF(B8&gt;K8,"YES","NO")</f>
        <v>YES</v>
      </c>
      <c r="M8" s="138">
        <f>IF(L8="YES",((B8-K8)/B8)*J8,0)</f>
        <v>3.6889003583443025</v>
      </c>
    </row>
    <row r="9" spans="1:13">
      <c r="A9" t="s">
        <v>182</v>
      </c>
      <c r="B9" s="267">
        <v>0.2</v>
      </c>
      <c r="F9" s="130"/>
      <c r="J9" s="130"/>
      <c r="M9" s="139"/>
    </row>
    <row r="10" spans="1:13">
      <c r="F10" s="140"/>
      <c r="G10" s="141"/>
      <c r="H10" s="141"/>
      <c r="I10" s="141"/>
      <c r="J10" s="140"/>
      <c r="K10" s="141"/>
      <c r="L10" s="141"/>
      <c r="M10" s="142"/>
    </row>
    <row r="11" spans="1:13">
      <c r="A11" t="s">
        <v>346</v>
      </c>
      <c r="D11" s="143">
        <f>H8+M8</f>
        <v>285.02890035834429</v>
      </c>
      <c r="E11" t="s">
        <v>183</v>
      </c>
    </row>
    <row r="13" spans="1:13">
      <c r="A13" t="s">
        <v>347</v>
      </c>
      <c r="C13" s="144">
        <f>D11*B8</f>
        <v>46769.822201999996</v>
      </c>
      <c r="D13" s="145"/>
    </row>
    <row r="15" spans="1:13">
      <c r="D15" s="122" t="s">
        <v>184</v>
      </c>
      <c r="E15" s="122" t="s">
        <v>48</v>
      </c>
    </row>
    <row r="16" spans="1:13">
      <c r="A16" t="s">
        <v>185</v>
      </c>
      <c r="D16" s="146">
        <v>0.5</v>
      </c>
      <c r="E16" s="146">
        <v>0.5</v>
      </c>
    </row>
    <row r="17" spans="1:11">
      <c r="A17" t="s">
        <v>186</v>
      </c>
      <c r="C17" s="147">
        <f>(B8/C5)*D16</f>
        <v>0.2747990353697749</v>
      </c>
    </row>
    <row r="18" spans="1:11">
      <c r="A18" t="s">
        <v>187</v>
      </c>
      <c r="C18" s="147">
        <f>C17*D11</f>
        <v>78.325666870980697</v>
      </c>
      <c r="D18" t="s">
        <v>183</v>
      </c>
    </row>
    <row r="19" spans="1:11">
      <c r="E19" s="122" t="s">
        <v>188</v>
      </c>
    </row>
    <row r="20" spans="1:11">
      <c r="A20" t="s">
        <v>189</v>
      </c>
      <c r="C20" s="265">
        <f>E20*C13</f>
        <v>467.69822201999995</v>
      </c>
      <c r="D20" t="s">
        <v>183</v>
      </c>
      <c r="E20" s="146">
        <v>0.01</v>
      </c>
    </row>
    <row r="22" spans="1:11">
      <c r="A22" s="129" t="s">
        <v>190</v>
      </c>
    </row>
    <row r="25" spans="1:11" ht="17" customHeight="1">
      <c r="A25" s="120"/>
      <c r="E25" s="149"/>
    </row>
    <row r="26" spans="1:11" ht="31" thickBot="1">
      <c r="A26" s="150" t="s">
        <v>191</v>
      </c>
      <c r="B26" s="151"/>
      <c r="C26" s="151"/>
      <c r="D26" s="152"/>
      <c r="E26" s="151"/>
      <c r="F26" s="151"/>
      <c r="G26" s="151"/>
      <c r="H26" s="151"/>
      <c r="I26" s="151"/>
      <c r="J26" s="151"/>
      <c r="K26" s="151"/>
    </row>
    <row r="27" spans="1:11" ht="23">
      <c r="A27" s="153"/>
      <c r="B27" s="154"/>
      <c r="C27" s="154"/>
      <c r="D27" s="155"/>
    </row>
    <row r="29" spans="1:11" ht="28">
      <c r="A29" s="156" t="s">
        <v>192</v>
      </c>
      <c r="B29" s="157"/>
      <c r="C29" s="157"/>
      <c r="D29" s="157"/>
      <c r="E29" s="158"/>
      <c r="F29" s="159"/>
      <c r="G29" s="156" t="s">
        <v>191</v>
      </c>
      <c r="H29" s="157"/>
      <c r="I29" s="157"/>
      <c r="J29" s="157"/>
      <c r="K29" s="160"/>
    </row>
    <row r="30" spans="1:11" ht="18">
      <c r="A30" s="161" t="s">
        <v>193</v>
      </c>
      <c r="B30" s="159"/>
      <c r="C30" s="159"/>
      <c r="D30" s="159"/>
      <c r="E30" s="162">
        <f>B8</f>
        <v>164.08799999999999</v>
      </c>
      <c r="F30" s="159"/>
      <c r="G30" s="161" t="s">
        <v>194</v>
      </c>
      <c r="H30" s="159"/>
      <c r="I30" s="159"/>
      <c r="J30" s="159"/>
      <c r="K30" s="163">
        <f>D16</f>
        <v>0.5</v>
      </c>
    </row>
    <row r="31" spans="1:11" ht="18">
      <c r="A31" s="161" t="s">
        <v>348</v>
      </c>
      <c r="B31" s="159"/>
      <c r="C31" s="159"/>
      <c r="D31" s="159"/>
      <c r="E31" s="162">
        <f>D5</f>
        <v>136.74</v>
      </c>
      <c r="F31" s="159"/>
      <c r="G31" s="161" t="s">
        <v>195</v>
      </c>
      <c r="H31" s="159"/>
      <c r="I31" s="159"/>
      <c r="J31" s="159"/>
      <c r="K31" s="163">
        <f>E16</f>
        <v>0.5</v>
      </c>
    </row>
    <row r="32" spans="1:11" ht="18">
      <c r="A32" s="161" t="s">
        <v>349</v>
      </c>
      <c r="B32" s="159"/>
      <c r="C32" s="159"/>
      <c r="D32" s="159"/>
      <c r="E32" s="164">
        <f>D11</f>
        <v>285.02890035834429</v>
      </c>
      <c r="F32" s="159"/>
      <c r="G32" s="161" t="s">
        <v>196</v>
      </c>
      <c r="H32" s="159"/>
      <c r="I32" s="159"/>
      <c r="J32" s="159"/>
      <c r="K32" s="165">
        <f>(E30/E34)*K30</f>
        <v>0.2747990353697749</v>
      </c>
    </row>
    <row r="33" spans="1:14" ht="18">
      <c r="A33" s="161" t="s">
        <v>182</v>
      </c>
      <c r="B33" s="159"/>
      <c r="C33" s="159"/>
      <c r="D33" s="159"/>
      <c r="E33" s="166">
        <f>E30/E31-1</f>
        <v>0.19999999999999996</v>
      </c>
      <c r="F33" s="159"/>
      <c r="G33" s="161" t="s">
        <v>197</v>
      </c>
      <c r="H33" s="159"/>
      <c r="I33" s="159"/>
      <c r="J33" s="159"/>
      <c r="K33" s="165">
        <f>K32*E32</f>
        <v>78.325666870980697</v>
      </c>
    </row>
    <row r="34" spans="1:14" ht="18">
      <c r="A34" s="161" t="s">
        <v>273</v>
      </c>
      <c r="B34" s="159"/>
      <c r="C34" s="159"/>
      <c r="D34" s="159"/>
      <c r="E34" s="167">
        <f>C5</f>
        <v>298.56</v>
      </c>
      <c r="F34" s="159"/>
      <c r="G34" s="168" t="s">
        <v>198</v>
      </c>
      <c r="H34" s="169"/>
      <c r="I34" s="169"/>
      <c r="J34" s="169"/>
      <c r="K34" s="170">
        <f>C20</f>
        <v>467.69822201999995</v>
      </c>
    </row>
    <row r="35" spans="1:14" ht="18">
      <c r="A35" s="171"/>
      <c r="B35" s="171"/>
      <c r="C35" s="171"/>
      <c r="D35" s="171"/>
      <c r="E35" s="172"/>
      <c r="F35" s="173"/>
      <c r="G35" s="159"/>
      <c r="H35" s="159"/>
      <c r="I35" s="159"/>
      <c r="J35" s="159"/>
      <c r="K35" s="171"/>
    </row>
    <row r="36" spans="1:14" ht="28">
      <c r="A36" s="156" t="s">
        <v>199</v>
      </c>
      <c r="B36" s="157"/>
      <c r="C36" s="157"/>
      <c r="D36" s="157"/>
      <c r="E36" s="158"/>
      <c r="F36" s="159"/>
      <c r="G36" s="156" t="s">
        <v>200</v>
      </c>
      <c r="H36" s="157"/>
      <c r="I36" s="157"/>
      <c r="J36" s="157"/>
      <c r="K36" s="160"/>
    </row>
    <row r="37" spans="1:14" ht="18">
      <c r="A37" s="161" t="s">
        <v>201</v>
      </c>
      <c r="B37" s="159"/>
      <c r="C37" s="159"/>
      <c r="D37" s="159"/>
      <c r="E37" s="167">
        <f>E30</f>
        <v>164.08799999999999</v>
      </c>
      <c r="F37" s="159"/>
      <c r="G37" s="174" t="s">
        <v>202</v>
      </c>
      <c r="H37" s="159"/>
      <c r="I37" s="159"/>
      <c r="J37" s="159"/>
      <c r="K37" s="170">
        <f>E39</f>
        <v>46769.822201999996</v>
      </c>
    </row>
    <row r="38" spans="1:14" ht="18">
      <c r="A38" s="175" t="s">
        <v>350</v>
      </c>
      <c r="B38" s="159"/>
      <c r="C38" s="159"/>
      <c r="D38" s="159"/>
      <c r="E38" s="176">
        <f>E32</f>
        <v>285.02890035834429</v>
      </c>
      <c r="F38" s="159"/>
      <c r="G38" s="177" t="s">
        <v>203</v>
      </c>
      <c r="H38" s="159"/>
      <c r="I38" s="159"/>
      <c r="J38" s="159"/>
      <c r="K38" s="178">
        <f>-(I84-I76)</f>
        <v>7655</v>
      </c>
    </row>
    <row r="39" spans="1:14" ht="18">
      <c r="A39" s="179" t="s">
        <v>204</v>
      </c>
      <c r="B39" s="169"/>
      <c r="C39" s="169"/>
      <c r="D39" s="169"/>
      <c r="E39" s="180">
        <f>E37*E38</f>
        <v>46769.822201999996</v>
      </c>
      <c r="F39" s="159"/>
      <c r="G39" s="174" t="s">
        <v>205</v>
      </c>
      <c r="H39" s="159"/>
      <c r="I39" s="159"/>
      <c r="J39" s="159"/>
      <c r="K39" s="181">
        <f>K34</f>
        <v>467.69822201999995</v>
      </c>
    </row>
    <row r="40" spans="1:14" ht="18">
      <c r="A40" s="159"/>
      <c r="B40" s="159"/>
      <c r="C40" s="159"/>
      <c r="D40" s="159"/>
      <c r="E40" s="159"/>
      <c r="F40" s="159"/>
      <c r="G40" s="182" t="s">
        <v>206</v>
      </c>
      <c r="H40" s="159"/>
      <c r="I40" s="159"/>
      <c r="J40" s="159"/>
      <c r="K40" s="183">
        <f>SUM(K37:K39)</f>
        <v>54892.520424019996</v>
      </c>
    </row>
    <row r="41" spans="1:14" ht="18">
      <c r="A41" s="159"/>
      <c r="B41" s="159"/>
      <c r="C41" s="159"/>
      <c r="D41" s="159"/>
      <c r="E41" s="159"/>
      <c r="F41" s="159"/>
      <c r="G41" s="184"/>
      <c r="H41" s="171"/>
      <c r="I41" s="171"/>
      <c r="J41" s="171"/>
      <c r="K41" s="185"/>
    </row>
    <row r="42" spans="1:14" ht="20">
      <c r="A42" s="186" t="s">
        <v>207</v>
      </c>
      <c r="B42" s="187"/>
      <c r="C42" s="187"/>
      <c r="D42" s="187"/>
      <c r="E42" s="187"/>
      <c r="F42" s="187"/>
      <c r="G42" s="188"/>
      <c r="H42" s="187"/>
      <c r="I42" s="187"/>
      <c r="J42" s="187"/>
      <c r="K42" s="189"/>
    </row>
    <row r="43" spans="1:14">
      <c r="A43" s="186" t="s">
        <v>208</v>
      </c>
    </row>
    <row r="44" spans="1:14">
      <c r="A44" s="186" t="s">
        <v>209</v>
      </c>
    </row>
    <row r="47" spans="1:14" ht="30">
      <c r="A47" s="190"/>
      <c r="B47" s="190"/>
      <c r="G47" s="149"/>
    </row>
    <row r="48" spans="1:14" ht="31" thickBot="1">
      <c r="A48" s="150" t="s">
        <v>210</v>
      </c>
      <c r="B48" s="150"/>
      <c r="C48" s="151"/>
      <c r="D48" s="151"/>
      <c r="E48" s="152"/>
      <c r="F48" s="191"/>
      <c r="G48" s="151"/>
      <c r="H48" s="151"/>
      <c r="I48" s="151"/>
      <c r="J48" s="151"/>
      <c r="K48" s="151"/>
      <c r="L48" s="151"/>
      <c r="M48" s="151"/>
      <c r="N48" s="151"/>
    </row>
    <row r="49" spans="1:14" ht="30">
      <c r="A49" s="192"/>
      <c r="B49" s="192"/>
      <c r="C49" s="154"/>
      <c r="D49" s="154"/>
      <c r="E49" s="155"/>
      <c r="F49" s="193"/>
    </row>
    <row r="50" spans="1:14" ht="23">
      <c r="A50" s="194"/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</row>
    <row r="51" spans="1:14" ht="28">
      <c r="A51" s="194"/>
      <c r="B51" s="194"/>
      <c r="C51" s="194"/>
      <c r="D51" s="194"/>
      <c r="E51" s="195" t="s">
        <v>211</v>
      </c>
      <c r="F51" s="157"/>
      <c r="G51" s="157"/>
      <c r="H51" s="157"/>
      <c r="I51" s="157"/>
      <c r="J51" s="158"/>
      <c r="K51" s="194"/>
      <c r="L51" s="194"/>
      <c r="M51" s="194"/>
      <c r="N51" s="194"/>
    </row>
    <row r="52" spans="1:14" ht="23">
      <c r="A52" s="194"/>
      <c r="B52" s="194"/>
      <c r="C52" s="194"/>
      <c r="D52" s="194"/>
      <c r="E52" s="196" t="s">
        <v>48</v>
      </c>
      <c r="F52" s="194"/>
      <c r="G52" s="194"/>
      <c r="H52" s="194"/>
      <c r="I52" s="194"/>
      <c r="J52" s="197">
        <f>J55-SUM(J53:J54)</f>
        <v>467.69822202000069</v>
      </c>
      <c r="K52" s="194"/>
      <c r="L52" s="194"/>
      <c r="M52" s="194"/>
      <c r="N52" s="194"/>
    </row>
    <row r="53" spans="1:14" ht="23">
      <c r="A53" s="194"/>
      <c r="B53" s="194"/>
      <c r="C53" s="194"/>
      <c r="D53" s="194"/>
      <c r="E53" s="196" t="s">
        <v>212</v>
      </c>
      <c r="F53" s="194"/>
      <c r="G53" s="194"/>
      <c r="H53" s="194"/>
      <c r="I53" s="194"/>
      <c r="J53" s="198">
        <f>K31*E39</f>
        <v>23384.911100999998</v>
      </c>
      <c r="K53" s="194"/>
      <c r="L53" s="194"/>
      <c r="M53" s="194"/>
      <c r="N53" s="194"/>
    </row>
    <row r="54" spans="1:14" ht="23">
      <c r="A54" s="194"/>
      <c r="B54" s="194"/>
      <c r="C54" s="194"/>
      <c r="D54" s="194"/>
      <c r="E54" s="196" t="s">
        <v>213</v>
      </c>
      <c r="F54" s="194"/>
      <c r="G54" s="194"/>
      <c r="H54" s="194"/>
      <c r="I54" s="194"/>
      <c r="J54" s="199">
        <f>K30*E39</f>
        <v>23384.911100999998</v>
      </c>
      <c r="K54" s="194"/>
      <c r="L54" s="194"/>
      <c r="M54" s="194"/>
      <c r="N54" s="194"/>
    </row>
    <row r="55" spans="1:14" ht="23">
      <c r="A55" s="194"/>
      <c r="B55" s="194"/>
      <c r="C55" s="194"/>
      <c r="D55" s="194"/>
      <c r="E55" s="200"/>
      <c r="F55" s="201" t="s">
        <v>214</v>
      </c>
      <c r="G55" s="201"/>
      <c r="H55" s="201"/>
      <c r="I55" s="201"/>
      <c r="J55" s="202">
        <f>J61</f>
        <v>47237.520424019996</v>
      </c>
      <c r="K55" s="194"/>
      <c r="L55" s="194"/>
      <c r="M55" s="194"/>
      <c r="N55" s="194"/>
    </row>
    <row r="56" spans="1:14" ht="23">
      <c r="A56" s="194"/>
      <c r="B56" s="194"/>
      <c r="C56" s="194"/>
      <c r="D56" s="194"/>
      <c r="E56" s="194"/>
      <c r="F56" s="194"/>
      <c r="G56" s="194"/>
      <c r="H56" s="194"/>
      <c r="I56" s="194"/>
      <c r="J56" s="203"/>
      <c r="K56" s="194"/>
      <c r="L56" s="194"/>
      <c r="M56" s="194"/>
      <c r="N56" s="194"/>
    </row>
    <row r="57" spans="1:14" ht="23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</row>
    <row r="58" spans="1:14" ht="28">
      <c r="A58" s="194"/>
      <c r="B58" s="194"/>
      <c r="C58" s="194"/>
      <c r="D58" s="194"/>
      <c r="E58" s="195" t="s">
        <v>215</v>
      </c>
      <c r="F58" s="157"/>
      <c r="G58" s="157"/>
      <c r="H58" s="157"/>
      <c r="I58" s="157"/>
      <c r="J58" s="158"/>
      <c r="K58" s="194"/>
      <c r="L58" s="194"/>
      <c r="M58" s="194"/>
      <c r="N58" s="194"/>
    </row>
    <row r="59" spans="1:14" ht="23">
      <c r="A59" s="194"/>
      <c r="B59" s="194"/>
      <c r="C59" s="194"/>
      <c r="D59" s="194"/>
      <c r="E59" s="196" t="s">
        <v>216</v>
      </c>
      <c r="F59" s="194"/>
      <c r="G59" s="194"/>
      <c r="H59" s="194"/>
      <c r="I59" s="194"/>
      <c r="J59" s="204">
        <f>E39</f>
        <v>46769.822201999996</v>
      </c>
      <c r="K59" s="194"/>
      <c r="L59" s="194"/>
      <c r="M59" s="194"/>
      <c r="N59" s="194"/>
    </row>
    <row r="60" spans="1:14" ht="23">
      <c r="A60" s="194"/>
      <c r="B60" s="194"/>
      <c r="C60" s="194"/>
      <c r="D60" s="194"/>
      <c r="E60" s="196" t="s">
        <v>217</v>
      </c>
      <c r="F60" s="194"/>
      <c r="G60" s="194"/>
      <c r="H60" s="194"/>
      <c r="I60" s="194"/>
      <c r="J60" s="205">
        <f>K34</f>
        <v>467.69822201999995</v>
      </c>
      <c r="K60" s="194"/>
      <c r="L60" s="194"/>
      <c r="M60" s="194"/>
      <c r="N60" s="194"/>
    </row>
    <row r="61" spans="1:14" ht="23">
      <c r="A61" s="194"/>
      <c r="B61" s="194"/>
      <c r="C61" s="194"/>
      <c r="D61" s="194"/>
      <c r="E61" s="200"/>
      <c r="F61" s="201" t="s">
        <v>214</v>
      </c>
      <c r="G61" s="201"/>
      <c r="H61" s="201"/>
      <c r="I61" s="201"/>
      <c r="J61" s="206">
        <f>SUM(J59:J60)</f>
        <v>47237.520424019996</v>
      </c>
      <c r="K61" s="194"/>
      <c r="L61" s="194"/>
      <c r="M61" s="194"/>
      <c r="N61" s="194"/>
    </row>
    <row r="62" spans="1:14" ht="23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</row>
    <row r="63" spans="1:14" ht="23">
      <c r="A63" s="194"/>
      <c r="B63" s="194"/>
      <c r="C63" s="194"/>
      <c r="D63" s="194"/>
      <c r="E63" s="194" t="s">
        <v>218</v>
      </c>
      <c r="K63" s="194"/>
      <c r="L63" s="194"/>
      <c r="M63" s="194"/>
      <c r="N63" s="194"/>
    </row>
    <row r="66" spans="1:15" ht="28">
      <c r="A66" s="207"/>
      <c r="B66" s="148"/>
      <c r="C66" s="208"/>
      <c r="H66" s="129"/>
      <c r="J66" s="209"/>
      <c r="K66" s="209"/>
      <c r="L66" s="209"/>
      <c r="M66" s="209"/>
      <c r="N66" s="209"/>
      <c r="O66" s="209"/>
    </row>
    <row r="67" spans="1:15" ht="19" thickBot="1">
      <c r="A67" s="207"/>
      <c r="B67" s="210" t="s">
        <v>219</v>
      </c>
      <c r="C67" s="211"/>
      <c r="D67" s="151"/>
      <c r="E67" s="151"/>
      <c r="F67" s="151"/>
      <c r="G67" s="212"/>
      <c r="H67" s="151"/>
      <c r="I67" s="151"/>
      <c r="J67" s="209"/>
      <c r="K67" s="209"/>
      <c r="L67" s="209"/>
      <c r="M67" s="209"/>
      <c r="N67" s="209"/>
      <c r="O67" s="209"/>
    </row>
    <row r="68" spans="1:15" ht="18">
      <c r="A68" s="207"/>
      <c r="B68" s="213"/>
      <c r="C68" s="214"/>
      <c r="D68" s="215"/>
      <c r="E68" s="215"/>
      <c r="F68" s="215"/>
      <c r="G68" s="216"/>
      <c r="J68" s="209"/>
      <c r="K68" s="209"/>
      <c r="L68" s="209"/>
      <c r="M68" s="209"/>
      <c r="N68" s="209"/>
      <c r="O68" s="209"/>
    </row>
    <row r="69" spans="1:15" ht="17" thickBot="1">
      <c r="A69" s="207"/>
      <c r="C69" s="129"/>
      <c r="G69" s="217"/>
      <c r="H69" s="217"/>
      <c r="I69" s="129"/>
      <c r="J69" s="209"/>
      <c r="K69" s="209"/>
      <c r="L69" s="209"/>
      <c r="M69" s="209"/>
      <c r="N69" s="209"/>
      <c r="O69" s="209"/>
    </row>
    <row r="70" spans="1:15" ht="17" thickBot="1">
      <c r="A70" s="207"/>
      <c r="B70" s="218" t="s">
        <v>220</v>
      </c>
      <c r="G70" s="268" t="s">
        <v>271</v>
      </c>
      <c r="I70" s="247" t="s">
        <v>270</v>
      </c>
      <c r="J70" s="209"/>
      <c r="N70" s="137" t="s">
        <v>221</v>
      </c>
      <c r="O70" s="209"/>
    </row>
    <row r="71" spans="1:15" ht="17" thickBot="1">
      <c r="A71" s="207"/>
      <c r="G71" s="131">
        <v>45291</v>
      </c>
      <c r="I71" s="131">
        <v>45291</v>
      </c>
      <c r="J71" s="209"/>
      <c r="K71" s="219" t="s">
        <v>222</v>
      </c>
      <c r="L71" s="219"/>
      <c r="N71" s="220" t="s">
        <v>223</v>
      </c>
      <c r="O71" s="209"/>
    </row>
    <row r="72" spans="1:15">
      <c r="A72" s="207"/>
      <c r="G72" s="125"/>
      <c r="I72" s="125"/>
      <c r="J72" s="209"/>
      <c r="K72" s="209"/>
      <c r="L72" s="209"/>
      <c r="M72" s="209"/>
      <c r="N72" s="209"/>
      <c r="O72" s="209"/>
    </row>
    <row r="73" spans="1:15">
      <c r="A73" t="s">
        <v>224</v>
      </c>
      <c r="B73" s="145"/>
      <c r="C73" s="145" t="s">
        <v>48</v>
      </c>
      <c r="D73" s="145"/>
      <c r="E73" s="145"/>
      <c r="F73" s="145"/>
      <c r="G73" s="221">
        <v>4579.3</v>
      </c>
      <c r="I73" s="221">
        <f>'Linking Sheet'!C6</f>
        <v>1357</v>
      </c>
      <c r="J73" s="222"/>
      <c r="K73" s="269">
        <f>-'50 Cash  50 Stock'!J60</f>
        <v>-467.69822201999995</v>
      </c>
      <c r="L73" s="223"/>
      <c r="M73" s="145"/>
      <c r="N73" s="224">
        <f>G73+I73+K73+L73</f>
        <v>5468.6017779800004</v>
      </c>
      <c r="O73" s="222"/>
    </row>
    <row r="74" spans="1:15">
      <c r="A74" s="207"/>
      <c r="B74" s="225"/>
      <c r="C74" s="225" t="s">
        <v>146</v>
      </c>
      <c r="D74" s="225"/>
      <c r="E74" s="225"/>
      <c r="F74" s="225"/>
      <c r="G74" s="77">
        <f>2488+52.3+866.3</f>
        <v>3406.6000000000004</v>
      </c>
      <c r="I74" s="77">
        <f>'Linking Sheet'!C7+'Linking Sheet'!C14+'Linking Sheet'!C8</f>
        <v>2142</v>
      </c>
      <c r="J74" s="226"/>
      <c r="K74" s="227"/>
      <c r="L74" s="227"/>
      <c r="M74" s="225"/>
      <c r="N74" s="77">
        <f t="shared" ref="N74:N78" si="0">G74+I74+K74+L74</f>
        <v>5548.6</v>
      </c>
      <c r="O74" s="226"/>
    </row>
    <row r="75" spans="1:15">
      <c r="A75" s="207"/>
      <c r="B75" s="225"/>
      <c r="C75" s="225" t="s">
        <v>114</v>
      </c>
      <c r="D75" s="225"/>
      <c r="E75" s="225"/>
      <c r="F75" s="225"/>
      <c r="G75" s="228">
        <v>24907.599999999999</v>
      </c>
      <c r="I75" s="228">
        <f>'Linking Sheet'!C11</f>
        <v>1197</v>
      </c>
      <c r="J75" s="226"/>
      <c r="K75" s="227"/>
      <c r="L75" s="227"/>
      <c r="M75" s="225"/>
      <c r="N75" s="77">
        <f t="shared" si="0"/>
        <v>26104.6</v>
      </c>
      <c r="O75" s="226"/>
    </row>
    <row r="76" spans="1:15">
      <c r="A76" s="207"/>
      <c r="B76" s="225"/>
      <c r="C76" s="225" t="s">
        <v>225</v>
      </c>
      <c r="D76" s="225"/>
      <c r="E76" s="225"/>
      <c r="F76" s="225"/>
      <c r="G76" s="228">
        <v>3040.4</v>
      </c>
      <c r="I76" s="228">
        <v>642</v>
      </c>
      <c r="J76" s="226"/>
      <c r="K76" s="229">
        <f>K40</f>
        <v>54892.520424019996</v>
      </c>
      <c r="L76" s="229">
        <f>-I76</f>
        <v>-642</v>
      </c>
      <c r="M76" s="225"/>
      <c r="N76" s="77">
        <f t="shared" si="0"/>
        <v>57932.920424019998</v>
      </c>
      <c r="O76" s="226"/>
    </row>
    <row r="77" spans="1:15">
      <c r="A77" s="207"/>
      <c r="B77" s="225"/>
      <c r="C77" s="225" t="s">
        <v>226</v>
      </c>
      <c r="D77" s="225"/>
      <c r="E77" s="225"/>
      <c r="F77" s="225"/>
      <c r="G77" s="228">
        <v>3018.2</v>
      </c>
      <c r="I77" s="228">
        <f>377</f>
        <v>377</v>
      </c>
      <c r="J77" s="226"/>
      <c r="K77" s="227"/>
      <c r="L77" s="227"/>
      <c r="M77" s="225"/>
      <c r="N77" s="77">
        <f t="shared" si="0"/>
        <v>3395.2</v>
      </c>
      <c r="O77" s="226"/>
    </row>
    <row r="78" spans="1:15">
      <c r="A78" s="207"/>
      <c r="B78" s="225"/>
      <c r="C78" s="225" t="s">
        <v>227</v>
      </c>
      <c r="D78" s="225"/>
      <c r="E78" s="225"/>
      <c r="F78" s="225"/>
      <c r="G78" s="228">
        <f>5617.8+1080.2+13514-3018.2</f>
        <v>17193.8</v>
      </c>
      <c r="I78" s="228">
        <f>'Linking Sheet'!C13</f>
        <v>1361</v>
      </c>
      <c r="J78" s="226"/>
      <c r="K78" s="227"/>
      <c r="L78" s="227"/>
      <c r="M78" s="225"/>
      <c r="N78" s="77">
        <f t="shared" si="0"/>
        <v>18554.8</v>
      </c>
      <c r="O78" s="226"/>
    </row>
    <row r="79" spans="1:15">
      <c r="A79" s="207"/>
      <c r="B79" s="145"/>
      <c r="C79" s="145"/>
      <c r="D79" s="230" t="s">
        <v>121</v>
      </c>
      <c r="E79" s="145"/>
      <c r="F79" s="145"/>
      <c r="G79" s="231">
        <f>SUM(G73:G78)</f>
        <v>56145.899999999994</v>
      </c>
      <c r="I79" s="231">
        <f>SUM(I73:I78)</f>
        <v>7076</v>
      </c>
      <c r="J79" s="222"/>
      <c r="K79" s="231">
        <f>SUM(K73:K78)</f>
        <v>54424.822201999996</v>
      </c>
      <c r="L79" s="231">
        <f>SUM(L73:L78)</f>
        <v>-642</v>
      </c>
      <c r="M79" s="145"/>
      <c r="N79" s="231">
        <f>SUM(N73:N78)</f>
        <v>117004.722202</v>
      </c>
      <c r="O79" s="222"/>
    </row>
    <row r="80" spans="1:15">
      <c r="A80" s="207"/>
      <c r="J80" s="209"/>
      <c r="O80" s="209"/>
    </row>
    <row r="81" spans="1:15">
      <c r="A81" t="s">
        <v>224</v>
      </c>
      <c r="B81" s="145"/>
      <c r="C81" s="145" t="s">
        <v>125</v>
      </c>
      <c r="D81" s="145"/>
      <c r="E81" s="145"/>
      <c r="F81" s="145"/>
      <c r="G81" s="221">
        <v>6859</v>
      </c>
      <c r="I81" s="221">
        <f>'Linking Sheet'!C21</f>
        <v>1277</v>
      </c>
      <c r="J81" s="222"/>
      <c r="K81" s="144"/>
      <c r="L81" s="144"/>
      <c r="M81" s="145"/>
      <c r="N81" s="224">
        <f>G81+I81+K81+L81</f>
        <v>8136</v>
      </c>
      <c r="O81" s="222"/>
    </row>
    <row r="82" spans="1:15">
      <c r="A82" s="207"/>
      <c r="B82" s="225"/>
      <c r="C82" s="225" t="s">
        <v>3</v>
      </c>
      <c r="D82" s="225"/>
      <c r="E82" s="225"/>
      <c r="F82" s="225"/>
      <c r="G82" s="228">
        <v>37152</v>
      </c>
      <c r="I82" s="228">
        <f>'Linking Sheet'!C23</f>
        <v>11142</v>
      </c>
      <c r="J82" s="226"/>
      <c r="K82" s="229">
        <f>J53</f>
        <v>23384.911100999998</v>
      </c>
      <c r="L82" s="227"/>
      <c r="M82" s="225"/>
      <c r="N82" s="77">
        <f t="shared" ref="N82:N84" si="1">G82+I82+K82+L82</f>
        <v>71678.911101000005</v>
      </c>
      <c r="O82" s="226"/>
    </row>
    <row r="83" spans="1:15">
      <c r="A83" s="207"/>
      <c r="B83" s="225"/>
      <c r="C83" s="225" t="s">
        <v>228</v>
      </c>
      <c r="D83" s="225"/>
      <c r="E83" s="225"/>
      <c r="F83" s="225"/>
      <c r="G83" s="228">
        <f>SUM(13057.7,363.2,790.1,949.7,1680.9)</f>
        <v>16841.600000000002</v>
      </c>
      <c r="I83" s="228">
        <f>'Linking Sheet'!C24</f>
        <v>1670</v>
      </c>
      <c r="J83" s="226"/>
      <c r="K83" s="227"/>
      <c r="L83" s="227"/>
      <c r="M83" s="225"/>
      <c r="N83" s="77">
        <f t="shared" si="1"/>
        <v>18511.600000000002</v>
      </c>
      <c r="O83" s="226"/>
    </row>
    <row r="84" spans="1:15">
      <c r="A84" s="207"/>
      <c r="B84" s="225"/>
      <c r="C84" s="225" t="s">
        <v>4</v>
      </c>
      <c r="D84" s="225"/>
      <c r="E84" s="225"/>
      <c r="F84" s="225"/>
      <c r="G84" s="228">
        <v>-4706.7</v>
      </c>
      <c r="I84" s="228">
        <f>SUM('Linking Sheet'!C28:C31)</f>
        <v>-7013</v>
      </c>
      <c r="J84" s="226"/>
      <c r="K84" s="229">
        <f>J54</f>
        <v>23384.911100999998</v>
      </c>
      <c r="L84" s="227">
        <f>-I84</f>
        <v>7013</v>
      </c>
      <c r="M84" s="225"/>
      <c r="N84" s="77">
        <f t="shared" si="1"/>
        <v>18678.211100999997</v>
      </c>
      <c r="O84" s="226"/>
    </row>
    <row r="85" spans="1:15">
      <c r="A85" s="207"/>
      <c r="B85" s="145"/>
      <c r="C85" s="145"/>
      <c r="D85" s="145" t="s">
        <v>229</v>
      </c>
      <c r="E85" s="145"/>
      <c r="F85" s="145"/>
      <c r="G85" s="231">
        <f>SUM(G81:G84)</f>
        <v>56145.900000000009</v>
      </c>
      <c r="I85" s="231">
        <f>SUM(I81:I84)</f>
        <v>7076</v>
      </c>
      <c r="J85" s="222"/>
      <c r="K85" s="231">
        <f>SUM(K81:K84)</f>
        <v>46769.822201999996</v>
      </c>
      <c r="L85" s="231">
        <f>SUM(L81:L84)</f>
        <v>7013</v>
      </c>
      <c r="M85" s="145"/>
      <c r="N85" s="231">
        <f>SUM(N81:N84)</f>
        <v>117004.722202</v>
      </c>
      <c r="O85" s="222"/>
    </row>
    <row r="86" spans="1:15">
      <c r="A86" s="207"/>
      <c r="C86" s="232" t="s">
        <v>160</v>
      </c>
      <c r="G86" s="233">
        <f>G79-G85</f>
        <v>0</v>
      </c>
      <c r="I86" s="233">
        <f>I79-I85</f>
        <v>0</v>
      </c>
      <c r="J86" s="234"/>
      <c r="K86" s="235"/>
      <c r="L86" s="235"/>
      <c r="M86" s="235"/>
      <c r="N86" s="233">
        <f>N79-N85</f>
        <v>0</v>
      </c>
      <c r="O86" s="234"/>
    </row>
    <row r="87" spans="1:15">
      <c r="A87" s="207"/>
      <c r="J87" s="209"/>
      <c r="O87" s="209"/>
    </row>
    <row r="88" spans="1:15">
      <c r="A88" s="207"/>
      <c r="B88" s="145"/>
      <c r="C88" s="145" t="s">
        <v>18</v>
      </c>
      <c r="D88" s="145"/>
      <c r="E88" s="145"/>
      <c r="F88" s="145"/>
      <c r="G88" s="236">
        <f>G82</f>
        <v>37152</v>
      </c>
      <c r="H88" s="145"/>
      <c r="I88" s="236">
        <f>I82</f>
        <v>11142</v>
      </c>
      <c r="J88" s="222"/>
      <c r="K88" s="145"/>
      <c r="L88" s="145"/>
      <c r="M88" s="145"/>
      <c r="N88" s="237">
        <f>N82</f>
        <v>71678.911101000005</v>
      </c>
      <c r="O88" s="222"/>
    </row>
    <row r="89" spans="1:15">
      <c r="A89" s="207"/>
      <c r="B89" s="225"/>
      <c r="C89" s="225" t="s">
        <v>230</v>
      </c>
      <c r="D89" s="225"/>
      <c r="E89" s="225"/>
      <c r="F89" s="225"/>
      <c r="G89" s="238">
        <f>G82-G73</f>
        <v>32572.7</v>
      </c>
      <c r="H89" s="225"/>
      <c r="I89" s="238">
        <f>I82-I73</f>
        <v>9785</v>
      </c>
      <c r="J89" s="226"/>
      <c r="K89" s="225"/>
      <c r="L89" s="225"/>
      <c r="M89" s="225"/>
      <c r="N89" s="239">
        <f>N82-N73</f>
        <v>66210.309323020003</v>
      </c>
      <c r="O89" s="226"/>
    </row>
    <row r="90" spans="1:15">
      <c r="A90" s="207"/>
      <c r="B90" s="225"/>
      <c r="C90" s="225" t="s">
        <v>231</v>
      </c>
      <c r="D90" s="225"/>
      <c r="E90" s="225"/>
      <c r="F90" s="225"/>
      <c r="G90" s="238">
        <f>G82+G84</f>
        <v>32445.3</v>
      </c>
      <c r="H90" s="225"/>
      <c r="I90" s="238">
        <f>I82+I84</f>
        <v>4129</v>
      </c>
      <c r="J90" s="226"/>
      <c r="K90" s="225"/>
      <c r="L90" s="225"/>
      <c r="M90" s="225"/>
      <c r="N90" s="239">
        <f>N82+N84</f>
        <v>90357.122201999999</v>
      </c>
      <c r="O90" s="226"/>
    </row>
    <row r="91" spans="1:15">
      <c r="A91" s="207"/>
      <c r="J91" s="209"/>
      <c r="O91" s="209"/>
    </row>
    <row r="92" spans="1:15">
      <c r="A92" t="s">
        <v>224</v>
      </c>
      <c r="C92" t="s">
        <v>232</v>
      </c>
      <c r="G92" s="240">
        <f>G88/G90</f>
        <v>1.1450656951854352</v>
      </c>
      <c r="H92" s="241"/>
      <c r="I92" s="240">
        <f>I88/I90</f>
        <v>2.6984742068297409</v>
      </c>
      <c r="J92" s="209"/>
      <c r="N92" s="242">
        <f>N88/N90</f>
        <v>0.79328457297208432</v>
      </c>
      <c r="O92" s="209"/>
    </row>
    <row r="93" spans="1:15">
      <c r="A93" s="207"/>
      <c r="J93" s="209"/>
      <c r="O93" s="209"/>
    </row>
    <row r="94" spans="1:15">
      <c r="A94" s="207"/>
      <c r="B94" s="145"/>
      <c r="C94" s="145" t="s">
        <v>40</v>
      </c>
      <c r="D94" s="145"/>
      <c r="E94" s="145"/>
      <c r="F94" s="145"/>
      <c r="G94" s="243">
        <f>D110+D121</f>
        <v>12028.400000000001</v>
      </c>
      <c r="H94" s="145"/>
      <c r="I94" s="243">
        <f>F110+F121</f>
        <v>2471</v>
      </c>
      <c r="J94" s="222"/>
      <c r="K94" s="145"/>
      <c r="L94" s="145"/>
      <c r="M94" s="145"/>
      <c r="N94" s="243">
        <f>G94+I94</f>
        <v>14499.400000000001</v>
      </c>
      <c r="O94" s="222"/>
    </row>
    <row r="95" spans="1:15">
      <c r="A95" t="s">
        <v>224</v>
      </c>
      <c r="C95" t="s">
        <v>233</v>
      </c>
      <c r="G95" s="244">
        <f>G88/G94</f>
        <v>3.088690100096438</v>
      </c>
      <c r="H95" s="145"/>
      <c r="I95" s="244">
        <f>I88/I94</f>
        <v>4.5091056252529338</v>
      </c>
      <c r="J95" s="209"/>
      <c r="N95" s="245">
        <f>N88/N94</f>
        <v>4.9435777412168775</v>
      </c>
      <c r="O95" s="209"/>
    </row>
    <row r="96" spans="1:15">
      <c r="A96" s="246"/>
      <c r="B96" s="209"/>
      <c r="C96" s="209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</row>
    <row r="97" spans="1:15">
      <c r="A97" s="246"/>
      <c r="B97" s="209"/>
      <c r="C97" s="209"/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09"/>
      <c r="O97" s="209"/>
    </row>
    <row r="98" spans="1:15" ht="28">
      <c r="A98" s="207"/>
      <c r="B98" s="148"/>
      <c r="C98" s="208"/>
      <c r="E98" s="129"/>
    </row>
    <row r="99" spans="1:15" ht="19" thickBot="1">
      <c r="A99" s="207"/>
      <c r="B99" s="210" t="s">
        <v>234</v>
      </c>
      <c r="C99" s="211"/>
      <c r="D99" s="212"/>
      <c r="E99" s="151"/>
      <c r="F99" s="151"/>
      <c r="G99" s="151"/>
    </row>
    <row r="100" spans="1:15" ht="19" thickBot="1">
      <c r="A100" s="207"/>
      <c r="B100" s="213"/>
      <c r="C100" s="214"/>
      <c r="D100" s="216"/>
    </row>
    <row r="101" spans="1:15" ht="17" thickBot="1">
      <c r="A101" s="207"/>
      <c r="B101" s="218" t="s">
        <v>220</v>
      </c>
      <c r="C101" s="129"/>
      <c r="D101" s="247" t="s">
        <v>271</v>
      </c>
      <c r="E101" s="129"/>
      <c r="F101" s="247" t="s">
        <v>270</v>
      </c>
    </row>
    <row r="102" spans="1:15">
      <c r="A102" s="207"/>
      <c r="D102" s="248" t="s">
        <v>235</v>
      </c>
      <c r="E102" s="137"/>
      <c r="F102" s="248" t="s">
        <v>235</v>
      </c>
      <c r="K102" s="137" t="s">
        <v>221</v>
      </c>
    </row>
    <row r="103" spans="1:15" ht="17" thickBot="1">
      <c r="A103" s="207"/>
      <c r="D103" s="249">
        <v>45291</v>
      </c>
      <c r="F103" s="249">
        <v>45291</v>
      </c>
      <c r="H103" s="219" t="s">
        <v>222</v>
      </c>
      <c r="I103" s="219"/>
      <c r="K103" s="220" t="s">
        <v>223</v>
      </c>
    </row>
    <row r="104" spans="1:15">
      <c r="A104" s="207"/>
    </row>
    <row r="105" spans="1:15">
      <c r="A105" t="s">
        <v>224</v>
      </c>
      <c r="B105" t="s">
        <v>236</v>
      </c>
      <c r="C105" s="145"/>
      <c r="D105" s="221">
        <v>25493.7</v>
      </c>
      <c r="F105" s="221">
        <f>'Linking Sheet'!F5</f>
        <v>7076</v>
      </c>
      <c r="G105" s="145"/>
      <c r="H105" s="144"/>
      <c r="I105" s="144"/>
      <c r="J105" s="145"/>
      <c r="K105" s="224">
        <f>D105+F105+H105+I105</f>
        <v>32569.7</v>
      </c>
      <c r="L105" s="145"/>
      <c r="M105" s="145"/>
    </row>
    <row r="106" spans="1:15">
      <c r="A106" s="207"/>
      <c r="B106" t="s">
        <v>237</v>
      </c>
      <c r="D106" s="228">
        <f>13847-D108</f>
        <v>10931.2</v>
      </c>
      <c r="F106" s="228">
        <f>1774+1683+123+14-29</f>
        <v>3565</v>
      </c>
      <c r="H106" s="250"/>
      <c r="I106" s="250"/>
      <c r="K106" s="77">
        <f>D106+F106+H106+I106</f>
        <v>14496.2</v>
      </c>
    </row>
    <row r="107" spans="1:15">
      <c r="A107" t="s">
        <v>224</v>
      </c>
      <c r="B107" s="251" t="s">
        <v>238</v>
      </c>
      <c r="D107" s="231">
        <f>D105-SUM(D106:D106)</f>
        <v>14562.5</v>
      </c>
      <c r="F107" s="231">
        <f>F105-SUM(F106:F106)</f>
        <v>3511</v>
      </c>
      <c r="H107" s="250"/>
      <c r="I107" s="250"/>
      <c r="K107" s="231">
        <f>K105-SUM(K106:K106)</f>
        <v>18073.5</v>
      </c>
    </row>
    <row r="108" spans="1:15">
      <c r="A108" s="207"/>
      <c r="B108" t="s">
        <v>239</v>
      </c>
      <c r="D108" s="228">
        <f>381.7+2435.2+98.9</f>
        <v>2915.7999999999997</v>
      </c>
      <c r="F108" s="228">
        <f>'Linking Sheet'!F7</f>
        <v>1193</v>
      </c>
      <c r="H108" s="250"/>
      <c r="I108" s="250"/>
      <c r="K108" s="77">
        <f>D108+F108+H108+I108</f>
        <v>4108.7999999999993</v>
      </c>
    </row>
    <row r="109" spans="1:15">
      <c r="A109" s="207"/>
      <c r="B109" t="s">
        <v>44</v>
      </c>
      <c r="D109" s="228">
        <f>'[1]AMZN IS'!F110</f>
        <v>0</v>
      </c>
      <c r="F109" s="228">
        <v>0</v>
      </c>
      <c r="H109" s="250"/>
      <c r="I109" s="250"/>
      <c r="K109" s="77">
        <f>D109+F109+H109+I109</f>
        <v>0</v>
      </c>
    </row>
    <row r="110" spans="1:15">
      <c r="A110" t="s">
        <v>224</v>
      </c>
      <c r="B110" s="251" t="s">
        <v>240</v>
      </c>
      <c r="D110" s="231">
        <f>D107-SUM(D108:D109)</f>
        <v>11646.7</v>
      </c>
      <c r="F110" s="231">
        <f>F107-SUM(F108:F109)</f>
        <v>2318</v>
      </c>
      <c r="G110" s="252" t="s">
        <v>241</v>
      </c>
      <c r="H110" s="250"/>
      <c r="I110" s="250"/>
      <c r="K110" s="231">
        <f>K107-SUM(K108:K109)</f>
        <v>13964.7</v>
      </c>
    </row>
    <row r="111" spans="1:15">
      <c r="A111" s="207"/>
      <c r="B111" t="s">
        <v>163</v>
      </c>
      <c r="D111" s="228">
        <v>1360.8</v>
      </c>
      <c r="F111" s="228">
        <f>'Linking Sheet'!F11</f>
        <v>513</v>
      </c>
      <c r="G111" s="252" t="s">
        <v>242</v>
      </c>
      <c r="H111" s="223">
        <f>C130</f>
        <v>865.24171073699983</v>
      </c>
      <c r="I111" s="250"/>
      <c r="K111" s="77">
        <f>D111+F111+H111+I111</f>
        <v>2739.0417107369999</v>
      </c>
    </row>
    <row r="112" spans="1:15">
      <c r="A112" s="207"/>
      <c r="B112" t="s">
        <v>243</v>
      </c>
      <c r="D112" s="228">
        <v>-236.4</v>
      </c>
      <c r="F112" s="228">
        <v>-13</v>
      </c>
      <c r="H112" s="250"/>
      <c r="I112" s="250"/>
      <c r="K112" s="77">
        <f>D112+F112+H112+I112</f>
        <v>-249.4</v>
      </c>
    </row>
    <row r="113" spans="1:13">
      <c r="A113" t="s">
        <v>224</v>
      </c>
      <c r="B113" s="251" t="s">
        <v>244</v>
      </c>
      <c r="D113" s="231">
        <f>D110-SUM(D111:D112)</f>
        <v>10522.300000000001</v>
      </c>
      <c r="F113" s="231">
        <f>F110-SUM(F111:F112)</f>
        <v>1818</v>
      </c>
      <c r="H113" s="250"/>
      <c r="I113" s="250"/>
      <c r="K113" s="231">
        <f>K110-SUM(K111:K112)</f>
        <v>11475.058289263001</v>
      </c>
    </row>
    <row r="114" spans="1:13">
      <c r="A114" s="207"/>
      <c r="B114" t="s">
        <v>245</v>
      </c>
      <c r="D114" s="228">
        <v>2053.4</v>
      </c>
      <c r="F114" s="228">
        <f>'Linking Sheet'!F15</f>
        <v>221</v>
      </c>
      <c r="G114" s="252" t="s">
        <v>246</v>
      </c>
      <c r="H114" s="229">
        <f>C134</f>
        <v>-302.83459875794995</v>
      </c>
      <c r="I114" s="250"/>
      <c r="K114" s="77">
        <f>D114+F114+H114+I114</f>
        <v>1971.56540124205</v>
      </c>
    </row>
    <row r="115" spans="1:13">
      <c r="A115" s="207"/>
      <c r="B115" t="s">
        <v>247</v>
      </c>
      <c r="D115" s="228">
        <f>-'[1]AMZN IS'!F117</f>
        <v>0</v>
      </c>
      <c r="F115" s="228">
        <v>0</v>
      </c>
      <c r="H115" s="250"/>
      <c r="I115" s="250"/>
      <c r="K115" s="77">
        <f>D115+F115+H115+I115</f>
        <v>0</v>
      </c>
    </row>
    <row r="116" spans="1:13">
      <c r="A116" t="s">
        <v>224</v>
      </c>
      <c r="B116" s="251" t="s">
        <v>120</v>
      </c>
      <c r="C116" s="145"/>
      <c r="D116" s="231">
        <f>D113-SUM(D114:D115)</f>
        <v>8468.9000000000015</v>
      </c>
      <c r="F116" s="231">
        <f>F113-SUM(F114:F115)</f>
        <v>1597</v>
      </c>
      <c r="G116" s="145"/>
      <c r="H116" s="144"/>
      <c r="I116" s="144"/>
      <c r="J116" s="145"/>
      <c r="K116" s="231">
        <f>K113-SUM(K114:K115)</f>
        <v>9503.4928880209518</v>
      </c>
      <c r="L116" s="145"/>
      <c r="M116" s="145"/>
    </row>
    <row r="117" spans="1:13">
      <c r="A117" s="207"/>
      <c r="H117" s="250"/>
      <c r="I117" s="250"/>
    </row>
    <row r="118" spans="1:13">
      <c r="A118" s="207"/>
      <c r="B118" t="s">
        <v>248</v>
      </c>
      <c r="D118" s="135">
        <v>722.05100000000004</v>
      </c>
      <c r="E118" s="207"/>
      <c r="F118" s="253">
        <f>H8</f>
        <v>281.33999999999997</v>
      </c>
      <c r="H118" s="270">
        <f>K33</f>
        <v>78.325666870980697</v>
      </c>
      <c r="I118" s="254">
        <f>-F118</f>
        <v>-281.33999999999997</v>
      </c>
      <c r="K118" s="143">
        <f>D118+F118+H118+I118</f>
        <v>800.3766668709809</v>
      </c>
    </row>
    <row r="119" spans="1:13">
      <c r="A119" s="207"/>
      <c r="B119" s="255" t="s">
        <v>249</v>
      </c>
      <c r="C119" s="255"/>
      <c r="D119" s="255">
        <f>D116/D118</f>
        <v>11.728949894121053</v>
      </c>
      <c r="E119" s="207"/>
      <c r="F119" s="255">
        <f>F116/F118</f>
        <v>5.6764057723750625</v>
      </c>
      <c r="G119" s="255"/>
      <c r="H119" s="255"/>
      <c r="I119" s="255"/>
      <c r="J119" s="255"/>
      <c r="K119" s="255">
        <f>K116/K118</f>
        <v>11.873775537678057</v>
      </c>
      <c r="L119" s="255"/>
      <c r="M119" s="255"/>
    </row>
    <row r="120" spans="1:13">
      <c r="A120" s="207"/>
      <c r="H120" s="256"/>
    </row>
    <row r="121" spans="1:13">
      <c r="A121" s="207"/>
      <c r="B121" s="251" t="s">
        <v>250</v>
      </c>
      <c r="D121" s="221">
        <v>381.7</v>
      </c>
      <c r="F121" s="221">
        <f>'Linking Sheet'!F9+'Linking Sheet'!F10</f>
        <v>153</v>
      </c>
      <c r="K121" s="224">
        <f>D121+F121</f>
        <v>534.70000000000005</v>
      </c>
    </row>
    <row r="122" spans="1:13">
      <c r="A122" s="207"/>
    </row>
    <row r="123" spans="1:13">
      <c r="A123" s="207"/>
      <c r="B123" s="257" t="s">
        <v>251</v>
      </c>
      <c r="I123" t="s">
        <v>252</v>
      </c>
      <c r="K123" s="258">
        <f>K119-D119</f>
        <v>0.14482564355700411</v>
      </c>
    </row>
    <row r="124" spans="1:13">
      <c r="A124" s="207"/>
      <c r="B124" t="s">
        <v>253</v>
      </c>
      <c r="C124" s="259">
        <v>0.35</v>
      </c>
      <c r="I124" t="s">
        <v>254</v>
      </c>
      <c r="K124" s="260">
        <f>K119/D119-1</f>
        <v>1.2347707583745038E-2</v>
      </c>
    </row>
    <row r="125" spans="1:13">
      <c r="A125" s="207"/>
      <c r="B125" t="s">
        <v>255</v>
      </c>
      <c r="C125" s="259">
        <v>3.6999999999999998E-2</v>
      </c>
    </row>
    <row r="126" spans="1:13">
      <c r="A126" s="207"/>
    </row>
    <row r="127" spans="1:13">
      <c r="A127" s="207"/>
      <c r="B127" s="186" t="s">
        <v>256</v>
      </c>
      <c r="E127" s="186" t="s">
        <v>257</v>
      </c>
    </row>
    <row r="128" spans="1:13">
      <c r="A128" s="207"/>
      <c r="B128" t="s">
        <v>258</v>
      </c>
      <c r="C128" s="223">
        <f>J53</f>
        <v>23384.911100999998</v>
      </c>
      <c r="E128" t="s">
        <v>259</v>
      </c>
      <c r="H128" s="258">
        <f>0</f>
        <v>0</v>
      </c>
    </row>
    <row r="129" spans="1:8">
      <c r="A129" s="207"/>
      <c r="B129" t="s">
        <v>260</v>
      </c>
      <c r="C129" s="261">
        <f>C125</f>
        <v>3.6999999999999998E-2</v>
      </c>
      <c r="E129" t="s">
        <v>261</v>
      </c>
      <c r="H129" s="254">
        <f>K118</f>
        <v>800.3766668709809</v>
      </c>
    </row>
    <row r="130" spans="1:8">
      <c r="A130" s="207"/>
      <c r="B130" s="262" t="s">
        <v>262</v>
      </c>
      <c r="C130" s="263">
        <f>C128*C129</f>
        <v>865.24171073699983</v>
      </c>
      <c r="E130" s="262" t="s">
        <v>263</v>
      </c>
      <c r="H130" s="264">
        <f>H128*H129</f>
        <v>0</v>
      </c>
    </row>
    <row r="131" spans="1:8">
      <c r="A131" s="207"/>
      <c r="B131" s="186" t="s">
        <v>264</v>
      </c>
      <c r="E131" t="s">
        <v>265</v>
      </c>
      <c r="H131" s="260">
        <f>(1-C124)</f>
        <v>0.65</v>
      </c>
    </row>
    <row r="132" spans="1:8">
      <c r="A132" s="207"/>
      <c r="B132" t="s">
        <v>266</v>
      </c>
      <c r="C132" s="223">
        <f>-C130</f>
        <v>-865.24171073699983</v>
      </c>
      <c r="E132" s="262" t="s">
        <v>267</v>
      </c>
      <c r="H132" s="264">
        <f>H130/H131</f>
        <v>0</v>
      </c>
    </row>
    <row r="133" spans="1:8">
      <c r="A133" s="207"/>
      <c r="B133" t="s">
        <v>268</v>
      </c>
      <c r="C133" s="261">
        <f>C124</f>
        <v>0.35</v>
      </c>
    </row>
    <row r="134" spans="1:8">
      <c r="A134" s="207"/>
      <c r="B134" s="262" t="s">
        <v>269</v>
      </c>
      <c r="C134" s="263">
        <f>C132*C133</f>
        <v>-302.83459875794995</v>
      </c>
    </row>
    <row r="135" spans="1:8">
      <c r="A135" s="207"/>
    </row>
    <row r="136" spans="1:8">
      <c r="A136" s="207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C805-900D-FE40-84C2-E8256640CE82}">
  <dimension ref="A1:O136"/>
  <sheetViews>
    <sheetView topLeftCell="A97" workbookViewId="0">
      <selection activeCell="D115" sqref="D115"/>
    </sheetView>
  </sheetViews>
  <sheetFormatPr baseColWidth="10" defaultRowHeight="16"/>
  <cols>
    <col min="2" max="2" width="28" bestFit="1" customWidth="1"/>
    <col min="5" max="5" width="12.6640625" bestFit="1" customWidth="1"/>
    <col min="7" max="7" width="11.33203125" customWidth="1"/>
    <col min="10" max="10" width="15.83203125" bestFit="1" customWidth="1"/>
    <col min="11" max="11" width="12.6640625" bestFit="1" customWidth="1"/>
  </cols>
  <sheetData>
    <row r="1" spans="1:13" ht="28">
      <c r="A1" s="120" t="str">
        <f>"MCD Acquisition of YUM for $"&amp;TEXT(B8,"#,##.00")&amp;" per Share"</f>
        <v>MCD Acquisition of YUM for $164.09 per Share</v>
      </c>
      <c r="B1" s="85"/>
      <c r="C1" s="85"/>
      <c r="D1" s="85"/>
      <c r="E1" s="85"/>
      <c r="F1" s="85"/>
      <c r="G1" s="85"/>
      <c r="H1" s="85"/>
      <c r="I1" s="85"/>
      <c r="J1" s="85"/>
    </row>
    <row r="2" spans="1:13" ht="18">
      <c r="A2" s="121" t="s">
        <v>171</v>
      </c>
    </row>
    <row r="4" spans="1:13">
      <c r="C4" s="122" t="s">
        <v>271</v>
      </c>
      <c r="D4" s="122" t="s">
        <v>270</v>
      </c>
    </row>
    <row r="5" spans="1:13">
      <c r="A5" t="s">
        <v>172</v>
      </c>
      <c r="C5" s="123">
        <v>298.56</v>
      </c>
      <c r="D5" s="123">
        <v>136.74</v>
      </c>
      <c r="E5" t="s">
        <v>272</v>
      </c>
    </row>
    <row r="6" spans="1:13" ht="17" thickBot="1">
      <c r="F6" s="124"/>
      <c r="G6" s="125"/>
      <c r="H6" s="125"/>
      <c r="I6" s="125"/>
      <c r="J6" s="126" t="s">
        <v>173</v>
      </c>
      <c r="K6" s="127" t="s">
        <v>174</v>
      </c>
      <c r="L6" s="127" t="s">
        <v>175</v>
      </c>
      <c r="M6" s="128" t="s">
        <v>176</v>
      </c>
    </row>
    <row r="7" spans="1:13" ht="17" thickBot="1">
      <c r="A7" s="129" t="s">
        <v>274</v>
      </c>
      <c r="F7" s="130"/>
      <c r="H7" s="340">
        <v>2023</v>
      </c>
      <c r="J7" s="132" t="s">
        <v>177</v>
      </c>
      <c r="K7" s="122" t="s">
        <v>178</v>
      </c>
      <c r="L7" s="122" t="s">
        <v>179</v>
      </c>
      <c r="M7" s="133" t="s">
        <v>180</v>
      </c>
    </row>
    <row r="8" spans="1:13">
      <c r="A8" t="s">
        <v>181</v>
      </c>
      <c r="B8" s="266">
        <f>D5*(1+B9)</f>
        <v>164.08799999999999</v>
      </c>
      <c r="F8" s="130"/>
      <c r="G8" s="134" t="s">
        <v>345</v>
      </c>
      <c r="H8" s="253">
        <v>281.33999999999997</v>
      </c>
      <c r="J8" s="136">
        <v>7.4989999999999997</v>
      </c>
      <c r="K8" s="123">
        <v>83.37</v>
      </c>
      <c r="L8" s="137" t="str">
        <f>IF(B8&gt;K8,"YES","NO")</f>
        <v>YES</v>
      </c>
      <c r="M8" s="138">
        <f>IF(L8="YES",((B8-K8)/B8)*J8,0)</f>
        <v>3.6889003583443025</v>
      </c>
    </row>
    <row r="9" spans="1:13">
      <c r="A9" t="s">
        <v>182</v>
      </c>
      <c r="B9" s="267">
        <v>0.2</v>
      </c>
      <c r="F9" s="130"/>
      <c r="J9" s="130"/>
      <c r="M9" s="139"/>
    </row>
    <row r="10" spans="1:13">
      <c r="F10" s="140"/>
      <c r="G10" s="141"/>
      <c r="H10" s="141"/>
      <c r="I10" s="141"/>
      <c r="J10" s="140"/>
      <c r="K10" s="141"/>
      <c r="L10" s="141"/>
      <c r="M10" s="142"/>
    </row>
    <row r="11" spans="1:13">
      <c r="A11" t="s">
        <v>346</v>
      </c>
      <c r="D11" s="143">
        <f>H8+M8</f>
        <v>285.02890035834429</v>
      </c>
      <c r="E11" t="s">
        <v>183</v>
      </c>
    </row>
    <row r="13" spans="1:13">
      <c r="A13" t="s">
        <v>347</v>
      </c>
      <c r="C13" s="144">
        <f>D11*B8</f>
        <v>46769.822201999996</v>
      </c>
      <c r="D13" s="145"/>
    </row>
    <row r="15" spans="1:13">
      <c r="D15" s="122" t="s">
        <v>184</v>
      </c>
      <c r="E15" s="122" t="s">
        <v>48</v>
      </c>
    </row>
    <row r="16" spans="1:13">
      <c r="A16" t="s">
        <v>185</v>
      </c>
      <c r="D16" s="146">
        <v>1</v>
      </c>
      <c r="E16" s="146">
        <v>0</v>
      </c>
    </row>
    <row r="17" spans="1:11">
      <c r="A17" t="s">
        <v>186</v>
      </c>
      <c r="C17" s="147">
        <f>(B8/C5)*D16</f>
        <v>0.5495980707395498</v>
      </c>
    </row>
    <row r="18" spans="1:11">
      <c r="A18" t="s">
        <v>187</v>
      </c>
      <c r="C18" s="147">
        <f>C17*D11</f>
        <v>156.65133374196139</v>
      </c>
      <c r="D18" t="s">
        <v>183</v>
      </c>
    </row>
    <row r="19" spans="1:11">
      <c r="E19" s="122" t="s">
        <v>188</v>
      </c>
    </row>
    <row r="20" spans="1:11">
      <c r="A20" t="s">
        <v>189</v>
      </c>
      <c r="C20" s="265">
        <f>E20*C13</f>
        <v>467.69822201999995</v>
      </c>
      <c r="D20" t="s">
        <v>183</v>
      </c>
      <c r="E20" s="146">
        <v>0.01</v>
      </c>
    </row>
    <row r="22" spans="1:11">
      <c r="A22" s="129" t="s">
        <v>190</v>
      </c>
    </row>
    <row r="25" spans="1:11" ht="17" customHeight="1">
      <c r="A25" s="120"/>
      <c r="E25" s="149"/>
    </row>
    <row r="26" spans="1:11" ht="31" thickBot="1">
      <c r="A26" s="150" t="s">
        <v>191</v>
      </c>
      <c r="B26" s="151"/>
      <c r="C26" s="151"/>
      <c r="D26" s="152"/>
      <c r="E26" s="151"/>
      <c r="F26" s="151"/>
      <c r="G26" s="151"/>
      <c r="H26" s="151"/>
      <c r="I26" s="151"/>
      <c r="J26" s="151"/>
      <c r="K26" s="151"/>
    </row>
    <row r="27" spans="1:11" ht="23">
      <c r="A27" s="153"/>
      <c r="B27" s="154"/>
      <c r="C27" s="154"/>
      <c r="D27" s="155"/>
    </row>
    <row r="29" spans="1:11" ht="28">
      <c r="A29" s="156" t="s">
        <v>192</v>
      </c>
      <c r="B29" s="157"/>
      <c r="C29" s="157"/>
      <c r="D29" s="157"/>
      <c r="E29" s="158"/>
      <c r="F29" s="159"/>
      <c r="G29" s="156" t="s">
        <v>191</v>
      </c>
      <c r="H29" s="157"/>
      <c r="I29" s="157"/>
      <c r="J29" s="157"/>
      <c r="K29" s="160"/>
    </row>
    <row r="30" spans="1:11" ht="18">
      <c r="A30" s="161" t="s">
        <v>193</v>
      </c>
      <c r="B30" s="159"/>
      <c r="C30" s="159"/>
      <c r="D30" s="159"/>
      <c r="E30" s="162">
        <f>B8</f>
        <v>164.08799999999999</v>
      </c>
      <c r="F30" s="159"/>
      <c r="G30" s="161" t="s">
        <v>194</v>
      </c>
      <c r="H30" s="159"/>
      <c r="I30" s="159"/>
      <c r="J30" s="159"/>
      <c r="K30" s="163">
        <f>D16</f>
        <v>1</v>
      </c>
    </row>
    <row r="31" spans="1:11" ht="18">
      <c r="A31" s="161" t="s">
        <v>348</v>
      </c>
      <c r="B31" s="159"/>
      <c r="C31" s="159"/>
      <c r="D31" s="159"/>
      <c r="E31" s="162">
        <f>D5</f>
        <v>136.74</v>
      </c>
      <c r="F31" s="159"/>
      <c r="G31" s="161" t="s">
        <v>195</v>
      </c>
      <c r="H31" s="159"/>
      <c r="I31" s="159"/>
      <c r="J31" s="159"/>
      <c r="K31" s="163">
        <f>E16</f>
        <v>0</v>
      </c>
    </row>
    <row r="32" spans="1:11" ht="18">
      <c r="A32" s="161" t="s">
        <v>349</v>
      </c>
      <c r="B32" s="159"/>
      <c r="C32" s="159"/>
      <c r="D32" s="159"/>
      <c r="E32" s="164">
        <f>D11</f>
        <v>285.02890035834429</v>
      </c>
      <c r="F32" s="159"/>
      <c r="G32" s="161" t="s">
        <v>196</v>
      </c>
      <c r="H32" s="159"/>
      <c r="I32" s="159"/>
      <c r="J32" s="159"/>
      <c r="K32" s="165">
        <f>(E30/E34)*K30</f>
        <v>0.5495980707395498</v>
      </c>
    </row>
    <row r="33" spans="1:14" ht="18">
      <c r="A33" s="161" t="s">
        <v>182</v>
      </c>
      <c r="B33" s="159"/>
      <c r="C33" s="159"/>
      <c r="D33" s="159"/>
      <c r="E33" s="166">
        <f>E30/E31-1</f>
        <v>0.19999999999999996</v>
      </c>
      <c r="F33" s="159"/>
      <c r="G33" s="161" t="s">
        <v>197</v>
      </c>
      <c r="H33" s="159"/>
      <c r="I33" s="159"/>
      <c r="J33" s="159"/>
      <c r="K33" s="165">
        <f>K32*E32</f>
        <v>156.65133374196139</v>
      </c>
    </row>
    <row r="34" spans="1:14" ht="18">
      <c r="A34" s="161" t="s">
        <v>273</v>
      </c>
      <c r="B34" s="159"/>
      <c r="C34" s="159"/>
      <c r="D34" s="159"/>
      <c r="E34" s="167">
        <f>C5</f>
        <v>298.56</v>
      </c>
      <c r="F34" s="159"/>
      <c r="G34" s="168" t="s">
        <v>198</v>
      </c>
      <c r="H34" s="169"/>
      <c r="I34" s="169"/>
      <c r="J34" s="169"/>
      <c r="K34" s="170">
        <f>C20</f>
        <v>467.69822201999995</v>
      </c>
    </row>
    <row r="35" spans="1:14" ht="18">
      <c r="A35" s="171"/>
      <c r="B35" s="171"/>
      <c r="C35" s="171"/>
      <c r="D35" s="171"/>
      <c r="E35" s="172"/>
      <c r="F35" s="173"/>
      <c r="G35" s="159"/>
      <c r="H35" s="159"/>
      <c r="I35" s="159"/>
      <c r="J35" s="159"/>
      <c r="K35" s="171"/>
    </row>
    <row r="36" spans="1:14" ht="28">
      <c r="A36" s="156" t="s">
        <v>199</v>
      </c>
      <c r="B36" s="157"/>
      <c r="C36" s="157"/>
      <c r="D36" s="157"/>
      <c r="E36" s="158"/>
      <c r="F36" s="159"/>
      <c r="G36" s="156" t="s">
        <v>200</v>
      </c>
      <c r="H36" s="157"/>
      <c r="I36" s="157"/>
      <c r="J36" s="157"/>
      <c r="K36" s="160"/>
    </row>
    <row r="37" spans="1:14" ht="18">
      <c r="A37" s="161" t="s">
        <v>201</v>
      </c>
      <c r="B37" s="159"/>
      <c r="C37" s="159"/>
      <c r="D37" s="159"/>
      <c r="E37" s="167">
        <f>E30</f>
        <v>164.08799999999999</v>
      </c>
      <c r="F37" s="159"/>
      <c r="G37" s="174" t="s">
        <v>202</v>
      </c>
      <c r="H37" s="159"/>
      <c r="I37" s="159"/>
      <c r="J37" s="159"/>
      <c r="K37" s="170">
        <f>E39</f>
        <v>46769.822201999996</v>
      </c>
    </row>
    <row r="38" spans="1:14" ht="18">
      <c r="A38" s="175" t="s">
        <v>350</v>
      </c>
      <c r="B38" s="159"/>
      <c r="C38" s="159"/>
      <c r="D38" s="159"/>
      <c r="E38" s="176">
        <f>E32</f>
        <v>285.02890035834429</v>
      </c>
      <c r="F38" s="159"/>
      <c r="G38" s="177" t="s">
        <v>203</v>
      </c>
      <c r="H38" s="159"/>
      <c r="I38" s="159"/>
      <c r="J38" s="159"/>
      <c r="K38" s="178">
        <f>-(I84-I76)</f>
        <v>7655</v>
      </c>
    </row>
    <row r="39" spans="1:14" ht="18">
      <c r="A39" s="179" t="s">
        <v>204</v>
      </c>
      <c r="B39" s="169"/>
      <c r="C39" s="169"/>
      <c r="D39" s="169"/>
      <c r="E39" s="180">
        <f>E37*E38</f>
        <v>46769.822201999996</v>
      </c>
      <c r="F39" s="159"/>
      <c r="G39" s="174" t="s">
        <v>205</v>
      </c>
      <c r="H39" s="159"/>
      <c r="I39" s="159"/>
      <c r="J39" s="159"/>
      <c r="K39" s="181">
        <f>K34</f>
        <v>467.69822201999995</v>
      </c>
    </row>
    <row r="40" spans="1:14" ht="18">
      <c r="A40" s="159"/>
      <c r="B40" s="159"/>
      <c r="C40" s="159"/>
      <c r="D40" s="159"/>
      <c r="E40" s="159"/>
      <c r="F40" s="159"/>
      <c r="G40" s="182" t="s">
        <v>206</v>
      </c>
      <c r="H40" s="159"/>
      <c r="I40" s="159"/>
      <c r="J40" s="159"/>
      <c r="K40" s="183">
        <f>SUM(K37:K39)</f>
        <v>54892.520424019996</v>
      </c>
    </row>
    <row r="41" spans="1:14" ht="18">
      <c r="A41" s="159"/>
      <c r="B41" s="159"/>
      <c r="C41" s="159"/>
      <c r="D41" s="159"/>
      <c r="E41" s="159"/>
      <c r="F41" s="159"/>
      <c r="G41" s="184"/>
      <c r="H41" s="171"/>
      <c r="I41" s="171"/>
      <c r="J41" s="171"/>
      <c r="K41" s="185"/>
    </row>
    <row r="42" spans="1:14" ht="20">
      <c r="A42" s="186" t="s">
        <v>207</v>
      </c>
      <c r="B42" s="187"/>
      <c r="C42" s="187"/>
      <c r="D42" s="187"/>
      <c r="E42" s="187"/>
      <c r="F42" s="187"/>
      <c r="G42" s="188"/>
      <c r="H42" s="187"/>
      <c r="I42" s="187"/>
      <c r="J42" s="187"/>
      <c r="K42" s="189"/>
    </row>
    <row r="43" spans="1:14">
      <c r="A43" s="186" t="s">
        <v>208</v>
      </c>
    </row>
    <row r="44" spans="1:14">
      <c r="A44" s="186" t="s">
        <v>209</v>
      </c>
    </row>
    <row r="47" spans="1:14" ht="30">
      <c r="A47" s="190"/>
      <c r="B47" s="190"/>
      <c r="G47" s="149"/>
    </row>
    <row r="48" spans="1:14" ht="31" thickBot="1">
      <c r="A48" s="150" t="s">
        <v>210</v>
      </c>
      <c r="B48" s="150"/>
      <c r="C48" s="151"/>
      <c r="D48" s="151"/>
      <c r="E48" s="152"/>
      <c r="F48" s="191"/>
      <c r="G48" s="151"/>
      <c r="H48" s="151"/>
      <c r="I48" s="151"/>
      <c r="J48" s="151"/>
      <c r="K48" s="151"/>
      <c r="L48" s="151"/>
      <c r="M48" s="151"/>
      <c r="N48" s="151"/>
    </row>
    <row r="49" spans="1:14" ht="30">
      <c r="A49" s="192"/>
      <c r="B49" s="192"/>
      <c r="C49" s="154"/>
      <c r="D49" s="154"/>
      <c r="E49" s="155"/>
      <c r="F49" s="193"/>
    </row>
    <row r="50" spans="1:14" ht="23">
      <c r="A50" s="194"/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</row>
    <row r="51" spans="1:14" ht="28">
      <c r="A51" s="194"/>
      <c r="B51" s="194"/>
      <c r="C51" s="194"/>
      <c r="D51" s="194"/>
      <c r="E51" s="195" t="s">
        <v>211</v>
      </c>
      <c r="F51" s="157"/>
      <c r="G51" s="157"/>
      <c r="H51" s="157"/>
      <c r="I51" s="157"/>
      <c r="J51" s="158"/>
      <c r="K51" s="194"/>
      <c r="L51" s="194"/>
      <c r="M51" s="194"/>
      <c r="N51" s="194"/>
    </row>
    <row r="52" spans="1:14" ht="23">
      <c r="A52" s="194"/>
      <c r="B52" s="194"/>
      <c r="C52" s="194"/>
      <c r="D52" s="194"/>
      <c r="E52" s="196" t="s">
        <v>48</v>
      </c>
      <c r="F52" s="194"/>
      <c r="G52" s="194"/>
      <c r="H52" s="194"/>
      <c r="I52" s="194"/>
      <c r="J52" s="197">
        <f>J55-SUM(J53:J54)</f>
        <v>467.69822202000069</v>
      </c>
      <c r="K52" s="194"/>
      <c r="L52" s="194"/>
      <c r="M52" s="194"/>
      <c r="N52" s="194"/>
    </row>
    <row r="53" spans="1:14" ht="23">
      <c r="A53" s="194"/>
      <c r="B53" s="194"/>
      <c r="C53" s="194"/>
      <c r="D53" s="194"/>
      <c r="E53" s="196" t="s">
        <v>212</v>
      </c>
      <c r="F53" s="194"/>
      <c r="G53" s="194"/>
      <c r="H53" s="194"/>
      <c r="I53" s="194"/>
      <c r="J53" s="198">
        <f>K31*E39</f>
        <v>0</v>
      </c>
      <c r="K53" s="194"/>
      <c r="L53" s="194"/>
      <c r="M53" s="194"/>
      <c r="N53" s="194"/>
    </row>
    <row r="54" spans="1:14" ht="23">
      <c r="A54" s="194"/>
      <c r="B54" s="194"/>
      <c r="C54" s="194"/>
      <c r="D54" s="194"/>
      <c r="E54" s="196" t="s">
        <v>213</v>
      </c>
      <c r="F54" s="194"/>
      <c r="G54" s="194"/>
      <c r="H54" s="194"/>
      <c r="I54" s="194"/>
      <c r="J54" s="199">
        <f>K30*E39</f>
        <v>46769.822201999996</v>
      </c>
      <c r="K54" s="194"/>
      <c r="L54" s="194"/>
      <c r="M54" s="194"/>
      <c r="N54" s="194"/>
    </row>
    <row r="55" spans="1:14" ht="23">
      <c r="A55" s="194"/>
      <c r="B55" s="194"/>
      <c r="C55" s="194"/>
      <c r="D55" s="194"/>
      <c r="E55" s="200"/>
      <c r="F55" s="201" t="s">
        <v>214</v>
      </c>
      <c r="G55" s="201"/>
      <c r="H55" s="201"/>
      <c r="I55" s="201"/>
      <c r="J55" s="202">
        <f>J61</f>
        <v>47237.520424019996</v>
      </c>
      <c r="K55" s="194"/>
      <c r="L55" s="194"/>
      <c r="M55" s="194"/>
      <c r="N55" s="194"/>
    </row>
    <row r="56" spans="1:14" ht="23">
      <c r="A56" s="194"/>
      <c r="B56" s="194"/>
      <c r="C56" s="194"/>
      <c r="D56" s="194"/>
      <c r="E56" s="194"/>
      <c r="F56" s="194"/>
      <c r="G56" s="194"/>
      <c r="H56" s="194"/>
      <c r="I56" s="194"/>
      <c r="J56" s="203"/>
      <c r="K56" s="194"/>
      <c r="L56" s="194"/>
      <c r="M56" s="194"/>
      <c r="N56" s="194"/>
    </row>
    <row r="57" spans="1:14" ht="23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</row>
    <row r="58" spans="1:14" ht="28">
      <c r="A58" s="194"/>
      <c r="B58" s="194"/>
      <c r="C58" s="194"/>
      <c r="D58" s="194"/>
      <c r="E58" s="195" t="s">
        <v>215</v>
      </c>
      <c r="F58" s="157"/>
      <c r="G58" s="157"/>
      <c r="H58" s="157"/>
      <c r="I58" s="157"/>
      <c r="J58" s="158"/>
      <c r="K58" s="194"/>
      <c r="L58" s="194"/>
      <c r="M58" s="194"/>
      <c r="N58" s="194"/>
    </row>
    <row r="59" spans="1:14" ht="23">
      <c r="A59" s="194"/>
      <c r="B59" s="194"/>
      <c r="C59" s="194"/>
      <c r="D59" s="194"/>
      <c r="E59" s="196" t="s">
        <v>216</v>
      </c>
      <c r="F59" s="194"/>
      <c r="G59" s="194"/>
      <c r="H59" s="194"/>
      <c r="I59" s="194"/>
      <c r="J59" s="204">
        <f>E39</f>
        <v>46769.822201999996</v>
      </c>
      <c r="K59" s="194"/>
      <c r="L59" s="194"/>
      <c r="M59" s="194"/>
      <c r="N59" s="194"/>
    </row>
    <row r="60" spans="1:14" ht="23">
      <c r="A60" s="194"/>
      <c r="B60" s="194"/>
      <c r="C60" s="194"/>
      <c r="D60" s="194"/>
      <c r="E60" s="196" t="s">
        <v>217</v>
      </c>
      <c r="F60" s="194"/>
      <c r="G60" s="194"/>
      <c r="H60" s="194"/>
      <c r="I60" s="194"/>
      <c r="J60" s="205">
        <f>K34</f>
        <v>467.69822201999995</v>
      </c>
      <c r="K60" s="194"/>
      <c r="L60" s="194"/>
      <c r="M60" s="194"/>
      <c r="N60" s="194"/>
    </row>
    <row r="61" spans="1:14" ht="23">
      <c r="A61" s="194"/>
      <c r="B61" s="194"/>
      <c r="C61" s="194"/>
      <c r="D61" s="194"/>
      <c r="E61" s="200"/>
      <c r="F61" s="201" t="s">
        <v>214</v>
      </c>
      <c r="G61" s="201"/>
      <c r="H61" s="201"/>
      <c r="I61" s="201"/>
      <c r="J61" s="206">
        <f>SUM(J59:J60)</f>
        <v>47237.520424019996</v>
      </c>
      <c r="K61" s="194"/>
      <c r="L61" s="194"/>
      <c r="M61" s="194"/>
      <c r="N61" s="194"/>
    </row>
    <row r="62" spans="1:14" ht="23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</row>
    <row r="63" spans="1:14" ht="23">
      <c r="A63" s="194"/>
      <c r="B63" s="194"/>
      <c r="C63" s="194"/>
      <c r="D63" s="194"/>
      <c r="E63" s="194" t="s">
        <v>218</v>
      </c>
      <c r="K63" s="194"/>
      <c r="L63" s="194"/>
      <c r="M63" s="194"/>
      <c r="N63" s="194"/>
    </row>
    <row r="66" spans="1:15" ht="28">
      <c r="A66" s="207"/>
      <c r="B66" s="148"/>
      <c r="C66" s="208"/>
      <c r="H66" s="129"/>
      <c r="J66" s="209"/>
      <c r="K66" s="209"/>
      <c r="L66" s="209"/>
      <c r="M66" s="209"/>
      <c r="N66" s="209"/>
      <c r="O66" s="209"/>
    </row>
    <row r="67" spans="1:15" ht="19" thickBot="1">
      <c r="A67" s="207"/>
      <c r="B67" s="210" t="s">
        <v>219</v>
      </c>
      <c r="C67" s="211"/>
      <c r="D67" s="151"/>
      <c r="E67" s="151"/>
      <c r="F67" s="151"/>
      <c r="G67" s="212"/>
      <c r="H67" s="151"/>
      <c r="I67" s="151"/>
      <c r="J67" s="209"/>
      <c r="K67" s="209"/>
      <c r="L67" s="209"/>
      <c r="M67" s="209"/>
      <c r="N67" s="209"/>
      <c r="O67" s="209"/>
    </row>
    <row r="68" spans="1:15" ht="18">
      <c r="A68" s="207"/>
      <c r="B68" s="213"/>
      <c r="C68" s="214"/>
      <c r="D68" s="215"/>
      <c r="E68" s="215"/>
      <c r="F68" s="215"/>
      <c r="G68" s="216"/>
      <c r="J68" s="209"/>
      <c r="K68" s="209"/>
      <c r="L68" s="209"/>
      <c r="M68" s="209"/>
      <c r="N68" s="209"/>
      <c r="O68" s="209"/>
    </row>
    <row r="69" spans="1:15" ht="17" thickBot="1">
      <c r="A69" s="207"/>
      <c r="C69" s="129"/>
      <c r="G69" s="217"/>
      <c r="H69" s="217"/>
      <c r="I69" s="129"/>
      <c r="J69" s="209"/>
      <c r="K69" s="209"/>
      <c r="L69" s="209"/>
      <c r="M69" s="209"/>
      <c r="N69" s="209"/>
      <c r="O69" s="209"/>
    </row>
    <row r="70" spans="1:15" ht="17" thickBot="1">
      <c r="A70" s="207"/>
      <c r="B70" s="218" t="s">
        <v>220</v>
      </c>
      <c r="G70" s="268" t="s">
        <v>271</v>
      </c>
      <c r="I70" s="247" t="s">
        <v>270</v>
      </c>
      <c r="J70" s="209"/>
      <c r="N70" s="137" t="s">
        <v>221</v>
      </c>
      <c r="O70" s="209"/>
    </row>
    <row r="71" spans="1:15" ht="17" thickBot="1">
      <c r="A71" s="207"/>
      <c r="G71" s="131">
        <v>45291</v>
      </c>
      <c r="I71" s="131">
        <v>45291</v>
      </c>
      <c r="J71" s="209"/>
      <c r="K71" s="219" t="s">
        <v>222</v>
      </c>
      <c r="L71" s="219"/>
      <c r="N71" s="220" t="s">
        <v>223</v>
      </c>
      <c r="O71" s="209"/>
    </row>
    <row r="72" spans="1:15">
      <c r="A72" s="207"/>
      <c r="G72" s="125"/>
      <c r="I72" s="125"/>
      <c r="J72" s="209"/>
      <c r="K72" s="209"/>
      <c r="L72" s="209"/>
      <c r="M72" s="209"/>
      <c r="N72" s="209"/>
      <c r="O72" s="209"/>
    </row>
    <row r="73" spans="1:15">
      <c r="A73" t="s">
        <v>224</v>
      </c>
      <c r="B73" s="145"/>
      <c r="C73" s="145" t="s">
        <v>48</v>
      </c>
      <c r="D73" s="145"/>
      <c r="E73" s="145"/>
      <c r="F73" s="145"/>
      <c r="G73" s="221">
        <v>4579.3</v>
      </c>
      <c r="I73" s="221">
        <f>'Linking Sheet'!C6</f>
        <v>1357</v>
      </c>
      <c r="J73" s="222"/>
      <c r="K73" s="269">
        <f>-'100 Stock'!J60</f>
        <v>-467.69822201999995</v>
      </c>
      <c r="L73" s="223"/>
      <c r="M73" s="145"/>
      <c r="N73" s="224">
        <f>G73+I73+K73+L73</f>
        <v>5468.6017779800004</v>
      </c>
      <c r="O73" s="222"/>
    </row>
    <row r="74" spans="1:15">
      <c r="A74" s="207"/>
      <c r="B74" s="225"/>
      <c r="C74" s="225" t="s">
        <v>146</v>
      </c>
      <c r="D74" s="225"/>
      <c r="E74" s="225"/>
      <c r="F74" s="225"/>
      <c r="G74" s="77">
        <f>2488+52.3+866.3</f>
        <v>3406.6000000000004</v>
      </c>
      <c r="I74" s="77">
        <f>'Linking Sheet'!C7+'Linking Sheet'!C14+'Linking Sheet'!C8</f>
        <v>2142</v>
      </c>
      <c r="J74" s="226"/>
      <c r="K74" s="227"/>
      <c r="L74" s="227"/>
      <c r="M74" s="225"/>
      <c r="N74" s="77">
        <f t="shared" ref="N74:N78" si="0">G74+I74+K74+L74</f>
        <v>5548.6</v>
      </c>
      <c r="O74" s="226"/>
    </row>
    <row r="75" spans="1:15">
      <c r="A75" s="207"/>
      <c r="B75" s="225"/>
      <c r="C75" s="225" t="s">
        <v>114</v>
      </c>
      <c r="D75" s="225"/>
      <c r="E75" s="225"/>
      <c r="F75" s="225"/>
      <c r="G75" s="228">
        <v>24907.599999999999</v>
      </c>
      <c r="I75" s="228">
        <f>'Linking Sheet'!C11</f>
        <v>1197</v>
      </c>
      <c r="J75" s="226"/>
      <c r="K75" s="227"/>
      <c r="L75" s="227"/>
      <c r="M75" s="225"/>
      <c r="N75" s="77">
        <f t="shared" si="0"/>
        <v>26104.6</v>
      </c>
      <c r="O75" s="226"/>
    </row>
    <row r="76" spans="1:15">
      <c r="A76" s="207"/>
      <c r="B76" s="225"/>
      <c r="C76" s="225" t="s">
        <v>225</v>
      </c>
      <c r="D76" s="225"/>
      <c r="E76" s="225"/>
      <c r="F76" s="225"/>
      <c r="G76" s="228">
        <v>3040.4</v>
      </c>
      <c r="I76" s="228">
        <v>642</v>
      </c>
      <c r="J76" s="226"/>
      <c r="K76" s="229">
        <f>K40</f>
        <v>54892.520424019996</v>
      </c>
      <c r="L76" s="229">
        <f>-I76</f>
        <v>-642</v>
      </c>
      <c r="M76" s="225"/>
      <c r="N76" s="77">
        <f t="shared" si="0"/>
        <v>57932.920424019998</v>
      </c>
      <c r="O76" s="226"/>
    </row>
    <row r="77" spans="1:15">
      <c r="A77" s="207"/>
      <c r="B77" s="225"/>
      <c r="C77" s="225" t="s">
        <v>226</v>
      </c>
      <c r="D77" s="225"/>
      <c r="E77" s="225"/>
      <c r="F77" s="225"/>
      <c r="G77" s="228">
        <v>3018.2</v>
      </c>
      <c r="I77" s="228">
        <f>377</f>
        <v>377</v>
      </c>
      <c r="J77" s="226"/>
      <c r="K77" s="227"/>
      <c r="L77" s="227"/>
      <c r="M77" s="225"/>
      <c r="N77" s="77">
        <f t="shared" si="0"/>
        <v>3395.2</v>
      </c>
      <c r="O77" s="226"/>
    </row>
    <row r="78" spans="1:15">
      <c r="A78" s="207"/>
      <c r="B78" s="225"/>
      <c r="C78" s="225" t="s">
        <v>227</v>
      </c>
      <c r="D78" s="225"/>
      <c r="E78" s="225"/>
      <c r="F78" s="225"/>
      <c r="G78" s="228">
        <f>5617.8+1080.2+13514-3018.2</f>
        <v>17193.8</v>
      </c>
      <c r="I78" s="228">
        <f>'Linking Sheet'!C13</f>
        <v>1361</v>
      </c>
      <c r="J78" s="226"/>
      <c r="K78" s="227"/>
      <c r="L78" s="227"/>
      <c r="M78" s="225"/>
      <c r="N78" s="77">
        <f t="shared" si="0"/>
        <v>18554.8</v>
      </c>
      <c r="O78" s="226"/>
    </row>
    <row r="79" spans="1:15">
      <c r="A79" s="207"/>
      <c r="B79" s="145"/>
      <c r="C79" s="145"/>
      <c r="D79" s="230" t="s">
        <v>121</v>
      </c>
      <c r="E79" s="145"/>
      <c r="F79" s="145"/>
      <c r="G79" s="231">
        <f>SUM(G73:G78)</f>
        <v>56145.899999999994</v>
      </c>
      <c r="I79" s="231">
        <f>SUM(I73:I78)</f>
        <v>7076</v>
      </c>
      <c r="J79" s="222"/>
      <c r="K79" s="231">
        <f>SUM(K73:K78)</f>
        <v>54424.822201999996</v>
      </c>
      <c r="L79" s="231">
        <f>SUM(L73:L78)</f>
        <v>-642</v>
      </c>
      <c r="M79" s="145"/>
      <c r="N79" s="231">
        <f>SUM(N73:N78)</f>
        <v>117004.722202</v>
      </c>
      <c r="O79" s="222"/>
    </row>
    <row r="80" spans="1:15">
      <c r="A80" s="207"/>
      <c r="J80" s="209"/>
      <c r="O80" s="209"/>
    </row>
    <row r="81" spans="1:15">
      <c r="A81" t="s">
        <v>224</v>
      </c>
      <c r="B81" s="145"/>
      <c r="C81" s="145" t="s">
        <v>125</v>
      </c>
      <c r="D81" s="145"/>
      <c r="E81" s="145"/>
      <c r="F81" s="145"/>
      <c r="G81" s="221">
        <v>6859</v>
      </c>
      <c r="I81" s="221">
        <f>'Linking Sheet'!C21</f>
        <v>1277</v>
      </c>
      <c r="J81" s="222"/>
      <c r="K81" s="144"/>
      <c r="L81" s="144"/>
      <c r="M81" s="145"/>
      <c r="N81" s="224">
        <f>G81+I81+K81+L81</f>
        <v>8136</v>
      </c>
      <c r="O81" s="222"/>
    </row>
    <row r="82" spans="1:15">
      <c r="A82" s="207"/>
      <c r="B82" s="225"/>
      <c r="C82" s="225" t="s">
        <v>3</v>
      </c>
      <c r="D82" s="225"/>
      <c r="E82" s="225"/>
      <c r="F82" s="225"/>
      <c r="G82" s="228">
        <v>37152</v>
      </c>
      <c r="I82" s="228">
        <f>'Linking Sheet'!C23</f>
        <v>11142</v>
      </c>
      <c r="J82" s="226"/>
      <c r="K82" s="229">
        <f>J53</f>
        <v>0</v>
      </c>
      <c r="L82" s="227"/>
      <c r="M82" s="225"/>
      <c r="N82" s="77">
        <f t="shared" ref="N82:N84" si="1">G82+I82+K82+L82</f>
        <v>48294</v>
      </c>
      <c r="O82" s="226"/>
    </row>
    <row r="83" spans="1:15">
      <c r="A83" s="207"/>
      <c r="B83" s="225"/>
      <c r="C83" s="225" t="s">
        <v>228</v>
      </c>
      <c r="D83" s="225"/>
      <c r="E83" s="225"/>
      <c r="F83" s="225"/>
      <c r="G83" s="228">
        <f>SUM(13057.7,363.2,790.1,949.7,1680.9)</f>
        <v>16841.600000000002</v>
      </c>
      <c r="I83" s="228">
        <f>'Linking Sheet'!C24</f>
        <v>1670</v>
      </c>
      <c r="J83" s="226"/>
      <c r="K83" s="227"/>
      <c r="L83" s="227"/>
      <c r="M83" s="225"/>
      <c r="N83" s="77">
        <f t="shared" si="1"/>
        <v>18511.600000000002</v>
      </c>
      <c r="O83" s="226"/>
    </row>
    <row r="84" spans="1:15">
      <c r="A84" s="207"/>
      <c r="B84" s="225"/>
      <c r="C84" s="225" t="s">
        <v>4</v>
      </c>
      <c r="D84" s="225"/>
      <c r="E84" s="225"/>
      <c r="F84" s="225"/>
      <c r="G84" s="228">
        <v>-4706.7</v>
      </c>
      <c r="I84" s="228">
        <f>SUM('Linking Sheet'!C28:C31)</f>
        <v>-7013</v>
      </c>
      <c r="J84" s="226"/>
      <c r="K84" s="229">
        <f>J54</f>
        <v>46769.822201999996</v>
      </c>
      <c r="L84" s="227">
        <f>-I84</f>
        <v>7013</v>
      </c>
      <c r="M84" s="225"/>
      <c r="N84" s="77">
        <f t="shared" si="1"/>
        <v>42063.122201999999</v>
      </c>
      <c r="O84" s="226"/>
    </row>
    <row r="85" spans="1:15">
      <c r="A85" s="207"/>
      <c r="B85" s="145"/>
      <c r="C85" s="145"/>
      <c r="D85" s="145" t="s">
        <v>229</v>
      </c>
      <c r="E85" s="145"/>
      <c r="F85" s="145"/>
      <c r="G85" s="231">
        <f>SUM(G81:G84)</f>
        <v>56145.900000000009</v>
      </c>
      <c r="I85" s="231">
        <f>SUM(I81:I84)</f>
        <v>7076</v>
      </c>
      <c r="J85" s="222"/>
      <c r="K85" s="231">
        <f>SUM(K81:K84)</f>
        <v>46769.822201999996</v>
      </c>
      <c r="L85" s="231">
        <f>SUM(L81:L84)</f>
        <v>7013</v>
      </c>
      <c r="M85" s="145"/>
      <c r="N85" s="231">
        <f>SUM(N81:N84)</f>
        <v>117004.722202</v>
      </c>
      <c r="O85" s="222"/>
    </row>
    <row r="86" spans="1:15">
      <c r="A86" s="207"/>
      <c r="C86" s="232" t="s">
        <v>160</v>
      </c>
      <c r="G86" s="233">
        <f>G79-G85</f>
        <v>0</v>
      </c>
      <c r="I86" s="233">
        <f>I79-I85</f>
        <v>0</v>
      </c>
      <c r="J86" s="234"/>
      <c r="K86" s="235"/>
      <c r="L86" s="235"/>
      <c r="M86" s="235"/>
      <c r="N86" s="233">
        <f>N79-N85</f>
        <v>0</v>
      </c>
      <c r="O86" s="234"/>
    </row>
    <row r="87" spans="1:15">
      <c r="A87" s="207"/>
      <c r="J87" s="209"/>
      <c r="O87" s="209"/>
    </row>
    <row r="88" spans="1:15">
      <c r="A88" s="207"/>
      <c r="B88" s="145"/>
      <c r="C88" s="145" t="s">
        <v>18</v>
      </c>
      <c r="D88" s="145"/>
      <c r="E88" s="145"/>
      <c r="F88" s="145"/>
      <c r="G88" s="236">
        <f>G82</f>
        <v>37152</v>
      </c>
      <c r="H88" s="145"/>
      <c r="I88" s="236">
        <f>I82</f>
        <v>11142</v>
      </c>
      <c r="J88" s="222"/>
      <c r="K88" s="145"/>
      <c r="L88" s="145"/>
      <c r="M88" s="145"/>
      <c r="N88" s="237">
        <f>N82</f>
        <v>48294</v>
      </c>
      <c r="O88" s="222"/>
    </row>
    <row r="89" spans="1:15">
      <c r="A89" s="207"/>
      <c r="B89" s="225"/>
      <c r="C89" s="225" t="s">
        <v>230</v>
      </c>
      <c r="D89" s="225"/>
      <c r="E89" s="225"/>
      <c r="F89" s="225"/>
      <c r="G89" s="238">
        <f>G82-G73</f>
        <v>32572.7</v>
      </c>
      <c r="H89" s="225"/>
      <c r="I89" s="238">
        <f>I82-I73</f>
        <v>9785</v>
      </c>
      <c r="J89" s="226"/>
      <c r="K89" s="225"/>
      <c r="L89" s="225"/>
      <c r="M89" s="225"/>
      <c r="N89" s="239">
        <f>N82-N73</f>
        <v>42825.398222019998</v>
      </c>
      <c r="O89" s="226"/>
    </row>
    <row r="90" spans="1:15">
      <c r="A90" s="207"/>
      <c r="B90" s="225"/>
      <c r="C90" s="225" t="s">
        <v>231</v>
      </c>
      <c r="D90" s="225"/>
      <c r="E90" s="225"/>
      <c r="F90" s="225"/>
      <c r="G90" s="238">
        <f>G82+G84</f>
        <v>32445.3</v>
      </c>
      <c r="H90" s="225"/>
      <c r="I90" s="238">
        <f>I82+I84</f>
        <v>4129</v>
      </c>
      <c r="J90" s="226"/>
      <c r="K90" s="225"/>
      <c r="L90" s="225"/>
      <c r="M90" s="225"/>
      <c r="N90" s="239">
        <f>N82+N84</f>
        <v>90357.122201999999</v>
      </c>
      <c r="O90" s="226"/>
    </row>
    <row r="91" spans="1:15">
      <c r="A91" s="207"/>
      <c r="J91" s="209"/>
      <c r="O91" s="209"/>
    </row>
    <row r="92" spans="1:15">
      <c r="A92" t="s">
        <v>224</v>
      </c>
      <c r="C92" t="s">
        <v>232</v>
      </c>
      <c r="G92" s="240">
        <f>G88/G90</f>
        <v>1.1450656951854352</v>
      </c>
      <c r="H92" s="241"/>
      <c r="I92" s="240">
        <f>I88/I90</f>
        <v>2.6984742068297409</v>
      </c>
      <c r="J92" s="209"/>
      <c r="N92" s="242">
        <f>N88/N90</f>
        <v>0.53447917356238073</v>
      </c>
      <c r="O92" s="209"/>
    </row>
    <row r="93" spans="1:15">
      <c r="A93" s="207"/>
      <c r="J93" s="209"/>
      <c r="O93" s="209"/>
    </row>
    <row r="94" spans="1:15">
      <c r="A94" s="207"/>
      <c r="B94" s="145"/>
      <c r="C94" s="145" t="s">
        <v>40</v>
      </c>
      <c r="D94" s="145"/>
      <c r="E94" s="145"/>
      <c r="F94" s="145"/>
      <c r="G94" s="243">
        <f>D110+D121</f>
        <v>12028.400000000001</v>
      </c>
      <c r="H94" s="145"/>
      <c r="I94" s="243">
        <f>F110+F121</f>
        <v>2471</v>
      </c>
      <c r="J94" s="222"/>
      <c r="K94" s="145"/>
      <c r="L94" s="145"/>
      <c r="M94" s="145"/>
      <c r="N94" s="243">
        <f>G94+I94</f>
        <v>14499.400000000001</v>
      </c>
      <c r="O94" s="222"/>
    </row>
    <row r="95" spans="1:15">
      <c r="A95" t="s">
        <v>224</v>
      </c>
      <c r="C95" t="s">
        <v>233</v>
      </c>
      <c r="G95" s="244">
        <f>G88/G94</f>
        <v>3.088690100096438</v>
      </c>
      <c r="H95" s="145"/>
      <c r="I95" s="244">
        <f>I88/I94</f>
        <v>4.5091056252529338</v>
      </c>
      <c r="J95" s="209"/>
      <c r="N95" s="245">
        <f>N88/N94</f>
        <v>3.3307585141454128</v>
      </c>
      <c r="O95" s="209"/>
    </row>
    <row r="96" spans="1:15">
      <c r="A96" s="246"/>
      <c r="B96" s="209"/>
      <c r="C96" s="209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</row>
    <row r="97" spans="1:15">
      <c r="A97" s="246"/>
      <c r="B97" s="209"/>
      <c r="C97" s="209"/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09"/>
      <c r="O97" s="209"/>
    </row>
    <row r="98" spans="1:15" ht="28">
      <c r="A98" s="207"/>
      <c r="B98" s="148"/>
      <c r="C98" s="208"/>
      <c r="E98" s="129"/>
    </row>
    <row r="99" spans="1:15" ht="19" thickBot="1">
      <c r="A99" s="207"/>
      <c r="B99" s="210" t="s">
        <v>234</v>
      </c>
      <c r="C99" s="211"/>
      <c r="D99" s="212"/>
      <c r="E99" s="151"/>
      <c r="F99" s="151"/>
      <c r="G99" s="151"/>
    </row>
    <row r="100" spans="1:15" ht="19" thickBot="1">
      <c r="A100" s="207"/>
      <c r="B100" s="213"/>
      <c r="C100" s="214"/>
      <c r="D100" s="216"/>
    </row>
    <row r="101" spans="1:15" ht="17" thickBot="1">
      <c r="A101" s="207"/>
      <c r="B101" s="218" t="s">
        <v>220</v>
      </c>
      <c r="C101" s="129"/>
      <c r="D101" s="247" t="s">
        <v>271</v>
      </c>
      <c r="E101" s="129"/>
      <c r="F101" s="247" t="s">
        <v>270</v>
      </c>
    </row>
    <row r="102" spans="1:15">
      <c r="A102" s="207"/>
      <c r="D102" s="248" t="s">
        <v>235</v>
      </c>
      <c r="E102" s="137"/>
      <c r="F102" s="248" t="s">
        <v>235</v>
      </c>
      <c r="K102" s="137" t="s">
        <v>221</v>
      </c>
    </row>
    <row r="103" spans="1:15" ht="17" thickBot="1">
      <c r="A103" s="207"/>
      <c r="D103" s="249">
        <v>45291</v>
      </c>
      <c r="F103" s="249">
        <v>45291</v>
      </c>
      <c r="H103" s="219" t="s">
        <v>222</v>
      </c>
      <c r="I103" s="219"/>
      <c r="K103" s="220" t="s">
        <v>223</v>
      </c>
    </row>
    <row r="104" spans="1:15">
      <c r="A104" s="207"/>
    </row>
    <row r="105" spans="1:15">
      <c r="A105" t="s">
        <v>224</v>
      </c>
      <c r="B105" t="s">
        <v>236</v>
      </c>
      <c r="C105" s="145"/>
      <c r="D105" s="221">
        <v>25493.7</v>
      </c>
      <c r="F105" s="221">
        <f>'Linking Sheet'!F5</f>
        <v>7076</v>
      </c>
      <c r="G105" s="145"/>
      <c r="H105" s="144"/>
      <c r="I105" s="144"/>
      <c r="J105" s="145"/>
      <c r="K105" s="224">
        <f>D105+F105+H105+I105</f>
        <v>32569.7</v>
      </c>
      <c r="L105" s="145"/>
      <c r="M105" s="145"/>
    </row>
    <row r="106" spans="1:15">
      <c r="A106" s="207"/>
      <c r="B106" t="s">
        <v>237</v>
      </c>
      <c r="D106" s="228">
        <f>13847-D108</f>
        <v>10931.2</v>
      </c>
      <c r="F106" s="228">
        <f>1774+1683+123+14-29</f>
        <v>3565</v>
      </c>
      <c r="H106" s="250"/>
      <c r="I106" s="250"/>
      <c r="K106" s="77">
        <f>D106+F106+H106+I106</f>
        <v>14496.2</v>
      </c>
    </row>
    <row r="107" spans="1:15">
      <c r="A107" t="s">
        <v>224</v>
      </c>
      <c r="B107" s="251" t="s">
        <v>238</v>
      </c>
      <c r="D107" s="231">
        <f>D105-SUM(D106:D106)</f>
        <v>14562.5</v>
      </c>
      <c r="F107" s="231">
        <f>F105-SUM(F106:F106)</f>
        <v>3511</v>
      </c>
      <c r="H107" s="250"/>
      <c r="I107" s="250"/>
      <c r="K107" s="231">
        <f>K105-SUM(K106:K106)</f>
        <v>18073.5</v>
      </c>
    </row>
    <row r="108" spans="1:15">
      <c r="A108" s="207"/>
      <c r="B108" t="s">
        <v>239</v>
      </c>
      <c r="D108" s="228">
        <f>381.7+2435.2+98.9</f>
        <v>2915.7999999999997</v>
      </c>
      <c r="F108" s="228">
        <f>'Linking Sheet'!F7</f>
        <v>1193</v>
      </c>
      <c r="H108" s="250"/>
      <c r="I108" s="250"/>
      <c r="K108" s="77">
        <f>D108+F108+H108+I108</f>
        <v>4108.7999999999993</v>
      </c>
    </row>
    <row r="109" spans="1:15">
      <c r="A109" s="207"/>
      <c r="B109" t="s">
        <v>44</v>
      </c>
      <c r="D109" s="228">
        <f>'[1]AMZN IS'!F110</f>
        <v>0</v>
      </c>
      <c r="F109" s="228">
        <v>0</v>
      </c>
      <c r="H109" s="250"/>
      <c r="I109" s="250"/>
      <c r="K109" s="77">
        <f>D109+F109+H109+I109</f>
        <v>0</v>
      </c>
    </row>
    <row r="110" spans="1:15">
      <c r="A110" t="s">
        <v>224</v>
      </c>
      <c r="B110" s="251" t="s">
        <v>240</v>
      </c>
      <c r="D110" s="231">
        <f>D107-SUM(D108:D109)</f>
        <v>11646.7</v>
      </c>
      <c r="F110" s="231">
        <f>F107-SUM(F108:F109)</f>
        <v>2318</v>
      </c>
      <c r="G110" s="252" t="s">
        <v>241</v>
      </c>
      <c r="H110" s="250"/>
      <c r="I110" s="250"/>
      <c r="K110" s="231">
        <f>K107-SUM(K108:K109)</f>
        <v>13964.7</v>
      </c>
    </row>
    <row r="111" spans="1:15">
      <c r="A111" s="207"/>
      <c r="B111" t="s">
        <v>163</v>
      </c>
      <c r="D111" s="228">
        <v>1360.8</v>
      </c>
      <c r="F111" s="228">
        <f>'Linking Sheet'!F11</f>
        <v>513</v>
      </c>
      <c r="G111" s="252" t="s">
        <v>242</v>
      </c>
      <c r="H111" s="223">
        <f>C130</f>
        <v>0</v>
      </c>
      <c r="I111" s="250"/>
      <c r="K111" s="77">
        <f>D111+F111+H111+I111</f>
        <v>1873.8</v>
      </c>
    </row>
    <row r="112" spans="1:15">
      <c r="A112" s="207"/>
      <c r="B112" t="s">
        <v>243</v>
      </c>
      <c r="D112" s="228">
        <v>-236.4</v>
      </c>
      <c r="F112" s="228">
        <v>-13</v>
      </c>
      <c r="H112" s="250"/>
      <c r="I112" s="250"/>
      <c r="K112" s="77">
        <f>D112+F112+H112+I112</f>
        <v>-249.4</v>
      </c>
    </row>
    <row r="113" spans="1:13">
      <c r="A113" t="s">
        <v>224</v>
      </c>
      <c r="B113" s="251" t="s">
        <v>244</v>
      </c>
      <c r="D113" s="231">
        <f>D110-SUM(D111:D112)</f>
        <v>10522.300000000001</v>
      </c>
      <c r="F113" s="231">
        <f>F110-SUM(F111:F112)</f>
        <v>1818</v>
      </c>
      <c r="H113" s="250"/>
      <c r="I113" s="250"/>
      <c r="K113" s="231">
        <f>K110-SUM(K111:K112)</f>
        <v>12340.300000000001</v>
      </c>
    </row>
    <row r="114" spans="1:13">
      <c r="A114" s="207"/>
      <c r="B114" t="s">
        <v>245</v>
      </c>
      <c r="D114" s="228">
        <v>2053.4</v>
      </c>
      <c r="F114" s="228">
        <f>'Linking Sheet'!F15</f>
        <v>221</v>
      </c>
      <c r="G114" s="252" t="s">
        <v>246</v>
      </c>
      <c r="H114" s="229">
        <f>C134</f>
        <v>0</v>
      </c>
      <c r="I114" s="250"/>
      <c r="K114" s="77">
        <f>D114+F114+H114+I114</f>
        <v>2274.4</v>
      </c>
    </row>
    <row r="115" spans="1:13">
      <c r="A115" s="207"/>
      <c r="B115" t="s">
        <v>247</v>
      </c>
      <c r="D115" s="228">
        <f>-'[1]AMZN IS'!F117</f>
        <v>0</v>
      </c>
      <c r="F115" s="228">
        <v>0</v>
      </c>
      <c r="H115" s="250"/>
      <c r="I115" s="250"/>
      <c r="K115" s="77">
        <f>D115+F115+H115+I115</f>
        <v>0</v>
      </c>
    </row>
    <row r="116" spans="1:13">
      <c r="A116" t="s">
        <v>224</v>
      </c>
      <c r="B116" s="251" t="s">
        <v>120</v>
      </c>
      <c r="C116" s="145"/>
      <c r="D116" s="231">
        <f>D113-SUM(D114:D115)</f>
        <v>8468.9000000000015</v>
      </c>
      <c r="F116" s="231">
        <f>F113-SUM(F114:F115)</f>
        <v>1597</v>
      </c>
      <c r="G116" s="145"/>
      <c r="H116" s="144"/>
      <c r="I116" s="144"/>
      <c r="J116" s="145"/>
      <c r="K116" s="231">
        <f>K113-SUM(K114:K115)</f>
        <v>10065.900000000001</v>
      </c>
      <c r="L116" s="145"/>
      <c r="M116" s="145"/>
    </row>
    <row r="117" spans="1:13">
      <c r="A117" s="207"/>
      <c r="H117" s="250"/>
      <c r="I117" s="250"/>
    </row>
    <row r="118" spans="1:13">
      <c r="A118" s="207"/>
      <c r="B118" t="s">
        <v>248</v>
      </c>
      <c r="D118" s="135">
        <v>722.05100000000004</v>
      </c>
      <c r="E118" s="207"/>
      <c r="F118" s="253">
        <f>H8</f>
        <v>281.33999999999997</v>
      </c>
      <c r="H118" s="270">
        <f>K33</f>
        <v>156.65133374196139</v>
      </c>
      <c r="I118" s="254">
        <f>-F118</f>
        <v>-281.33999999999997</v>
      </c>
      <c r="K118" s="143">
        <f>D118+F118+H118+I118</f>
        <v>878.70233374196164</v>
      </c>
    </row>
    <row r="119" spans="1:13">
      <c r="A119" s="207"/>
      <c r="B119" s="255" t="s">
        <v>249</v>
      </c>
      <c r="C119" s="255"/>
      <c r="D119" s="255">
        <f>D116/D118</f>
        <v>11.728949894121053</v>
      </c>
      <c r="E119" s="207"/>
      <c r="F119" s="255">
        <f>F116/F118</f>
        <v>5.6764057723750625</v>
      </c>
      <c r="G119" s="255"/>
      <c r="H119" s="255"/>
      <c r="I119" s="255"/>
      <c r="J119" s="255"/>
      <c r="K119" s="255">
        <f>K116/K118</f>
        <v>11.455415120083131</v>
      </c>
      <c r="L119" s="255"/>
      <c r="M119" s="255"/>
    </row>
    <row r="120" spans="1:13">
      <c r="A120" s="207"/>
      <c r="H120" s="256"/>
    </row>
    <row r="121" spans="1:13">
      <c r="A121" s="207"/>
      <c r="B121" s="251" t="s">
        <v>250</v>
      </c>
      <c r="D121" s="221">
        <v>381.7</v>
      </c>
      <c r="F121" s="221">
        <f>'Linking Sheet'!F9+'Linking Sheet'!F10</f>
        <v>153</v>
      </c>
      <c r="K121" s="224">
        <f>D121+F121</f>
        <v>534.70000000000005</v>
      </c>
    </row>
    <row r="122" spans="1:13">
      <c r="A122" s="207"/>
    </row>
    <row r="123" spans="1:13">
      <c r="A123" s="207"/>
      <c r="B123" s="257" t="s">
        <v>251</v>
      </c>
      <c r="I123" t="s">
        <v>252</v>
      </c>
      <c r="K123" s="258">
        <f>K119-D119</f>
        <v>-0.27353477403792148</v>
      </c>
    </row>
    <row r="124" spans="1:13">
      <c r="A124" s="207"/>
      <c r="B124" t="s">
        <v>253</v>
      </c>
      <c r="C124" s="259">
        <v>0.35</v>
      </c>
      <c r="I124" t="s">
        <v>254</v>
      </c>
      <c r="K124" s="260">
        <f>K119/D119-1</f>
        <v>-2.3321335371636831E-2</v>
      </c>
    </row>
    <row r="125" spans="1:13">
      <c r="A125" s="207"/>
      <c r="B125" t="s">
        <v>255</v>
      </c>
      <c r="C125" s="259">
        <v>3.6999999999999998E-2</v>
      </c>
    </row>
    <row r="126" spans="1:13">
      <c r="A126" s="207"/>
    </row>
    <row r="127" spans="1:13">
      <c r="A127" s="207"/>
      <c r="B127" s="186" t="s">
        <v>256</v>
      </c>
      <c r="E127" s="186" t="s">
        <v>257</v>
      </c>
    </row>
    <row r="128" spans="1:13">
      <c r="A128" s="207"/>
      <c r="B128" t="s">
        <v>258</v>
      </c>
      <c r="C128" s="223">
        <f>J53</f>
        <v>0</v>
      </c>
      <c r="E128" t="s">
        <v>259</v>
      </c>
      <c r="H128" s="258">
        <f>K123</f>
        <v>-0.27353477403792148</v>
      </c>
    </row>
    <row r="129" spans="1:8">
      <c r="A129" s="207"/>
      <c r="B129" t="s">
        <v>260</v>
      </c>
      <c r="C129" s="261">
        <f>C125</f>
        <v>3.6999999999999998E-2</v>
      </c>
      <c r="E129" t="s">
        <v>261</v>
      </c>
      <c r="H129" s="254">
        <f>K118</f>
        <v>878.70233374196164</v>
      </c>
    </row>
    <row r="130" spans="1:8">
      <c r="A130" s="207"/>
      <c r="B130" s="262" t="s">
        <v>262</v>
      </c>
      <c r="C130" s="263">
        <f>C128*C129</f>
        <v>0</v>
      </c>
      <c r="E130" s="262" t="s">
        <v>263</v>
      </c>
      <c r="H130" s="264">
        <f>H128*H129</f>
        <v>-240.35564430670175</v>
      </c>
    </row>
    <row r="131" spans="1:8">
      <c r="A131" s="207"/>
      <c r="B131" s="186" t="s">
        <v>264</v>
      </c>
      <c r="E131" t="s">
        <v>265</v>
      </c>
      <c r="H131" s="260">
        <f>(1-C124)</f>
        <v>0.65</v>
      </c>
    </row>
    <row r="132" spans="1:8">
      <c r="A132" s="207"/>
      <c r="B132" t="s">
        <v>266</v>
      </c>
      <c r="C132" s="223">
        <f>-C130</f>
        <v>0</v>
      </c>
      <c r="E132" s="262" t="s">
        <v>267</v>
      </c>
      <c r="H132" s="264">
        <f>H130/H131</f>
        <v>-369.77791431800267</v>
      </c>
    </row>
    <row r="133" spans="1:8">
      <c r="A133" s="207"/>
      <c r="B133" t="s">
        <v>268</v>
      </c>
      <c r="C133" s="261">
        <f>C124</f>
        <v>0.35</v>
      </c>
    </row>
    <row r="134" spans="1:8">
      <c r="A134" s="207"/>
      <c r="B134" s="262" t="s">
        <v>269</v>
      </c>
      <c r="C134" s="263">
        <f>C132*C133</f>
        <v>0</v>
      </c>
    </row>
    <row r="135" spans="1:8">
      <c r="A135" s="207"/>
    </row>
    <row r="136" spans="1:8">
      <c r="A136" s="207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1BE4A-0F89-E246-B31F-72661A183BDC}">
  <dimension ref="B1:K65"/>
  <sheetViews>
    <sheetView tabSelected="1" topLeftCell="A47" zoomScaleNormal="100" workbookViewId="0">
      <selection activeCell="B64" sqref="B64"/>
    </sheetView>
  </sheetViews>
  <sheetFormatPr baseColWidth="10" defaultRowHeight="16"/>
  <cols>
    <col min="2" max="2" width="37.6640625" bestFit="1" customWidth="1"/>
  </cols>
  <sheetData>
    <row r="1" spans="2:10" ht="32">
      <c r="B1" s="285" t="s">
        <v>351</v>
      </c>
      <c r="C1" s="286"/>
      <c r="D1" s="85"/>
      <c r="E1" s="85"/>
      <c r="F1" s="85"/>
      <c r="G1" s="85"/>
      <c r="H1" s="85"/>
      <c r="I1" s="85"/>
      <c r="J1" s="85"/>
    </row>
    <row r="2" spans="2:10">
      <c r="B2" s="271" t="s">
        <v>304</v>
      </c>
    </row>
    <row r="4" spans="2:10" ht="19">
      <c r="B4" s="287" t="s">
        <v>305</v>
      </c>
      <c r="C4" s="288"/>
      <c r="D4" s="288"/>
      <c r="E4" s="288"/>
      <c r="F4" s="288"/>
      <c r="G4" s="288"/>
      <c r="H4" s="288"/>
      <c r="I4" s="288"/>
      <c r="J4" s="288"/>
    </row>
    <row r="5" spans="2:10">
      <c r="B5" t="s">
        <v>306</v>
      </c>
      <c r="C5" s="289">
        <v>2023</v>
      </c>
    </row>
    <row r="7" spans="2:10">
      <c r="B7" t="s">
        <v>307</v>
      </c>
      <c r="C7" s="290">
        <f>'Trading Comp'!B7</f>
        <v>136.74</v>
      </c>
    </row>
    <row r="8" spans="2:10">
      <c r="B8" t="s">
        <v>308</v>
      </c>
      <c r="C8" s="273">
        <f>'Trading Comp'!B11</f>
        <v>283.96088043001316</v>
      </c>
    </row>
    <row r="9" spans="2:10">
      <c r="B9" s="291" t="s">
        <v>13</v>
      </c>
      <c r="C9" s="292">
        <f>C7*C8</f>
        <v>38828.810790000003</v>
      </c>
    </row>
    <row r="10" spans="2:10">
      <c r="B10" t="s">
        <v>3</v>
      </c>
      <c r="C10" s="293">
        <v>11195</v>
      </c>
    </row>
    <row r="11" spans="2:10">
      <c r="B11" t="s">
        <v>48</v>
      </c>
      <c r="C11" s="293">
        <v>512</v>
      </c>
    </row>
    <row r="12" spans="2:10">
      <c r="B12" s="291" t="s">
        <v>230</v>
      </c>
      <c r="C12" s="292">
        <f>C10-C11</f>
        <v>10683</v>
      </c>
    </row>
    <row r="13" spans="2:10">
      <c r="B13" s="291"/>
      <c r="C13" s="294"/>
    </row>
    <row r="14" spans="2:10">
      <c r="B14" s="275" t="s">
        <v>309</v>
      </c>
      <c r="C14" s="292">
        <f>C9+C12</f>
        <v>49511.810790000003</v>
      </c>
    </row>
    <row r="16" spans="2:10">
      <c r="B16" t="s">
        <v>310</v>
      </c>
      <c r="C16" s="293">
        <f>'Trading Comp'!B26</f>
        <v>7223</v>
      </c>
    </row>
    <row r="17" spans="2:10">
      <c r="B17" t="s">
        <v>311</v>
      </c>
      <c r="C17" s="293">
        <f>'Trading Comp'!B30</f>
        <v>2524</v>
      </c>
    </row>
    <row r="18" spans="2:10">
      <c r="B18" t="s">
        <v>335</v>
      </c>
      <c r="C18" s="328">
        <f>'Trading Comp'!B42</f>
        <v>2267</v>
      </c>
    </row>
    <row r="19" spans="2:10">
      <c r="B19" t="s">
        <v>336</v>
      </c>
      <c r="C19" s="314">
        <v>397</v>
      </c>
    </row>
    <row r="20" spans="2:10">
      <c r="B20" t="s">
        <v>312</v>
      </c>
      <c r="C20" s="225">
        <f>C18-C19</f>
        <v>1870</v>
      </c>
    </row>
    <row r="21" spans="2:10">
      <c r="B21" s="275" t="s">
        <v>313</v>
      </c>
      <c r="C21" s="281">
        <f>C14/C17</f>
        <v>19.616406810618066</v>
      </c>
    </row>
    <row r="22" spans="2:10">
      <c r="B22" s="275"/>
      <c r="C22" s="281"/>
    </row>
    <row r="23" spans="2:10" ht="19">
      <c r="B23" s="287" t="s">
        <v>314</v>
      </c>
      <c r="C23" s="288"/>
      <c r="D23" s="288"/>
      <c r="E23" s="288"/>
      <c r="F23" s="288"/>
      <c r="G23" s="288"/>
      <c r="H23" s="288"/>
      <c r="I23" s="288"/>
      <c r="J23" s="288"/>
    </row>
    <row r="24" spans="2:10">
      <c r="B24" s="275"/>
      <c r="C24" s="281"/>
    </row>
    <row r="25" spans="2:10">
      <c r="B25" t="s">
        <v>315</v>
      </c>
      <c r="C25" s="289">
        <v>2028</v>
      </c>
    </row>
    <row r="27" spans="2:10">
      <c r="B27" t="s">
        <v>316</v>
      </c>
      <c r="C27" s="295">
        <f>10</f>
        <v>10</v>
      </c>
    </row>
    <row r="28" spans="2:10">
      <c r="B28" t="s">
        <v>317</v>
      </c>
      <c r="C28" s="293">
        <v>500</v>
      </c>
    </row>
    <row r="30" spans="2:10">
      <c r="B30" t="s">
        <v>318</v>
      </c>
      <c r="C30" s="296">
        <f>C21</f>
        <v>19.616406810618066</v>
      </c>
    </row>
    <row r="31" spans="2:10">
      <c r="B31" t="s">
        <v>319</v>
      </c>
      <c r="C31" s="297">
        <v>0.2</v>
      </c>
    </row>
    <row r="32" spans="2:10">
      <c r="B32" s="275"/>
      <c r="C32" s="281"/>
    </row>
    <row r="33" spans="2:10" ht="24">
      <c r="B33" s="287" t="s">
        <v>320</v>
      </c>
      <c r="C33" s="298"/>
      <c r="D33" s="288"/>
      <c r="E33" s="288"/>
      <c r="F33" s="288"/>
      <c r="G33" s="288"/>
      <c r="H33" s="288"/>
      <c r="I33" s="324"/>
      <c r="J33" s="319"/>
    </row>
    <row r="34" spans="2:10" ht="24">
      <c r="B34" s="299"/>
      <c r="C34" s="300"/>
      <c r="D34" s="326"/>
      <c r="E34" s="301"/>
      <c r="F34" s="327" t="s">
        <v>321</v>
      </c>
      <c r="G34" s="301"/>
      <c r="H34" s="301"/>
      <c r="I34" s="325"/>
      <c r="J34" s="322"/>
    </row>
    <row r="35" spans="2:10">
      <c r="C35" s="302">
        <v>2023</v>
      </c>
      <c r="D35" s="303">
        <v>2024</v>
      </c>
      <c r="E35" s="303">
        <v>2025</v>
      </c>
      <c r="F35" s="303">
        <v>2026</v>
      </c>
      <c r="G35" s="303">
        <v>2027</v>
      </c>
      <c r="H35" s="303">
        <v>2028</v>
      </c>
      <c r="I35" s="316"/>
      <c r="J35" s="316"/>
    </row>
    <row r="36" spans="2:10">
      <c r="B36" t="s">
        <v>322</v>
      </c>
      <c r="C36" s="304">
        <f>C16</f>
        <v>7223</v>
      </c>
      <c r="D36" s="225">
        <f>C36*(1+D37)</f>
        <v>7671.0255456963068</v>
      </c>
      <c r="E36" s="225">
        <f>D36*(1+E37)</f>
        <v>8146.8410525716909</v>
      </c>
      <c r="F36" s="225">
        <f>E36*(1+F37)</f>
        <v>8652.1702659566417</v>
      </c>
      <c r="G36" s="225">
        <f>F36*(1+G37)</f>
        <v>9188.8438510130709</v>
      </c>
      <c r="H36" s="225">
        <f t="shared" ref="E36:H36" si="0">G36*(1+H37)</f>
        <v>9758.8060247176654</v>
      </c>
      <c r="I36" s="317"/>
      <c r="J36" s="317"/>
    </row>
    <row r="37" spans="2:10">
      <c r="B37" s="305" t="s">
        <v>323</v>
      </c>
      <c r="D37" s="306">
        <f>'DCF-Input Sheet'!G46</f>
        <v>6.2027626428950045E-2</v>
      </c>
      <c r="E37" s="307">
        <f>D37</f>
        <v>6.2027626428950045E-2</v>
      </c>
      <c r="F37" s="307">
        <f t="shared" ref="F37:H37" si="1">E37</f>
        <v>6.2027626428950045E-2</v>
      </c>
      <c r="G37" s="307">
        <f t="shared" si="1"/>
        <v>6.2027626428950045E-2</v>
      </c>
      <c r="H37" s="307">
        <f t="shared" si="1"/>
        <v>6.2027626428950045E-2</v>
      </c>
      <c r="I37" s="318"/>
      <c r="J37" s="318"/>
    </row>
    <row r="38" spans="2:10">
      <c r="I38" s="319"/>
      <c r="J38" s="319"/>
    </row>
    <row r="39" spans="2:10">
      <c r="B39" t="s">
        <v>40</v>
      </c>
      <c r="C39" s="304">
        <f>C17</f>
        <v>2524</v>
      </c>
      <c r="D39" s="225">
        <f>D36*D40</f>
        <v>2680.5577291066702</v>
      </c>
      <c r="E39" s="225">
        <f t="shared" ref="E39:H39" si="2">E36*E40</f>
        <v>2846.826362548934</v>
      </c>
      <c r="F39" s="225">
        <f t="shared" si="2"/>
        <v>3023.4082446732059</v>
      </c>
      <c r="G39" s="225">
        <f t="shared" si="2"/>
        <v>3210.9430818160035</v>
      </c>
      <c r="H39" s="225">
        <f t="shared" si="2"/>
        <v>3410.1102597795084</v>
      </c>
      <c r="I39" s="317"/>
      <c r="J39" s="317"/>
    </row>
    <row r="40" spans="2:10">
      <c r="B40" s="305" t="s">
        <v>41</v>
      </c>
      <c r="C40" s="308">
        <f>C39/C36</f>
        <v>0.34943929115326045</v>
      </c>
      <c r="D40" s="306">
        <f>C40</f>
        <v>0.34943929115326045</v>
      </c>
      <c r="E40" s="307">
        <f>D40</f>
        <v>0.34943929115326045</v>
      </c>
      <c r="F40" s="307">
        <f t="shared" ref="F40:H40" si="3">E40</f>
        <v>0.34943929115326045</v>
      </c>
      <c r="G40" s="307">
        <f t="shared" si="3"/>
        <v>0.34943929115326045</v>
      </c>
      <c r="H40" s="307">
        <f t="shared" si="3"/>
        <v>0.34943929115326045</v>
      </c>
      <c r="I40" s="318"/>
      <c r="J40" s="318"/>
    </row>
    <row r="41" spans="2:10">
      <c r="I41" s="319"/>
      <c r="J41" s="319"/>
    </row>
    <row r="42" spans="2:10">
      <c r="B42" t="s">
        <v>324</v>
      </c>
      <c r="C42" s="304">
        <f>C20</f>
        <v>1870</v>
      </c>
      <c r="D42" s="225">
        <f>D43*D36</f>
        <v>1985.9916614221368</v>
      </c>
      <c r="E42" s="225">
        <f t="shared" ref="E42:H42" si="4">E43*E36</f>
        <v>2109.1780102878392</v>
      </c>
      <c r="F42" s="225">
        <f t="shared" si="4"/>
        <v>2240.0053159821296</v>
      </c>
      <c r="G42" s="225">
        <f t="shared" si="4"/>
        <v>2378.9475289207312</v>
      </c>
      <c r="H42" s="225">
        <f t="shared" si="4"/>
        <v>2526.5079975387007</v>
      </c>
      <c r="I42" s="317"/>
      <c r="J42" s="317"/>
    </row>
    <row r="43" spans="2:10">
      <c r="B43" s="305" t="s">
        <v>41</v>
      </c>
      <c r="C43" s="308">
        <f>C42/C36</f>
        <v>0.25889519590197979</v>
      </c>
      <c r="D43" s="306">
        <f>C43</f>
        <v>0.25889519590197979</v>
      </c>
      <c r="E43" s="306">
        <f t="shared" ref="E43:H43" si="5">D43</f>
        <v>0.25889519590197979</v>
      </c>
      <c r="F43" s="306">
        <f t="shared" si="5"/>
        <v>0.25889519590197979</v>
      </c>
      <c r="G43" s="306">
        <f t="shared" si="5"/>
        <v>0.25889519590197979</v>
      </c>
      <c r="H43" s="306">
        <f t="shared" si="5"/>
        <v>0.25889519590197979</v>
      </c>
      <c r="I43" s="318"/>
      <c r="J43" s="318"/>
    </row>
    <row r="44" spans="2:10">
      <c r="I44" s="319"/>
      <c r="J44" s="319"/>
    </row>
    <row r="45" spans="2:10">
      <c r="B45" t="s">
        <v>48</v>
      </c>
      <c r="C45" s="304">
        <f>C11</f>
        <v>512</v>
      </c>
      <c r="D45" s="225">
        <f>C45+D42-D54</f>
        <v>500</v>
      </c>
      <c r="E45" s="225">
        <f t="shared" ref="E45:H45" si="6">D45+E42-E54</f>
        <v>500</v>
      </c>
      <c r="F45" s="225">
        <f t="shared" si="6"/>
        <v>500</v>
      </c>
      <c r="G45" s="225">
        <f t="shared" si="6"/>
        <v>500</v>
      </c>
      <c r="H45" s="225">
        <f t="shared" si="6"/>
        <v>500</v>
      </c>
      <c r="I45" s="317"/>
      <c r="J45" s="317"/>
    </row>
    <row r="46" spans="2:10">
      <c r="B46" t="s">
        <v>3</v>
      </c>
      <c r="C46" s="304">
        <f>C10</f>
        <v>11195</v>
      </c>
      <c r="D46" s="304">
        <f>D55</f>
        <v>22742.008338577863</v>
      </c>
      <c r="E46" s="304">
        <f t="shared" ref="E46:H46" si="7">E55</f>
        <v>20132.830328290023</v>
      </c>
      <c r="F46" s="304">
        <f t="shared" si="7"/>
        <v>17392.825012307894</v>
      </c>
      <c r="G46" s="304">
        <f t="shared" si="7"/>
        <v>14513.877483387163</v>
      </c>
      <c r="H46" s="304">
        <f t="shared" si="7"/>
        <v>11487.369485848463</v>
      </c>
      <c r="I46" s="320"/>
      <c r="J46" s="320"/>
    </row>
    <row r="47" spans="2:10">
      <c r="B47" s="291" t="s">
        <v>230</v>
      </c>
      <c r="C47" s="309">
        <f>C46-C45</f>
        <v>10683</v>
      </c>
      <c r="D47" s="309">
        <f>D46-D45</f>
        <v>22242.008338577863</v>
      </c>
      <c r="E47" s="309">
        <f t="shared" ref="E47:H47" si="8">E46-E45</f>
        <v>19632.830328290023</v>
      </c>
      <c r="F47" s="309">
        <f t="shared" si="8"/>
        <v>16892.825012307894</v>
      </c>
      <c r="G47" s="309">
        <f t="shared" si="8"/>
        <v>14013.877483387163</v>
      </c>
      <c r="H47" s="309">
        <f t="shared" si="8"/>
        <v>10987.369485848463</v>
      </c>
      <c r="I47" s="321"/>
      <c r="J47" s="321"/>
    </row>
    <row r="48" spans="2:10">
      <c r="I48" s="319"/>
      <c r="J48" s="319"/>
    </row>
    <row r="49" spans="2:11" ht="24">
      <c r="B49" s="287" t="s">
        <v>325</v>
      </c>
      <c r="C49" s="298"/>
      <c r="D49" s="288"/>
      <c r="E49" s="288"/>
      <c r="F49" s="288"/>
      <c r="G49" s="288"/>
      <c r="H49" s="288"/>
      <c r="I49" s="324"/>
      <c r="J49" s="319"/>
    </row>
    <row r="50" spans="2:11" ht="24">
      <c r="C50" s="300"/>
      <c r="D50" s="326"/>
      <c r="E50" s="301"/>
      <c r="F50" s="327" t="s">
        <v>321</v>
      </c>
      <c r="G50" s="301"/>
      <c r="H50" s="301"/>
      <c r="I50" s="325"/>
      <c r="J50" s="322"/>
      <c r="K50" s="329"/>
    </row>
    <row r="51" spans="2:11">
      <c r="C51" s="302">
        <v>2023</v>
      </c>
      <c r="D51" s="303">
        <v>2024</v>
      </c>
      <c r="E51" s="303">
        <v>2025</v>
      </c>
      <c r="F51" s="303">
        <v>2026</v>
      </c>
      <c r="G51" s="303">
        <v>2027</v>
      </c>
      <c r="H51" s="303">
        <v>2028</v>
      </c>
      <c r="I51" s="316"/>
      <c r="J51" s="316"/>
    </row>
    <row r="52" spans="2:11">
      <c r="B52" t="s">
        <v>326</v>
      </c>
      <c r="D52" s="225">
        <f>C55</f>
        <v>25240</v>
      </c>
      <c r="E52" s="225">
        <f t="shared" ref="E52:H52" si="9">D55</f>
        <v>22742.008338577863</v>
      </c>
      <c r="F52" s="225">
        <f t="shared" si="9"/>
        <v>20132.830328290023</v>
      </c>
      <c r="G52" s="225">
        <f t="shared" si="9"/>
        <v>17392.825012307894</v>
      </c>
      <c r="H52" s="225">
        <f t="shared" si="9"/>
        <v>14513.877483387163</v>
      </c>
      <c r="I52" s="320"/>
      <c r="J52" s="320"/>
    </row>
    <row r="53" spans="2:11">
      <c r="B53" s="186" t="s">
        <v>327</v>
      </c>
      <c r="D53" s="293">
        <v>500</v>
      </c>
      <c r="E53" s="293">
        <f>D53</f>
        <v>500</v>
      </c>
      <c r="F53" s="293">
        <f t="shared" ref="F53:H53" si="10">E53</f>
        <v>500</v>
      </c>
      <c r="G53" s="293">
        <f t="shared" si="10"/>
        <v>500</v>
      </c>
      <c r="H53" s="293">
        <f t="shared" si="10"/>
        <v>500</v>
      </c>
      <c r="I53" s="323"/>
      <c r="J53" s="323"/>
    </row>
    <row r="54" spans="2:11">
      <c r="B54" s="186" t="s">
        <v>328</v>
      </c>
      <c r="D54" s="225">
        <f>C45+D42-$C$28</f>
        <v>1997.9916614221365</v>
      </c>
      <c r="E54" s="225">
        <f t="shared" ref="E54:H54" si="11">D45+E42-$C$28</f>
        <v>2109.1780102878392</v>
      </c>
      <c r="F54" s="225">
        <f t="shared" si="11"/>
        <v>2240.0053159821296</v>
      </c>
      <c r="G54" s="225">
        <f t="shared" si="11"/>
        <v>2378.9475289207312</v>
      </c>
      <c r="H54" s="225">
        <f t="shared" si="11"/>
        <v>2526.5079975387007</v>
      </c>
      <c r="I54" s="317"/>
      <c r="J54" s="317"/>
    </row>
    <row r="55" spans="2:11">
      <c r="B55" t="s">
        <v>329</v>
      </c>
      <c r="C55" s="125">
        <f>C39*C27</f>
        <v>25240</v>
      </c>
      <c r="D55" s="310">
        <f>D52-D53-D54</f>
        <v>22742.008338577863</v>
      </c>
      <c r="E55" s="310">
        <f t="shared" ref="E55:H55" si="12">E52-E53-E54</f>
        <v>20132.830328290023</v>
      </c>
      <c r="F55" s="310">
        <f t="shared" si="12"/>
        <v>17392.825012307894</v>
      </c>
      <c r="G55" s="310">
        <f t="shared" si="12"/>
        <v>14513.877483387163</v>
      </c>
      <c r="H55" s="310">
        <f t="shared" si="12"/>
        <v>11487.369485848463</v>
      </c>
      <c r="I55" s="315"/>
      <c r="J55" s="315"/>
    </row>
    <row r="57" spans="2:11">
      <c r="B57" s="282" t="s">
        <v>330</v>
      </c>
    </row>
    <row r="58" spans="2:11">
      <c r="B58" t="s">
        <v>331</v>
      </c>
      <c r="H58" s="311">
        <f>C30*H39</f>
        <v>66894.110124897299</v>
      </c>
    </row>
    <row r="59" spans="2:11">
      <c r="B59" t="s">
        <v>332</v>
      </c>
      <c r="H59" s="311">
        <f>H58-H47</f>
        <v>55906.740639048832</v>
      </c>
    </row>
    <row r="60" spans="2:11">
      <c r="B60" t="s">
        <v>333</v>
      </c>
      <c r="H60" s="311">
        <f>H59/(1+$C$31)^5</f>
        <v>22467.665187374951</v>
      </c>
    </row>
    <row r="62" spans="2:11">
      <c r="B62" s="282" t="s">
        <v>330</v>
      </c>
    </row>
    <row r="63" spans="2:11">
      <c r="B63" t="s">
        <v>334</v>
      </c>
      <c r="H63" s="311">
        <f>C55+H60</f>
        <v>47707.665187374951</v>
      </c>
    </row>
    <row r="64" spans="2:11">
      <c r="B64" t="s">
        <v>352</v>
      </c>
      <c r="H64" s="312">
        <f>(H63-C12)/C8</f>
        <v>130.38649947593851</v>
      </c>
    </row>
    <row r="65" spans="2:8">
      <c r="B65" t="s">
        <v>353</v>
      </c>
      <c r="H65" s="313">
        <f>H64/C7-1</f>
        <v>-4.6464096270743771E-2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WACC</vt:lpstr>
      <vt:lpstr>DCF-Input Sheet</vt:lpstr>
      <vt:lpstr>DCF - Output Sheet</vt:lpstr>
      <vt:lpstr>Linking Sheet</vt:lpstr>
      <vt:lpstr>Trading Comp</vt:lpstr>
      <vt:lpstr>100% Cash</vt:lpstr>
      <vt:lpstr>50 Cash  50 Stock</vt:lpstr>
      <vt:lpstr>100 Stock</vt:lpstr>
      <vt:lpstr>LBO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Marathe</dc:creator>
  <cp:lastModifiedBy>Sagar Marathe</cp:lastModifiedBy>
  <dcterms:created xsi:type="dcterms:W3CDTF">2024-11-28T14:13:00Z</dcterms:created>
  <dcterms:modified xsi:type="dcterms:W3CDTF">2024-12-07T04:56:31Z</dcterms:modified>
</cp:coreProperties>
</file>