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garmarathe/Desktop/"/>
    </mc:Choice>
  </mc:AlternateContent>
  <xr:revisionPtr revIDLastSave="0" documentId="13_ncr:1_{9AF7205E-93A7-9449-89C4-35DFBA419B6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Introduction Sheet" sheetId="18" r:id="rId1"/>
    <sheet name="Results Sheet" sheetId="12" r:id="rId2"/>
    <sheet name="Operating assumtions" sheetId="1" r:id="rId3"/>
    <sheet name="Leasing adjustment" sheetId="10" r:id="rId4"/>
    <sheet name="Amortisation Schedule" sheetId="14" r:id="rId5"/>
    <sheet name="Landlord Cash flow" sheetId="9" r:id="rId6"/>
    <sheet name="Sources &amp; Uses" sheetId="13" r:id="rId7"/>
    <sheet name="Return Analysis" sheetId="15" r:id="rId8"/>
    <sheet name="Data Tables" sheetId="8" r:id="rId9"/>
    <sheet name="GP LP" sheetId="17" r:id="rId10"/>
  </sheets>
  <definedNames>
    <definedName name="solver_eng" localSheetId="5" hidden="1">1</definedName>
    <definedName name="solver_lin" localSheetId="5" hidden="1">2</definedName>
    <definedName name="solver_neg" localSheetId="5" hidden="1">1</definedName>
    <definedName name="solver_num" localSheetId="5" hidden="1">0</definedName>
    <definedName name="solver_opt" localSheetId="5" hidden="1">'Landlord Cash flow'!$I$33</definedName>
    <definedName name="solver_typ" localSheetId="5" hidden="1">1</definedName>
    <definedName name="solver_val" localSheetId="5" hidden="1">0</definedName>
    <definedName name="solver_ver" localSheetId="5" hidden="1">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C36" i="12"/>
  <c r="B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B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C35" i="12"/>
  <c r="A35" i="12"/>
  <c r="S11" i="8"/>
  <c r="R11" i="8" s="1"/>
  <c r="Q11" i="8" s="1"/>
  <c r="P14" i="8"/>
  <c r="P15" i="8" s="1"/>
  <c r="P16" i="8" s="1"/>
  <c r="C31" i="8"/>
  <c r="C30" i="8"/>
  <c r="C22" i="8"/>
  <c r="C21" i="8"/>
  <c r="I11" i="8"/>
  <c r="E24" i="12" s="1"/>
  <c r="F14" i="8"/>
  <c r="F13" i="8" s="1"/>
  <c r="F22" i="15"/>
  <c r="R25" i="12"/>
  <c r="S25" i="12"/>
  <c r="T25" i="12"/>
  <c r="U25" i="12"/>
  <c r="V25" i="12"/>
  <c r="R26" i="12"/>
  <c r="S26" i="12"/>
  <c r="T26" i="12"/>
  <c r="U26" i="12"/>
  <c r="V26" i="12"/>
  <c r="R27" i="12"/>
  <c r="S27" i="12"/>
  <c r="T27" i="12"/>
  <c r="U27" i="12"/>
  <c r="V27" i="12"/>
  <c r="R28" i="12"/>
  <c r="S28" i="12"/>
  <c r="T28" i="12"/>
  <c r="U28" i="12"/>
  <c r="V28" i="12"/>
  <c r="R29" i="12"/>
  <c r="S29" i="12"/>
  <c r="T29" i="12"/>
  <c r="U29" i="12"/>
  <c r="V29" i="12"/>
  <c r="R24" i="12"/>
  <c r="S24" i="12"/>
  <c r="T24" i="12"/>
  <c r="U24" i="12"/>
  <c r="V24" i="12"/>
  <c r="Q25" i="12"/>
  <c r="Q26" i="12"/>
  <c r="Q27" i="12"/>
  <c r="Q28" i="12"/>
  <c r="Q29" i="12"/>
  <c r="I25" i="12"/>
  <c r="J25" i="12"/>
  <c r="K25" i="12"/>
  <c r="L25" i="12"/>
  <c r="M25" i="12"/>
  <c r="N25" i="12"/>
  <c r="I26" i="12"/>
  <c r="J26" i="12"/>
  <c r="K26" i="12"/>
  <c r="L26" i="12"/>
  <c r="M26" i="12"/>
  <c r="N26" i="12"/>
  <c r="I27" i="12"/>
  <c r="J27" i="12"/>
  <c r="K27" i="12"/>
  <c r="L27" i="12"/>
  <c r="M27" i="12"/>
  <c r="N27" i="12"/>
  <c r="I28" i="12"/>
  <c r="J28" i="12"/>
  <c r="K28" i="12"/>
  <c r="L28" i="12"/>
  <c r="M28" i="12"/>
  <c r="N28" i="12"/>
  <c r="I29" i="12"/>
  <c r="J29" i="12"/>
  <c r="K29" i="12"/>
  <c r="L29" i="12"/>
  <c r="M29" i="12"/>
  <c r="N29" i="12"/>
  <c r="J24" i="12"/>
  <c r="K24" i="12"/>
  <c r="L24" i="12"/>
  <c r="M24" i="12"/>
  <c r="N24" i="12"/>
  <c r="C25" i="12"/>
  <c r="D25" i="12"/>
  <c r="G25" i="12"/>
  <c r="C26" i="12"/>
  <c r="D26" i="12"/>
  <c r="E26" i="12"/>
  <c r="F26" i="12"/>
  <c r="G26" i="12"/>
  <c r="C27" i="12"/>
  <c r="D27" i="12"/>
  <c r="E27" i="12"/>
  <c r="G27" i="12"/>
  <c r="C28" i="12"/>
  <c r="D28" i="12"/>
  <c r="E28" i="12"/>
  <c r="F28" i="12"/>
  <c r="G28" i="12"/>
  <c r="C29" i="12"/>
  <c r="D29" i="12"/>
  <c r="E29" i="12"/>
  <c r="F29" i="12"/>
  <c r="G29" i="12"/>
  <c r="D23" i="12"/>
  <c r="E38" i="17"/>
  <c r="F38" i="17" s="1"/>
  <c r="G38" i="17" s="1"/>
  <c r="H38" i="17" s="1"/>
  <c r="I38" i="17" s="1"/>
  <c r="J38" i="17" s="1"/>
  <c r="K38" i="17" s="1"/>
  <c r="L38" i="17" s="1"/>
  <c r="M38" i="17" s="1"/>
  <c r="N38" i="17" s="1"/>
  <c r="O38" i="17" s="1"/>
  <c r="D11" i="17"/>
  <c r="E4" i="17"/>
  <c r="F4" i="17" s="1"/>
  <c r="G4" i="17" s="1"/>
  <c r="H4" i="17" s="1"/>
  <c r="I4" i="17" s="1"/>
  <c r="J4" i="17" s="1"/>
  <c r="K4" i="17" s="1"/>
  <c r="L4" i="17" s="1"/>
  <c r="M4" i="17" s="1"/>
  <c r="N4" i="17" s="1"/>
  <c r="O4" i="17" s="1"/>
  <c r="F34" i="8"/>
  <c r="F33" i="8"/>
  <c r="F30" i="8"/>
  <c r="F31" i="8"/>
  <c r="G29" i="8"/>
  <c r="H29" i="8"/>
  <c r="K29" i="8"/>
  <c r="J29" i="8"/>
  <c r="G21" i="8"/>
  <c r="H21" i="8"/>
  <c r="K21" i="8"/>
  <c r="J21" i="8"/>
  <c r="F22" i="8"/>
  <c r="F23" i="8"/>
  <c r="F26" i="8"/>
  <c r="F25" i="8"/>
  <c r="F24" i="8"/>
  <c r="D7" i="14"/>
  <c r="E7" i="14" s="1"/>
  <c r="F7" i="14" s="1"/>
  <c r="F11" i="14"/>
  <c r="E11" i="14"/>
  <c r="D10" i="14"/>
  <c r="E21" i="15"/>
  <c r="F21" i="15" s="1"/>
  <c r="G21" i="15" s="1"/>
  <c r="I26" i="9"/>
  <c r="D22" i="15"/>
  <c r="D24" i="15" s="1"/>
  <c r="E5" i="17" s="1"/>
  <c r="E40" i="17" s="1"/>
  <c r="E22" i="15"/>
  <c r="G22" i="15"/>
  <c r="C22" i="15"/>
  <c r="D20" i="15"/>
  <c r="E20" i="15" s="1"/>
  <c r="F20" i="15" s="1"/>
  <c r="G20" i="15" s="1"/>
  <c r="H20" i="15" s="1"/>
  <c r="I20" i="15" s="1"/>
  <c r="J20" i="15" s="1"/>
  <c r="K20" i="15" s="1"/>
  <c r="L20" i="15" s="1"/>
  <c r="M20" i="15" s="1"/>
  <c r="N20" i="15" s="1"/>
  <c r="C8" i="15"/>
  <c r="E8" i="15"/>
  <c r="F8" i="15"/>
  <c r="G8" i="15"/>
  <c r="H8" i="15"/>
  <c r="I8" i="15"/>
  <c r="J8" i="15"/>
  <c r="K8" i="15"/>
  <c r="L8" i="15"/>
  <c r="M8" i="15"/>
  <c r="N8" i="15"/>
  <c r="C9" i="15"/>
  <c r="D9" i="15"/>
  <c r="G9" i="15"/>
  <c r="H9" i="15"/>
  <c r="I9" i="15"/>
  <c r="J9" i="15"/>
  <c r="K9" i="15"/>
  <c r="L9" i="15"/>
  <c r="M9" i="15"/>
  <c r="N9" i="15"/>
  <c r="D7" i="15"/>
  <c r="E7" i="15"/>
  <c r="F7" i="15"/>
  <c r="G7" i="15"/>
  <c r="H7" i="15"/>
  <c r="I7" i="15"/>
  <c r="J7" i="15"/>
  <c r="K7" i="15"/>
  <c r="L7" i="15"/>
  <c r="M7" i="15"/>
  <c r="N7" i="15"/>
  <c r="D6" i="15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F10" i="9"/>
  <c r="B24" i="14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C4" i="14"/>
  <c r="C4" i="10"/>
  <c r="B23" i="10" s="1"/>
  <c r="B18" i="10"/>
  <c r="B17" i="10"/>
  <c r="B27" i="10"/>
  <c r="B28" i="10"/>
  <c r="C6" i="10"/>
  <c r="B25" i="10" s="1"/>
  <c r="B6" i="10"/>
  <c r="B4" i="10"/>
  <c r="I18" i="1"/>
  <c r="I19" i="1"/>
  <c r="P13" i="8" l="1"/>
  <c r="P12" i="8" s="1"/>
  <c r="T11" i="8"/>
  <c r="U11" i="8" s="1"/>
  <c r="H11" i="8"/>
  <c r="G11" i="8" s="1"/>
  <c r="C24" i="12" s="1"/>
  <c r="J11" i="8"/>
  <c r="F24" i="12" s="1"/>
  <c r="F15" i="8"/>
  <c r="B27" i="12"/>
  <c r="F12" i="8"/>
  <c r="B25" i="12" s="1"/>
  <c r="B26" i="12"/>
  <c r="F24" i="15"/>
  <c r="G5" i="17" s="1"/>
  <c r="G40" i="17" s="1"/>
  <c r="E24" i="15"/>
  <c r="F5" i="17" s="1"/>
  <c r="F40" i="17" s="1"/>
  <c r="G12" i="15"/>
  <c r="G24" i="15"/>
  <c r="H5" i="17" s="1"/>
  <c r="H40" i="17" s="1"/>
  <c r="H21" i="15"/>
  <c r="D24" i="12" l="1"/>
  <c r="K11" i="8"/>
  <c r="G24" i="12" s="1"/>
  <c r="F16" i="8"/>
  <c r="B29" i="12" s="1"/>
  <c r="B28" i="12"/>
  <c r="I21" i="15"/>
  <c r="J21" i="15" l="1"/>
  <c r="K21" i="15" l="1"/>
  <c r="L21" i="15" l="1"/>
  <c r="M21" i="15" l="1"/>
  <c r="N21" i="15" l="1"/>
  <c r="B15" i="10" l="1"/>
  <c r="C28" i="10"/>
  <c r="D28" i="10" s="1"/>
  <c r="E28" i="10" s="1"/>
  <c r="F28" i="10" s="1"/>
  <c r="G28" i="10" s="1"/>
  <c r="H28" i="10" s="1"/>
  <c r="I28" i="10" s="1"/>
  <c r="J28" i="10" s="1"/>
  <c r="K28" i="10" s="1"/>
  <c r="C27" i="10"/>
  <c r="D27" i="10" s="1"/>
  <c r="E27" i="10" s="1"/>
  <c r="F27" i="10" s="1"/>
  <c r="G27" i="10" s="1"/>
  <c r="H27" i="10" s="1"/>
  <c r="I27" i="10" s="1"/>
  <c r="J27" i="10" s="1"/>
  <c r="K27" i="10" s="1"/>
  <c r="C18" i="10"/>
  <c r="D18" i="10" s="1"/>
  <c r="E18" i="10" s="1"/>
  <c r="F18" i="10" s="1"/>
  <c r="G18" i="10" s="1"/>
  <c r="H18" i="10" s="1"/>
  <c r="C17" i="10"/>
  <c r="D17" i="10" s="1"/>
  <c r="E17" i="10" s="1"/>
  <c r="F17" i="10" s="1"/>
  <c r="G17" i="10" s="1"/>
  <c r="H17" i="10" s="1"/>
  <c r="C22" i="10"/>
  <c r="C24" i="10" s="1"/>
  <c r="C12" i="10"/>
  <c r="C14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B5" i="1"/>
  <c r="B24" i="10" l="1"/>
  <c r="C23" i="10"/>
  <c r="D23" i="10" s="1"/>
  <c r="E23" i="10" s="1"/>
  <c r="F23" i="10" s="1"/>
  <c r="G23" i="10" s="1"/>
  <c r="H23" i="10" s="1"/>
  <c r="I23" i="10" s="1"/>
  <c r="J23" i="10" s="1"/>
  <c r="K23" i="10" s="1"/>
  <c r="C13" i="1"/>
  <c r="C10" i="1"/>
  <c r="C11" i="1"/>
  <c r="C12" i="1"/>
  <c r="J15" i="13" s="1"/>
  <c r="B13" i="10"/>
  <c r="C13" i="10" s="1"/>
  <c r="D13" i="10" s="1"/>
  <c r="E13" i="10" s="1"/>
  <c r="F13" i="10" s="1"/>
  <c r="G13" i="10" s="1"/>
  <c r="H13" i="10" s="1"/>
  <c r="D12" i="10"/>
  <c r="E12" i="10" s="1"/>
  <c r="F12" i="10" s="1"/>
  <c r="G12" i="10" s="1"/>
  <c r="H12" i="10" s="1"/>
  <c r="H14" i="10" s="1"/>
  <c r="D22" i="10"/>
  <c r="E22" i="10" s="1"/>
  <c r="E24" i="10" s="1"/>
  <c r="C14" i="1" l="1"/>
  <c r="C35" i="1" s="1"/>
  <c r="C9" i="14"/>
  <c r="C13" i="14" s="1"/>
  <c r="C26" i="10"/>
  <c r="I9" i="9" s="1"/>
  <c r="J13" i="13"/>
  <c r="J14" i="13"/>
  <c r="J16" i="13"/>
  <c r="E7" i="9"/>
  <c r="B26" i="10"/>
  <c r="H9" i="9" s="1"/>
  <c r="C6" i="9"/>
  <c r="B5" i="9"/>
  <c r="D7" i="9"/>
  <c r="C16" i="10"/>
  <c r="F22" i="10"/>
  <c r="G22" i="10" s="1"/>
  <c r="B14" i="10"/>
  <c r="F14" i="10"/>
  <c r="D14" i="10"/>
  <c r="G14" i="10"/>
  <c r="D24" i="10"/>
  <c r="E14" i="10"/>
  <c r="C29" i="10" l="1"/>
  <c r="D13" i="14"/>
  <c r="J7" i="13"/>
  <c r="C3" i="14" s="1"/>
  <c r="C38" i="1"/>
  <c r="J18" i="13" s="1"/>
  <c r="C37" i="1"/>
  <c r="J17" i="13" s="1"/>
  <c r="B10" i="9"/>
  <c r="C7" i="15"/>
  <c r="C12" i="15" s="1"/>
  <c r="C10" i="9"/>
  <c r="D8" i="15"/>
  <c r="D12" i="15" s="1"/>
  <c r="E10" i="9"/>
  <c r="F9" i="15"/>
  <c r="F12" i="15" s="1"/>
  <c r="D10" i="9"/>
  <c r="E9" i="15"/>
  <c r="E12" i="15" s="1"/>
  <c r="H8" i="9"/>
  <c r="H10" i="9" s="1"/>
  <c r="F24" i="10"/>
  <c r="D26" i="10"/>
  <c r="J9" i="9" s="1"/>
  <c r="D16" i="10"/>
  <c r="I8" i="9" s="1"/>
  <c r="I10" i="9" s="1"/>
  <c r="B29" i="10"/>
  <c r="B16" i="10"/>
  <c r="C19" i="10"/>
  <c r="E26" i="10"/>
  <c r="K9" i="9" s="1"/>
  <c r="H22" i="10"/>
  <c r="G24" i="10"/>
  <c r="J19" i="13" l="1"/>
  <c r="J9" i="13" s="1"/>
  <c r="J8" i="13" s="1"/>
  <c r="C21" i="15"/>
  <c r="C24" i="15" s="1"/>
  <c r="D5" i="17" s="1"/>
  <c r="C15" i="14"/>
  <c r="C14" i="14"/>
  <c r="E13" i="14"/>
  <c r="D15" i="14"/>
  <c r="D14" i="14"/>
  <c r="J10" i="15"/>
  <c r="J12" i="15" s="1"/>
  <c r="C30" i="15" s="1"/>
  <c r="C17" i="12" s="1"/>
  <c r="I10" i="15"/>
  <c r="I12" i="15" s="1"/>
  <c r="E16" i="10"/>
  <c r="J8" i="9" s="1"/>
  <c r="D19" i="10"/>
  <c r="B19" i="10"/>
  <c r="G8" i="9"/>
  <c r="G10" i="9" s="1"/>
  <c r="D29" i="10"/>
  <c r="F26" i="10"/>
  <c r="L9" i="9" s="1"/>
  <c r="E29" i="10"/>
  <c r="I22" i="10"/>
  <c r="H24" i="10"/>
  <c r="F13" i="14" l="1"/>
  <c r="E14" i="14"/>
  <c r="G23" i="14" s="1"/>
  <c r="C24" i="14" s="1"/>
  <c r="E15" i="14"/>
  <c r="D34" i="17"/>
  <c r="D40" i="17"/>
  <c r="D35" i="17"/>
  <c r="J10" i="9"/>
  <c r="H10" i="15"/>
  <c r="H12" i="15" s="1"/>
  <c r="E19" i="10"/>
  <c r="G16" i="10"/>
  <c r="L8" i="9" s="1"/>
  <c r="L10" i="9" s="1"/>
  <c r="F16" i="10"/>
  <c r="I24" i="10"/>
  <c r="J22" i="10"/>
  <c r="G26" i="10"/>
  <c r="M9" i="9" s="1"/>
  <c r="F29" i="10"/>
  <c r="D131" i="17" l="1"/>
  <c r="D130" i="17"/>
  <c r="D129" i="17"/>
  <c r="D52" i="17"/>
  <c r="D54" i="17" s="1"/>
  <c r="D132" i="17"/>
  <c r="D98" i="17"/>
  <c r="D100" i="17" s="1"/>
  <c r="D125" i="17"/>
  <c r="D75" i="17"/>
  <c r="D77" i="17" s="1"/>
  <c r="D43" i="17"/>
  <c r="D45" i="17" s="1"/>
  <c r="D126" i="17"/>
  <c r="D123" i="17"/>
  <c r="D124" i="17"/>
  <c r="E24" i="14"/>
  <c r="E13" i="9" s="1"/>
  <c r="D24" i="14"/>
  <c r="F24" i="14" s="1"/>
  <c r="E12" i="9" s="1"/>
  <c r="F14" i="14"/>
  <c r="F15" i="14"/>
  <c r="E25" i="14" s="1"/>
  <c r="F13" i="9" s="1"/>
  <c r="K10" i="15"/>
  <c r="K12" i="15" s="1"/>
  <c r="M10" i="15"/>
  <c r="M12" i="15" s="1"/>
  <c r="G19" i="10"/>
  <c r="K8" i="9"/>
  <c r="K10" i="9" s="1"/>
  <c r="H16" i="10"/>
  <c r="M8" i="9" s="1"/>
  <c r="M10" i="9" s="1"/>
  <c r="B21" i="9" s="1"/>
  <c r="F19" i="10"/>
  <c r="K22" i="10"/>
  <c r="K24" i="10" s="1"/>
  <c r="J24" i="10"/>
  <c r="H26" i="10"/>
  <c r="N9" i="9" l="1"/>
  <c r="N10" i="9" s="1"/>
  <c r="D104" i="17"/>
  <c r="E98" i="17" s="1"/>
  <c r="E99" i="17" s="1"/>
  <c r="E100" i="17" s="1"/>
  <c r="D106" i="17"/>
  <c r="D63" i="17"/>
  <c r="D58" i="17"/>
  <c r="E52" i="17" s="1"/>
  <c r="E53" i="17" s="1"/>
  <c r="E54" i="17" s="1"/>
  <c r="G24" i="14"/>
  <c r="C25" i="14" s="1"/>
  <c r="D83" i="17"/>
  <c r="D81" i="17"/>
  <c r="E75" i="17" s="1"/>
  <c r="E76" i="17" s="1"/>
  <c r="E77" i="17" s="1"/>
  <c r="D49" i="17"/>
  <c r="E43" i="17" s="1"/>
  <c r="E44" i="17" s="1"/>
  <c r="E45" i="17" s="1"/>
  <c r="D60" i="17"/>
  <c r="B22" i="9"/>
  <c r="C22" i="9" s="1"/>
  <c r="N10" i="15"/>
  <c r="L10" i="15"/>
  <c r="L12" i="15" s="1"/>
  <c r="H19" i="10"/>
  <c r="B7" i="10"/>
  <c r="G29" i="10"/>
  <c r="H29" i="10"/>
  <c r="D25" i="14" l="1"/>
  <c r="F25" i="14" s="1"/>
  <c r="F12" i="9" s="1"/>
  <c r="E55" i="17"/>
  <c r="E58" i="17" s="1"/>
  <c r="F52" i="17" s="1"/>
  <c r="F53" i="17" s="1"/>
  <c r="F54" i="17" s="1"/>
  <c r="E46" i="17"/>
  <c r="E49" i="17" s="1"/>
  <c r="F43" i="17" s="1"/>
  <c r="F44" i="17" s="1"/>
  <c r="F45" i="17" s="1"/>
  <c r="B23" i="9"/>
  <c r="C23" i="9" s="1"/>
  <c r="I26" i="10"/>
  <c r="O9" i="9" s="1"/>
  <c r="G25" i="14" l="1"/>
  <c r="C26" i="14" s="1"/>
  <c r="E26" i="14" s="1"/>
  <c r="G13" i="9" s="1"/>
  <c r="F55" i="17"/>
  <c r="F58" i="17" s="1"/>
  <c r="G52" i="17" s="1"/>
  <c r="G53" i="17" s="1"/>
  <c r="G54" i="17" s="1"/>
  <c r="F46" i="17"/>
  <c r="F49" i="17" s="1"/>
  <c r="G43" i="17" s="1"/>
  <c r="G44" i="17" s="1"/>
  <c r="G45" i="17" s="1"/>
  <c r="E71" i="17"/>
  <c r="E73" i="17" s="1"/>
  <c r="E78" i="17" s="1"/>
  <c r="E60" i="17"/>
  <c r="E47" i="17"/>
  <c r="E48" i="17" s="1"/>
  <c r="E123" i="17"/>
  <c r="E129" i="17"/>
  <c r="E130" i="17" s="1"/>
  <c r="E131" i="17" s="1"/>
  <c r="E132" i="17" s="1"/>
  <c r="E56" i="17"/>
  <c r="E57" i="17" s="1"/>
  <c r="E63" i="17"/>
  <c r="B24" i="9"/>
  <c r="O10" i="9"/>
  <c r="I29" i="10"/>
  <c r="K26" i="10"/>
  <c r="Q9" i="9" s="1"/>
  <c r="J26" i="10"/>
  <c r="P9" i="9" s="1"/>
  <c r="B13" i="9"/>
  <c r="D26" i="14" l="1"/>
  <c r="F26" i="14" s="1"/>
  <c r="G12" i="9" s="1"/>
  <c r="G15" i="9" s="1"/>
  <c r="H22" i="15" s="1"/>
  <c r="H24" i="15" s="1"/>
  <c r="I5" i="17" s="1"/>
  <c r="I40" i="17" s="1"/>
  <c r="I68" i="17" s="1"/>
  <c r="E66" i="17"/>
  <c r="E68" i="17" s="1"/>
  <c r="G46" i="17"/>
  <c r="G49" i="17" s="1"/>
  <c r="H43" i="17" s="1"/>
  <c r="H44" i="17" s="1"/>
  <c r="H45" i="17" s="1"/>
  <c r="G55" i="17"/>
  <c r="G58" i="17" s="1"/>
  <c r="H52" i="17" s="1"/>
  <c r="H53" i="17" s="1"/>
  <c r="H54" i="17" s="1"/>
  <c r="F60" i="17"/>
  <c r="F47" i="17"/>
  <c r="F48" i="17" s="1"/>
  <c r="F123" i="17"/>
  <c r="F71" i="17"/>
  <c r="F73" i="17" s="1"/>
  <c r="F56" i="17"/>
  <c r="F57" i="17" s="1"/>
  <c r="F63" i="17"/>
  <c r="E79" i="17"/>
  <c r="E80" i="17" s="1"/>
  <c r="E83" i="17"/>
  <c r="E86" i="17"/>
  <c r="E94" i="17"/>
  <c r="E96" i="17" s="1"/>
  <c r="E101" i="17" s="1"/>
  <c r="E124" i="17"/>
  <c r="E81" i="17"/>
  <c r="F75" i="17" s="1"/>
  <c r="F76" i="17" s="1"/>
  <c r="F77" i="17" s="1"/>
  <c r="F129" i="17"/>
  <c r="F130" i="17" s="1"/>
  <c r="F131" i="17" s="1"/>
  <c r="F132" i="17" s="1"/>
  <c r="C24" i="9"/>
  <c r="H21" i="9" s="1"/>
  <c r="N11" i="15"/>
  <c r="N12" i="15" s="1"/>
  <c r="B27" i="9"/>
  <c r="C27" i="9" s="1"/>
  <c r="G21" i="9"/>
  <c r="C7" i="10"/>
  <c r="P10" i="9"/>
  <c r="J29" i="10"/>
  <c r="Q10" i="9"/>
  <c r="K29" i="10"/>
  <c r="G26" i="14" l="1"/>
  <c r="C27" i="14" s="1"/>
  <c r="D27" i="14" s="1"/>
  <c r="H55" i="17"/>
  <c r="H58" i="17" s="1"/>
  <c r="I52" i="17" s="1"/>
  <c r="E109" i="17"/>
  <c r="E125" i="17"/>
  <c r="E126" i="17" s="1"/>
  <c r="E102" i="17"/>
  <c r="E103" i="17" s="1"/>
  <c r="E106" i="17"/>
  <c r="E104" i="17"/>
  <c r="F98" i="17" s="1"/>
  <c r="F99" i="17" s="1"/>
  <c r="F100" i="17" s="1"/>
  <c r="G129" i="17"/>
  <c r="G130" i="17" s="1"/>
  <c r="G131" i="17" s="1"/>
  <c r="G132" i="17" s="1"/>
  <c r="G63" i="17"/>
  <c r="G56" i="17"/>
  <c r="G57" i="17" s="1"/>
  <c r="F78" i="17"/>
  <c r="F81" i="17" s="1"/>
  <c r="G75" i="17" s="1"/>
  <c r="G76" i="17" s="1"/>
  <c r="G77" i="17" s="1"/>
  <c r="F66" i="17"/>
  <c r="F68" i="17" s="1"/>
  <c r="H46" i="17"/>
  <c r="H49" i="17" s="1"/>
  <c r="I43" i="17" s="1"/>
  <c r="G123" i="17"/>
  <c r="G47" i="17"/>
  <c r="G48" i="17" s="1"/>
  <c r="G60" i="17"/>
  <c r="G71" i="17"/>
  <c r="G73" i="17" s="1"/>
  <c r="F25" i="12"/>
  <c r="F27" i="12"/>
  <c r="C15" i="15"/>
  <c r="C14" i="12" s="1"/>
  <c r="E25" i="12"/>
  <c r="E27" i="14" l="1"/>
  <c r="H13" i="9" s="1"/>
  <c r="G78" i="17"/>
  <c r="G86" i="17" s="1"/>
  <c r="G66" i="17"/>
  <c r="G68" i="17" s="1"/>
  <c r="I44" i="17"/>
  <c r="I45" i="17" s="1"/>
  <c r="I46" i="17" s="1"/>
  <c r="H123" i="17"/>
  <c r="H60" i="17"/>
  <c r="H71" i="17"/>
  <c r="H73" i="17" s="1"/>
  <c r="H47" i="17"/>
  <c r="H48" i="17" s="1"/>
  <c r="G83" i="17"/>
  <c r="G124" i="17"/>
  <c r="G94" i="17"/>
  <c r="G96" i="17" s="1"/>
  <c r="G81" i="17"/>
  <c r="H75" i="17" s="1"/>
  <c r="H76" i="17" s="1"/>
  <c r="H77" i="17" s="1"/>
  <c r="I53" i="17"/>
  <c r="I54" i="17" s="1"/>
  <c r="I55" i="17" s="1"/>
  <c r="F86" i="17"/>
  <c r="F94" i="17"/>
  <c r="F96" i="17" s="1"/>
  <c r="F101" i="17" s="1"/>
  <c r="F104" i="17" s="1"/>
  <c r="G98" i="17" s="1"/>
  <c r="G99" i="17" s="1"/>
  <c r="G100" i="17" s="1"/>
  <c r="F124" i="17"/>
  <c r="F79" i="17"/>
  <c r="F80" i="17" s="1"/>
  <c r="F83" i="17"/>
  <c r="H56" i="17"/>
  <c r="H57" i="17" s="1"/>
  <c r="H129" i="17"/>
  <c r="H130" i="17" s="1"/>
  <c r="H131" i="17" s="1"/>
  <c r="H132" i="17" s="1"/>
  <c r="H63" i="17"/>
  <c r="G79" i="17" l="1"/>
  <c r="G80" i="17" s="1"/>
  <c r="F27" i="14"/>
  <c r="H12" i="9" s="1"/>
  <c r="H15" i="9" s="1"/>
  <c r="I22" i="15" s="1"/>
  <c r="I24" i="15" s="1"/>
  <c r="G101" i="17"/>
  <c r="G104" i="17" s="1"/>
  <c r="H98" i="17" s="1"/>
  <c r="H99" i="17" s="1"/>
  <c r="H100" i="17" s="1"/>
  <c r="H66" i="17"/>
  <c r="H68" i="17" s="1"/>
  <c r="I58" i="17"/>
  <c r="J52" i="17" s="1"/>
  <c r="I63" i="17"/>
  <c r="I56" i="17"/>
  <c r="I57" i="17" s="1"/>
  <c r="I129" i="17"/>
  <c r="I130" i="17" s="1"/>
  <c r="I131" i="17" s="1"/>
  <c r="I132" i="17" s="1"/>
  <c r="G27" i="14"/>
  <c r="C28" i="14" s="1"/>
  <c r="F102" i="17"/>
  <c r="F103" i="17" s="1"/>
  <c r="F106" i="17"/>
  <c r="F125" i="17"/>
  <c r="F126" i="17" s="1"/>
  <c r="F109" i="17"/>
  <c r="I49" i="17"/>
  <c r="J43" i="17" s="1"/>
  <c r="J44" i="17" s="1"/>
  <c r="J45" i="17" s="1"/>
  <c r="I71" i="17"/>
  <c r="I73" i="17" s="1"/>
  <c r="I123" i="17"/>
  <c r="I47" i="17"/>
  <c r="I48" i="17" s="1"/>
  <c r="I60" i="17"/>
  <c r="H78" i="17"/>
  <c r="H81" i="17" s="1"/>
  <c r="I75" i="17" s="1"/>
  <c r="I66" i="17" l="1"/>
  <c r="G106" i="17"/>
  <c r="G125" i="17"/>
  <c r="G126" i="17" s="1"/>
  <c r="G109" i="17"/>
  <c r="G102" i="17"/>
  <c r="G103" i="17" s="1"/>
  <c r="I76" i="17"/>
  <c r="I77" i="17" s="1"/>
  <c r="I78" i="17" s="1"/>
  <c r="H83" i="17"/>
  <c r="H94" i="17"/>
  <c r="H96" i="17" s="1"/>
  <c r="H101" i="17" s="1"/>
  <c r="H86" i="17"/>
  <c r="H79" i="17"/>
  <c r="H80" i="17" s="1"/>
  <c r="H124" i="17"/>
  <c r="E28" i="14"/>
  <c r="I13" i="9" s="1"/>
  <c r="D28" i="14"/>
  <c r="J5" i="17"/>
  <c r="J53" i="17"/>
  <c r="J54" i="17" s="1"/>
  <c r="H125" i="17" l="1"/>
  <c r="H126" i="17" s="1"/>
  <c r="H109" i="17"/>
  <c r="H106" i="17"/>
  <c r="H102" i="17"/>
  <c r="H103" i="17" s="1"/>
  <c r="H104" i="17"/>
  <c r="I98" i="17" s="1"/>
  <c r="I99" i="17" s="1"/>
  <c r="I100" i="17" s="1"/>
  <c r="J40" i="17"/>
  <c r="J46" i="17" s="1"/>
  <c r="I81" i="17"/>
  <c r="J75" i="17" s="1"/>
  <c r="J76" i="17" s="1"/>
  <c r="J77" i="17" s="1"/>
  <c r="I79" i="17"/>
  <c r="I80" i="17" s="1"/>
  <c r="I94" i="17"/>
  <c r="I96" i="17" s="1"/>
  <c r="I86" i="17"/>
  <c r="I124" i="17"/>
  <c r="I83" i="17"/>
  <c r="F28" i="14"/>
  <c r="I12" i="9" l="1"/>
  <c r="I15" i="9" s="1"/>
  <c r="J22" i="15" s="1"/>
  <c r="J24" i="15" s="1"/>
  <c r="G28" i="14"/>
  <c r="C29" i="14" s="1"/>
  <c r="J47" i="17"/>
  <c r="J48" i="17" s="1"/>
  <c r="J123" i="17"/>
  <c r="J60" i="17"/>
  <c r="J71" i="17"/>
  <c r="J73" i="17" s="1"/>
  <c r="J78" i="17" s="1"/>
  <c r="J81" i="17" s="1"/>
  <c r="K75" i="17" s="1"/>
  <c r="K76" i="17" s="1"/>
  <c r="K77" i="17" s="1"/>
  <c r="J49" i="17"/>
  <c r="K43" i="17" s="1"/>
  <c r="K44" i="17" s="1"/>
  <c r="K45" i="17" s="1"/>
  <c r="J55" i="17"/>
  <c r="I101" i="17"/>
  <c r="J56" i="17" l="1"/>
  <c r="J57" i="17" s="1"/>
  <c r="J63" i="17"/>
  <c r="J66" i="17" s="1"/>
  <c r="J68" i="17" s="1"/>
  <c r="J129" i="17"/>
  <c r="J130" i="17" s="1"/>
  <c r="J131" i="17" s="1"/>
  <c r="J132" i="17" s="1"/>
  <c r="J58" i="17"/>
  <c r="K52" i="17" s="1"/>
  <c r="K53" i="17" s="1"/>
  <c r="K54" i="17" s="1"/>
  <c r="J86" i="17"/>
  <c r="J83" i="17"/>
  <c r="J79" i="17"/>
  <c r="J80" i="17" s="1"/>
  <c r="J124" i="17"/>
  <c r="J94" i="17"/>
  <c r="J96" i="17" s="1"/>
  <c r="I106" i="17"/>
  <c r="I109" i="17"/>
  <c r="I102" i="17"/>
  <c r="I103" i="17" s="1"/>
  <c r="I125" i="17"/>
  <c r="I126" i="17" s="1"/>
  <c r="E29" i="14"/>
  <c r="J13" i="9" s="1"/>
  <c r="D29" i="14"/>
  <c r="I104" i="17"/>
  <c r="J98" i="17" s="1"/>
  <c r="J99" i="17" s="1"/>
  <c r="J100" i="17" s="1"/>
  <c r="C32" i="15"/>
  <c r="C18" i="12" s="1"/>
  <c r="K5" i="17"/>
  <c r="F29" i="14" l="1"/>
  <c r="J12" i="9" s="1"/>
  <c r="J15" i="9" s="1"/>
  <c r="K22" i="15" s="1"/>
  <c r="K24" i="15" s="1"/>
  <c r="L5" i="17" s="1"/>
  <c r="L40" i="17" s="1"/>
  <c r="J101" i="17"/>
  <c r="J104" i="17" s="1"/>
  <c r="K98" i="17" s="1"/>
  <c r="K99" i="17" s="1"/>
  <c r="K100" i="17" s="1"/>
  <c r="K40" i="17"/>
  <c r="J102" i="17" l="1"/>
  <c r="J103" i="17" s="1"/>
  <c r="J125" i="17"/>
  <c r="J126" i="17" s="1"/>
  <c r="J109" i="17"/>
  <c r="J106" i="17"/>
  <c r="G29" i="14"/>
  <c r="C30" i="14" s="1"/>
  <c r="E30" i="14" s="1"/>
  <c r="K13" i="9" s="1"/>
  <c r="K46" i="17"/>
  <c r="K55" i="17"/>
  <c r="D30" i="14" l="1"/>
  <c r="F30" i="14"/>
  <c r="K12" i="9" s="1"/>
  <c r="K15" i="9" s="1"/>
  <c r="L22" i="15" s="1"/>
  <c r="L24" i="15" s="1"/>
  <c r="M5" i="17" s="1"/>
  <c r="K63" i="17"/>
  <c r="K129" i="17"/>
  <c r="K130" i="17" s="1"/>
  <c r="K131" i="17" s="1"/>
  <c r="K132" i="17" s="1"/>
  <c r="K56" i="17"/>
  <c r="K57" i="17" s="1"/>
  <c r="K58" i="17"/>
  <c r="L52" i="17" s="1"/>
  <c r="L53" i="17" s="1"/>
  <c r="L54" i="17" s="1"/>
  <c r="K49" i="17"/>
  <c r="L43" i="17" s="1"/>
  <c r="L44" i="17" s="1"/>
  <c r="L45" i="17" s="1"/>
  <c r="K60" i="17"/>
  <c r="K123" i="17"/>
  <c r="K71" i="17"/>
  <c r="K73" i="17" s="1"/>
  <c r="K78" i="17" s="1"/>
  <c r="K47" i="17"/>
  <c r="K48" i="17" s="1"/>
  <c r="G30" i="14"/>
  <c r="C31" i="14" s="1"/>
  <c r="K66" i="17" l="1"/>
  <c r="K68" i="17" s="1"/>
  <c r="E31" i="14"/>
  <c r="L13" i="9" s="1"/>
  <c r="D31" i="14"/>
  <c r="K81" i="17"/>
  <c r="L75" i="17" s="1"/>
  <c r="L76" i="17" s="1"/>
  <c r="L77" i="17" s="1"/>
  <c r="K94" i="17"/>
  <c r="K96" i="17" s="1"/>
  <c r="K101" i="17" s="1"/>
  <c r="K83" i="17"/>
  <c r="K124" i="17"/>
  <c r="K79" i="17"/>
  <c r="K80" i="17" s="1"/>
  <c r="K86" i="17"/>
  <c r="L46" i="17"/>
  <c r="L49" i="17" s="1"/>
  <c r="M43" i="17" s="1"/>
  <c r="M44" i="17" s="1"/>
  <c r="M45" i="17" s="1"/>
  <c r="L55" i="17"/>
  <c r="L58" i="17" s="1"/>
  <c r="M52" i="17" s="1"/>
  <c r="M53" i="17" s="1"/>
  <c r="M54" i="17" s="1"/>
  <c r="M40" i="17"/>
  <c r="F31" i="14" l="1"/>
  <c r="L12" i="9" s="1"/>
  <c r="L15" i="9" s="1"/>
  <c r="M22" i="15" s="1"/>
  <c r="M24" i="15" s="1"/>
  <c r="N5" i="17" s="1"/>
  <c r="M55" i="17"/>
  <c r="M58" i="17" s="1"/>
  <c r="N52" i="17" s="1"/>
  <c r="N53" i="17" s="1"/>
  <c r="N54" i="17" s="1"/>
  <c r="K106" i="17"/>
  <c r="K125" i="17"/>
  <c r="K126" i="17" s="1"/>
  <c r="K109" i="17"/>
  <c r="K102" i="17"/>
  <c r="K103" i="17" s="1"/>
  <c r="K104" i="17"/>
  <c r="L98" i="17" s="1"/>
  <c r="L99" i="17" s="1"/>
  <c r="L100" i="17" s="1"/>
  <c r="L56" i="17"/>
  <c r="L57" i="17" s="1"/>
  <c r="L129" i="17"/>
  <c r="L130" i="17" s="1"/>
  <c r="L131" i="17" s="1"/>
  <c r="L132" i="17" s="1"/>
  <c r="L63" i="17"/>
  <c r="M46" i="17"/>
  <c r="M49" i="17" s="1"/>
  <c r="N43" i="17" s="1"/>
  <c r="N44" i="17" s="1"/>
  <c r="N45" i="17" s="1"/>
  <c r="L123" i="17"/>
  <c r="L71" i="17"/>
  <c r="L73" i="17" s="1"/>
  <c r="L78" i="17" s="1"/>
  <c r="L47" i="17"/>
  <c r="L48" i="17" s="1"/>
  <c r="L60" i="17"/>
  <c r="G31" i="14" l="1"/>
  <c r="C32" i="14" s="1"/>
  <c r="E32" i="14" s="1"/>
  <c r="M13" i="9" s="1"/>
  <c r="L66" i="17"/>
  <c r="L68" i="17" s="1"/>
  <c r="N40" i="17"/>
  <c r="N55" i="17" s="1"/>
  <c r="N58" i="17" s="1"/>
  <c r="O52" i="17" s="1"/>
  <c r="O53" i="17" s="1"/>
  <c r="O54" i="17" s="1"/>
  <c r="D32" i="14"/>
  <c r="M123" i="17"/>
  <c r="M60" i="17"/>
  <c r="M47" i="17"/>
  <c r="M48" i="17" s="1"/>
  <c r="M71" i="17"/>
  <c r="M73" i="17" s="1"/>
  <c r="L81" i="17"/>
  <c r="M75" i="17" s="1"/>
  <c r="M76" i="17" s="1"/>
  <c r="M77" i="17" s="1"/>
  <c r="L79" i="17"/>
  <c r="L80" i="17" s="1"/>
  <c r="L124" i="17"/>
  <c r="L86" i="17"/>
  <c r="L94" i="17"/>
  <c r="L96" i="17" s="1"/>
  <c r="L101" i="17" s="1"/>
  <c r="L83" i="17"/>
  <c r="M56" i="17"/>
  <c r="M57" i="17" s="1"/>
  <c r="M63" i="17"/>
  <c r="M129" i="17"/>
  <c r="M130" i="17" s="1"/>
  <c r="M131" i="17" s="1"/>
  <c r="M132" i="17" s="1"/>
  <c r="F32" i="14" l="1"/>
  <c r="M12" i="9" s="1"/>
  <c r="M15" i="9" s="1"/>
  <c r="N22" i="15" s="1"/>
  <c r="N46" i="17"/>
  <c r="N49" i="17" s="1"/>
  <c r="O43" i="17" s="1"/>
  <c r="O44" i="17" s="1"/>
  <c r="O45" i="17" s="1"/>
  <c r="M66" i="17"/>
  <c r="M68" i="17" s="1"/>
  <c r="G32" i="14"/>
  <c r="C33" i="14" s="1"/>
  <c r="N56" i="17"/>
  <c r="N57" i="17" s="1"/>
  <c r="N63" i="17"/>
  <c r="N129" i="17"/>
  <c r="N130" i="17" s="1"/>
  <c r="M78" i="17"/>
  <c r="L104" i="17"/>
  <c r="M98" i="17" s="1"/>
  <c r="M99" i="17" s="1"/>
  <c r="M100" i="17" s="1"/>
  <c r="L102" i="17"/>
  <c r="L103" i="17" s="1"/>
  <c r="L125" i="17"/>
  <c r="L126" i="17" s="1"/>
  <c r="L109" i="17"/>
  <c r="L106" i="17"/>
  <c r="N71" i="17" l="1"/>
  <c r="N73" i="17" s="1"/>
  <c r="N123" i="17"/>
  <c r="N60" i="17"/>
  <c r="N66" i="17" s="1"/>
  <c r="N68" i="17" s="1"/>
  <c r="N47" i="17"/>
  <c r="N48" i="17" s="1"/>
  <c r="M81" i="17"/>
  <c r="N75" i="17" s="1"/>
  <c r="N76" i="17" s="1"/>
  <c r="N77" i="17" s="1"/>
  <c r="M83" i="17"/>
  <c r="M94" i="17"/>
  <c r="M96" i="17" s="1"/>
  <c r="M101" i="17" s="1"/>
  <c r="M124" i="17"/>
  <c r="M86" i="17"/>
  <c r="M79" i="17"/>
  <c r="M80" i="17" s="1"/>
  <c r="E33" i="14"/>
  <c r="N13" i="9" s="1"/>
  <c r="D33" i="14"/>
  <c r="N131" i="17"/>
  <c r="N132" i="17" s="1"/>
  <c r="N78" i="17" l="1"/>
  <c r="N79" i="17" s="1"/>
  <c r="N80" i="17" s="1"/>
  <c r="F33" i="14"/>
  <c r="N12" i="9" s="1"/>
  <c r="N15" i="9" s="1"/>
  <c r="M125" i="17"/>
  <c r="M126" i="17" s="1"/>
  <c r="M102" i="17"/>
  <c r="M103" i="17" s="1"/>
  <c r="M106" i="17"/>
  <c r="M109" i="17"/>
  <c r="M104" i="17"/>
  <c r="N98" i="17" s="1"/>
  <c r="N99" i="17" s="1"/>
  <c r="N100" i="17" s="1"/>
  <c r="N124" i="17"/>
  <c r="N86" i="17" l="1"/>
  <c r="N81" i="17"/>
  <c r="O75" i="17" s="1"/>
  <c r="O76" i="17" s="1"/>
  <c r="O77" i="17" s="1"/>
  <c r="N83" i="17"/>
  <c r="N94" i="17"/>
  <c r="N96" i="17" s="1"/>
  <c r="G33" i="14"/>
  <c r="C34" i="14" s="1"/>
  <c r="G22" i="9"/>
  <c r="G23" i="9" s="1"/>
  <c r="N101" i="17"/>
  <c r="N106" i="17" l="1"/>
  <c r="N125" i="17"/>
  <c r="N126" i="17" s="1"/>
  <c r="N109" i="17"/>
  <c r="N102" i="17"/>
  <c r="N103" i="17" s="1"/>
  <c r="E34" i="14"/>
  <c r="O13" i="9" s="1"/>
  <c r="D34" i="14"/>
  <c r="H23" i="9"/>
  <c r="N23" i="15"/>
  <c r="N24" i="15" s="1"/>
  <c r="N104" i="17"/>
  <c r="O98" i="17" s="1"/>
  <c r="O99" i="17" s="1"/>
  <c r="O100" i="17" s="1"/>
  <c r="F34" i="14" l="1"/>
  <c r="O12" i="9" s="1"/>
  <c r="O15" i="9" s="1"/>
  <c r="O5" i="17"/>
  <c r="C28" i="15"/>
  <c r="C16" i="12" s="1"/>
  <c r="C26" i="15"/>
  <c r="F11" i="8" l="1"/>
  <c r="B24" i="12" s="1"/>
  <c r="P11" i="8"/>
  <c r="G34" i="14"/>
  <c r="C35" i="14" s="1"/>
  <c r="F29" i="8"/>
  <c r="Q24" i="12" s="1"/>
  <c r="C11" i="8"/>
  <c r="C15" i="12"/>
  <c r="F21" i="8"/>
  <c r="I24" i="12" s="1"/>
  <c r="O40" i="17"/>
  <c r="D8" i="17"/>
  <c r="C121" i="17" s="1"/>
  <c r="E35" i="14"/>
  <c r="P13" i="9" s="1"/>
  <c r="D35" i="14"/>
  <c r="F35" i="14" l="1"/>
  <c r="P12" i="9" s="1"/>
  <c r="P15" i="9" s="1"/>
  <c r="O46" i="17"/>
  <c r="O55" i="17"/>
  <c r="G35" i="14"/>
  <c r="C36" i="14" s="1"/>
  <c r="E36" i="14" l="1"/>
  <c r="Q13" i="9" s="1"/>
  <c r="D36" i="14"/>
  <c r="O129" i="17"/>
  <c r="C129" i="17" s="1"/>
  <c r="O56" i="17"/>
  <c r="O57" i="17" s="1"/>
  <c r="O63" i="17"/>
  <c r="C64" i="17" s="1"/>
  <c r="O58" i="17"/>
  <c r="O123" i="17"/>
  <c r="C123" i="17" s="1"/>
  <c r="O71" i="17"/>
  <c r="O60" i="17"/>
  <c r="O47" i="17"/>
  <c r="O48" i="17" s="1"/>
  <c r="O49" i="17"/>
  <c r="F36" i="14" l="1"/>
  <c r="Q12" i="9" s="1"/>
  <c r="Q15" i="9" s="1"/>
  <c r="C61" i="17"/>
  <c r="O66" i="17"/>
  <c r="O68" i="17" s="1"/>
  <c r="G36" i="14" l="1"/>
  <c r="C37" i="14" s="1"/>
  <c r="D37" i="14" s="1"/>
  <c r="O72" i="17"/>
  <c r="O73" i="17" s="1"/>
  <c r="O78" i="17" s="1"/>
  <c r="E37" i="14" l="1"/>
  <c r="F37" i="14" s="1"/>
  <c r="G37" i="14" s="1"/>
  <c r="C38" i="14" s="1"/>
  <c r="E38" i="14" s="1"/>
  <c r="O86" i="17"/>
  <c r="O124" i="17"/>
  <c r="C124" i="17" s="1"/>
  <c r="O79" i="17"/>
  <c r="O80" i="17" s="1"/>
  <c r="O83" i="17"/>
  <c r="C84" i="17" s="1"/>
  <c r="O94" i="17"/>
  <c r="O81" i="17"/>
  <c r="D38" i="14" l="1"/>
  <c r="F38" i="14" s="1"/>
  <c r="G38" i="14" s="1"/>
  <c r="C39" i="14" s="1"/>
  <c r="O88" i="17"/>
  <c r="O130" i="17" s="1"/>
  <c r="C130" i="17" s="1"/>
  <c r="D39" i="14" l="1"/>
  <c r="E39" i="14"/>
  <c r="O90" i="17"/>
  <c r="O95" i="17" s="1"/>
  <c r="O96" i="17" s="1"/>
  <c r="O101" i="17" s="1"/>
  <c r="F39" i="14"/>
  <c r="G39" i="14" s="1"/>
  <c r="C40" i="14" s="1"/>
  <c r="D40" i="14" l="1"/>
  <c r="E40" i="14"/>
  <c r="O102" i="17"/>
  <c r="O103" i="17" s="1"/>
  <c r="O125" i="17"/>
  <c r="C125" i="17" s="1"/>
  <c r="O106" i="17"/>
  <c r="C107" i="17" s="1"/>
  <c r="O109" i="17"/>
  <c r="O104" i="17"/>
  <c r="O111" i="17" l="1"/>
  <c r="O131" i="17" s="1"/>
  <c r="C131" i="17" s="1"/>
  <c r="F40" i="14"/>
  <c r="G40" i="14" s="1"/>
  <c r="C41" i="14" s="1"/>
  <c r="O113" i="17" l="1"/>
  <c r="O117" i="17" s="1"/>
  <c r="O132" i="17" s="1"/>
  <c r="C132" i="17" s="1"/>
  <c r="E41" i="14"/>
  <c r="D41" i="14"/>
  <c r="O116" i="17" l="1"/>
  <c r="O126" i="17" s="1"/>
  <c r="C126" i="17" s="1"/>
  <c r="F41" i="14"/>
  <c r="G41" i="14" s="1"/>
  <c r="C42" i="14" s="1"/>
  <c r="E42" i="14" s="1"/>
  <c r="D42" i="14" s="1"/>
  <c r="F42" i="14" s="1"/>
  <c r="G42" i="14" s="1"/>
  <c r="C43" i="14" s="1"/>
  <c r="D43" i="14" s="1"/>
  <c r="E43" i="14" l="1"/>
  <c r="F43" i="14"/>
  <c r="G43" i="14" s="1"/>
  <c r="C44" i="14" s="1"/>
  <c r="E44" i="14" l="1"/>
  <c r="D44" i="14" s="1"/>
  <c r="F44" i="14" s="1"/>
  <c r="G44" i="14" s="1"/>
  <c r="C45" i="14" s="1"/>
  <c r="E45" i="14" s="1"/>
  <c r="D45" i="14" s="1"/>
  <c r="F45" i="14" s="1"/>
  <c r="G4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tc={0C058BF9-0504-974E-970C-0CAB6F6ADDF2}</author>
  </authors>
  <commentList>
    <comment ref="C5" authorId="0" shapeId="0" xr:uid="{0C058BF9-0504-974E-970C-0CAB6F6ADD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; debt repayment over 25 years 
As equity used prior so repayment will be earlier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tc={AC5F3578-CAE8-6A43-A50D-8C5D17D9629D}</author>
    <author>tc={D25A3F2C-D63A-7D46-8469-B296397F1A27}</author>
    <author>tc={2BE1674A-88AF-8C4C-94DE-BEC1E00D944B}</author>
  </authors>
  <commentList>
    <comment ref="A12" authorId="0" shapeId="0" xr:uid="{AC5F3578-CAE8-6A43-A50D-8C5D17D962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Amortisation Schedule sheet </t>
      </text>
    </comment>
    <comment ref="A13" authorId="1" shapeId="0" xr:uid="{D25A3F2C-D63A-7D46-8469-B296397F1A2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Amortisation Schedule sheet </t>
      </text>
    </comment>
    <comment ref="A27" authorId="2" shapeId="0" xr:uid="{2BE1674A-88AF-8C4C-94DE-BEC1E00D944B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current date (12/31/23)</t>
      </text>
    </comment>
  </commentList>
</comments>
</file>

<file path=xl/sharedStrings.xml><?xml version="1.0" encoding="utf-8"?>
<sst xmlns="http://schemas.openxmlformats.org/spreadsheetml/2006/main" count="320" uniqueCount="195">
  <si>
    <t>Category</t>
  </si>
  <si>
    <t>Debt Financing</t>
  </si>
  <si>
    <t>Equity Financing</t>
  </si>
  <si>
    <t>Cost per GSF ($)</t>
  </si>
  <si>
    <t>Total Cost ($)</t>
  </si>
  <si>
    <t>Land Purchase</t>
  </si>
  <si>
    <t>Soft Costs</t>
  </si>
  <si>
    <t>Hard Costs (Year 1)</t>
  </si>
  <si>
    <t>Hard Costs (Year 2)</t>
  </si>
  <si>
    <t>Tenant</t>
  </si>
  <si>
    <t>Premises (NRSF)</t>
  </si>
  <si>
    <t>Rent ($/SF)</t>
  </si>
  <si>
    <t>Free Rent (Months)</t>
  </si>
  <si>
    <t>Escalations (%)</t>
  </si>
  <si>
    <t>Term (Years)</t>
  </si>
  <si>
    <t>TI Allowance ($/NRSF)</t>
  </si>
  <si>
    <t>Leasing Commissions (%)</t>
  </si>
  <si>
    <t>Tenant 1</t>
  </si>
  <si>
    <t>Tenant 2</t>
  </si>
  <si>
    <t>Escalation (%)</t>
  </si>
  <si>
    <t>Operating Expenses</t>
  </si>
  <si>
    <t>Real Estate Taxes</t>
  </si>
  <si>
    <t>Value</t>
  </si>
  <si>
    <t>Loan to Cost (%)</t>
  </si>
  <si>
    <t>Interest Rate (%)</t>
  </si>
  <si>
    <t>Recordation Tax (%)</t>
  </si>
  <si>
    <t>Financing Fees (%)</t>
  </si>
  <si>
    <t>Table</t>
  </si>
  <si>
    <t>Description</t>
  </si>
  <si>
    <t>Tenant 1 Rent vs Cap Rates</t>
  </si>
  <si>
    <t>Analyze IRR sensitivity by changing Tenant 1 rents ($1/SF increments) vs cap rates.</t>
  </si>
  <si>
    <t>Land Price vs Debt Rate</t>
  </si>
  <si>
    <t>Analyze IRR sensitivity by changing land purchase price ($5/SF increments) vs debt interest rate (0.25% increments).</t>
  </si>
  <si>
    <t>Tenant 2 Rent vs TI Allowance</t>
  </si>
  <si>
    <t>Analyze IRR sensitivity by changing Tenant 2 rents ($2/SF increments) vs TI allowance ($10/SF increments).</t>
  </si>
  <si>
    <t>Project size  (GSF)</t>
  </si>
  <si>
    <t>Project Effeciency</t>
  </si>
  <si>
    <t>Project size</t>
  </si>
  <si>
    <t>Development assumption</t>
  </si>
  <si>
    <t>Leasing Assumption</t>
  </si>
  <si>
    <t>Cash flow statement</t>
  </si>
  <si>
    <t>Year</t>
  </si>
  <si>
    <t>12/31/23</t>
  </si>
  <si>
    <t>12/31/24</t>
  </si>
  <si>
    <t>12/31/25</t>
  </si>
  <si>
    <t>12/31/26</t>
  </si>
  <si>
    <t>12/31/27</t>
  </si>
  <si>
    <t>12/31/28</t>
  </si>
  <si>
    <t>12/31/29</t>
  </si>
  <si>
    <t>12/31/30</t>
  </si>
  <si>
    <t>12/31/31</t>
  </si>
  <si>
    <t>12/31/32</t>
  </si>
  <si>
    <t>12/31/33</t>
  </si>
  <si>
    <t>12/31/34</t>
  </si>
  <si>
    <t>12/31/35</t>
  </si>
  <si>
    <t>12/31/36</t>
  </si>
  <si>
    <t>12/31/37</t>
  </si>
  <si>
    <t>12/31/38</t>
  </si>
  <si>
    <t>Predevelopent</t>
  </si>
  <si>
    <t>Development</t>
  </si>
  <si>
    <t>Land purchase</t>
  </si>
  <si>
    <t>Rent</t>
  </si>
  <si>
    <t>Actual Rent</t>
  </si>
  <si>
    <t>Free rent year</t>
  </si>
  <si>
    <t>TIA</t>
  </si>
  <si>
    <t>Leasing commission</t>
  </si>
  <si>
    <t>Free rent</t>
  </si>
  <si>
    <t>Net rent received</t>
  </si>
  <si>
    <t>operating expense</t>
  </si>
  <si>
    <t>real estate taxes</t>
  </si>
  <si>
    <t>Sale assumptions</t>
  </si>
  <si>
    <t>Residual Cap rate</t>
  </si>
  <si>
    <t>Sale costs</t>
  </si>
  <si>
    <t>Gross sale proceeds</t>
  </si>
  <si>
    <t>Selling cost</t>
  </si>
  <si>
    <t>Net sale proceeds</t>
  </si>
  <si>
    <t>PV (De-escalation rate)</t>
  </si>
  <si>
    <t>De-escalation rate</t>
  </si>
  <si>
    <t>Financing Assumption</t>
  </si>
  <si>
    <t xml:space="preserve">Interest calculation </t>
  </si>
  <si>
    <t>Predevelopment: 12 months</t>
  </si>
  <si>
    <t>Construction: 24 months</t>
  </si>
  <si>
    <t>Lease 2: Commencing 24 months after delivery</t>
  </si>
  <si>
    <t xml:space="preserve">Lease 1: Commencing 12 months after delivery  </t>
  </si>
  <si>
    <t xml:space="preserve">Sale Date: Month 72 or 12/31/29 </t>
  </si>
  <si>
    <t>Analysis Start: 12/31/23</t>
  </si>
  <si>
    <t>Project Timing</t>
  </si>
  <si>
    <t xml:space="preserve">ATHENA CAPITAL MANAGEMENT LLC </t>
  </si>
  <si>
    <t>Project NRSF</t>
  </si>
  <si>
    <t>Yearly rent</t>
  </si>
  <si>
    <t>1st year adjustments</t>
  </si>
  <si>
    <t>Rent paid</t>
  </si>
  <si>
    <t>Net Cash flow</t>
  </si>
  <si>
    <t>Operating Assumption</t>
  </si>
  <si>
    <t>Sources of Funds</t>
  </si>
  <si>
    <t>Total:</t>
  </si>
  <si>
    <t>Sources and Uses of Funds</t>
  </si>
  <si>
    <t>Uses of Funds</t>
  </si>
  <si>
    <t>Total Cost</t>
  </si>
  <si>
    <t>Total ($)</t>
  </si>
  <si>
    <t>Recordation Cost</t>
  </si>
  <si>
    <t>Financing fees</t>
  </si>
  <si>
    <t>Debt caculation</t>
  </si>
  <si>
    <t>Amortisation schedule</t>
  </si>
  <si>
    <t>Loan amount</t>
  </si>
  <si>
    <t>Interest rate</t>
  </si>
  <si>
    <t>Amortisation period</t>
  </si>
  <si>
    <t>Payment</t>
  </si>
  <si>
    <t>Interest</t>
  </si>
  <si>
    <t>Principal</t>
  </si>
  <si>
    <t>EOP Balacne</t>
  </si>
  <si>
    <t>BOP balance</t>
  </si>
  <si>
    <t xml:space="preserve">NOTE : </t>
  </si>
  <si>
    <t xml:space="preserve">NNN (Triple Net Lease) </t>
  </si>
  <si>
    <t>NOI</t>
  </si>
  <si>
    <t>NOI (7th Year)</t>
  </si>
  <si>
    <t>$  Basis</t>
  </si>
  <si>
    <t>$/GSF Based</t>
  </si>
  <si>
    <t>Cash flow after debt service</t>
  </si>
  <si>
    <t>Levered IRR</t>
  </si>
  <si>
    <t>Unlevered IRR</t>
  </si>
  <si>
    <t>Mortgage b alance</t>
  </si>
  <si>
    <t>Net sale proceeds after debt adjustment</t>
  </si>
  <si>
    <t>Return Analysis</t>
  </si>
  <si>
    <t>Unleveraged Returns</t>
  </si>
  <si>
    <t>Cash flow, Operations</t>
  </si>
  <si>
    <t>Cash Flow, Sales</t>
  </si>
  <si>
    <t>Levered Returns</t>
  </si>
  <si>
    <t>Equity</t>
  </si>
  <si>
    <t>Net flow after debt service</t>
  </si>
  <si>
    <t>Net Sals proceeds</t>
  </si>
  <si>
    <t>Equity Multiple</t>
  </si>
  <si>
    <t>Stabilised Yeild</t>
  </si>
  <si>
    <t>Stabilized Cash on cash</t>
  </si>
  <si>
    <t>Tenant 1 rent ($/SF)</t>
  </si>
  <si>
    <t>Cumulative sum of cost</t>
  </si>
  <si>
    <t>Debt Interest rate</t>
  </si>
  <si>
    <t>Capitalisation rate</t>
  </si>
  <si>
    <t>Tenant 2 rent ($/SF)</t>
  </si>
  <si>
    <t>TIA ($ / SF)</t>
  </si>
  <si>
    <t>Land purchase price ( $ / SF)</t>
  </si>
  <si>
    <t>Levered Casf flows</t>
  </si>
  <si>
    <t>Cash flow</t>
  </si>
  <si>
    <t>IRR</t>
  </si>
  <si>
    <t xml:space="preserve">Equity </t>
  </si>
  <si>
    <t>General Partner</t>
  </si>
  <si>
    <t>Limited Partner</t>
  </si>
  <si>
    <t>LP</t>
  </si>
  <si>
    <t>GP</t>
  </si>
  <si>
    <t>Tier 1</t>
  </si>
  <si>
    <t>Tier 4</t>
  </si>
  <si>
    <t>Tier 3</t>
  </si>
  <si>
    <t>Tier 2</t>
  </si>
  <si>
    <t>Distribution from operations</t>
  </si>
  <si>
    <t>LP Distribution</t>
  </si>
  <si>
    <t>GP Distribution</t>
  </si>
  <si>
    <t>LP's Equity</t>
  </si>
  <si>
    <t>GP's Equity</t>
  </si>
  <si>
    <t>Cash flow at beginning of Tier</t>
  </si>
  <si>
    <t>Capital Account for LP</t>
  </si>
  <si>
    <t>BOP Balance</t>
  </si>
  <si>
    <t>Repayment to LP</t>
  </si>
  <si>
    <t>EOP Balance after repayment</t>
  </si>
  <si>
    <t>Capital Account for GP</t>
  </si>
  <si>
    <t>Repayment to GP</t>
  </si>
  <si>
    <t>IRR Doublecheck LP</t>
  </si>
  <si>
    <t>IRR Doublecheck GP</t>
  </si>
  <si>
    <t>Repayment to LP and GP</t>
  </si>
  <si>
    <t>Payment from Tier 1 to LP</t>
  </si>
  <si>
    <t>Overflow from Tier 1</t>
  </si>
  <si>
    <t>Deal IRR</t>
  </si>
  <si>
    <t>Preferred Returns</t>
  </si>
  <si>
    <t>Return on Capital</t>
  </si>
  <si>
    <t>Cash flow that flows to next Tier</t>
  </si>
  <si>
    <t>Payment from Tier 2 to LP</t>
  </si>
  <si>
    <t>Overflow from Tier 2</t>
  </si>
  <si>
    <t>Consolidation</t>
  </si>
  <si>
    <t>Sources and Uses Table</t>
  </si>
  <si>
    <t>Returns</t>
  </si>
  <si>
    <t>Data Table</t>
  </si>
  <si>
    <t>(Adjustments made in tenants cashflows - NNN)</t>
  </si>
  <si>
    <t>Tenant rent</t>
  </si>
  <si>
    <t>Note : I tried working on sensitivity table using what-if analysis analysis --&gt; Data table; but it showed error of this format. So tried to work manually. As sensitive change in the input variable did impact IRR</t>
  </si>
  <si>
    <t>GP/LP Consolidation</t>
  </si>
  <si>
    <t>Amortisation period consideration (25 years)</t>
  </si>
  <si>
    <t xml:space="preserve">PRIVATE EQUITY ANALYST MODELING TEST </t>
  </si>
  <si>
    <t>Sheets :</t>
  </si>
  <si>
    <t>Introduction Sheet</t>
  </si>
  <si>
    <t>Results Sheet</t>
  </si>
  <si>
    <t>Operating assumptions</t>
  </si>
  <si>
    <t>Leasing Adjustment</t>
  </si>
  <si>
    <t>Sources &amp; Uses</t>
  </si>
  <si>
    <t>Data Tables</t>
  </si>
  <si>
    <t>GP LP</t>
  </si>
  <si>
    <t>Name : Sagar Marathe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</si>
</sst>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0.0%"/>
    <numFmt numFmtId="167" formatCode="[$$-409]#,##0_);\([$$-409]#,##0\)"/>
    <numFmt numFmtId="168" formatCode="0.00\ &quot;x&quot;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IDFont+F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IDFont+F1"/>
    </font>
    <font>
      <b/>
      <sz val="10"/>
      <color theme="1"/>
      <name val="CIDFont+F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theme="0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/>
      <bottom style="thin">
        <color auto="1"/>
      </bottom>
      <diagonal/>
    </border>
    <border>
      <left style="medium">
        <color theme="0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0"/>
      </left>
      <right/>
      <top/>
      <bottom style="thin">
        <color theme="1"/>
      </bottom>
      <diagonal/>
    </border>
    <border>
      <left style="thick">
        <color theme="0"/>
      </left>
      <right style="thick">
        <color theme="0"/>
      </right>
      <top/>
      <bottom style="thin">
        <color theme="1"/>
      </bottom>
      <diagonal/>
    </border>
    <border>
      <left/>
      <right style="thick">
        <color theme="0"/>
      </right>
      <top/>
      <bottom style="thin">
        <color theme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1" fillId="0" borderId="0" xfId="0" applyFont="1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10" fontId="0" fillId="0" borderId="0" xfId="0" applyNumberFormat="1"/>
    <xf numFmtId="43" fontId="0" fillId="0" borderId="0" xfId="0" applyNumberFormat="1"/>
    <xf numFmtId="9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1" fillId="0" borderId="1" xfId="0" applyFont="1" applyBorder="1"/>
    <xf numFmtId="9" fontId="4" fillId="0" borderId="1" xfId="0" applyNumberFormat="1" applyFont="1" applyBorder="1"/>
    <xf numFmtId="9" fontId="4" fillId="0" borderId="1" xfId="2" applyFont="1" applyBorder="1"/>
    <xf numFmtId="164" fontId="4" fillId="0" borderId="1" xfId="1" applyNumberFormat="1" applyFont="1" applyBorder="1"/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/>
    <xf numFmtId="10" fontId="4" fillId="0" borderId="1" xfId="0" applyNumberFormat="1" applyFont="1" applyBorder="1"/>
    <xf numFmtId="166" fontId="4" fillId="0" borderId="0" xfId="2" applyNumberFormat="1" applyFont="1"/>
    <xf numFmtId="9" fontId="4" fillId="0" borderId="0" xfId="2" applyFont="1"/>
    <xf numFmtId="0" fontId="5" fillId="0" borderId="0" xfId="0" applyFont="1"/>
    <xf numFmtId="0" fontId="6" fillId="0" borderId="0" xfId="0" applyFont="1"/>
    <xf numFmtId="0" fontId="0" fillId="0" borderId="3" xfId="0" applyBorder="1"/>
    <xf numFmtId="0" fontId="4" fillId="0" borderId="4" xfId="0" applyFon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4" fillId="0" borderId="7" xfId="0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0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0" fontId="0" fillId="0" borderId="9" xfId="0" applyBorder="1"/>
    <xf numFmtId="0" fontId="0" fillId="3" borderId="1" xfId="0" applyFill="1" applyBorder="1"/>
    <xf numFmtId="164" fontId="0" fillId="3" borderId="1" xfId="0" applyNumberFormat="1" applyFill="1" applyBorder="1"/>
    <xf numFmtId="0" fontId="4" fillId="3" borderId="1" xfId="0" applyFont="1" applyFill="1" applyBorder="1"/>
    <xf numFmtId="10" fontId="0" fillId="0" borderId="0" xfId="2" applyNumberFormat="1" applyFont="1" applyFill="1" applyBorder="1"/>
    <xf numFmtId="0" fontId="1" fillId="0" borderId="0" xfId="0" applyFont="1" applyAlignment="1">
      <alignment horizontal="center" vertical="top"/>
    </xf>
    <xf numFmtId="9" fontId="4" fillId="0" borderId="0" xfId="0" applyNumberFormat="1" applyFont="1"/>
    <xf numFmtId="164" fontId="0" fillId="0" borderId="0" xfId="1" applyNumberFormat="1" applyFont="1" applyBorder="1"/>
    <xf numFmtId="0" fontId="7" fillId="0" borderId="0" xfId="0" applyFont="1"/>
    <xf numFmtId="167" fontId="0" fillId="0" borderId="0" xfId="0" applyNumberFormat="1"/>
    <xf numFmtId="0" fontId="8" fillId="0" borderId="0" xfId="0" applyFont="1"/>
    <xf numFmtId="0" fontId="0" fillId="0" borderId="10" xfId="1" applyNumberFormat="1" applyFont="1" applyBorder="1"/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165" fontId="0" fillId="0" borderId="3" xfId="0" applyNumberForma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8" xfId="1" applyNumberFormat="1" applyFont="1" applyBorder="1" applyAlignment="1"/>
    <xf numFmtId="164" fontId="0" fillId="0" borderId="6" xfId="1" applyNumberFormat="1" applyFont="1" applyBorder="1" applyAlignment="1"/>
    <xf numFmtId="168" fontId="0" fillId="0" borderId="0" xfId="0" applyNumberFormat="1"/>
    <xf numFmtId="10" fontId="0" fillId="0" borderId="0" xfId="2" applyNumberFormat="1" applyFont="1"/>
    <xf numFmtId="0" fontId="0" fillId="0" borderId="7" xfId="0" applyBorder="1"/>
    <xf numFmtId="0" fontId="0" fillId="0" borderId="8" xfId="0" applyBorder="1"/>
    <xf numFmtId="167" fontId="0" fillId="0" borderId="20" xfId="0" applyNumberFormat="1" applyBorder="1"/>
    <xf numFmtId="167" fontId="0" fillId="0" borderId="21" xfId="0" applyNumberFormat="1" applyBorder="1"/>
    <xf numFmtId="167" fontId="0" fillId="0" borderId="4" xfId="0" applyNumberFormat="1" applyBorder="1"/>
    <xf numFmtId="167" fontId="0" fillId="0" borderId="23" xfId="0" applyNumberFormat="1" applyBorder="1"/>
    <xf numFmtId="167" fontId="0" fillId="0" borderId="5" xfId="0" applyNumberFormat="1" applyBorder="1"/>
    <xf numFmtId="0" fontId="0" fillId="0" borderId="24" xfId="1" applyNumberFormat="1" applyFont="1" applyBorder="1"/>
    <xf numFmtId="0" fontId="0" fillId="0" borderId="25" xfId="1" applyNumberFormat="1" applyFont="1" applyBorder="1"/>
    <xf numFmtId="164" fontId="0" fillId="0" borderId="25" xfId="1" applyNumberFormat="1" applyFon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7" xfId="2" applyNumberFormat="1" applyFont="1" applyBorder="1"/>
    <xf numFmtId="10" fontId="0" fillId="0" borderId="8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7" xfId="0" applyBorder="1"/>
    <xf numFmtId="0" fontId="0" fillId="0" borderId="1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0" fillId="0" borderId="9" xfId="0" applyNumberFormat="1" applyBorder="1"/>
    <xf numFmtId="0" fontId="0" fillId="0" borderId="32" xfId="0" applyBorder="1"/>
    <xf numFmtId="164" fontId="0" fillId="0" borderId="33" xfId="1" applyNumberFormat="1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9" xfId="0" applyFont="1" applyBorder="1"/>
    <xf numFmtId="9" fontId="12" fillId="0" borderId="9" xfId="2" applyFont="1" applyBorder="1" applyAlignment="1">
      <alignment horizontal="left"/>
    </xf>
    <xf numFmtId="9" fontId="11" fillId="0" borderId="9" xfId="2" applyFont="1" applyBorder="1" applyAlignment="1">
      <alignment horizontal="left"/>
    </xf>
    <xf numFmtId="0" fontId="13" fillId="0" borderId="16" xfId="0" applyFont="1" applyBorder="1"/>
    <xf numFmtId="0" fontId="14" fillId="0" borderId="16" xfId="0" applyFont="1" applyBorder="1"/>
    <xf numFmtId="9" fontId="15" fillId="0" borderId="16" xfId="2" applyFont="1" applyBorder="1" applyAlignment="1">
      <alignment horizontal="left"/>
    </xf>
    <xf numFmtId="9" fontId="11" fillId="0" borderId="0" xfId="2" applyFont="1" applyBorder="1" applyAlignment="1">
      <alignment horizontal="left"/>
    </xf>
    <xf numFmtId="0" fontId="16" fillId="0" borderId="0" xfId="0" applyFont="1"/>
    <xf numFmtId="0" fontId="17" fillId="2" borderId="13" xfId="0" applyFont="1" applyFill="1" applyBorder="1" applyAlignment="1">
      <alignment horizontal="centerContinuous"/>
    </xf>
    <xf numFmtId="0" fontId="17" fillId="2" borderId="14" xfId="0" applyFont="1" applyFill="1" applyBorder="1" applyAlignment="1">
      <alignment horizontal="centerContinuous"/>
    </xf>
    <xf numFmtId="0" fontId="17" fillId="2" borderId="15" xfId="0" applyFont="1" applyFill="1" applyBorder="1" applyAlignment="1">
      <alignment horizontal="centerContinuous"/>
    </xf>
    <xf numFmtId="0" fontId="16" fillId="0" borderId="2" xfId="0" applyFont="1" applyBorder="1"/>
    <xf numFmtId="164" fontId="18" fillId="0" borderId="4" xfId="1" applyNumberFormat="1" applyFont="1" applyFill="1" applyBorder="1" applyAlignment="1">
      <alignment horizontal="centerContinuous"/>
    </xf>
    <xf numFmtId="164" fontId="0" fillId="0" borderId="4" xfId="1" applyNumberFormat="1" applyFont="1" applyFill="1" applyBorder="1" applyAlignment="1">
      <alignment horizontal="centerContinuous"/>
    </xf>
    <xf numFmtId="0" fontId="16" fillId="0" borderId="17" xfId="0" applyFont="1" applyBorder="1"/>
    <xf numFmtId="0" fontId="11" fillId="0" borderId="18" xfId="0" applyFont="1" applyBorder="1"/>
    <xf numFmtId="164" fontId="18" fillId="0" borderId="19" xfId="1" applyNumberFormat="1" applyFont="1" applyFill="1" applyBorder="1" applyAlignment="1">
      <alignment horizontal="centerContinuous"/>
    </xf>
    <xf numFmtId="164" fontId="0" fillId="0" borderId="19" xfId="1" applyNumberFormat="1" applyFont="1" applyFill="1" applyBorder="1" applyAlignment="1">
      <alignment horizontal="centerContinuous"/>
    </xf>
    <xf numFmtId="0" fontId="16" fillId="0" borderId="20" xfId="0" applyFont="1" applyBorder="1"/>
    <xf numFmtId="0" fontId="11" fillId="0" borderId="34" xfId="0" applyFont="1" applyBorder="1"/>
    <xf numFmtId="0" fontId="1" fillId="0" borderId="2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10" fontId="0" fillId="0" borderId="35" xfId="0" applyNumberFormat="1" applyBorder="1"/>
    <xf numFmtId="10" fontId="0" fillId="0" borderId="36" xfId="0" applyNumberFormat="1" applyBorder="1"/>
    <xf numFmtId="10" fontId="0" fillId="0" borderId="37" xfId="0" applyNumberFormat="1" applyBorder="1"/>
    <xf numFmtId="10" fontId="0" fillId="0" borderId="35" xfId="2" applyNumberFormat="1" applyFont="1" applyBorder="1"/>
    <xf numFmtId="10" fontId="0" fillId="0" borderId="36" xfId="2" applyNumberFormat="1" applyFont="1" applyBorder="1"/>
    <xf numFmtId="10" fontId="0" fillId="0" borderId="37" xfId="2" applyNumberFormat="1" applyFont="1" applyBorder="1"/>
    <xf numFmtId="1" fontId="0" fillId="0" borderId="35" xfId="2" applyNumberFormat="1" applyFont="1" applyBorder="1"/>
    <xf numFmtId="1" fontId="0" fillId="0" borderId="36" xfId="2" applyNumberFormat="1" applyFont="1" applyBorder="1"/>
    <xf numFmtId="1" fontId="0" fillId="0" borderId="37" xfId="2" applyNumberFormat="1" applyFont="1" applyBorder="1"/>
    <xf numFmtId="164" fontId="0" fillId="0" borderId="6" xfId="0" applyNumberFormat="1" applyBorder="1"/>
    <xf numFmtId="0" fontId="0" fillId="0" borderId="22" xfId="0" applyBorder="1"/>
    <xf numFmtId="0" fontId="4" fillId="0" borderId="23" xfId="0" applyFont="1" applyBorder="1"/>
    <xf numFmtId="166" fontId="4" fillId="0" borderId="23" xfId="2" applyNumberFormat="1" applyFont="1" applyBorder="1"/>
    <xf numFmtId="9" fontId="4" fillId="0" borderId="23" xfId="2" applyFont="1" applyBorder="1"/>
    <xf numFmtId="0" fontId="0" fillId="0" borderId="5" xfId="0" applyBorder="1"/>
    <xf numFmtId="0" fontId="4" fillId="0" borderId="14" xfId="0" applyFont="1" applyBorder="1"/>
    <xf numFmtId="166" fontId="4" fillId="0" borderId="14" xfId="2" applyNumberFormat="1" applyFont="1" applyBorder="1"/>
    <xf numFmtId="9" fontId="4" fillId="0" borderId="14" xfId="2" applyFont="1" applyBorder="1"/>
    <xf numFmtId="164" fontId="18" fillId="0" borderId="0" xfId="1" applyNumberFormat="1" applyFont="1"/>
    <xf numFmtId="10" fontId="18" fillId="0" borderId="0" xfId="2" applyNumberFormat="1" applyFont="1"/>
    <xf numFmtId="164" fontId="18" fillId="0" borderId="3" xfId="1" applyNumberFormat="1" applyFont="1" applyBorder="1"/>
    <xf numFmtId="10" fontId="18" fillId="0" borderId="4" xfId="2" applyNumberFormat="1" applyFont="1" applyBorder="1"/>
    <xf numFmtId="164" fontId="18" fillId="0" borderId="0" xfId="1" applyNumberFormat="1" applyFont="1" applyBorder="1"/>
    <xf numFmtId="164" fontId="18" fillId="0" borderId="39" xfId="1" applyNumberFormat="1" applyFont="1" applyBorder="1"/>
    <xf numFmtId="164" fontId="18" fillId="0" borderId="38" xfId="1" applyNumberFormat="1" applyFont="1" applyBorder="1"/>
    <xf numFmtId="165" fontId="1" fillId="0" borderId="0" xfId="0" applyNumberFormat="1" applyFont="1"/>
    <xf numFmtId="164" fontId="18" fillId="0" borderId="1" xfId="1" applyNumberFormat="1" applyFont="1" applyBorder="1"/>
    <xf numFmtId="164" fontId="18" fillId="0" borderId="10" xfId="1" applyNumberFormat="1" applyFont="1" applyBorder="1"/>
    <xf numFmtId="0" fontId="0" fillId="3" borderId="0" xfId="0" applyFill="1"/>
    <xf numFmtId="164" fontId="18" fillId="0" borderId="40" xfId="1" applyNumberFormat="1" applyFont="1" applyBorder="1"/>
    <xf numFmtId="164" fontId="18" fillId="0" borderId="16" xfId="1" applyNumberFormat="1" applyFont="1" applyBorder="1"/>
    <xf numFmtId="164" fontId="18" fillId="0" borderId="28" xfId="1" applyNumberFormat="1" applyFont="1" applyBorder="1"/>
    <xf numFmtId="164" fontId="18" fillId="0" borderId="30" xfId="1" applyNumberFormat="1" applyFont="1" applyBorder="1"/>
    <xf numFmtId="164" fontId="18" fillId="0" borderId="9" xfId="1" applyNumberFormat="1" applyFont="1" applyBorder="1"/>
    <xf numFmtId="164" fontId="0" fillId="0" borderId="32" xfId="0" applyNumberFormat="1" applyBorder="1"/>
    <xf numFmtId="164" fontId="0" fillId="0" borderId="30" xfId="0" applyNumberFormat="1" applyBorder="1"/>
    <xf numFmtId="10" fontId="0" fillId="0" borderId="26" xfId="0" applyNumberFormat="1" applyBorder="1"/>
    <xf numFmtId="10" fontId="0" fillId="0" borderId="16" xfId="0" applyNumberFormat="1" applyBorder="1"/>
    <xf numFmtId="10" fontId="0" fillId="0" borderId="9" xfId="0" applyNumberFormat="1" applyBorder="1"/>
    <xf numFmtId="10" fontId="1" fillId="0" borderId="0" xfId="0" applyNumberFormat="1" applyFont="1"/>
    <xf numFmtId="10" fontId="0" fillId="4" borderId="0" xfId="0" applyNumberFormat="1" applyFill="1"/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164" fontId="0" fillId="0" borderId="0" xfId="1" applyNumberFormat="1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43" fontId="0" fillId="0" borderId="0" xfId="1" applyFont="1"/>
    <xf numFmtId="0" fontId="1" fillId="0" borderId="35" xfId="0" applyFont="1" applyBorder="1" applyAlignment="1">
      <alignment horizontal="center"/>
    </xf>
    <xf numFmtId="0" fontId="0" fillId="0" borderId="36" xfId="0" applyBorder="1"/>
    <xf numFmtId="10" fontId="1" fillId="0" borderId="36" xfId="0" applyNumberFormat="1" applyFont="1" applyBorder="1"/>
    <xf numFmtId="0" fontId="0" fillId="0" borderId="0" xfId="0" applyBorder="1"/>
    <xf numFmtId="10" fontId="0" fillId="0" borderId="0" xfId="0" applyNumberFormat="1" applyBorder="1"/>
    <xf numFmtId="10" fontId="0" fillId="4" borderId="26" xfId="0" applyNumberFormat="1" applyFont="1" applyFill="1" applyBorder="1"/>
    <xf numFmtId="10" fontId="0" fillId="4" borderId="26" xfId="0" applyNumberFormat="1" applyFill="1" applyBorder="1"/>
    <xf numFmtId="0" fontId="7" fillId="0" borderId="27" xfId="0" applyFont="1" applyBorder="1"/>
    <xf numFmtId="10" fontId="9" fillId="0" borderId="35" xfId="0" applyNumberFormat="1" applyFont="1" applyBorder="1"/>
    <xf numFmtId="0" fontId="7" fillId="0" borderId="29" xfId="0" applyFont="1" applyBorder="1"/>
    <xf numFmtId="10" fontId="9" fillId="0" borderId="36" xfId="0" applyNumberFormat="1" applyFont="1" applyBorder="1"/>
    <xf numFmtId="168" fontId="9" fillId="0" borderId="36" xfId="0" applyNumberFormat="1" applyFont="1" applyBorder="1"/>
    <xf numFmtId="10" fontId="20" fillId="0" borderId="36" xfId="0" applyNumberFormat="1" applyFont="1" applyBorder="1"/>
    <xf numFmtId="0" fontId="7" fillId="0" borderId="31" xfId="0" applyFont="1" applyBorder="1"/>
    <xf numFmtId="10" fontId="9" fillId="0" borderId="37" xfId="0" applyNumberFormat="1" applyFont="1" applyBorder="1"/>
    <xf numFmtId="0" fontId="21" fillId="0" borderId="0" xfId="0" applyFont="1"/>
    <xf numFmtId="0" fontId="19" fillId="0" borderId="0" xfId="0" applyFont="1"/>
    <xf numFmtId="0" fontId="22" fillId="0" borderId="0" xfId="0" applyFont="1"/>
    <xf numFmtId="0" fontId="23" fillId="0" borderId="0" xfId="0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gar Marathe" id="{502398E3-93FF-814E-82E1-A6BE6CA9A773}" userId="S::sm3015@scarletmail.rutgers.edu::f464ecd4-5643-479f-9bc9-134acab2dd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4-12-12T20:49:37.70" personId="{502398E3-93FF-814E-82E1-A6BE6CA9A773}" id="{0C058BF9-0504-974E-970C-0CAB6F6ADDF2}">
    <text xml:space="preserve">Assumption ; debt repayment over 25 years 
As equity used prior so repayment will be earlier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4-12-13T21:01:43.77" personId="{502398E3-93FF-814E-82E1-A6BE6CA9A773}" id="{AC5F3578-CAE8-6A43-A50D-8C5D17D9629D}">
    <text xml:space="preserve">From Amortisation Schedule sheet </text>
  </threadedComment>
  <threadedComment ref="A13" dT="2024-12-13T21:02:13.52" personId="{502398E3-93FF-814E-82E1-A6BE6CA9A773}" id="{D25A3F2C-D63A-7D46-8469-B296397F1A27}">
    <text xml:space="preserve">From Amortisation Schedule sheet </text>
  </threadedComment>
  <threadedComment ref="A27" dT="2024-12-12T21:53:57.16" personId="{502398E3-93FF-814E-82E1-A6BE6CA9A773}" id="{2BE1674A-88AF-8C4C-94DE-BEC1E00D944B}">
    <text>To current date (12/31/23)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AEC4-229C-4441-8F4F-478E8A03F3AF}">
  <dimension ref="A1:E27"/>
  <sheetViews>
    <sheetView tabSelected="1" workbookViewId="0">
      <selection activeCell="H19" sqref="H19"/>
    </sheetView>
  </sheetViews>
  <sheetFormatPr baseColWidth="10" defaultRowHeight="15"/>
  <sheetData>
    <row r="1" spans="1:5" ht="21">
      <c r="A1" s="23" t="s">
        <v>87</v>
      </c>
    </row>
    <row r="3" spans="1:5" ht="16">
      <c r="A3" s="182" t="s">
        <v>185</v>
      </c>
      <c r="B3" s="183"/>
      <c r="C3" s="183"/>
      <c r="D3" s="183"/>
      <c r="E3" s="183"/>
    </row>
    <row r="4" spans="1:5" ht="16">
      <c r="A4" s="182"/>
      <c r="B4" s="183"/>
      <c r="C4" s="183"/>
      <c r="D4" s="183"/>
      <c r="E4" s="183"/>
    </row>
    <row r="5" spans="1:5" ht="16">
      <c r="A5" s="182" t="s">
        <v>194</v>
      </c>
      <c r="B5" s="183"/>
      <c r="C5" s="183"/>
      <c r="D5" s="183"/>
      <c r="E5" s="183"/>
    </row>
    <row r="6" spans="1:5" ht="16">
      <c r="A6" s="182"/>
      <c r="B6" s="183"/>
      <c r="C6" s="183"/>
      <c r="D6" s="183"/>
      <c r="E6" s="183"/>
    </row>
    <row r="7" spans="1:5">
      <c r="A7" s="185" t="s">
        <v>86</v>
      </c>
    </row>
    <row r="8" spans="1:5">
      <c r="A8" s="22" t="s">
        <v>85</v>
      </c>
    </row>
    <row r="9" spans="1:5">
      <c r="A9" s="22" t="s">
        <v>80</v>
      </c>
    </row>
    <row r="10" spans="1:5">
      <c r="A10" s="22" t="s">
        <v>81</v>
      </c>
    </row>
    <row r="11" spans="1:5">
      <c r="A11" s="22" t="s">
        <v>83</v>
      </c>
    </row>
    <row r="12" spans="1:5">
      <c r="A12" t="s">
        <v>82</v>
      </c>
    </row>
    <row r="13" spans="1:5">
      <c r="A13" t="s">
        <v>84</v>
      </c>
    </row>
    <row r="15" spans="1:5">
      <c r="A15" t="s">
        <v>112</v>
      </c>
      <c r="B15" t="s">
        <v>113</v>
      </c>
    </row>
    <row r="16" spans="1:5">
      <c r="B16" t="s">
        <v>184</v>
      </c>
    </row>
    <row r="19" spans="1:2">
      <c r="A19" s="3" t="s">
        <v>186</v>
      </c>
      <c r="B19" s="184" t="s">
        <v>187</v>
      </c>
    </row>
    <row r="20" spans="1:2">
      <c r="B20" s="184" t="s">
        <v>188</v>
      </c>
    </row>
    <row r="21" spans="1:2">
      <c r="B21" s="184" t="s">
        <v>189</v>
      </c>
    </row>
    <row r="22" spans="1:2">
      <c r="B22" s="184" t="s">
        <v>190</v>
      </c>
    </row>
    <row r="23" spans="1:2">
      <c r="B23" s="184" t="s">
        <v>142</v>
      </c>
    </row>
    <row r="24" spans="1:2">
      <c r="B24" s="184" t="s">
        <v>191</v>
      </c>
    </row>
    <row r="25" spans="1:2">
      <c r="B25" s="184" t="s">
        <v>123</v>
      </c>
    </row>
    <row r="26" spans="1:2">
      <c r="B26" s="184" t="s">
        <v>192</v>
      </c>
    </row>
    <row r="27" spans="1:2">
      <c r="B27" s="18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F422-36F3-0E4F-AF08-2A0BCEEA1E9E}">
  <dimension ref="A2:V47"/>
  <sheetViews>
    <sheetView zoomScale="90" zoomScaleNormal="90" workbookViewId="0">
      <selection activeCell="B14" sqref="B14:B18"/>
    </sheetView>
  </sheetViews>
  <sheetFormatPr baseColWidth="10" defaultRowHeight="15"/>
  <cols>
    <col min="1" max="1" width="12.83203125" customWidth="1"/>
    <col min="2" max="2" width="24.5" bestFit="1" customWidth="1"/>
    <col min="3" max="3" width="11" bestFit="1" customWidth="1"/>
    <col min="4" max="4" width="14.1640625" bestFit="1" customWidth="1"/>
    <col min="5" max="7" width="11" bestFit="1" customWidth="1"/>
    <col min="8" max="8" width="12.6640625" customWidth="1"/>
    <col min="9" max="9" width="14.1640625" bestFit="1" customWidth="1"/>
    <col min="10" max="10" width="13.1640625" bestFit="1" customWidth="1"/>
    <col min="11" max="14" width="12.6640625" bestFit="1" customWidth="1"/>
    <col min="15" max="15" width="12.5" customWidth="1"/>
    <col min="16" max="18" width="11" bestFit="1" customWidth="1"/>
  </cols>
  <sheetData>
    <row r="2" spans="1:14" ht="19">
      <c r="A2" s="43" t="s">
        <v>177</v>
      </c>
    </row>
    <row r="3" spans="1:14">
      <c r="B3" s="99"/>
      <c r="C3" s="99"/>
      <c r="D3" s="99"/>
      <c r="E3" s="99"/>
      <c r="F3" s="99"/>
      <c r="G3" s="99"/>
    </row>
    <row r="4" spans="1:14">
      <c r="B4" s="100" t="s">
        <v>94</v>
      </c>
      <c r="C4" s="101"/>
      <c r="D4" s="101"/>
      <c r="E4" s="101"/>
      <c r="F4" s="101"/>
      <c r="G4" s="102"/>
      <c r="I4" s="100" t="s">
        <v>97</v>
      </c>
      <c r="J4" s="101"/>
      <c r="K4" s="101"/>
      <c r="L4" s="101"/>
      <c r="M4" s="101"/>
      <c r="N4" s="102"/>
    </row>
    <row r="5" spans="1:14">
      <c r="B5" s="155" t="s">
        <v>1</v>
      </c>
      <c r="C5" s="156"/>
      <c r="D5" s="156"/>
      <c r="E5" s="156"/>
      <c r="F5" s="110"/>
      <c r="G5" s="104">
        <v>55900000</v>
      </c>
      <c r="I5" s="155" t="s">
        <v>5</v>
      </c>
      <c r="J5" s="156"/>
      <c r="K5" s="156"/>
      <c r="L5" s="156"/>
      <c r="M5" s="112"/>
      <c r="N5" s="104">
        <v>16000000</v>
      </c>
    </row>
    <row r="6" spans="1:14" ht="16" thickBot="1">
      <c r="B6" s="155" t="s">
        <v>2</v>
      </c>
      <c r="C6" s="156"/>
      <c r="D6" s="156"/>
      <c r="E6" s="156"/>
      <c r="F6" s="103"/>
      <c r="G6" s="105">
        <v>32336000</v>
      </c>
      <c r="I6" s="155" t="s">
        <v>6</v>
      </c>
      <c r="J6" s="156"/>
      <c r="K6" s="156"/>
      <c r="L6" s="156"/>
      <c r="M6" s="113"/>
      <c r="N6" s="104">
        <v>10000000</v>
      </c>
    </row>
    <row r="7" spans="1:14" ht="16" thickBot="1">
      <c r="B7" s="106"/>
      <c r="C7" s="107" t="s">
        <v>95</v>
      </c>
      <c r="D7" s="107"/>
      <c r="E7" s="107"/>
      <c r="F7" s="111"/>
      <c r="G7" s="108">
        <v>88236000</v>
      </c>
      <c r="I7" s="155" t="s">
        <v>7</v>
      </c>
      <c r="J7" s="156"/>
      <c r="K7" s="156"/>
      <c r="L7" s="156"/>
      <c r="M7" s="103"/>
      <c r="N7" s="104">
        <v>20000000</v>
      </c>
    </row>
    <row r="8" spans="1:14">
      <c r="B8" s="99"/>
      <c r="C8" s="99"/>
      <c r="D8" s="99"/>
      <c r="E8" s="99"/>
      <c r="F8" s="99"/>
      <c r="G8" s="104"/>
      <c r="I8" s="155" t="s">
        <v>8</v>
      </c>
      <c r="J8" s="156"/>
      <c r="K8" s="156"/>
      <c r="L8" s="156"/>
      <c r="M8" s="103"/>
      <c r="N8" s="104">
        <v>40000000</v>
      </c>
    </row>
    <row r="9" spans="1:14">
      <c r="B9" s="99"/>
      <c r="C9" s="99"/>
      <c r="D9" s="99"/>
      <c r="E9" s="99"/>
      <c r="F9" s="99"/>
      <c r="G9" s="104"/>
      <c r="I9" s="155" t="s">
        <v>100</v>
      </c>
      <c r="J9" s="156"/>
      <c r="K9" s="156"/>
      <c r="L9" s="156"/>
      <c r="M9" s="103"/>
      <c r="N9" s="104">
        <v>1397500</v>
      </c>
    </row>
    <row r="10" spans="1:14" ht="16" thickBot="1">
      <c r="I10" s="155" t="s">
        <v>101</v>
      </c>
      <c r="J10" s="156"/>
      <c r="K10" s="156"/>
      <c r="L10" s="156"/>
      <c r="M10" s="103"/>
      <c r="N10" s="104">
        <v>838500</v>
      </c>
    </row>
    <row r="11" spans="1:14" ht="16" thickBot="1">
      <c r="I11" s="106"/>
      <c r="J11" s="107" t="s">
        <v>95</v>
      </c>
      <c r="K11" s="107"/>
      <c r="L11" s="107"/>
      <c r="M11" s="111"/>
      <c r="N11" s="109">
        <v>88236000</v>
      </c>
    </row>
    <row r="13" spans="1:14" ht="20" thickBot="1">
      <c r="A13" s="43" t="s">
        <v>178</v>
      </c>
    </row>
    <row r="14" spans="1:14" ht="19">
      <c r="B14" s="174" t="s">
        <v>120</v>
      </c>
      <c r="C14" s="175">
        <f>'Return Analysis'!C15</f>
        <v>0.11643509730385637</v>
      </c>
    </row>
    <row r="15" spans="1:14" ht="19">
      <c r="B15" s="176" t="s">
        <v>119</v>
      </c>
      <c r="C15" s="177">
        <f>'Return Analysis'!C26</f>
        <v>0.14804067762086315</v>
      </c>
    </row>
    <row r="16" spans="1:14" ht="19">
      <c r="B16" s="176" t="s">
        <v>131</v>
      </c>
      <c r="C16" s="178">
        <f>'Return Analysis'!C28</f>
        <v>5.4656633022944217</v>
      </c>
    </row>
    <row r="17" spans="1:22" ht="19">
      <c r="B17" s="176" t="s">
        <v>132</v>
      </c>
      <c r="C17" s="179">
        <f>'Return Analysis'!C30</f>
        <v>0.11978197674418603</v>
      </c>
      <c r="D17" s="99"/>
      <c r="E17" s="99"/>
      <c r="F17" s="99"/>
      <c r="G17" s="99"/>
    </row>
    <row r="18" spans="1:22" ht="20" thickBot="1">
      <c r="B18" s="180" t="s">
        <v>133</v>
      </c>
      <c r="C18" s="181">
        <f>'Return Analysis'!C32</f>
        <v>6.893460990620795E-2</v>
      </c>
    </row>
    <row r="21" spans="1:22" ht="19">
      <c r="A21" s="43" t="s">
        <v>179</v>
      </c>
    </row>
    <row r="23" spans="1:22" ht="16" thickBot="1">
      <c r="D23" t="str">
        <f>'Data Tables'!H10</f>
        <v>Tenant 1 rent ($/SF)</v>
      </c>
      <c r="K23" t="s">
        <v>140</v>
      </c>
      <c r="S23" t="s">
        <v>138</v>
      </c>
    </row>
    <row r="24" spans="1:22" ht="16" thickBot="1">
      <c r="B24" s="59">
        <f>'Data Tables'!F11</f>
        <v>0.14804067762086315</v>
      </c>
      <c r="C24" s="77">
        <f>'Data Tables'!G11</f>
        <v>46</v>
      </c>
      <c r="D24" s="78">
        <f>'Data Tables'!H11</f>
        <v>47</v>
      </c>
      <c r="E24" s="78">
        <f>'Data Tables'!I11</f>
        <v>48</v>
      </c>
      <c r="F24" s="78">
        <f>'Data Tables'!J11</f>
        <v>49</v>
      </c>
      <c r="G24" s="79">
        <f>'Data Tables'!K11</f>
        <v>50</v>
      </c>
      <c r="I24" s="59">
        <f>'Data Tables'!F21</f>
        <v>0.14804067762086315</v>
      </c>
      <c r="J24" s="77">
        <f>'Data Tables'!G21</f>
        <v>70</v>
      </c>
      <c r="K24" s="78">
        <f>'Data Tables'!H21</f>
        <v>75</v>
      </c>
      <c r="L24" s="78">
        <f>'Data Tables'!I21</f>
        <v>80</v>
      </c>
      <c r="M24" s="78">
        <f>'Data Tables'!J21</f>
        <v>85</v>
      </c>
      <c r="N24" s="79">
        <f>'Data Tables'!K21</f>
        <v>90</v>
      </c>
      <c r="Q24" s="59">
        <f>'Data Tables'!F29</f>
        <v>0.14804067762086315</v>
      </c>
      <c r="R24" s="77">
        <f>'Data Tables'!G29</f>
        <v>56</v>
      </c>
      <c r="S24" s="78">
        <f>'Data Tables'!H29</f>
        <v>58</v>
      </c>
      <c r="T24" s="78">
        <f>'Data Tables'!I29</f>
        <v>60</v>
      </c>
      <c r="U24" s="78">
        <f>'Data Tables'!J29</f>
        <v>62</v>
      </c>
      <c r="V24" s="79">
        <f>'Data Tables'!K29</f>
        <v>64</v>
      </c>
    </row>
    <row r="25" spans="1:22">
      <c r="B25" s="117">
        <f>'Data Tables'!F12</f>
        <v>5.7500000000000002E-2</v>
      </c>
      <c r="C25" s="59">
        <f>'Data Tables'!G12</f>
        <v>0.13189999999999999</v>
      </c>
      <c r="D25" s="59">
        <f>'Data Tables'!H12</f>
        <v>0.1343</v>
      </c>
      <c r="E25" s="59">
        <f>'Data Tables'!I12</f>
        <v>0.1366</v>
      </c>
      <c r="F25" s="59">
        <f>'Data Tables'!J12</f>
        <v>0.13900000000000001</v>
      </c>
      <c r="G25" s="59">
        <f>'Data Tables'!K12</f>
        <v>0.14130000000000001</v>
      </c>
      <c r="I25" s="117">
        <f>'Data Tables'!F22</f>
        <v>5.4999999999999993E-2</v>
      </c>
      <c r="J25" s="59">
        <f>'Data Tables'!G22</f>
        <v>0.15260000000000001</v>
      </c>
      <c r="K25" s="59">
        <f>'Data Tables'!H22</f>
        <v>0.151</v>
      </c>
      <c r="L25" s="59">
        <f>'Data Tables'!I22</f>
        <v>0.14940000000000001</v>
      </c>
      <c r="M25" s="59">
        <f>'Data Tables'!J22</f>
        <v>0.14779999999999999</v>
      </c>
      <c r="N25" s="59">
        <f>'Data Tables'!K22</f>
        <v>0.1462</v>
      </c>
      <c r="Q25" s="120">
        <f>'Data Tables'!F30</f>
        <v>200</v>
      </c>
      <c r="R25" s="59">
        <f>'Data Tables'!G30</f>
        <v>0.1421</v>
      </c>
      <c r="S25" s="59">
        <f>'Data Tables'!H30</f>
        <v>0.14430000000000001</v>
      </c>
      <c r="T25" s="59">
        <f>'Data Tables'!I30</f>
        <v>0.14649999999999999</v>
      </c>
      <c r="U25" s="59">
        <f>'Data Tables'!J30</f>
        <v>0.1487</v>
      </c>
      <c r="V25" s="59">
        <f>'Data Tables'!K30</f>
        <v>0.15079999999999999</v>
      </c>
    </row>
    <row r="26" spans="1:22">
      <c r="A26" s="157" t="s">
        <v>137</v>
      </c>
      <c r="B26" s="118">
        <f>'Data Tables'!F13</f>
        <v>5.5E-2</v>
      </c>
      <c r="C26" s="59">
        <f>'Data Tables'!G13</f>
        <v>0.13750000000000001</v>
      </c>
      <c r="D26" s="59">
        <f>'Data Tables'!H13</f>
        <v>0.1399</v>
      </c>
      <c r="E26" s="59">
        <f>'Data Tables'!I13</f>
        <v>0.14219999999999999</v>
      </c>
      <c r="F26" s="59">
        <f>'Data Tables'!J13</f>
        <v>0.14449999999999999</v>
      </c>
      <c r="G26" s="59">
        <f>'Data Tables'!K13</f>
        <v>0.14680000000000001</v>
      </c>
      <c r="I26" s="118">
        <f>'Data Tables'!F23</f>
        <v>5.7499999999999996E-2</v>
      </c>
      <c r="J26" s="59">
        <f>'Data Tables'!G23</f>
        <v>0.15190000000000001</v>
      </c>
      <c r="K26" s="59">
        <f>'Data Tables'!H23</f>
        <v>0.15029999999999999</v>
      </c>
      <c r="L26" s="59">
        <f>'Data Tables'!I23</f>
        <v>0.1487</v>
      </c>
      <c r="M26" s="59">
        <f>'Data Tables'!J23</f>
        <v>0.14710000000000001</v>
      </c>
      <c r="N26" s="59">
        <f>'Data Tables'!K23</f>
        <v>0.14549999999999999</v>
      </c>
      <c r="Q26" s="121">
        <f>'Data Tables'!F31</f>
        <v>190</v>
      </c>
      <c r="R26" s="59">
        <f>'Data Tables'!G31</f>
        <v>0.1429</v>
      </c>
      <c r="S26" s="59">
        <f>'Data Tables'!H31</f>
        <v>0.14510000000000001</v>
      </c>
      <c r="T26" s="59">
        <f>'Data Tables'!I31</f>
        <v>0.14729999999999999</v>
      </c>
      <c r="U26" s="59">
        <f>'Data Tables'!J31</f>
        <v>0.14940000000000001</v>
      </c>
      <c r="V26" s="59">
        <f>'Data Tables'!K31</f>
        <v>0.15160000000000001</v>
      </c>
    </row>
    <row r="27" spans="1:22" ht="15" customHeight="1">
      <c r="A27" s="157"/>
      <c r="B27" s="118">
        <f>'Data Tables'!F14</f>
        <v>5.2499999999999998E-2</v>
      </c>
      <c r="C27" s="59">
        <f>'Data Tables'!G14</f>
        <v>0.1434</v>
      </c>
      <c r="D27" s="59">
        <f>'Data Tables'!H14</f>
        <v>0.1457</v>
      </c>
      <c r="E27" s="59">
        <f>'Data Tables'!I14</f>
        <v>0.14799999999999999</v>
      </c>
      <c r="F27" s="59">
        <f>'Data Tables'!J14</f>
        <v>0.15029999999999999</v>
      </c>
      <c r="G27" s="59">
        <f>'Data Tables'!K14</f>
        <v>0.15260000000000001</v>
      </c>
      <c r="H27" s="158" t="s">
        <v>136</v>
      </c>
      <c r="I27" s="118">
        <f>'Data Tables'!F24</f>
        <v>0.06</v>
      </c>
      <c r="J27" s="59">
        <f>'Data Tables'!G24</f>
        <v>0.15129999999999999</v>
      </c>
      <c r="K27" s="59">
        <f>'Data Tables'!H24</f>
        <v>0.1497</v>
      </c>
      <c r="L27" s="59">
        <f>'Data Tables'!I24</f>
        <v>0.14799999999999999</v>
      </c>
      <c r="M27" s="59">
        <f>'Data Tables'!J24</f>
        <v>0.1464</v>
      </c>
      <c r="N27" s="59">
        <f>'Data Tables'!K24</f>
        <v>0.1449</v>
      </c>
      <c r="P27" t="s">
        <v>139</v>
      </c>
      <c r="Q27" s="121">
        <f>'Data Tables'!F32</f>
        <v>180</v>
      </c>
      <c r="R27" s="59">
        <f>'Data Tables'!G32</f>
        <v>0.14360000000000001</v>
      </c>
      <c r="S27" s="59">
        <f>'Data Tables'!H32</f>
        <v>0.1459</v>
      </c>
      <c r="T27" s="59">
        <f>'Data Tables'!I32</f>
        <v>0.14799999999999999</v>
      </c>
      <c r="U27" s="59">
        <f>'Data Tables'!J32</f>
        <v>0.1502</v>
      </c>
      <c r="V27" s="59">
        <f>'Data Tables'!K32</f>
        <v>0.15229999999999999</v>
      </c>
    </row>
    <row r="28" spans="1:22">
      <c r="B28" s="118">
        <f>'Data Tables'!F15</f>
        <v>4.9999999999999996E-2</v>
      </c>
      <c r="C28" s="59">
        <f>'Data Tables'!G15</f>
        <v>0.14949999999999999</v>
      </c>
      <c r="D28" s="59">
        <f>'Data Tables'!H15</f>
        <v>0.15190000000000001</v>
      </c>
      <c r="E28" s="59">
        <f>'Data Tables'!I15</f>
        <v>0.15409999999999999</v>
      </c>
      <c r="F28" s="59">
        <f>'Data Tables'!J15</f>
        <v>0.15640000000000001</v>
      </c>
      <c r="G28" s="59">
        <f>'Data Tables'!K15</f>
        <v>0.15859999999999999</v>
      </c>
      <c r="H28" s="158"/>
      <c r="I28" s="118">
        <f>'Data Tables'!F25</f>
        <v>6.25E-2</v>
      </c>
      <c r="J28" s="59">
        <f>'Data Tables'!G25</f>
        <v>0.15060000000000001</v>
      </c>
      <c r="K28" s="59">
        <f>'Data Tables'!H25</f>
        <v>0.14899999999999999</v>
      </c>
      <c r="L28" s="59">
        <f>'Data Tables'!I25</f>
        <v>0.1474</v>
      </c>
      <c r="M28" s="59">
        <f>'Data Tables'!J25</f>
        <v>0.14580000000000001</v>
      </c>
      <c r="N28" s="59">
        <f>'Data Tables'!K25</f>
        <v>0.14419999999999999</v>
      </c>
      <c r="Q28" s="121">
        <f>'Data Tables'!F33</f>
        <v>170</v>
      </c>
      <c r="R28" s="59">
        <f>'Data Tables'!G33</f>
        <v>0.1444</v>
      </c>
      <c r="S28" s="59">
        <f>'Data Tables'!H33</f>
        <v>0.14660000000000001</v>
      </c>
      <c r="T28" s="59">
        <f>'Data Tables'!I33</f>
        <v>0.14879999999999999</v>
      </c>
      <c r="U28" s="59">
        <f>'Data Tables'!J33</f>
        <v>0.151</v>
      </c>
      <c r="V28" s="59">
        <f>'Data Tables'!K33</f>
        <v>0.15310000000000001</v>
      </c>
    </row>
    <row r="29" spans="1:22" ht="16" thickBot="1">
      <c r="B29" s="119">
        <f>'Data Tables'!F16</f>
        <v>4.7499999999999994E-2</v>
      </c>
      <c r="C29" s="59">
        <f>'Data Tables'!G16</f>
        <v>0.156</v>
      </c>
      <c r="D29" s="59">
        <f>'Data Tables'!H16</f>
        <v>0.1583</v>
      </c>
      <c r="E29" s="59">
        <f>'Data Tables'!I16</f>
        <v>0.16059999999999999</v>
      </c>
      <c r="F29" s="59">
        <f>'Data Tables'!J16</f>
        <v>0.1628</v>
      </c>
      <c r="G29" s="59">
        <f>'Data Tables'!K16</f>
        <v>0.16500000000000001</v>
      </c>
      <c r="I29" s="119">
        <f>'Data Tables'!F26</f>
        <v>6.5000000000000002E-2</v>
      </c>
      <c r="J29" s="59">
        <f>'Data Tables'!G26</f>
        <v>0.15</v>
      </c>
      <c r="K29" s="59">
        <f>'Data Tables'!H26</f>
        <v>0.14829999999999999</v>
      </c>
      <c r="L29" s="59">
        <f>'Data Tables'!I26</f>
        <v>0.1467</v>
      </c>
      <c r="M29" s="59">
        <f>'Data Tables'!J26</f>
        <v>0.14510000000000001</v>
      </c>
      <c r="N29" s="59">
        <f>'Data Tables'!K26</f>
        <v>0.14349999999999999</v>
      </c>
      <c r="Q29" s="122">
        <f>'Data Tables'!F34</f>
        <v>160</v>
      </c>
      <c r="R29" s="59">
        <f>'Data Tables'!G34</f>
        <v>0.1452</v>
      </c>
      <c r="S29" s="59">
        <f>'Data Tables'!H34</f>
        <v>0.1474</v>
      </c>
      <c r="T29" s="59">
        <f>'Data Tables'!I34</f>
        <v>0.14960000000000001</v>
      </c>
      <c r="U29" s="59">
        <f>'Data Tables'!J34</f>
        <v>0.1517</v>
      </c>
      <c r="V29" s="59">
        <f>'Data Tables'!K34</f>
        <v>0.15379999999999999</v>
      </c>
    </row>
    <row r="33" spans="1:18">
      <c r="A33" s="3" t="s">
        <v>183</v>
      </c>
    </row>
    <row r="34" spans="1:18" ht="16" thickBot="1"/>
    <row r="35" spans="1:18" ht="16" thickBot="1">
      <c r="A35" s="3" t="str">
        <f>'GP LP'!A120</f>
        <v>Consolidation</v>
      </c>
      <c r="C35" s="167" t="str">
        <f>'GP LP'!C120</f>
        <v>IRR</v>
      </c>
      <c r="Q35" s="166"/>
      <c r="R35" s="166"/>
    </row>
    <row r="36" spans="1:18" ht="16" thickBot="1">
      <c r="B36" s="142" t="str">
        <f>'GP LP'!B121</f>
        <v>Deal IRR</v>
      </c>
      <c r="C36" s="150">
        <f>'GP LP'!C121</f>
        <v>0.14804067762086315</v>
      </c>
      <c r="Q36" s="166"/>
      <c r="R36" s="166"/>
    </row>
    <row r="37" spans="1:18" ht="16" thickBot="1">
      <c r="B37" s="3" t="str">
        <f>'GP LP'!B122</f>
        <v>LP</v>
      </c>
      <c r="C37" s="168"/>
      <c r="Q37" s="166"/>
      <c r="R37" s="166"/>
    </row>
    <row r="38" spans="1:18">
      <c r="B38" s="80" t="str">
        <f>'GP LP'!B123</f>
        <v>Tier 1</v>
      </c>
      <c r="C38" s="114">
        <f>'GP LP'!C123</f>
        <v>7.9999999999999849E-2</v>
      </c>
      <c r="D38" s="144">
        <f>'GP LP'!D123</f>
        <v>-30719200</v>
      </c>
      <c r="E38" s="144">
        <f>'GP LP'!E123</f>
        <v>0</v>
      </c>
      <c r="F38" s="144">
        <f>'GP LP'!F123</f>
        <v>0</v>
      </c>
      <c r="G38" s="144">
        <f>'GP LP'!G123</f>
        <v>0</v>
      </c>
      <c r="H38" s="144">
        <f>'GP LP'!H123</f>
        <v>0</v>
      </c>
      <c r="I38" s="144">
        <f>'GP LP'!I123</f>
        <v>-21966729.870662808</v>
      </c>
      <c r="J38" s="144">
        <f>'GP LP'!J123</f>
        <v>-9426729.8706628103</v>
      </c>
      <c r="K38" s="144">
        <f>'GP LP'!K123</f>
        <v>5631957.6293371888</v>
      </c>
      <c r="L38" s="144">
        <f>'GP LP'!L123</f>
        <v>5876612.3168371869</v>
      </c>
      <c r="M38" s="144">
        <f>'GP LP'!M123</f>
        <v>6127383.3715246869</v>
      </c>
      <c r="N38" s="144">
        <f>'GP LP'!N123</f>
        <v>6384423.7025793716</v>
      </c>
      <c r="O38" s="145">
        <f>'GP LP'!O123</f>
        <v>91228270.344395071</v>
      </c>
      <c r="Q38" s="166"/>
      <c r="R38" s="166"/>
    </row>
    <row r="39" spans="1:18">
      <c r="B39" s="83" t="str">
        <f>'GP LP'!B124</f>
        <v>Tier 2</v>
      </c>
      <c r="C39" s="115">
        <f>'GP LP'!C124</f>
        <v>0.11999999999999988</v>
      </c>
      <c r="D39" s="136">
        <f>'GP LP'!D124</f>
        <v>-30719200</v>
      </c>
      <c r="E39" s="136">
        <f>'GP LP'!E124</f>
        <v>0</v>
      </c>
      <c r="F39" s="136">
        <f>'GP LP'!F124</f>
        <v>0</v>
      </c>
      <c r="G39" s="136">
        <f>'GP LP'!G124</f>
        <v>0</v>
      </c>
      <c r="H39" s="136">
        <f>'GP LP'!H124</f>
        <v>0</v>
      </c>
      <c r="I39" s="136">
        <f>'GP LP'!I124</f>
        <v>-21966729.870662808</v>
      </c>
      <c r="J39" s="136">
        <f>'GP LP'!J124</f>
        <v>-9426729.8706628103</v>
      </c>
      <c r="K39" s="136">
        <f>'GP LP'!K124</f>
        <v>5631957.6293371888</v>
      </c>
      <c r="L39" s="136">
        <f>'GP LP'!L124</f>
        <v>5876612.3168371869</v>
      </c>
      <c r="M39" s="136">
        <f>'GP LP'!M124</f>
        <v>6127383.3715246869</v>
      </c>
      <c r="N39" s="136">
        <f>'GP LP'!N124</f>
        <v>6384423.7025793716</v>
      </c>
      <c r="O39" s="146">
        <f>'GP LP'!O124</f>
        <v>134874865.87927765</v>
      </c>
      <c r="Q39" s="166"/>
      <c r="R39" s="166"/>
    </row>
    <row r="40" spans="1:18">
      <c r="B40" s="83" t="str">
        <f>'GP LP'!B125</f>
        <v>Tier 3</v>
      </c>
      <c r="C40" s="115">
        <f>'GP LP'!C125</f>
        <v>0.13723932526534055</v>
      </c>
      <c r="D40" s="136">
        <f>'GP LP'!D125</f>
        <v>-30719200</v>
      </c>
      <c r="E40" s="136">
        <f>'GP LP'!E125</f>
        <v>0</v>
      </c>
      <c r="F40" s="136">
        <f>'GP LP'!F125</f>
        <v>0</v>
      </c>
      <c r="G40" s="136">
        <f>'GP LP'!G125</f>
        <v>0</v>
      </c>
      <c r="H40" s="136">
        <f>'GP LP'!H125</f>
        <v>0</v>
      </c>
      <c r="I40" s="136">
        <f>'GP LP'!I125</f>
        <v>-21966729.870662808</v>
      </c>
      <c r="J40" s="136">
        <f>'GP LP'!J125</f>
        <v>-9426729.8706628103</v>
      </c>
      <c r="K40" s="136">
        <f>'GP LP'!K125</f>
        <v>5631957.6293371888</v>
      </c>
      <c r="L40" s="136">
        <f>'GP LP'!L125</f>
        <v>5876612.3168371869</v>
      </c>
      <c r="M40" s="136">
        <f>'GP LP'!M125</f>
        <v>6127383.3715246869</v>
      </c>
      <c r="N40" s="136">
        <f>'GP LP'!N125</f>
        <v>6384423.7025793716</v>
      </c>
      <c r="O40" s="146">
        <f>'GP LP'!O125</f>
        <v>158612443.78072533</v>
      </c>
      <c r="Q40" s="166"/>
      <c r="R40" s="166"/>
    </row>
    <row r="41" spans="1:18" ht="16" thickBot="1">
      <c r="B41" s="85" t="str">
        <f>'GP LP'!B126</f>
        <v>Tier 4</v>
      </c>
      <c r="C41" s="116">
        <f>'GP LP'!C126</f>
        <v>0.13723932526534055</v>
      </c>
      <c r="D41" s="147">
        <f>'GP LP'!D126</f>
        <v>-30719200</v>
      </c>
      <c r="E41" s="86">
        <f>'GP LP'!E126</f>
        <v>0</v>
      </c>
      <c r="F41" s="86">
        <f>'GP LP'!F126</f>
        <v>0</v>
      </c>
      <c r="G41" s="86">
        <f>'GP LP'!G126</f>
        <v>0</v>
      </c>
      <c r="H41" s="86">
        <f>'GP LP'!H126</f>
        <v>0</v>
      </c>
      <c r="I41" s="86">
        <f>'GP LP'!I126</f>
        <v>-21966729.870662808</v>
      </c>
      <c r="J41" s="86">
        <f>'GP LP'!J126</f>
        <v>-9426729.8706628103</v>
      </c>
      <c r="K41" s="86">
        <f>'GP LP'!K126</f>
        <v>5631957.6293371888</v>
      </c>
      <c r="L41" s="86">
        <f>'GP LP'!L126</f>
        <v>5876612.3168371869</v>
      </c>
      <c r="M41" s="86">
        <f>'GP LP'!M126</f>
        <v>6127383.3715246869</v>
      </c>
      <c r="N41" s="86">
        <f>'GP LP'!N126</f>
        <v>6384423.7025793716</v>
      </c>
      <c r="O41" s="148">
        <f>'GP LP'!O126</f>
        <v>158612443.78072533</v>
      </c>
      <c r="Q41" s="166"/>
      <c r="R41" s="166"/>
    </row>
    <row r="42" spans="1:18">
      <c r="C42" s="115"/>
      <c r="Q42" s="166"/>
      <c r="R42" s="166"/>
    </row>
    <row r="43" spans="1:18" ht="16" thickBot="1">
      <c r="B43" s="3" t="str">
        <f>'GP LP'!B128</f>
        <v>GP</v>
      </c>
      <c r="C43" s="169"/>
      <c r="Q43" s="166"/>
      <c r="R43" s="166"/>
    </row>
    <row r="44" spans="1:18">
      <c r="B44" s="80" t="str">
        <f>'GP LP'!B129</f>
        <v>Tier 1</v>
      </c>
      <c r="C44" s="114">
        <f>'GP LP'!C129</f>
        <v>8.0000000000000071E-2</v>
      </c>
      <c r="D44" s="144">
        <f>'GP LP'!D129</f>
        <v>-1616800</v>
      </c>
      <c r="E44" s="144">
        <f>'GP LP'!E129</f>
        <v>0</v>
      </c>
      <c r="F44" s="144">
        <f>'GP LP'!F129</f>
        <v>0</v>
      </c>
      <c r="G44" s="144">
        <f>'GP LP'!G129</f>
        <v>0</v>
      </c>
      <c r="H44" s="144">
        <f>'GP LP'!H129</f>
        <v>0</v>
      </c>
      <c r="I44" s="144">
        <f>'GP LP'!I129</f>
        <v>-1156143.6774033059</v>
      </c>
      <c r="J44" s="144">
        <f>'GP LP'!J129</f>
        <v>-496143.67740330589</v>
      </c>
      <c r="K44" s="144">
        <f>'GP LP'!K129</f>
        <v>296418.82259669417</v>
      </c>
      <c r="L44" s="144">
        <f>'GP LP'!L129</f>
        <v>309295.38509669405</v>
      </c>
      <c r="M44" s="144">
        <f>'GP LP'!M129</f>
        <v>322493.86165919411</v>
      </c>
      <c r="N44" s="144">
        <f>'GP LP'!N129</f>
        <v>336022.30013575644</v>
      </c>
      <c r="O44" s="145">
        <f>'GP LP'!O129</f>
        <v>4801487.9128628997</v>
      </c>
      <c r="Q44" s="166"/>
      <c r="R44" s="166"/>
    </row>
    <row r="45" spans="1:18">
      <c r="B45" s="83" t="str">
        <f>'GP LP'!B130</f>
        <v>Tier 2</v>
      </c>
      <c r="C45" s="115">
        <f>'GP LP'!C130</f>
        <v>0.20780397618223478</v>
      </c>
      <c r="D45" s="136">
        <f>'GP LP'!D130</f>
        <v>-1616800</v>
      </c>
      <c r="E45" s="4">
        <f>'GP LP'!E130</f>
        <v>0</v>
      </c>
      <c r="F45" s="4">
        <f>'GP LP'!F130</f>
        <v>0</v>
      </c>
      <c r="G45" s="4">
        <f>'GP LP'!G130</f>
        <v>0</v>
      </c>
      <c r="H45" s="4">
        <f>'GP LP'!H130</f>
        <v>0</v>
      </c>
      <c r="I45" s="4">
        <f>'GP LP'!I130</f>
        <v>-1156143.6774033059</v>
      </c>
      <c r="J45" s="4">
        <f>'GP LP'!J130</f>
        <v>-496143.67740330589</v>
      </c>
      <c r="K45" s="4">
        <f>'GP LP'!K130</f>
        <v>296418.82259669417</v>
      </c>
      <c r="L45" s="4">
        <f>'GP LP'!L130</f>
        <v>309295.38509669405</v>
      </c>
      <c r="M45" s="4">
        <f>'GP LP'!M130</f>
        <v>322493.86165919411</v>
      </c>
      <c r="N45" s="4">
        <f>'GP LP'!N130</f>
        <v>336022.30013575644</v>
      </c>
      <c r="O45" s="149">
        <f>'GP LP'!O130</f>
        <v>15713136.796583544</v>
      </c>
      <c r="Q45" s="166"/>
      <c r="R45" s="166"/>
    </row>
    <row r="46" spans="1:18">
      <c r="B46" s="83" t="str">
        <f>'GP LP'!B131</f>
        <v>Tier 3</v>
      </c>
      <c r="C46" s="115">
        <f>'GP LP'!C131</f>
        <v>0.26691971118590763</v>
      </c>
      <c r="D46" s="136">
        <f>'GP LP'!D131</f>
        <v>-1616800</v>
      </c>
      <c r="E46" s="4">
        <f>'GP LP'!E131</f>
        <v>0</v>
      </c>
      <c r="F46" s="4">
        <f>'GP LP'!F131</f>
        <v>0</v>
      </c>
      <c r="G46" s="4">
        <f>'GP LP'!G131</f>
        <v>0</v>
      </c>
      <c r="H46" s="4">
        <f>'GP LP'!H131</f>
        <v>0</v>
      </c>
      <c r="I46" s="4">
        <f>'GP LP'!I131</f>
        <v>-1156143.6774033059</v>
      </c>
      <c r="J46" s="4">
        <f>'GP LP'!J131</f>
        <v>-496143.67740330589</v>
      </c>
      <c r="K46" s="4">
        <f>'GP LP'!K131</f>
        <v>296418.82259669417</v>
      </c>
      <c r="L46" s="4">
        <f>'GP LP'!L131</f>
        <v>309295.38509669405</v>
      </c>
      <c r="M46" s="4">
        <f>'GP LP'!M131</f>
        <v>322493.86165919411</v>
      </c>
      <c r="N46" s="4">
        <f>'GP LP'!N131</f>
        <v>336022.30013575644</v>
      </c>
      <c r="O46" s="149">
        <f>'GP LP'!O131</f>
        <v>25886384.468632549</v>
      </c>
      <c r="Q46" s="166"/>
      <c r="R46" s="166"/>
    </row>
    <row r="47" spans="1:18" ht="16" thickBot="1">
      <c r="B47" s="85" t="s">
        <v>150</v>
      </c>
      <c r="C47" s="116">
        <v>0.26691971118590763</v>
      </c>
      <c r="D47" s="147">
        <v>-1616800</v>
      </c>
      <c r="E47" s="86">
        <v>0</v>
      </c>
      <c r="F47" s="86">
        <v>0</v>
      </c>
      <c r="G47" s="86">
        <v>0</v>
      </c>
      <c r="H47" s="86">
        <v>0</v>
      </c>
      <c r="I47" s="86">
        <v>-1156143.6774033059</v>
      </c>
      <c r="J47" s="86">
        <v>-496143.67740330589</v>
      </c>
      <c r="K47" s="86">
        <v>296418.82259669417</v>
      </c>
      <c r="L47" s="86">
        <v>309295.38509669405</v>
      </c>
      <c r="M47" s="86">
        <v>322493.86165919411</v>
      </c>
      <c r="N47" s="86">
        <v>336022.30013575644</v>
      </c>
      <c r="O47" s="148">
        <v>25886384.468632549</v>
      </c>
    </row>
  </sheetData>
  <mergeCells count="10">
    <mergeCell ref="I9:L9"/>
    <mergeCell ref="I10:L10"/>
    <mergeCell ref="A26:A27"/>
    <mergeCell ref="H27:H28"/>
    <mergeCell ref="B5:E5"/>
    <mergeCell ref="B6:E6"/>
    <mergeCell ref="I5:L5"/>
    <mergeCell ref="I6:L6"/>
    <mergeCell ref="I7:L7"/>
    <mergeCell ref="I8:L8"/>
  </mergeCells>
  <conditionalFormatting sqref="C25:G29">
    <cfRule type="colorScale" priority="3">
      <colorScale>
        <cfvo type="min"/>
        <cfvo type="max"/>
        <color rgb="FFFCFCFF"/>
        <color rgb="FF63BE7B"/>
      </colorScale>
    </cfRule>
  </conditionalFormatting>
  <conditionalFormatting sqref="J25:N29">
    <cfRule type="colorScale" priority="2">
      <colorScale>
        <cfvo type="min"/>
        <cfvo type="max"/>
        <color rgb="FFFCFCFF"/>
        <color rgb="FFF8696B"/>
      </colorScale>
    </cfRule>
  </conditionalFormatting>
  <conditionalFormatting sqref="R25:V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4"/>
  <sheetViews>
    <sheetView topLeftCell="A4" workbookViewId="0">
      <selection activeCell="C20" sqref="C20"/>
    </sheetView>
  </sheetViews>
  <sheetFormatPr baseColWidth="10" defaultColWidth="8.83203125" defaultRowHeight="15"/>
  <cols>
    <col min="1" max="1" width="21.1640625" bestFit="1" customWidth="1"/>
    <col min="2" max="3" width="13.6640625" bestFit="1" customWidth="1"/>
    <col min="4" max="4" width="16" bestFit="1" customWidth="1"/>
    <col min="5" max="5" width="12.1640625" bestFit="1" customWidth="1"/>
    <col min="6" max="6" width="10.6640625" bestFit="1" customWidth="1"/>
    <col min="7" max="7" width="18.1640625" bestFit="1" customWidth="1"/>
    <col min="8" max="8" width="20" bestFit="1" customWidth="1"/>
    <col min="9" max="9" width="11.5" bestFit="1" customWidth="1"/>
    <col min="10" max="10" width="17.83203125" bestFit="1" customWidth="1"/>
  </cols>
  <sheetData>
    <row r="2" spans="1:8">
      <c r="A2" s="3" t="s">
        <v>37</v>
      </c>
    </row>
    <row r="3" spans="1:8">
      <c r="A3" s="10" t="s">
        <v>36</v>
      </c>
      <c r="B3" s="14">
        <v>0.95</v>
      </c>
    </row>
    <row r="4" spans="1:8">
      <c r="A4" s="10" t="s">
        <v>88</v>
      </c>
      <c r="B4" s="15">
        <v>190000</v>
      </c>
    </row>
    <row r="5" spans="1:8">
      <c r="A5" s="10" t="s">
        <v>35</v>
      </c>
      <c r="B5" s="11">
        <f>B4/B3</f>
        <v>200000</v>
      </c>
    </row>
    <row r="7" spans="1:8">
      <c r="A7" s="3" t="s">
        <v>38</v>
      </c>
    </row>
    <row r="9" spans="1:8">
      <c r="A9" s="1" t="s">
        <v>0</v>
      </c>
      <c r="B9" s="1" t="s">
        <v>3</v>
      </c>
      <c r="C9" s="1" t="s">
        <v>4</v>
      </c>
    </row>
    <row r="10" spans="1:8">
      <c r="A10" t="s">
        <v>5</v>
      </c>
      <c r="B10" s="16">
        <v>80</v>
      </c>
      <c r="C10" s="123">
        <f>B10*$B$5</f>
        <v>16000000</v>
      </c>
      <c r="H10" s="17"/>
    </row>
    <row r="11" spans="1:8">
      <c r="A11" t="s">
        <v>6</v>
      </c>
      <c r="B11" s="16">
        <v>50</v>
      </c>
      <c r="C11" s="30">
        <f>B11*$B$5</f>
        <v>10000000</v>
      </c>
      <c r="H11" s="17"/>
    </row>
    <row r="12" spans="1:8">
      <c r="A12" t="s">
        <v>7</v>
      </c>
      <c r="B12" s="16">
        <v>100</v>
      </c>
      <c r="C12" s="30">
        <f t="shared" ref="C12:C13" si="0">B12*$B$5</f>
        <v>20000000</v>
      </c>
      <c r="H12" s="17"/>
    </row>
    <row r="13" spans="1:8">
      <c r="A13" t="s">
        <v>8</v>
      </c>
      <c r="B13" s="16">
        <v>200</v>
      </c>
      <c r="C13" s="31">
        <f t="shared" si="0"/>
        <v>40000000</v>
      </c>
      <c r="H13" s="17"/>
    </row>
    <row r="14" spans="1:8">
      <c r="A14" s="36" t="s">
        <v>98</v>
      </c>
      <c r="B14" s="38"/>
      <c r="C14" s="37">
        <f>SUM(C10:C13)</f>
        <v>86000000</v>
      </c>
      <c r="H14" s="17"/>
    </row>
    <row r="15" spans="1:8">
      <c r="B15" s="16"/>
      <c r="C15" s="4"/>
      <c r="H15" s="17"/>
    </row>
    <row r="16" spans="1:8">
      <c r="A16" s="3" t="s">
        <v>39</v>
      </c>
    </row>
    <row r="17" spans="1:10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2" t="s">
        <v>89</v>
      </c>
    </row>
    <row r="18" spans="1:10">
      <c r="A18" s="74" t="s">
        <v>17</v>
      </c>
      <c r="B18" s="129">
        <v>125000</v>
      </c>
      <c r="C18" s="129">
        <v>48</v>
      </c>
      <c r="D18" s="129">
        <v>12</v>
      </c>
      <c r="E18" s="130">
        <v>2.5000000000000001E-2</v>
      </c>
      <c r="F18" s="129">
        <v>7</v>
      </c>
      <c r="G18" s="129">
        <v>150</v>
      </c>
      <c r="H18" s="131">
        <v>0.06</v>
      </c>
      <c r="I18" s="76">
        <f>B18*C18</f>
        <v>6000000</v>
      </c>
    </row>
    <row r="19" spans="1:10">
      <c r="A19" s="124" t="s">
        <v>18</v>
      </c>
      <c r="B19" s="125">
        <v>65000</v>
      </c>
      <c r="C19" s="125">
        <v>60</v>
      </c>
      <c r="D19" s="125">
        <v>12</v>
      </c>
      <c r="E19" s="126">
        <v>2.5000000000000001E-2</v>
      </c>
      <c r="F19" s="125">
        <v>10</v>
      </c>
      <c r="G19" s="125">
        <v>180</v>
      </c>
      <c r="H19" s="127">
        <v>0.06</v>
      </c>
      <c r="I19" s="128">
        <f>B19*C19</f>
        <v>3900000</v>
      </c>
    </row>
    <row r="20" spans="1:10">
      <c r="B20" s="16"/>
      <c r="C20" s="16"/>
      <c r="D20" s="16"/>
      <c r="E20" s="20"/>
      <c r="F20" s="16"/>
      <c r="G20" s="16"/>
      <c r="H20" s="21"/>
    </row>
    <row r="21" spans="1:10">
      <c r="A21" s="3" t="s">
        <v>93</v>
      </c>
      <c r="B21" t="s">
        <v>180</v>
      </c>
      <c r="H21" s="4"/>
    </row>
    <row r="22" spans="1:10">
      <c r="A22" s="1" t="s">
        <v>0</v>
      </c>
      <c r="B22" s="1" t="s">
        <v>3</v>
      </c>
      <c r="C22" s="1" t="s">
        <v>19</v>
      </c>
      <c r="H22" s="4"/>
    </row>
    <row r="23" spans="1:10">
      <c r="A23" s="10" t="s">
        <v>20</v>
      </c>
      <c r="B23" s="18">
        <v>12</v>
      </c>
      <c r="C23" s="19">
        <v>2.5000000000000001E-2</v>
      </c>
    </row>
    <row r="24" spans="1:10">
      <c r="A24" s="10" t="s">
        <v>21</v>
      </c>
      <c r="B24" s="18">
        <v>15</v>
      </c>
      <c r="C24" s="19">
        <v>2.5000000000000001E-2</v>
      </c>
      <c r="J24" s="5"/>
    </row>
    <row r="27" spans="1:10">
      <c r="A27" s="3" t="s">
        <v>70</v>
      </c>
    </row>
    <row r="28" spans="1:10">
      <c r="A28" s="10" t="s">
        <v>71</v>
      </c>
      <c r="B28" s="19">
        <v>5.2499999999999998E-2</v>
      </c>
    </row>
    <row r="29" spans="1:10">
      <c r="A29" s="10" t="s">
        <v>72</v>
      </c>
      <c r="B29" s="13">
        <v>0.02</v>
      </c>
    </row>
    <row r="30" spans="1:10">
      <c r="A30" s="10" t="s">
        <v>77</v>
      </c>
      <c r="B30" s="19">
        <v>2.75E-2</v>
      </c>
    </row>
    <row r="33" spans="1:3">
      <c r="A33" s="3" t="s">
        <v>78</v>
      </c>
    </row>
    <row r="34" spans="1:3">
      <c r="A34" s="1" t="s">
        <v>0</v>
      </c>
      <c r="B34" s="1" t="s">
        <v>22</v>
      </c>
      <c r="C34" s="1" t="s">
        <v>99</v>
      </c>
    </row>
    <row r="35" spans="1:3">
      <c r="A35" s="10" t="s">
        <v>23</v>
      </c>
      <c r="B35" s="13">
        <v>0.65</v>
      </c>
      <c r="C35" s="4">
        <f>B35*C14</f>
        <v>55900000</v>
      </c>
    </row>
    <row r="36" spans="1:3">
      <c r="A36" s="10" t="s">
        <v>24</v>
      </c>
      <c r="B36" s="19">
        <v>0.06</v>
      </c>
    </row>
    <row r="37" spans="1:3">
      <c r="A37" s="10" t="s">
        <v>25</v>
      </c>
      <c r="B37" s="19">
        <v>2.5000000000000001E-2</v>
      </c>
      <c r="C37" s="8">
        <f>B37*C35</f>
        <v>1397500</v>
      </c>
    </row>
    <row r="38" spans="1:3">
      <c r="A38" s="10" t="s">
        <v>26</v>
      </c>
      <c r="B38" s="19">
        <v>1.4999999999999999E-2</v>
      </c>
      <c r="C38" s="8">
        <f>B38*C35</f>
        <v>838500</v>
      </c>
    </row>
    <row r="41" spans="1:3">
      <c r="A41" s="3"/>
      <c r="B41" s="3"/>
    </row>
    <row r="42" spans="1:3">
      <c r="B42" s="39"/>
    </row>
    <row r="43" spans="1:3">
      <c r="B43" s="39"/>
    </row>
    <row r="44" spans="1:3">
      <c r="B4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2513-28D6-514F-95FB-EF1110563355}">
  <dimension ref="A3:K29"/>
  <sheetViews>
    <sheetView workbookViewId="0">
      <selection activeCell="B13" sqref="B13"/>
    </sheetView>
  </sheetViews>
  <sheetFormatPr baseColWidth="10" defaultRowHeight="15"/>
  <cols>
    <col min="1" max="1" width="17.1640625" bestFit="1" customWidth="1"/>
    <col min="2" max="2" width="14.1640625" bestFit="1" customWidth="1"/>
    <col min="3" max="3" width="13.1640625" bestFit="1" customWidth="1"/>
    <col min="4" max="4" width="16.1640625" bestFit="1" customWidth="1"/>
    <col min="5" max="6" width="12.6640625" bestFit="1" customWidth="1"/>
    <col min="7" max="7" width="18.33203125" bestFit="1" customWidth="1"/>
    <col min="8" max="8" width="20.1640625" bestFit="1" customWidth="1"/>
    <col min="9" max="9" width="12.6640625" bestFit="1" customWidth="1"/>
  </cols>
  <sheetData>
    <row r="3" spans="1:9">
      <c r="A3" s="12" t="s">
        <v>90</v>
      </c>
      <c r="B3" s="10" t="s">
        <v>17</v>
      </c>
      <c r="C3" s="10" t="s">
        <v>18</v>
      </c>
    </row>
    <row r="4" spans="1:9">
      <c r="A4" s="10" t="s">
        <v>62</v>
      </c>
      <c r="B4" s="28">
        <f>'Operating assumtions'!B18*'Operating assumtions'!C18</f>
        <v>6000000</v>
      </c>
      <c r="C4" s="24">
        <f>'Operating assumtions'!B19*'Operating assumtions'!C19</f>
        <v>3900000</v>
      </c>
    </row>
    <row r="5" spans="1:9">
      <c r="A5" s="10" t="s">
        <v>63</v>
      </c>
      <c r="B5" s="29">
        <v>1</v>
      </c>
      <c r="C5" s="25">
        <v>1</v>
      </c>
    </row>
    <row r="6" spans="1:9">
      <c r="A6" s="10" t="s">
        <v>64</v>
      </c>
      <c r="B6" s="30">
        <f>-('Operating assumtions'!B18*'Operating assumtions'!G18)</f>
        <v>-18750000</v>
      </c>
      <c r="C6" s="26">
        <f>-('Operating assumtions'!B19*'Operating assumtions'!G19)</f>
        <v>-11700000</v>
      </c>
    </row>
    <row r="7" spans="1:9">
      <c r="A7" s="10" t="s">
        <v>65</v>
      </c>
      <c r="B7" s="31">
        <f>'Operating assumtions'!H18*SUM(C16:H16)</f>
        <v>-2357074.8528222642</v>
      </c>
      <c r="C7" s="27">
        <f>'Operating assumtions'!H19*SUM(C26:K26)</f>
        <v>-2387591.3336779084</v>
      </c>
    </row>
    <row r="11" spans="1:9">
      <c r="A11" s="3" t="s">
        <v>17</v>
      </c>
    </row>
    <row r="12" spans="1:9">
      <c r="B12" s="32">
        <v>1</v>
      </c>
      <c r="C12" s="32">
        <f>B12+1</f>
        <v>2</v>
      </c>
      <c r="D12" s="32">
        <f t="shared" ref="D12:H12" si="0">C12+1</f>
        <v>3</v>
      </c>
      <c r="E12" s="32">
        <f t="shared" si="0"/>
        <v>4</v>
      </c>
      <c r="F12" s="32">
        <f t="shared" si="0"/>
        <v>5</v>
      </c>
      <c r="G12" s="32">
        <f t="shared" si="0"/>
        <v>6</v>
      </c>
      <c r="H12" s="32">
        <f t="shared" si="0"/>
        <v>7</v>
      </c>
    </row>
    <row r="13" spans="1:9">
      <c r="A13" t="s">
        <v>91</v>
      </c>
      <c r="B13" s="132">
        <f>-B4</f>
        <v>-6000000</v>
      </c>
      <c r="C13" s="2">
        <f>B13*(1+'Operating assumtions'!$E$18)</f>
        <v>-6149999.9999999991</v>
      </c>
      <c r="D13" s="2">
        <f>C13*(1+'Operating assumtions'!$E$18)</f>
        <v>-6303749.9999999981</v>
      </c>
      <c r="E13" s="2">
        <f>D13*(1+'Operating assumtions'!$E$18)</f>
        <v>-6461343.7499999972</v>
      </c>
      <c r="F13" s="2">
        <f>E13*(1+'Operating assumtions'!$E$18)</f>
        <v>-6622877.3437499963</v>
      </c>
      <c r="G13" s="2">
        <f>F13*(1+'Operating assumtions'!$E$18)</f>
        <v>-6788449.2773437453</v>
      </c>
      <c r="H13" s="2">
        <f>G13*(1+'Operating assumtions'!$E$18)</f>
        <v>-6958160.5092773382</v>
      </c>
      <c r="I13" s="2"/>
    </row>
    <row r="14" spans="1:9">
      <c r="A14" t="s">
        <v>66</v>
      </c>
      <c r="B14" s="2">
        <f t="shared" ref="B14:H14" si="1">IF(B12=$B$5,-B13,0)</f>
        <v>6000000</v>
      </c>
      <c r="C14" s="2">
        <f t="shared" si="1"/>
        <v>0</v>
      </c>
      <c r="D14" s="2">
        <f t="shared" si="1"/>
        <v>0</v>
      </c>
      <c r="E14" s="2">
        <f t="shared" si="1"/>
        <v>0</v>
      </c>
      <c r="F14" s="2">
        <f t="shared" si="1"/>
        <v>0</v>
      </c>
      <c r="G14" s="2">
        <f t="shared" si="1"/>
        <v>0</v>
      </c>
      <c r="H14" s="2">
        <f t="shared" si="1"/>
        <v>0</v>
      </c>
      <c r="I14" s="2"/>
    </row>
    <row r="15" spans="1:9">
      <c r="A15" t="s">
        <v>64</v>
      </c>
      <c r="B15" s="132">
        <f>-B6</f>
        <v>18750000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4">
        <v>0</v>
      </c>
      <c r="I15" s="2"/>
    </row>
    <row r="16" spans="1:9">
      <c r="A16" t="s">
        <v>67</v>
      </c>
      <c r="B16" s="2">
        <f>SUM(B13:B15)</f>
        <v>18750000</v>
      </c>
      <c r="C16" s="2">
        <f t="shared" ref="C16:H16" si="2">SUM(C13:C15)</f>
        <v>-6149999.9999999991</v>
      </c>
      <c r="D16" s="2">
        <f t="shared" si="2"/>
        <v>-6303749.9999999981</v>
      </c>
      <c r="E16" s="2">
        <f t="shared" si="2"/>
        <v>-6461343.7499999972</v>
      </c>
      <c r="F16" s="2">
        <f t="shared" si="2"/>
        <v>-6622877.3437499963</v>
      </c>
      <c r="G16" s="2">
        <f t="shared" si="2"/>
        <v>-6788449.2773437453</v>
      </c>
      <c r="H16" s="2">
        <f t="shared" si="2"/>
        <v>-6958160.5092773382</v>
      </c>
      <c r="I16" s="2"/>
    </row>
    <row r="17" spans="1:11">
      <c r="A17" t="s">
        <v>68</v>
      </c>
      <c r="B17" s="2">
        <f>-'Operating assumtions'!B23*'Operating assumtions'!B18</f>
        <v>-1500000</v>
      </c>
      <c r="C17" s="2">
        <f>B17*(1+'Operating assumtions'!$C$23)</f>
        <v>-1537499.9999999998</v>
      </c>
      <c r="D17" s="2">
        <f>C17*(1+'Operating assumtions'!$C$23)</f>
        <v>-1575937.4999999995</v>
      </c>
      <c r="E17" s="2">
        <f>D17*(1+'Operating assumtions'!$C$23)</f>
        <v>-1615335.9374999993</v>
      </c>
      <c r="F17" s="2">
        <f>E17*(1+'Operating assumtions'!$C$23)</f>
        <v>-1655719.3359374991</v>
      </c>
      <c r="G17" s="2">
        <f>F17*(1+'Operating assumtions'!$C$23)</f>
        <v>-1697112.3193359363</v>
      </c>
      <c r="H17" s="2">
        <f>G17*(1+'Operating assumtions'!$C$23)</f>
        <v>-1739540.1273193345</v>
      </c>
      <c r="I17" s="2"/>
    </row>
    <row r="18" spans="1:11">
      <c r="A18" t="s">
        <v>69</v>
      </c>
      <c r="B18" s="32">
        <f>-'Operating assumtions'!B24*'Operating assumtions'!B18</f>
        <v>-1875000</v>
      </c>
      <c r="C18" s="33">
        <f>B18*(1+'Operating assumtions'!$C$24)</f>
        <v>-1921874.9999999998</v>
      </c>
      <c r="D18" s="33">
        <f>C18*(1+'Operating assumtions'!$C$24)</f>
        <v>-1969921.8749999995</v>
      </c>
      <c r="E18" s="33">
        <f>D18*(1+'Operating assumtions'!$C$24)</f>
        <v>-2019169.9218749993</v>
      </c>
      <c r="F18" s="33">
        <f>E18*(1+'Operating assumtions'!$C$24)</f>
        <v>-2069649.1699218741</v>
      </c>
      <c r="G18" s="33">
        <f>F18*(1+'Operating assumtions'!$C$24)</f>
        <v>-2121390.3991699209</v>
      </c>
      <c r="H18" s="34">
        <f>G18*(1+'Operating assumtions'!$C$24)</f>
        <v>-2174425.159149169</v>
      </c>
      <c r="I18" s="2"/>
    </row>
    <row r="19" spans="1:11">
      <c r="A19" t="s">
        <v>92</v>
      </c>
      <c r="B19" s="2">
        <f t="shared" ref="B19:H19" si="3">SUM(B16:B17)</f>
        <v>17250000</v>
      </c>
      <c r="C19" s="2">
        <f t="shared" si="3"/>
        <v>-7687499.9999999991</v>
      </c>
      <c r="D19" s="2">
        <f t="shared" si="3"/>
        <v>-7879687.4999999981</v>
      </c>
      <c r="E19" s="2">
        <f t="shared" si="3"/>
        <v>-8076679.6874999963</v>
      </c>
      <c r="F19" s="2">
        <f t="shared" si="3"/>
        <v>-8278596.6796874953</v>
      </c>
      <c r="G19" s="2">
        <f t="shared" si="3"/>
        <v>-8485561.5966796819</v>
      </c>
      <c r="H19" s="2">
        <f t="shared" si="3"/>
        <v>-8697700.6365966722</v>
      </c>
      <c r="I19" s="2"/>
    </row>
    <row r="21" spans="1:11">
      <c r="A21" s="3" t="s">
        <v>18</v>
      </c>
    </row>
    <row r="22" spans="1:11">
      <c r="B22" s="32">
        <v>1</v>
      </c>
      <c r="C22" s="32">
        <f>B22+1</f>
        <v>2</v>
      </c>
      <c r="D22" s="32">
        <f t="shared" ref="D22:K22" si="4">C22+1</f>
        <v>3</v>
      </c>
      <c r="E22" s="32">
        <f t="shared" si="4"/>
        <v>4</v>
      </c>
      <c r="F22" s="32">
        <f t="shared" si="4"/>
        <v>5</v>
      </c>
      <c r="G22" s="32">
        <f t="shared" si="4"/>
        <v>6</v>
      </c>
      <c r="H22" s="32">
        <f t="shared" si="4"/>
        <v>7</v>
      </c>
      <c r="I22" s="32">
        <f t="shared" si="4"/>
        <v>8</v>
      </c>
      <c r="J22" s="32">
        <f>I22+1</f>
        <v>9</v>
      </c>
      <c r="K22" s="32">
        <f t="shared" si="4"/>
        <v>10</v>
      </c>
    </row>
    <row r="23" spans="1:11">
      <c r="A23" t="s">
        <v>61</v>
      </c>
      <c r="B23" s="132">
        <f>-C4</f>
        <v>-3900000</v>
      </c>
      <c r="C23" s="2">
        <f>B23*(1+'Operating assumtions'!$E$19)</f>
        <v>-3997499.9999999995</v>
      </c>
      <c r="D23" s="2">
        <f>C23*(1+'Operating assumtions'!$E$19)</f>
        <v>-4097437.4999999991</v>
      </c>
      <c r="E23" s="2">
        <f>D23*(1+'Operating assumtions'!$E$19)</f>
        <v>-4199873.4374999991</v>
      </c>
      <c r="F23" s="2">
        <f>E23*(1+'Operating assumtions'!$E$19)</f>
        <v>-4304870.2734374991</v>
      </c>
      <c r="G23" s="2">
        <f>F23*(1+'Operating assumtions'!$E$19)</f>
        <v>-4412492.0302734366</v>
      </c>
      <c r="H23" s="2">
        <f>G23*(1+'Operating assumtions'!$E$19)</f>
        <v>-4522804.3310302719</v>
      </c>
      <c r="I23" s="2">
        <f>H23*(1+'Operating assumtions'!$E$19)</f>
        <v>-4635874.4393060282</v>
      </c>
      <c r="J23" s="2">
        <f>I23*(1+'Operating assumtions'!$E$19)</f>
        <v>-4751771.3002886781</v>
      </c>
      <c r="K23" s="2">
        <f>J23*(1+'Operating assumtions'!$E$19)</f>
        <v>-4870565.5827958947</v>
      </c>
    </row>
    <row r="24" spans="1:11">
      <c r="A24" t="s">
        <v>66</v>
      </c>
      <c r="B24" s="2">
        <f>IF(B22=$C$5,-B23,0)</f>
        <v>3900000</v>
      </c>
      <c r="C24" s="2">
        <f t="shared" ref="C24:I24" si="5">IF(C22=$B$5,-C23,0)</f>
        <v>0</v>
      </c>
      <c r="D24" s="2">
        <f t="shared" si="5"/>
        <v>0</v>
      </c>
      <c r="E24" s="2">
        <f t="shared" si="5"/>
        <v>0</v>
      </c>
      <c r="F24" s="2">
        <f t="shared" si="5"/>
        <v>0</v>
      </c>
      <c r="G24" s="2">
        <f t="shared" si="5"/>
        <v>0</v>
      </c>
      <c r="H24" s="2">
        <f t="shared" si="5"/>
        <v>0</v>
      </c>
      <c r="I24" s="2">
        <f t="shared" si="5"/>
        <v>0</v>
      </c>
      <c r="J24" s="2">
        <f t="shared" ref="J24" si="6">IF(J22=$B$5,-J23,0)</f>
        <v>0</v>
      </c>
      <c r="K24" s="2">
        <f t="shared" ref="K24" si="7">IF(K22=$B$5,-K23,0)</f>
        <v>0</v>
      </c>
    </row>
    <row r="25" spans="1:11">
      <c r="A25" t="s">
        <v>64</v>
      </c>
      <c r="B25" s="132">
        <f>-C6</f>
        <v>11700000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/>
      <c r="J25" s="32"/>
      <c r="K25" s="32"/>
    </row>
    <row r="26" spans="1:11">
      <c r="A26" t="s">
        <v>67</v>
      </c>
      <c r="B26" s="2">
        <f>SUM(B23:B25)</f>
        <v>11700000</v>
      </c>
      <c r="C26" s="2">
        <f t="shared" ref="C26:K26" si="8">SUM(C23:C25)</f>
        <v>-3997499.9999999995</v>
      </c>
      <c r="D26" s="2">
        <f t="shared" si="8"/>
        <v>-4097437.4999999991</v>
      </c>
      <c r="E26" s="2">
        <f t="shared" si="8"/>
        <v>-4199873.4374999991</v>
      </c>
      <c r="F26" s="2">
        <f t="shared" si="8"/>
        <v>-4304870.2734374991</v>
      </c>
      <c r="G26" s="2">
        <f t="shared" si="8"/>
        <v>-4412492.0302734366</v>
      </c>
      <c r="H26" s="2">
        <f t="shared" si="8"/>
        <v>-4522804.3310302719</v>
      </c>
      <c r="I26" s="2">
        <f t="shared" si="8"/>
        <v>-4635874.4393060282</v>
      </c>
      <c r="J26" s="2">
        <f t="shared" si="8"/>
        <v>-4751771.3002886781</v>
      </c>
      <c r="K26" s="2">
        <f t="shared" si="8"/>
        <v>-4870565.5827958947</v>
      </c>
    </row>
    <row r="27" spans="1:11">
      <c r="A27" t="s">
        <v>68</v>
      </c>
      <c r="B27" s="2">
        <f>-'Operating assumtions'!B23*'Operating assumtions'!B19</f>
        <v>-780000</v>
      </c>
      <c r="C27" s="2">
        <f>B27*(1+'Operating assumtions'!$C$23)</f>
        <v>-799499.99999999988</v>
      </c>
      <c r="D27" s="2">
        <f>C27*(1+'Operating assumtions'!$C$23)</f>
        <v>-819487.49999999977</v>
      </c>
      <c r="E27" s="2">
        <f>D27*(1+'Operating assumtions'!$C$23)</f>
        <v>-839974.68749999965</v>
      </c>
      <c r="F27" s="2">
        <f>E27*(1+'Operating assumtions'!$C$23)</f>
        <v>-860974.05468749953</v>
      </c>
      <c r="G27" s="2">
        <f>F27*(1+'Operating assumtions'!$C$23)</f>
        <v>-882498.40605468699</v>
      </c>
      <c r="H27" s="2">
        <f>G27*(1+'Operating assumtions'!$C$23)</f>
        <v>-904560.86620605411</v>
      </c>
      <c r="I27" s="2">
        <f>H27*(1+'Operating assumtions'!$C$23)</f>
        <v>-927174.88786120538</v>
      </c>
      <c r="J27" s="2">
        <f>I27*(1+'Operating assumtions'!$C$23)</f>
        <v>-950354.26005773549</v>
      </c>
      <c r="K27" s="2">
        <f>J27*(1+'Operating assumtions'!$C$23)</f>
        <v>-974113.1165591788</v>
      </c>
    </row>
    <row r="28" spans="1:11">
      <c r="A28" t="s">
        <v>69</v>
      </c>
      <c r="B28" s="32">
        <f>-'Operating assumtions'!B24*'Operating assumtions'!B19</f>
        <v>-975000</v>
      </c>
      <c r="C28" s="32">
        <f>B28*(1+'Operating assumtions'!$C$24)</f>
        <v>-999374.99999999988</v>
      </c>
      <c r="D28" s="32">
        <f>C28*(1+'Operating assumtions'!$C$24)</f>
        <v>-1024359.3749999998</v>
      </c>
      <c r="E28" s="32">
        <f>D28*(1+'Operating assumtions'!$C$24)</f>
        <v>-1049968.3593749998</v>
      </c>
      <c r="F28" s="32">
        <f>E28*(1+'Operating assumtions'!$C$24)</f>
        <v>-1076217.5683593748</v>
      </c>
      <c r="G28" s="32">
        <f>F28*(1+'Operating assumtions'!$C$24)</f>
        <v>-1103123.0075683591</v>
      </c>
      <c r="H28" s="32">
        <f>G28*(1+'Operating assumtions'!$C$24)</f>
        <v>-1130701.082757568</v>
      </c>
      <c r="I28" s="32">
        <f>H28*(1+'Operating assumtions'!$C$24)</f>
        <v>-1158968.609826507</v>
      </c>
      <c r="J28" s="32">
        <f>I28*(1+'Operating assumtions'!$C$24)</f>
        <v>-1187942.8250721695</v>
      </c>
      <c r="K28" s="32">
        <f>J28*(1+'Operating assumtions'!$C$24)</f>
        <v>-1217641.3956989737</v>
      </c>
    </row>
    <row r="29" spans="1:11">
      <c r="A29" t="s">
        <v>92</v>
      </c>
      <c r="B29" s="2">
        <f t="shared" ref="B29:K29" si="9">SUM(B26:B28)</f>
        <v>9945000</v>
      </c>
      <c r="C29" s="2">
        <f t="shared" si="9"/>
        <v>-5796374.9999999991</v>
      </c>
      <c r="D29" s="2">
        <f t="shared" si="9"/>
        <v>-5941284.3749999991</v>
      </c>
      <c r="E29" s="2">
        <f t="shared" si="9"/>
        <v>-6089816.4843749991</v>
      </c>
      <c r="F29" s="2">
        <f t="shared" si="9"/>
        <v>-6242061.8964843731</v>
      </c>
      <c r="G29" s="2">
        <f t="shared" si="9"/>
        <v>-6398113.4438964827</v>
      </c>
      <c r="H29" s="2">
        <f t="shared" si="9"/>
        <v>-6558066.2799938936</v>
      </c>
      <c r="I29" s="2">
        <f t="shared" si="9"/>
        <v>-6722017.9369937405</v>
      </c>
      <c r="J29" s="2">
        <f t="shared" si="9"/>
        <v>-6890068.3854185827</v>
      </c>
      <c r="K29" s="2">
        <f t="shared" si="9"/>
        <v>-7062320.0950540472</v>
      </c>
    </row>
  </sheetData>
  <pageMargins left="0.7" right="0.7" top="0.75" bottom="0.75" header="0.3" footer="0.3"/>
  <ignoredErrors>
    <ignoredError sqref="B14 B2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3C14-140B-C349-BF6C-FD0631C39937}">
  <dimension ref="A1:G49"/>
  <sheetViews>
    <sheetView workbookViewId="0">
      <selection activeCell="I42" sqref="I42"/>
    </sheetView>
  </sheetViews>
  <sheetFormatPr baseColWidth="10" defaultRowHeight="15"/>
  <cols>
    <col min="1" max="1" width="16.33203125" bestFit="1" customWidth="1"/>
    <col min="2" max="2" width="18.83203125" bestFit="1" customWidth="1"/>
    <col min="3" max="3" width="11.6640625" bestFit="1" customWidth="1"/>
    <col min="4" max="4" width="13.83203125" bestFit="1" customWidth="1"/>
    <col min="5" max="5" width="11.6640625" bestFit="1" customWidth="1"/>
    <col min="6" max="6" width="12.1640625" bestFit="1" customWidth="1"/>
    <col min="7" max="7" width="11.6640625" bestFit="1" customWidth="1"/>
  </cols>
  <sheetData>
    <row r="1" spans="1:6" ht="19">
      <c r="A1" s="43" t="s">
        <v>103</v>
      </c>
    </row>
    <row r="3" spans="1:6">
      <c r="B3" s="28" t="s">
        <v>104</v>
      </c>
      <c r="C3" s="134">
        <f>'Sources &amp; Uses'!J7</f>
        <v>55900000</v>
      </c>
    </row>
    <row r="4" spans="1:6">
      <c r="B4" s="60" t="s">
        <v>105</v>
      </c>
      <c r="C4" s="135">
        <f>'Operating assumtions'!B36</f>
        <v>0.06</v>
      </c>
    </row>
    <row r="5" spans="1:6">
      <c r="B5" s="61" t="s">
        <v>106</v>
      </c>
      <c r="C5" s="128">
        <v>25</v>
      </c>
    </row>
    <row r="7" spans="1:6">
      <c r="C7" s="46">
        <v>0</v>
      </c>
      <c r="D7" s="46">
        <f>C7+1</f>
        <v>1</v>
      </c>
      <c r="E7" s="46">
        <f t="shared" ref="E7:F7" si="0">D7+1</f>
        <v>2</v>
      </c>
      <c r="F7" s="46">
        <f t="shared" si="0"/>
        <v>3</v>
      </c>
    </row>
    <row r="8" spans="1:6">
      <c r="B8" t="s">
        <v>41</v>
      </c>
      <c r="C8" s="46" t="s">
        <v>42</v>
      </c>
      <c r="D8" s="46" t="s">
        <v>43</v>
      </c>
      <c r="E8" s="46" t="s">
        <v>44</v>
      </c>
      <c r="F8" s="46" t="s">
        <v>45</v>
      </c>
    </row>
    <row r="9" spans="1:6">
      <c r="B9" t="s">
        <v>60</v>
      </c>
      <c r="C9" s="132">
        <f>'Operating assumtions'!C10</f>
        <v>16000000</v>
      </c>
      <c r="D9" s="132"/>
      <c r="E9" s="132"/>
      <c r="F9" s="132"/>
    </row>
    <row r="10" spans="1:6">
      <c r="B10" t="s">
        <v>58</v>
      </c>
      <c r="C10" s="132"/>
      <c r="D10" s="132">
        <f>'Operating assumtions'!C11</f>
        <v>10000000</v>
      </c>
      <c r="E10" s="132"/>
      <c r="F10" s="132"/>
    </row>
    <row r="11" spans="1:6">
      <c r="B11" t="s">
        <v>59</v>
      </c>
      <c r="C11" s="132"/>
      <c r="D11" s="132"/>
      <c r="E11" s="132">
        <f>'Operating assumtions'!C12</f>
        <v>20000000</v>
      </c>
      <c r="F11" s="132">
        <f>'Operating assumtions'!C13</f>
        <v>40000000</v>
      </c>
    </row>
    <row r="12" spans="1:6">
      <c r="C12" s="46"/>
      <c r="D12" s="46"/>
      <c r="E12" s="46"/>
      <c r="F12" s="46"/>
    </row>
    <row r="13" spans="1:6">
      <c r="B13" t="s">
        <v>135</v>
      </c>
      <c r="C13" s="4">
        <f>SUM(C9:C11)</f>
        <v>16000000</v>
      </c>
      <c r="D13" s="4">
        <f>C13+SUM(D9:D11)</f>
        <v>26000000</v>
      </c>
      <c r="E13" s="4">
        <f t="shared" ref="E13:F13" si="1">D13+SUM(E9:E11)</f>
        <v>46000000</v>
      </c>
      <c r="F13" s="4">
        <f t="shared" si="1"/>
        <v>86000000</v>
      </c>
    </row>
    <row r="14" spans="1:6">
      <c r="B14" t="s">
        <v>102</v>
      </c>
      <c r="C14" s="4">
        <f>IF(C13&gt;'Sources &amp; Uses'!$J$8,(C13-'Sources &amp; Uses'!$J$8),0)</f>
        <v>0</v>
      </c>
      <c r="D14" s="4">
        <f>IF(D13&gt;'Sources &amp; Uses'!$J$8,(D13-'Sources &amp; Uses'!$J$8),0)</f>
        <v>0</v>
      </c>
      <c r="E14" s="4">
        <f>IF(E13&gt;'Sources &amp; Uses'!$J$8,(E13-'Sources &amp; Uses'!$J$8),0)</f>
        <v>13664000</v>
      </c>
      <c r="F14" s="4">
        <f>IF(F13&gt;'Sources &amp; Uses'!$J$8,(F13-'Sources &amp; Uses'!$J$8),0)</f>
        <v>53664000</v>
      </c>
    </row>
    <row r="15" spans="1:6">
      <c r="B15" t="s">
        <v>79</v>
      </c>
      <c r="C15" s="4">
        <f>IF(C13&gt;'Sources &amp; Uses'!$J$8,'Operating assumtions'!$B$36*-(C13-'Sources &amp; Uses'!$J$8),0)</f>
        <v>0</v>
      </c>
      <c r="D15" s="4">
        <f>IF(D13&gt;'Sources &amp; Uses'!$J$8,'Operating assumtions'!$B$36*-(D13-'Sources &amp; Uses'!$J$8),0)</f>
        <v>0</v>
      </c>
      <c r="E15" s="4">
        <f>IF(E13&gt;'Sources &amp; Uses'!$J$8,'Operating assumtions'!$B$36*-(E13-'Sources &amp; Uses'!$J$8),0)</f>
        <v>-819840</v>
      </c>
      <c r="F15" s="4">
        <f>IF(F13&gt;'Sources &amp; Uses'!$J$8,'Operating assumtions'!$B$36*-(F13-'Sources &amp; Uses'!$J$8),0)</f>
        <v>-3219840</v>
      </c>
    </row>
    <row r="22" spans="2:7">
      <c r="B22" s="10" t="s">
        <v>41</v>
      </c>
      <c r="C22" s="10" t="s">
        <v>111</v>
      </c>
      <c r="D22" s="10" t="s">
        <v>107</v>
      </c>
      <c r="E22" s="10" t="s">
        <v>108</v>
      </c>
      <c r="F22" s="10" t="s">
        <v>109</v>
      </c>
      <c r="G22" s="10" t="s">
        <v>110</v>
      </c>
    </row>
    <row r="23" spans="2:7">
      <c r="B23" s="28">
        <v>2</v>
      </c>
      <c r="C23" s="62"/>
      <c r="D23" s="63"/>
      <c r="E23" s="63"/>
      <c r="F23" s="63"/>
      <c r="G23" s="132">
        <f>E14</f>
        <v>13664000</v>
      </c>
    </row>
    <row r="24" spans="2:7">
      <c r="B24" s="60">
        <f>B23+1</f>
        <v>3</v>
      </c>
      <c r="C24" s="132">
        <f>G23</f>
        <v>13664000</v>
      </c>
      <c r="D24" s="44">
        <f>IF(-PMT($C$4,$C$5,$C$3,0)&gt;C24,-C24+E24,PMT($C$4,$C$5,$C$3,0))</f>
        <v>-4372873.548066115</v>
      </c>
      <c r="E24" s="44">
        <f>-$C$4*C24</f>
        <v>-819840</v>
      </c>
      <c r="F24" s="44">
        <f>D24-E24</f>
        <v>-3553033.548066115</v>
      </c>
      <c r="G24" s="64">
        <f>C24+F24+(F14-E14)</f>
        <v>50110966.451933883</v>
      </c>
    </row>
    <row r="25" spans="2:7">
      <c r="B25" s="60">
        <f t="shared" ref="B25:B43" si="2">B24+1</f>
        <v>4</v>
      </c>
      <c r="C25" s="132">
        <f>G24</f>
        <v>50110966.451933883</v>
      </c>
      <c r="D25" s="44">
        <f t="shared" ref="D25:D45" si="3">IF(-PMT($C$4,$C$5,$C$3,0)&gt;C25,-C25+E25,PMT($C$4,$C$5,$C$3,0))</f>
        <v>-4372873.548066115</v>
      </c>
      <c r="E25" s="44">
        <f>F15</f>
        <v>-3219840</v>
      </c>
      <c r="F25" s="44">
        <f>D25-E25</f>
        <v>-1153033.548066115</v>
      </c>
      <c r="G25" s="64">
        <f>C25+F25</f>
        <v>48957932.903867766</v>
      </c>
    </row>
    <row r="26" spans="2:7">
      <c r="B26" s="60">
        <f t="shared" si="2"/>
        <v>5</v>
      </c>
      <c r="C26" s="132">
        <f>G25</f>
        <v>48957932.903867766</v>
      </c>
      <c r="D26" s="44">
        <f t="shared" si="3"/>
        <v>-4372873.548066115</v>
      </c>
      <c r="E26" s="44">
        <f>-$C$4*C26</f>
        <v>-2937475.974232066</v>
      </c>
      <c r="F26" s="44">
        <f>D26-E26</f>
        <v>-1435397.573834049</v>
      </c>
      <c r="G26" s="64">
        <f>C26+F26</f>
        <v>47522535.33003372</v>
      </c>
    </row>
    <row r="27" spans="2:7">
      <c r="B27" s="60">
        <f t="shared" si="2"/>
        <v>6</v>
      </c>
      <c r="C27" s="132">
        <f t="shared" ref="C27:C43" si="4">G26</f>
        <v>47522535.33003372</v>
      </c>
      <c r="D27" s="44">
        <f t="shared" si="3"/>
        <v>-4372873.548066115</v>
      </c>
      <c r="E27" s="44">
        <f t="shared" ref="E27:E43" si="5">-$C$4*C27</f>
        <v>-2851352.1198020233</v>
      </c>
      <c r="F27" s="44">
        <f t="shared" ref="F27:F43" si="6">D27-E27</f>
        <v>-1521521.4282640917</v>
      </c>
      <c r="G27" s="64">
        <f t="shared" ref="G27:G43" si="7">C27+F27</f>
        <v>46001013.901769631</v>
      </c>
    </row>
    <row r="28" spans="2:7">
      <c r="B28" s="60">
        <f t="shared" si="2"/>
        <v>7</v>
      </c>
      <c r="C28" s="132">
        <f t="shared" si="4"/>
        <v>46001013.901769631</v>
      </c>
      <c r="D28" s="44">
        <f t="shared" si="3"/>
        <v>-4372873.548066115</v>
      </c>
      <c r="E28" s="44">
        <f t="shared" si="5"/>
        <v>-2760060.8341061776</v>
      </c>
      <c r="F28" s="44">
        <f t="shared" si="6"/>
        <v>-1612812.7139599374</v>
      </c>
      <c r="G28" s="64">
        <f t="shared" si="7"/>
        <v>44388201.187809691</v>
      </c>
    </row>
    <row r="29" spans="2:7">
      <c r="B29" s="60">
        <f t="shared" si="2"/>
        <v>8</v>
      </c>
      <c r="C29" s="132">
        <f t="shared" si="4"/>
        <v>44388201.187809691</v>
      </c>
      <c r="D29" s="44">
        <f t="shared" si="3"/>
        <v>-4372873.548066115</v>
      </c>
      <c r="E29" s="44">
        <f t="shared" si="5"/>
        <v>-2663292.0712685813</v>
      </c>
      <c r="F29" s="44">
        <f t="shared" si="6"/>
        <v>-1709581.4767975337</v>
      </c>
      <c r="G29" s="64">
        <f t="shared" si="7"/>
        <v>42678619.711012155</v>
      </c>
    </row>
    <row r="30" spans="2:7">
      <c r="B30" s="60">
        <f t="shared" si="2"/>
        <v>9</v>
      </c>
      <c r="C30" s="132">
        <f t="shared" si="4"/>
        <v>42678619.711012155</v>
      </c>
      <c r="D30" s="44">
        <f t="shared" si="3"/>
        <v>-4372873.548066115</v>
      </c>
      <c r="E30" s="44">
        <f t="shared" si="5"/>
        <v>-2560717.1826607292</v>
      </c>
      <c r="F30" s="44">
        <f t="shared" si="6"/>
        <v>-1812156.3654053858</v>
      </c>
      <c r="G30" s="64">
        <f t="shared" si="7"/>
        <v>40866463.345606767</v>
      </c>
    </row>
    <row r="31" spans="2:7">
      <c r="B31" s="60">
        <f t="shared" si="2"/>
        <v>10</v>
      </c>
      <c r="C31" s="132">
        <f t="shared" si="4"/>
        <v>40866463.345606767</v>
      </c>
      <c r="D31" s="44">
        <f t="shared" si="3"/>
        <v>-4372873.548066115</v>
      </c>
      <c r="E31" s="44">
        <f t="shared" si="5"/>
        <v>-2451987.8007364059</v>
      </c>
      <c r="F31" s="44">
        <f t="shared" si="6"/>
        <v>-1920885.7473297091</v>
      </c>
      <c r="G31" s="64">
        <f t="shared" si="7"/>
        <v>38945577.598277055</v>
      </c>
    </row>
    <row r="32" spans="2:7">
      <c r="B32" s="60">
        <f t="shared" si="2"/>
        <v>11</v>
      </c>
      <c r="C32" s="132">
        <f t="shared" si="4"/>
        <v>38945577.598277055</v>
      </c>
      <c r="D32" s="44">
        <f t="shared" si="3"/>
        <v>-4372873.548066115</v>
      </c>
      <c r="E32" s="44">
        <f t="shared" si="5"/>
        <v>-2336734.6558966232</v>
      </c>
      <c r="F32" s="44">
        <f t="shared" si="6"/>
        <v>-2036138.8921694919</v>
      </c>
      <c r="G32" s="64">
        <f t="shared" si="7"/>
        <v>36909438.706107564</v>
      </c>
    </row>
    <row r="33" spans="2:7">
      <c r="B33" s="60">
        <f t="shared" si="2"/>
        <v>12</v>
      </c>
      <c r="C33" s="132">
        <f t="shared" si="4"/>
        <v>36909438.706107564</v>
      </c>
      <c r="D33" s="44">
        <f t="shared" si="3"/>
        <v>-4372873.548066115</v>
      </c>
      <c r="E33" s="44">
        <f t="shared" si="5"/>
        <v>-2214566.3223664537</v>
      </c>
      <c r="F33" s="44">
        <f t="shared" si="6"/>
        <v>-2158307.2256996613</v>
      </c>
      <c r="G33" s="64">
        <f t="shared" si="7"/>
        <v>34751131.480407901</v>
      </c>
    </row>
    <row r="34" spans="2:7">
      <c r="B34" s="60">
        <f t="shared" si="2"/>
        <v>13</v>
      </c>
      <c r="C34" s="132">
        <f t="shared" si="4"/>
        <v>34751131.480407901</v>
      </c>
      <c r="D34" s="44">
        <f t="shared" si="3"/>
        <v>-4372873.548066115</v>
      </c>
      <c r="E34" s="44">
        <f t="shared" si="5"/>
        <v>-2085067.8888244741</v>
      </c>
      <c r="F34" s="44">
        <f t="shared" si="6"/>
        <v>-2287805.6592416409</v>
      </c>
      <c r="G34" s="64">
        <f t="shared" si="7"/>
        <v>32463325.821166262</v>
      </c>
    </row>
    <row r="35" spans="2:7">
      <c r="B35" s="60">
        <f t="shared" si="2"/>
        <v>14</v>
      </c>
      <c r="C35" s="132">
        <f t="shared" si="4"/>
        <v>32463325.821166262</v>
      </c>
      <c r="D35" s="44">
        <f t="shared" si="3"/>
        <v>-4372873.548066115</v>
      </c>
      <c r="E35" s="44">
        <f t="shared" si="5"/>
        <v>-1947799.5492699756</v>
      </c>
      <c r="F35" s="44">
        <f t="shared" si="6"/>
        <v>-2425073.9987961394</v>
      </c>
      <c r="G35" s="64">
        <f t="shared" si="7"/>
        <v>30038251.822370123</v>
      </c>
    </row>
    <row r="36" spans="2:7">
      <c r="B36" s="60">
        <f t="shared" si="2"/>
        <v>15</v>
      </c>
      <c r="C36" s="132">
        <f t="shared" si="4"/>
        <v>30038251.822370123</v>
      </c>
      <c r="D36" s="44">
        <f t="shared" si="3"/>
        <v>-4372873.548066115</v>
      </c>
      <c r="E36" s="44">
        <f t="shared" si="5"/>
        <v>-1802295.1093422074</v>
      </c>
      <c r="F36" s="44">
        <f t="shared" si="6"/>
        <v>-2570578.4387239078</v>
      </c>
      <c r="G36" s="64">
        <f t="shared" si="7"/>
        <v>27467673.383646216</v>
      </c>
    </row>
    <row r="37" spans="2:7">
      <c r="B37" s="60">
        <f t="shared" si="2"/>
        <v>16</v>
      </c>
      <c r="C37" s="132">
        <f t="shared" si="4"/>
        <v>27467673.383646216</v>
      </c>
      <c r="D37" s="44">
        <f t="shared" si="3"/>
        <v>-4372873.548066115</v>
      </c>
      <c r="E37" s="44">
        <f t="shared" si="5"/>
        <v>-1648060.4030187728</v>
      </c>
      <c r="F37" s="44">
        <f t="shared" si="6"/>
        <v>-2724813.1450473424</v>
      </c>
      <c r="G37" s="64">
        <f t="shared" si="7"/>
        <v>24742860.238598876</v>
      </c>
    </row>
    <row r="38" spans="2:7">
      <c r="B38" s="60">
        <f t="shared" si="2"/>
        <v>17</v>
      </c>
      <c r="C38" s="132">
        <f t="shared" si="4"/>
        <v>24742860.238598876</v>
      </c>
      <c r="D38" s="44">
        <f t="shared" si="3"/>
        <v>-4372873.548066115</v>
      </c>
      <c r="E38" s="44">
        <f t="shared" si="5"/>
        <v>-1484571.6143159324</v>
      </c>
      <c r="F38" s="44">
        <f t="shared" si="6"/>
        <v>-2888301.9337501824</v>
      </c>
      <c r="G38" s="64">
        <f t="shared" si="7"/>
        <v>21854558.304848693</v>
      </c>
    </row>
    <row r="39" spans="2:7">
      <c r="B39" s="60">
        <f t="shared" si="2"/>
        <v>18</v>
      </c>
      <c r="C39" s="132">
        <f t="shared" si="4"/>
        <v>21854558.304848693</v>
      </c>
      <c r="D39" s="44">
        <f t="shared" si="3"/>
        <v>-4372873.548066115</v>
      </c>
      <c r="E39" s="44">
        <f t="shared" si="5"/>
        <v>-1311273.4982909216</v>
      </c>
      <c r="F39" s="44">
        <f t="shared" si="6"/>
        <v>-3061600.0497751934</v>
      </c>
      <c r="G39" s="64">
        <f t="shared" si="7"/>
        <v>18792958.255073499</v>
      </c>
    </row>
    <row r="40" spans="2:7">
      <c r="B40" s="60">
        <f t="shared" si="2"/>
        <v>19</v>
      </c>
      <c r="C40" s="132">
        <f t="shared" si="4"/>
        <v>18792958.255073499</v>
      </c>
      <c r="D40" s="44">
        <f t="shared" si="3"/>
        <v>-4372873.548066115</v>
      </c>
      <c r="E40" s="44">
        <f t="shared" si="5"/>
        <v>-1127577.4953044099</v>
      </c>
      <c r="F40" s="44">
        <f t="shared" si="6"/>
        <v>-3245296.0527617051</v>
      </c>
      <c r="G40" s="64">
        <f t="shared" si="7"/>
        <v>15547662.202311793</v>
      </c>
    </row>
    <row r="41" spans="2:7">
      <c r="B41" s="60">
        <f t="shared" si="2"/>
        <v>20</v>
      </c>
      <c r="C41" s="132">
        <f t="shared" si="4"/>
        <v>15547662.202311793</v>
      </c>
      <c r="D41" s="44">
        <f t="shared" si="3"/>
        <v>-4372873.548066115</v>
      </c>
      <c r="E41" s="44">
        <f t="shared" si="5"/>
        <v>-932859.73213870754</v>
      </c>
      <c r="F41" s="44">
        <f t="shared" si="6"/>
        <v>-3440013.8159274077</v>
      </c>
      <c r="G41" s="64">
        <f t="shared" si="7"/>
        <v>12107648.386384387</v>
      </c>
    </row>
    <row r="42" spans="2:7">
      <c r="B42" s="60">
        <f t="shared" si="2"/>
        <v>21</v>
      </c>
      <c r="C42" s="132">
        <f t="shared" si="4"/>
        <v>12107648.386384387</v>
      </c>
      <c r="D42" s="44">
        <f t="shared" si="3"/>
        <v>-4372873.548066115</v>
      </c>
      <c r="E42" s="44">
        <f t="shared" si="5"/>
        <v>-726458.90318306314</v>
      </c>
      <c r="F42" s="44">
        <f t="shared" si="6"/>
        <v>-3646414.644883052</v>
      </c>
      <c r="G42" s="64">
        <f t="shared" si="7"/>
        <v>8461233.7415013351</v>
      </c>
    </row>
    <row r="43" spans="2:7">
      <c r="B43" s="60">
        <f t="shared" si="2"/>
        <v>22</v>
      </c>
      <c r="C43" s="132">
        <f t="shared" si="4"/>
        <v>8461233.7415013351</v>
      </c>
      <c r="D43" s="44">
        <f t="shared" si="3"/>
        <v>-4372873.548066115</v>
      </c>
      <c r="E43" s="44">
        <f t="shared" si="5"/>
        <v>-507674.02449008008</v>
      </c>
      <c r="F43" s="44">
        <f t="shared" si="6"/>
        <v>-3865199.5235760352</v>
      </c>
      <c r="G43" s="64">
        <f t="shared" si="7"/>
        <v>4596034.2179252999</v>
      </c>
    </row>
    <row r="44" spans="2:7">
      <c r="B44" s="60">
        <v>21</v>
      </c>
      <c r="C44" s="132">
        <f t="shared" ref="C44:C45" si="8">G43</f>
        <v>4596034.2179252999</v>
      </c>
      <c r="D44" s="44">
        <f t="shared" si="3"/>
        <v>-4372873.548066115</v>
      </c>
      <c r="E44" s="44">
        <f t="shared" ref="E44:E45" si="9">-$C$4*C44</f>
        <v>-275762.05307551799</v>
      </c>
      <c r="F44" s="44">
        <f t="shared" ref="F44:F45" si="10">D44-E44</f>
        <v>-4097111.494990597</v>
      </c>
      <c r="G44" s="64">
        <f t="shared" ref="G44:G45" si="11">C44+F44</f>
        <v>498922.72293470288</v>
      </c>
    </row>
    <row r="45" spans="2:7">
      <c r="B45" s="61">
        <v>22</v>
      </c>
      <c r="C45" s="132">
        <f t="shared" si="8"/>
        <v>498922.72293470288</v>
      </c>
      <c r="D45" s="65">
        <f t="shared" si="3"/>
        <v>-528858.08631078503</v>
      </c>
      <c r="E45" s="65">
        <f t="shared" si="9"/>
        <v>-29935.363376082172</v>
      </c>
      <c r="F45" s="65">
        <f t="shared" si="10"/>
        <v>-498922.72293470288</v>
      </c>
      <c r="G45" s="66">
        <f t="shared" si="11"/>
        <v>0</v>
      </c>
    </row>
    <row r="46" spans="2:7">
      <c r="D46" s="44"/>
    </row>
    <row r="47" spans="2:7">
      <c r="D47" s="44"/>
    </row>
    <row r="48" spans="2:7">
      <c r="D48" s="44"/>
    </row>
    <row r="49" spans="4:4">
      <c r="D49" s="44"/>
    </row>
  </sheetData>
  <pageMargins left="0.7" right="0.7" top="0.75" bottom="0.75" header="0.3" footer="0.3"/>
  <ignoredErrors>
    <ignoredError sqref="E25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F9B5-C865-A542-99E1-F57E5BA6EF24}">
  <dimension ref="A1:R29"/>
  <sheetViews>
    <sheetView zoomScale="90" zoomScaleNormal="90" workbookViewId="0">
      <selection activeCell="H29" sqref="H29"/>
    </sheetView>
  </sheetViews>
  <sheetFormatPr baseColWidth="10" defaultRowHeight="15"/>
  <cols>
    <col min="1" max="1" width="21.83203125" bestFit="1" customWidth="1"/>
    <col min="2" max="5" width="14.33203125" bestFit="1" customWidth="1"/>
    <col min="6" max="6" width="15.33203125" bestFit="1" customWidth="1"/>
    <col min="7" max="7" width="14.33203125" bestFit="1" customWidth="1"/>
    <col min="8" max="8" width="14.83203125" bestFit="1" customWidth="1"/>
    <col min="9" max="9" width="14.6640625" bestFit="1" customWidth="1"/>
    <col min="10" max="10" width="16.33203125" bestFit="1" customWidth="1"/>
    <col min="11" max="12" width="17.33203125" bestFit="1" customWidth="1"/>
    <col min="13" max="13" width="18.33203125" bestFit="1" customWidth="1"/>
    <col min="14" max="14" width="17.33203125" bestFit="1" customWidth="1"/>
    <col min="15" max="15" width="18.33203125" bestFit="1" customWidth="1"/>
    <col min="16" max="17" width="19.83203125" bestFit="1" customWidth="1"/>
  </cols>
  <sheetData>
    <row r="1" spans="1:18" ht="24">
      <c r="A1" s="45" t="s">
        <v>40</v>
      </c>
    </row>
    <row r="3" spans="1:18">
      <c r="B3" s="46">
        <v>0</v>
      </c>
      <c r="C3" s="32">
        <f>B3+1</f>
        <v>1</v>
      </c>
      <c r="D3" s="32">
        <f t="shared" ref="D3:J3" si="0">C3+1</f>
        <v>2</v>
      </c>
      <c r="E3" s="32">
        <f t="shared" si="0"/>
        <v>3</v>
      </c>
      <c r="F3" s="32">
        <f t="shared" si="0"/>
        <v>4</v>
      </c>
      <c r="G3" s="32">
        <f t="shared" si="0"/>
        <v>5</v>
      </c>
      <c r="H3" s="32">
        <f t="shared" si="0"/>
        <v>6</v>
      </c>
      <c r="I3" s="32">
        <f t="shared" si="0"/>
        <v>7</v>
      </c>
      <c r="J3" s="32">
        <f t="shared" si="0"/>
        <v>8</v>
      </c>
      <c r="K3" s="32">
        <f>J3+1</f>
        <v>9</v>
      </c>
      <c r="L3" s="32">
        <f>K3+1</f>
        <v>10</v>
      </c>
      <c r="M3" s="32">
        <f t="shared" ref="M3:P3" si="1">L3+1</f>
        <v>11</v>
      </c>
      <c r="N3" s="32">
        <f t="shared" si="1"/>
        <v>12</v>
      </c>
      <c r="O3" s="32">
        <f t="shared" si="1"/>
        <v>13</v>
      </c>
      <c r="P3" s="32">
        <f t="shared" si="1"/>
        <v>14</v>
      </c>
      <c r="Q3" s="32">
        <f>P3+1</f>
        <v>15</v>
      </c>
    </row>
    <row r="4" spans="1:18">
      <c r="A4" t="s">
        <v>41</v>
      </c>
      <c r="B4" s="46" t="s">
        <v>42</v>
      </c>
      <c r="C4" s="46" t="s">
        <v>43</v>
      </c>
      <c r="D4" s="46" t="s">
        <v>44</v>
      </c>
      <c r="E4" s="46" t="s">
        <v>45</v>
      </c>
      <c r="F4" s="46" t="s">
        <v>46</v>
      </c>
      <c r="G4" s="46" t="s">
        <v>47</v>
      </c>
      <c r="H4" s="46" t="s">
        <v>48</v>
      </c>
      <c r="I4" s="46" t="s">
        <v>49</v>
      </c>
      <c r="J4" s="46" t="s">
        <v>50</v>
      </c>
      <c r="K4" s="46" t="s">
        <v>51</v>
      </c>
      <c r="L4" s="46" t="s">
        <v>52</v>
      </c>
      <c r="M4" s="46" t="s">
        <v>53</v>
      </c>
      <c r="N4" s="46" t="s">
        <v>54</v>
      </c>
      <c r="O4" s="46" t="s">
        <v>55</v>
      </c>
      <c r="P4" s="46" t="s">
        <v>56</v>
      </c>
      <c r="Q4" s="46" t="s">
        <v>57</v>
      </c>
    </row>
    <row r="5" spans="1:18" s="2" customFormat="1">
      <c r="A5" t="s">
        <v>60</v>
      </c>
      <c r="B5" s="132">
        <f>-'Operating assumtions'!C10</f>
        <v>-16000000</v>
      </c>
      <c r="C5" s="132"/>
      <c r="D5" s="132"/>
      <c r="E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</row>
    <row r="6" spans="1:18" s="2" customFormat="1">
      <c r="A6" t="s">
        <v>58</v>
      </c>
      <c r="B6" s="132"/>
      <c r="C6" s="132">
        <f>-'Operating assumtions'!C11</f>
        <v>-10000000</v>
      </c>
      <c r="D6" s="132"/>
      <c r="E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</row>
    <row r="7" spans="1:18" s="2" customFormat="1">
      <c r="A7" t="s">
        <v>59</v>
      </c>
      <c r="B7" s="132"/>
      <c r="C7" s="132"/>
      <c r="D7" s="132">
        <f>-'Operating assumtions'!C12</f>
        <v>-20000000</v>
      </c>
      <c r="E7" s="132">
        <f>-'Operating assumtions'!C13</f>
        <v>-40000000</v>
      </c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</row>
    <row r="8" spans="1:18" s="2" customFormat="1">
      <c r="A8" t="s">
        <v>17</v>
      </c>
      <c r="B8" s="132"/>
      <c r="C8" s="132"/>
      <c r="D8" s="132"/>
      <c r="E8" s="132"/>
      <c r="G8" s="132">
        <f>-'Leasing adjustment'!B16</f>
        <v>-18750000</v>
      </c>
      <c r="H8" s="132">
        <f>-'Leasing adjustment'!C16</f>
        <v>6149999.9999999991</v>
      </c>
      <c r="I8" s="132">
        <f>-'Leasing adjustment'!D16</f>
        <v>6303749.9999999981</v>
      </c>
      <c r="J8" s="132">
        <f>-'Leasing adjustment'!E16</f>
        <v>6461343.7499999972</v>
      </c>
      <c r="K8" s="132">
        <f>-'Leasing adjustment'!F16</f>
        <v>6622877.3437499963</v>
      </c>
      <c r="L8" s="132">
        <f>-'Leasing adjustment'!G16</f>
        <v>6788449.2773437453</v>
      </c>
      <c r="M8" s="132">
        <f>-'Leasing adjustment'!H16</f>
        <v>6958160.5092773382</v>
      </c>
      <c r="N8" s="132"/>
      <c r="O8" s="132"/>
      <c r="P8" s="132"/>
      <c r="Q8" s="132"/>
      <c r="R8" s="132"/>
    </row>
    <row r="9" spans="1:18" s="2" customFormat="1">
      <c r="A9" t="s">
        <v>18</v>
      </c>
      <c r="B9" s="67"/>
      <c r="C9" s="68"/>
      <c r="D9" s="68"/>
      <c r="E9" s="68"/>
      <c r="F9" s="68"/>
      <c r="G9" s="137"/>
      <c r="H9" s="137">
        <f>-'Leasing adjustment'!B26</f>
        <v>-11700000</v>
      </c>
      <c r="I9" s="137">
        <f>-'Leasing adjustment'!C26</f>
        <v>3997499.9999999995</v>
      </c>
      <c r="J9" s="137">
        <f>-'Leasing adjustment'!D26</f>
        <v>4097437.4999999991</v>
      </c>
      <c r="K9" s="137">
        <f>-'Leasing adjustment'!E26</f>
        <v>4199873.4374999991</v>
      </c>
      <c r="L9" s="137">
        <f>-'Leasing adjustment'!F26</f>
        <v>4304870.2734374991</v>
      </c>
      <c r="M9" s="137">
        <f>-'Leasing adjustment'!G26</f>
        <v>4412492.0302734366</v>
      </c>
      <c r="N9" s="137">
        <f>-'Leasing adjustment'!H26</f>
        <v>4522804.3310302719</v>
      </c>
      <c r="O9" s="137">
        <f>-'Leasing adjustment'!I26</f>
        <v>4635874.4393060282</v>
      </c>
      <c r="P9" s="137">
        <f>-'Leasing adjustment'!J26</f>
        <v>4751771.3002886781</v>
      </c>
      <c r="Q9" s="138">
        <f>-'Leasing adjustment'!K26</f>
        <v>4870565.5827958947</v>
      </c>
      <c r="R9" s="132"/>
    </row>
    <row r="10" spans="1:18" s="2" customFormat="1">
      <c r="A10" s="3" t="s">
        <v>114</v>
      </c>
      <c r="B10" s="2">
        <f>SUM(B5:B9)</f>
        <v>-16000000</v>
      </c>
      <c r="C10" s="2">
        <f t="shared" ref="C10:Q10" si="2">SUM(C5:C9)</f>
        <v>-10000000</v>
      </c>
      <c r="D10" s="2">
        <f t="shared" si="2"/>
        <v>-20000000</v>
      </c>
      <c r="E10" s="2">
        <f t="shared" si="2"/>
        <v>-40000000</v>
      </c>
      <c r="F10" s="2">
        <f t="shared" si="2"/>
        <v>0</v>
      </c>
      <c r="G10" s="2">
        <f t="shared" si="2"/>
        <v>-18750000</v>
      </c>
      <c r="H10" s="2">
        <f t="shared" si="2"/>
        <v>-5550000.0000000009</v>
      </c>
      <c r="I10" s="2">
        <f t="shared" si="2"/>
        <v>10301249.999999998</v>
      </c>
      <c r="J10" s="2">
        <f t="shared" si="2"/>
        <v>10558781.249999996</v>
      </c>
      <c r="K10" s="2">
        <f t="shared" si="2"/>
        <v>10822750.781249996</v>
      </c>
      <c r="L10" s="2">
        <f t="shared" si="2"/>
        <v>11093319.550781244</v>
      </c>
      <c r="M10" s="2">
        <f t="shared" si="2"/>
        <v>11370652.539550774</v>
      </c>
      <c r="N10" s="2">
        <f t="shared" si="2"/>
        <v>4522804.3310302719</v>
      </c>
      <c r="O10" s="2">
        <f t="shared" si="2"/>
        <v>4635874.4393060282</v>
      </c>
      <c r="P10" s="2">
        <f t="shared" si="2"/>
        <v>4751771.3002886781</v>
      </c>
      <c r="Q10" s="2">
        <f t="shared" si="2"/>
        <v>4870565.5827958947</v>
      </c>
    </row>
    <row r="11" spans="1:18" s="2" customFormat="1">
      <c r="A11"/>
    </row>
    <row r="12" spans="1:18" s="2" customFormat="1">
      <c r="A12" t="s">
        <v>109</v>
      </c>
      <c r="E12" s="132">
        <f>'Amortisation Schedule'!F24</f>
        <v>-3553033.548066115</v>
      </c>
      <c r="F12" s="132">
        <f>'Amortisation Schedule'!F25</f>
        <v>-1153033.548066115</v>
      </c>
      <c r="G12" s="132">
        <f>'Amortisation Schedule'!F26</f>
        <v>-1435397.573834049</v>
      </c>
      <c r="H12" s="132">
        <f>'Amortisation Schedule'!F27</f>
        <v>-1521521.4282640917</v>
      </c>
      <c r="I12" s="132">
        <f>'Amortisation Schedule'!F28</f>
        <v>-1612812.7139599374</v>
      </c>
      <c r="J12" s="132">
        <f>'Amortisation Schedule'!F29</f>
        <v>-1709581.4767975337</v>
      </c>
      <c r="K12" s="132">
        <f>'Amortisation Schedule'!F30</f>
        <v>-1812156.3654053858</v>
      </c>
      <c r="L12" s="132">
        <f>'Amortisation Schedule'!F31</f>
        <v>-1920885.7473297091</v>
      </c>
      <c r="M12" s="132">
        <f>'Amortisation Schedule'!F32</f>
        <v>-2036138.8921694919</v>
      </c>
      <c r="N12" s="132">
        <f>'Amortisation Schedule'!F33</f>
        <v>-2158307.2256996613</v>
      </c>
      <c r="O12" s="132">
        <f>'Amortisation Schedule'!F34</f>
        <v>-2287805.6592416409</v>
      </c>
      <c r="P12" s="132">
        <f>'Amortisation Schedule'!F35</f>
        <v>-2425073.9987961394</v>
      </c>
      <c r="Q12" s="132">
        <f>'Amortisation Schedule'!F36</f>
        <v>-2570578.4387239078</v>
      </c>
    </row>
    <row r="13" spans="1:18" s="2" customFormat="1">
      <c r="A13" t="s">
        <v>108</v>
      </c>
      <c r="B13" s="2">
        <f>-'Operating assumtions'!B44</f>
        <v>0</v>
      </c>
      <c r="E13" s="132">
        <f>'Amortisation Schedule'!E24</f>
        <v>-819840</v>
      </c>
      <c r="F13" s="132">
        <f>'Amortisation Schedule'!E25</f>
        <v>-3219840</v>
      </c>
      <c r="G13" s="132">
        <f>'Amortisation Schedule'!E26</f>
        <v>-2937475.974232066</v>
      </c>
      <c r="H13" s="132">
        <f>'Amortisation Schedule'!E27</f>
        <v>-2851352.1198020233</v>
      </c>
      <c r="I13" s="132">
        <f>'Amortisation Schedule'!E28</f>
        <v>-2760060.8341061776</v>
      </c>
      <c r="J13" s="132">
        <f>'Amortisation Schedule'!E29</f>
        <v>-2663292.0712685813</v>
      </c>
      <c r="K13" s="132">
        <f>'Amortisation Schedule'!E30</f>
        <v>-2560717.1826607292</v>
      </c>
      <c r="L13" s="132">
        <f>'Amortisation Schedule'!E31</f>
        <v>-2451987.8007364059</v>
      </c>
      <c r="M13" s="132">
        <f>'Amortisation Schedule'!E32</f>
        <v>-2336734.6558966232</v>
      </c>
      <c r="N13" s="132">
        <f>'Amortisation Schedule'!E33</f>
        <v>-2214566.3223664537</v>
      </c>
      <c r="O13" s="132">
        <f>'Amortisation Schedule'!E34</f>
        <v>-2085067.8888244741</v>
      </c>
      <c r="P13" s="132">
        <f>'Amortisation Schedule'!E35</f>
        <v>-1947799.5492699756</v>
      </c>
      <c r="Q13" s="132">
        <f>'Amortisation Schedule'!E36</f>
        <v>-1802295.1093422074</v>
      </c>
    </row>
    <row r="14" spans="1:18"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2"/>
    </row>
    <row r="15" spans="1:18">
      <c r="A15" s="3" t="s">
        <v>118</v>
      </c>
      <c r="G15" s="4">
        <f>SUM(G10,G12:G13)</f>
        <v>-23122873.548066117</v>
      </c>
      <c r="H15" s="4">
        <f t="shared" ref="H15:Q15" si="3">SUM(H10,H12:H13)</f>
        <v>-9922873.5480661169</v>
      </c>
      <c r="I15" s="4">
        <f t="shared" si="3"/>
        <v>5928376.4519338831</v>
      </c>
      <c r="J15" s="4">
        <f t="shared" si="3"/>
        <v>6185907.7019338813</v>
      </c>
      <c r="K15" s="4">
        <f t="shared" si="3"/>
        <v>6449877.2331838813</v>
      </c>
      <c r="L15" s="4">
        <f t="shared" si="3"/>
        <v>6720446.0027151285</v>
      </c>
      <c r="M15" s="4">
        <f t="shared" si="3"/>
        <v>6997778.9914846588</v>
      </c>
      <c r="N15" s="4">
        <f t="shared" si="3"/>
        <v>149930.78296415694</v>
      </c>
      <c r="O15" s="4">
        <f t="shared" si="3"/>
        <v>263000.89123991318</v>
      </c>
      <c r="P15" s="4">
        <f>SUM(P10,P12:P13)</f>
        <v>378897.75222256314</v>
      </c>
      <c r="Q15" s="4">
        <f t="shared" si="3"/>
        <v>497692.03472977947</v>
      </c>
      <c r="R15" s="2"/>
    </row>
    <row r="16" spans="1:18">
      <c r="O16" s="2"/>
      <c r="P16" s="2"/>
      <c r="Q16" s="2"/>
      <c r="R16" s="2"/>
    </row>
    <row r="17" spans="1:17">
      <c r="B17" s="6"/>
      <c r="C17" s="6"/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3" t="s">
        <v>120</v>
      </c>
      <c r="B18" s="6">
        <v>11</v>
      </c>
      <c r="C18" s="6"/>
      <c r="D18" s="6"/>
      <c r="E18" s="6"/>
      <c r="F18" s="139" t="s">
        <v>119</v>
      </c>
      <c r="G18" s="6">
        <v>11</v>
      </c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B19" s="47" t="s">
        <v>53</v>
      </c>
      <c r="C19" s="6"/>
      <c r="D19" s="6"/>
      <c r="E19" s="6"/>
      <c r="F19" s="6"/>
      <c r="G19" s="47" t="s">
        <v>53</v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B20" s="48" t="s">
        <v>116</v>
      </c>
      <c r="C20" s="49" t="s">
        <v>117</v>
      </c>
      <c r="D20" s="6"/>
      <c r="E20" s="6"/>
      <c r="F20" s="6"/>
      <c r="G20" s="48" t="s">
        <v>116</v>
      </c>
      <c r="H20" s="49" t="s">
        <v>117</v>
      </c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10" t="s">
        <v>115</v>
      </c>
      <c r="B21" s="132">
        <f>M10</f>
        <v>11370652.539550774</v>
      </c>
      <c r="C21" s="50"/>
      <c r="D21" s="6"/>
      <c r="E21" s="6"/>
      <c r="F21" s="10" t="s">
        <v>75</v>
      </c>
      <c r="G21" s="132">
        <f>B24</f>
        <v>212252180.7382811</v>
      </c>
      <c r="H21" s="140">
        <f>C24</f>
        <v>1061.2609036914055</v>
      </c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10" t="s">
        <v>73</v>
      </c>
      <c r="B22" s="54">
        <f>B21/'Operating assumtions'!B28</f>
        <v>216583857.89620522</v>
      </c>
      <c r="C22" s="51">
        <f>B22/'Operating assumtions'!$B$5</f>
        <v>1082.919289481026</v>
      </c>
      <c r="D22" s="2"/>
      <c r="E22" s="2"/>
      <c r="F22" s="10" t="s">
        <v>121</v>
      </c>
      <c r="G22" s="132">
        <f>'Amortisation Schedule'!G33</f>
        <v>34751131.480407901</v>
      </c>
      <c r="H22" s="54"/>
      <c r="I22" s="2"/>
      <c r="J22" s="2"/>
      <c r="K22" s="2"/>
      <c r="L22" s="2"/>
      <c r="M22" s="2"/>
      <c r="N22" s="2"/>
    </row>
    <row r="23" spans="1:17">
      <c r="A23" s="10" t="s">
        <v>74</v>
      </c>
      <c r="B23" s="54">
        <f>-B22*'Operating assumtions'!B29</f>
        <v>-4331677.1579241045</v>
      </c>
      <c r="C23" s="51">
        <f>B23/'Operating assumtions'!$B$5</f>
        <v>-21.658385789620521</v>
      </c>
      <c r="D23" s="2"/>
      <c r="E23" s="2"/>
      <c r="F23" s="159" t="s">
        <v>122</v>
      </c>
      <c r="G23" s="57">
        <f>G21-G22</f>
        <v>177501049.25787321</v>
      </c>
      <c r="H23" s="53">
        <f>G23/'Operating assumtions'!B5</f>
        <v>887.50524628936603</v>
      </c>
      <c r="I23" s="2"/>
      <c r="J23" s="2"/>
      <c r="K23" s="2"/>
      <c r="L23" s="2"/>
      <c r="M23" s="2"/>
      <c r="N23" s="2"/>
    </row>
    <row r="24" spans="1:17">
      <c r="A24" s="36" t="s">
        <v>75</v>
      </c>
      <c r="B24" s="55">
        <f>B22+B23</f>
        <v>212252180.7382811</v>
      </c>
      <c r="C24" s="52">
        <f>B24/'Operating assumtions'!$B$5</f>
        <v>1061.2609036914055</v>
      </c>
      <c r="D24" s="2"/>
      <c r="E24" s="2"/>
      <c r="F24" s="160"/>
      <c r="G24" s="56"/>
      <c r="H24" s="55"/>
      <c r="I24" s="2"/>
      <c r="J24" s="2"/>
      <c r="K24" s="2"/>
      <c r="L24" s="2"/>
      <c r="M24" s="2"/>
      <c r="N24" s="2"/>
    </row>
    <row r="25" spans="1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7">
      <c r="B26" s="2"/>
      <c r="C26" s="2"/>
      <c r="D26" s="2"/>
      <c r="E26" s="2"/>
      <c r="F26" s="2"/>
      <c r="G26" s="2"/>
      <c r="H26" s="2"/>
      <c r="I26" s="161">
        <f>I24-I25</f>
        <v>0</v>
      </c>
      <c r="J26" s="2"/>
      <c r="K26" s="2"/>
      <c r="L26" s="2"/>
      <c r="M26" s="2"/>
      <c r="N26" s="2"/>
    </row>
    <row r="27" spans="1:17">
      <c r="A27" s="36" t="s">
        <v>76</v>
      </c>
      <c r="B27" s="11">
        <f>B24/(1+'Operating assumtions'!B30)^B18</f>
        <v>157489652.58794972</v>
      </c>
      <c r="C27" s="11">
        <f>B27/'Operating assumtions'!B5</f>
        <v>787.44826293974859</v>
      </c>
      <c r="D27" s="2"/>
      <c r="E27" s="2"/>
      <c r="F27" s="2"/>
      <c r="G27" s="2"/>
      <c r="H27" s="2"/>
      <c r="I27" s="161"/>
      <c r="J27" s="2"/>
      <c r="K27" s="2"/>
      <c r="L27" s="2"/>
      <c r="M27" s="2"/>
      <c r="N27" s="2"/>
    </row>
    <row r="29" spans="1:17">
      <c r="B29" s="9"/>
    </row>
  </sheetData>
  <mergeCells count="2">
    <mergeCell ref="F23:F24"/>
    <mergeCell ref="I26:I27"/>
  </mergeCells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16FE-9DBC-E448-82D2-DA40EBBEA42F}">
  <dimension ref="A2:P29"/>
  <sheetViews>
    <sheetView workbookViewId="0">
      <selection activeCell="M21" sqref="M21"/>
    </sheetView>
  </sheetViews>
  <sheetFormatPr baseColWidth="10" defaultRowHeight="15"/>
  <cols>
    <col min="4" max="4" width="13.6640625" bestFit="1" customWidth="1"/>
    <col min="9" max="9" width="15" bestFit="1" customWidth="1"/>
    <col min="10" max="10" width="27.33203125" bestFit="1" customWidth="1"/>
  </cols>
  <sheetData>
    <row r="2" spans="1:16" ht="19">
      <c r="A2" s="90"/>
      <c r="B2" s="90"/>
      <c r="G2" s="91"/>
      <c r="P2" s="89"/>
    </row>
    <row r="3" spans="1:16" ht="20" thickBot="1">
      <c r="A3" s="92" t="s">
        <v>96</v>
      </c>
      <c r="B3" s="92"/>
      <c r="C3" s="35"/>
      <c r="D3" s="35"/>
      <c r="E3" s="93"/>
      <c r="F3" s="94"/>
      <c r="G3" s="35"/>
      <c r="H3" s="35"/>
      <c r="I3" s="35"/>
      <c r="J3" s="35"/>
      <c r="K3" s="35"/>
      <c r="L3" s="35"/>
      <c r="M3" s="35"/>
      <c r="N3" s="35"/>
      <c r="P3" s="89"/>
    </row>
    <row r="4" spans="1:16" ht="19">
      <c r="A4" s="95"/>
      <c r="B4" s="95"/>
      <c r="C4" s="96"/>
      <c r="D4" s="96"/>
      <c r="E4" s="97"/>
      <c r="F4" s="98"/>
      <c r="P4" s="89"/>
    </row>
    <row r="5" spans="1:16" ht="19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P5" s="89"/>
    </row>
    <row r="6" spans="1:16" ht="19">
      <c r="A6" s="99"/>
      <c r="B6" s="99"/>
      <c r="C6" s="99"/>
      <c r="D6" s="99"/>
      <c r="E6" s="100" t="s">
        <v>94</v>
      </c>
      <c r="F6" s="101"/>
      <c r="G6" s="101"/>
      <c r="H6" s="101"/>
      <c r="I6" s="101"/>
      <c r="J6" s="102"/>
      <c r="K6" s="99"/>
      <c r="L6" s="99"/>
      <c r="M6" s="99"/>
      <c r="N6" s="99"/>
      <c r="P6" s="89"/>
    </row>
    <row r="7" spans="1:16" ht="19">
      <c r="A7" s="99"/>
      <c r="B7" s="99"/>
      <c r="C7" s="99"/>
      <c r="D7" s="99"/>
      <c r="E7" s="155" t="s">
        <v>1</v>
      </c>
      <c r="F7" s="156"/>
      <c r="G7" s="156"/>
      <c r="H7" s="156"/>
      <c r="I7" s="110"/>
      <c r="J7" s="104">
        <f>'Operating assumtions'!C35</f>
        <v>55900000</v>
      </c>
      <c r="K7" s="99"/>
      <c r="L7" s="99"/>
      <c r="M7" s="99"/>
      <c r="N7" s="99"/>
      <c r="P7" s="89"/>
    </row>
    <row r="8" spans="1:16" ht="20" thickBot="1">
      <c r="A8" s="99"/>
      <c r="B8" s="99"/>
      <c r="C8" s="99"/>
      <c r="D8" s="99"/>
      <c r="E8" s="155" t="s">
        <v>2</v>
      </c>
      <c r="F8" s="156"/>
      <c r="G8" s="156"/>
      <c r="H8" s="156"/>
      <c r="I8" s="103"/>
      <c r="J8" s="105">
        <f>J9-J7</f>
        <v>32336000</v>
      </c>
      <c r="K8" s="99"/>
      <c r="L8" s="99"/>
      <c r="M8" s="99"/>
      <c r="N8" s="99"/>
      <c r="P8" s="89"/>
    </row>
    <row r="9" spans="1:16" ht="20" thickBot="1">
      <c r="A9" s="99"/>
      <c r="B9" s="99"/>
      <c r="C9" s="99"/>
      <c r="D9" s="99"/>
      <c r="E9" s="106"/>
      <c r="F9" s="107" t="s">
        <v>95</v>
      </c>
      <c r="G9" s="107"/>
      <c r="H9" s="107"/>
      <c r="I9" s="111"/>
      <c r="J9" s="108">
        <f>J19</f>
        <v>88236000</v>
      </c>
      <c r="K9" s="99"/>
      <c r="L9" s="99"/>
      <c r="M9" s="99"/>
      <c r="N9" s="99"/>
      <c r="P9" s="89"/>
    </row>
    <row r="10" spans="1:16" ht="19">
      <c r="A10" s="99"/>
      <c r="B10" s="99"/>
      <c r="C10" s="99"/>
      <c r="D10" s="99"/>
      <c r="E10" s="99"/>
      <c r="F10" s="99"/>
      <c r="G10" s="99"/>
      <c r="H10" s="99"/>
      <c r="I10" s="99"/>
      <c r="J10" s="104"/>
      <c r="K10" s="99"/>
      <c r="L10" s="99"/>
      <c r="M10" s="99"/>
      <c r="N10" s="99"/>
      <c r="P10" s="89"/>
    </row>
    <row r="11" spans="1:16" ht="19">
      <c r="A11" s="99"/>
      <c r="B11" s="99"/>
      <c r="C11" s="99"/>
      <c r="D11" s="99"/>
      <c r="E11" s="99"/>
      <c r="F11" s="99"/>
      <c r="G11" s="99"/>
      <c r="H11" s="99"/>
      <c r="I11" s="99"/>
      <c r="J11" s="104"/>
      <c r="K11" s="99"/>
      <c r="L11" s="99"/>
      <c r="M11" s="99"/>
      <c r="N11" s="99"/>
      <c r="P11" s="89"/>
    </row>
    <row r="12" spans="1:16" ht="19">
      <c r="A12" s="99"/>
      <c r="B12" s="99"/>
      <c r="C12" s="99"/>
      <c r="D12" s="99"/>
      <c r="E12" s="100" t="s">
        <v>97</v>
      </c>
      <c r="F12" s="101"/>
      <c r="G12" s="101"/>
      <c r="H12" s="101"/>
      <c r="I12" s="101"/>
      <c r="J12" s="102"/>
      <c r="K12" s="99"/>
      <c r="L12" s="99"/>
      <c r="M12" s="99"/>
      <c r="N12" s="99"/>
      <c r="P12" s="89"/>
    </row>
    <row r="13" spans="1:16" ht="19">
      <c r="E13" s="155" t="s">
        <v>5</v>
      </c>
      <c r="F13" s="156"/>
      <c r="G13" s="156"/>
      <c r="H13" s="156"/>
      <c r="I13" s="112"/>
      <c r="J13" s="104">
        <f>'Operating assumtions'!C10</f>
        <v>16000000</v>
      </c>
      <c r="P13" s="89"/>
    </row>
    <row r="14" spans="1:16" ht="19">
      <c r="E14" s="155" t="s">
        <v>6</v>
      </c>
      <c r="F14" s="156"/>
      <c r="G14" s="156"/>
      <c r="H14" s="156"/>
      <c r="I14" s="113"/>
      <c r="J14" s="104">
        <f>'Operating assumtions'!C11</f>
        <v>10000000</v>
      </c>
      <c r="P14" s="89"/>
    </row>
    <row r="15" spans="1:16" ht="19">
      <c r="A15" s="99"/>
      <c r="B15" s="99"/>
      <c r="C15" s="99"/>
      <c r="D15" s="99"/>
      <c r="E15" s="155" t="s">
        <v>7</v>
      </c>
      <c r="F15" s="156"/>
      <c r="G15" s="156"/>
      <c r="H15" s="156"/>
      <c r="I15" s="103"/>
      <c r="J15" s="104">
        <f>'Operating assumtions'!C12</f>
        <v>20000000</v>
      </c>
      <c r="K15" s="99"/>
      <c r="L15" s="99"/>
      <c r="M15" s="99"/>
      <c r="N15" s="99"/>
      <c r="P15" s="89"/>
    </row>
    <row r="16" spans="1:16" ht="19">
      <c r="A16" s="99"/>
      <c r="B16" s="99"/>
      <c r="C16" s="99"/>
      <c r="D16" s="99"/>
      <c r="E16" s="155" t="s">
        <v>8</v>
      </c>
      <c r="F16" s="156"/>
      <c r="G16" s="156"/>
      <c r="H16" s="156"/>
      <c r="I16" s="103"/>
      <c r="J16" s="104">
        <f>'Operating assumtions'!C13</f>
        <v>40000000</v>
      </c>
      <c r="K16" s="99"/>
      <c r="L16" s="99"/>
      <c r="M16" s="99"/>
      <c r="N16" s="99"/>
      <c r="P16" s="89"/>
    </row>
    <row r="17" spans="1:16" ht="19">
      <c r="A17" s="99"/>
      <c r="B17" s="99"/>
      <c r="C17" s="99"/>
      <c r="D17" s="99"/>
      <c r="E17" s="155" t="s">
        <v>100</v>
      </c>
      <c r="F17" s="156"/>
      <c r="G17" s="156"/>
      <c r="H17" s="156"/>
      <c r="I17" s="103"/>
      <c r="J17" s="104">
        <f>'Operating assumtions'!C37</f>
        <v>1397500</v>
      </c>
      <c r="K17" s="99"/>
      <c r="L17" s="99"/>
      <c r="M17" s="99"/>
      <c r="N17" s="99"/>
      <c r="P17" s="89"/>
    </row>
    <row r="18" spans="1:16" ht="20" thickBot="1">
      <c r="A18" s="99"/>
      <c r="B18" s="99"/>
      <c r="C18" s="99"/>
      <c r="D18" s="99"/>
      <c r="E18" s="155" t="s">
        <v>101</v>
      </c>
      <c r="F18" s="156"/>
      <c r="G18" s="156"/>
      <c r="H18" s="156"/>
      <c r="I18" s="103"/>
      <c r="J18" s="104">
        <f>'Operating assumtions'!C38</f>
        <v>838500</v>
      </c>
      <c r="K18" s="99"/>
      <c r="L18" s="99"/>
      <c r="M18" s="99"/>
      <c r="N18" s="99"/>
      <c r="P18" s="89"/>
    </row>
    <row r="19" spans="1:16" ht="20" thickBot="1">
      <c r="A19" s="99"/>
      <c r="B19" s="99"/>
      <c r="C19" s="99"/>
      <c r="D19" s="99"/>
      <c r="E19" s="106"/>
      <c r="F19" s="107" t="s">
        <v>95</v>
      </c>
      <c r="G19" s="107"/>
      <c r="H19" s="107"/>
      <c r="I19" s="111"/>
      <c r="J19" s="109">
        <f>SUM(J13:J18)</f>
        <v>88236000</v>
      </c>
      <c r="K19" s="99"/>
      <c r="L19" s="99"/>
      <c r="M19" s="99"/>
      <c r="N19" s="99"/>
      <c r="P19" s="89"/>
    </row>
    <row r="20" spans="1:16" ht="19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P20" s="89"/>
    </row>
    <row r="21" spans="1:16" ht="19">
      <c r="A21" s="99"/>
      <c r="B21" s="99"/>
      <c r="C21" s="99"/>
      <c r="D21" s="99"/>
      <c r="E21" s="99"/>
      <c r="K21" s="99"/>
      <c r="L21" s="99"/>
      <c r="M21" s="99"/>
      <c r="N21" s="99"/>
      <c r="P21" s="89"/>
    </row>
    <row r="24" spans="1:16">
      <c r="D24" s="40"/>
      <c r="E24" s="40"/>
      <c r="F24" s="3"/>
      <c r="I24" s="3"/>
    </row>
    <row r="25" spans="1:16">
      <c r="E25" s="41"/>
      <c r="F25" s="4"/>
      <c r="J25" s="17"/>
    </row>
    <row r="26" spans="1:16">
      <c r="E26" s="41"/>
      <c r="F26" s="4"/>
      <c r="J26" s="17"/>
    </row>
    <row r="27" spans="1:16">
      <c r="E27" s="9"/>
      <c r="F27" s="42"/>
      <c r="J27" s="17"/>
    </row>
    <row r="28" spans="1:16">
      <c r="J28" s="17"/>
    </row>
    <row r="29" spans="1:16">
      <c r="J29" s="4"/>
    </row>
  </sheetData>
  <mergeCells count="8">
    <mergeCell ref="E18:H18"/>
    <mergeCell ref="E8:H8"/>
    <mergeCell ref="E7:H7"/>
    <mergeCell ref="E13:H13"/>
    <mergeCell ref="E14:H14"/>
    <mergeCell ref="E15:H15"/>
    <mergeCell ref="E16:H16"/>
    <mergeCell ref="E17:H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CE3-D132-B74F-B3A8-E6B446E6DDB5}">
  <dimension ref="A1:AA32"/>
  <sheetViews>
    <sheetView workbookViewId="0">
      <selection activeCell="R28" sqref="R28"/>
    </sheetView>
  </sheetViews>
  <sheetFormatPr baseColWidth="10" defaultRowHeight="15"/>
  <cols>
    <col min="2" max="2" width="20.83203125" bestFit="1" customWidth="1"/>
    <col min="3" max="6" width="11.6640625" bestFit="1" customWidth="1"/>
    <col min="7" max="7" width="4.6640625" bestFit="1" customWidth="1"/>
    <col min="8" max="9" width="11.6640625" bestFit="1" customWidth="1"/>
    <col min="10" max="13" width="11.1640625" bestFit="1" customWidth="1"/>
    <col min="14" max="14" width="12.1640625" bestFit="1" customWidth="1"/>
  </cols>
  <sheetData>
    <row r="1" spans="1:27" ht="19">
      <c r="A1" s="43" t="s">
        <v>123</v>
      </c>
    </row>
    <row r="4" spans="1:27">
      <c r="A4" s="3" t="s">
        <v>124</v>
      </c>
    </row>
    <row r="6" spans="1:27">
      <c r="C6" s="46">
        <v>0</v>
      </c>
      <c r="D6" s="32">
        <f>C6+1</f>
        <v>1</v>
      </c>
      <c r="E6" s="32">
        <f t="shared" ref="E6:K6" si="0">D6+1</f>
        <v>2</v>
      </c>
      <c r="F6" s="32">
        <f t="shared" si="0"/>
        <v>3</v>
      </c>
      <c r="G6" s="32">
        <f t="shared" si="0"/>
        <v>4</v>
      </c>
      <c r="H6" s="32">
        <f t="shared" si="0"/>
        <v>5</v>
      </c>
      <c r="I6" s="32">
        <f t="shared" si="0"/>
        <v>6</v>
      </c>
      <c r="J6" s="32">
        <f t="shared" si="0"/>
        <v>7</v>
      </c>
      <c r="K6" s="32">
        <f t="shared" si="0"/>
        <v>8</v>
      </c>
      <c r="L6" s="32">
        <f>K6+1</f>
        <v>9</v>
      </c>
      <c r="M6" s="32">
        <f>L6+1</f>
        <v>10</v>
      </c>
      <c r="N6" s="32">
        <f t="shared" ref="N6" si="1">M6+1</f>
        <v>11</v>
      </c>
    </row>
    <row r="7" spans="1:27">
      <c r="B7" t="s">
        <v>60</v>
      </c>
      <c r="C7" s="132">
        <f>'Landlord Cash flow'!B5</f>
        <v>-16000000</v>
      </c>
      <c r="D7" s="132">
        <f>'Landlord Cash flow'!C5</f>
        <v>0</v>
      </c>
      <c r="E7" s="132">
        <f>'Landlord Cash flow'!D5</f>
        <v>0</v>
      </c>
      <c r="F7" s="132">
        <f>'Landlord Cash flow'!E5</f>
        <v>0</v>
      </c>
      <c r="G7" s="132">
        <f>'Landlord Cash flow'!F5</f>
        <v>0</v>
      </c>
      <c r="H7" s="132">
        <f>'Landlord Cash flow'!G5</f>
        <v>0</v>
      </c>
      <c r="I7" s="132">
        <f>'Landlord Cash flow'!H5</f>
        <v>0</v>
      </c>
      <c r="J7" s="132">
        <f>'Landlord Cash flow'!I5</f>
        <v>0</v>
      </c>
      <c r="K7" s="132">
        <f>'Landlord Cash flow'!J5</f>
        <v>0</v>
      </c>
      <c r="L7" s="132">
        <f>'Landlord Cash flow'!K5</f>
        <v>0</v>
      </c>
      <c r="M7" s="132">
        <f>'Landlord Cash flow'!L5</f>
        <v>0</v>
      </c>
      <c r="N7" s="132">
        <f>'Landlord Cash flow'!M5</f>
        <v>0</v>
      </c>
    </row>
    <row r="8" spans="1:27">
      <c r="B8" t="s">
        <v>58</v>
      </c>
      <c r="C8" s="132">
        <f>'Landlord Cash flow'!B6</f>
        <v>0</v>
      </c>
      <c r="D8" s="132">
        <f>'Landlord Cash flow'!C6</f>
        <v>-10000000</v>
      </c>
      <c r="E8" s="132">
        <f>'Landlord Cash flow'!D6</f>
        <v>0</v>
      </c>
      <c r="F8" s="132">
        <f>'Landlord Cash flow'!E6</f>
        <v>0</v>
      </c>
      <c r="G8" s="132">
        <f>'Landlord Cash flow'!F6</f>
        <v>0</v>
      </c>
      <c r="H8" s="132">
        <f>'Landlord Cash flow'!G6</f>
        <v>0</v>
      </c>
      <c r="I8" s="132">
        <f>'Landlord Cash flow'!H6</f>
        <v>0</v>
      </c>
      <c r="J8" s="132">
        <f>'Landlord Cash flow'!I6</f>
        <v>0</v>
      </c>
      <c r="K8" s="132">
        <f>'Landlord Cash flow'!J6</f>
        <v>0</v>
      </c>
      <c r="L8" s="132">
        <f>'Landlord Cash flow'!K6</f>
        <v>0</v>
      </c>
      <c r="M8" s="132">
        <f>'Landlord Cash flow'!L6</f>
        <v>0</v>
      </c>
      <c r="N8" s="132">
        <f>'Landlord Cash flow'!M6</f>
        <v>0</v>
      </c>
    </row>
    <row r="9" spans="1:27">
      <c r="B9" t="s">
        <v>59</v>
      </c>
      <c r="C9" s="132">
        <f>'Landlord Cash flow'!B7</f>
        <v>0</v>
      </c>
      <c r="D9" s="132">
        <f>'Landlord Cash flow'!C7</f>
        <v>0</v>
      </c>
      <c r="E9" s="132">
        <f>'Landlord Cash flow'!D7</f>
        <v>-20000000</v>
      </c>
      <c r="F9" s="132">
        <f>'Landlord Cash flow'!E7</f>
        <v>-40000000</v>
      </c>
      <c r="G9" s="132">
        <f>'Landlord Cash flow'!F7</f>
        <v>0</v>
      </c>
      <c r="H9" s="132">
        <f>'Landlord Cash flow'!G7</f>
        <v>0</v>
      </c>
      <c r="I9" s="132">
        <f>'Landlord Cash flow'!H7</f>
        <v>0</v>
      </c>
      <c r="J9" s="132">
        <f>'Landlord Cash flow'!I7</f>
        <v>0</v>
      </c>
      <c r="K9" s="132">
        <f>'Landlord Cash flow'!J7</f>
        <v>0</v>
      </c>
      <c r="L9" s="132">
        <f>'Landlord Cash flow'!K7</f>
        <v>0</v>
      </c>
      <c r="M9" s="132">
        <f>'Landlord Cash flow'!L7</f>
        <v>0</v>
      </c>
      <c r="N9" s="132">
        <f>'Landlord Cash flow'!M7</f>
        <v>0</v>
      </c>
    </row>
    <row r="10" spans="1:27">
      <c r="B10" t="s">
        <v>125</v>
      </c>
      <c r="C10" s="132"/>
      <c r="D10" s="132"/>
      <c r="E10" s="132"/>
      <c r="F10" s="132"/>
      <c r="G10" s="132"/>
      <c r="H10" s="132">
        <f>'Landlord Cash flow'!G10</f>
        <v>-18750000</v>
      </c>
      <c r="I10" s="132">
        <f>'Landlord Cash flow'!H10</f>
        <v>-5550000.0000000009</v>
      </c>
      <c r="J10" s="132">
        <f>'Landlord Cash flow'!I10</f>
        <v>10301249.999999998</v>
      </c>
      <c r="K10" s="132">
        <f>'Landlord Cash flow'!J10</f>
        <v>10558781.249999996</v>
      </c>
      <c r="L10" s="132">
        <f>'Landlord Cash flow'!K10</f>
        <v>10822750.781249996</v>
      </c>
      <c r="M10" s="132">
        <f>'Landlord Cash flow'!L10</f>
        <v>11093319.550781244</v>
      </c>
      <c r="N10" s="132">
        <f>'Landlord Cash flow'!M10</f>
        <v>11370652.539550774</v>
      </c>
    </row>
    <row r="11" spans="1:27">
      <c r="B11" t="s">
        <v>126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141">
        <f>'Landlord Cash flow'!B24</f>
        <v>212252180.7382811</v>
      </c>
    </row>
    <row r="12" spans="1:27">
      <c r="C12" s="2">
        <f>SUM(C7:C11)</f>
        <v>-16000000</v>
      </c>
      <c r="D12" s="2">
        <f t="shared" ref="D12:N12" si="2">SUM(D7:D11)</f>
        <v>-10000000</v>
      </c>
      <c r="E12" s="2">
        <f t="shared" si="2"/>
        <v>-20000000</v>
      </c>
      <c r="F12" s="2">
        <f t="shared" si="2"/>
        <v>-40000000</v>
      </c>
      <c r="G12" s="2">
        <f t="shared" si="2"/>
        <v>0</v>
      </c>
      <c r="H12" s="2">
        <f t="shared" si="2"/>
        <v>-18750000</v>
      </c>
      <c r="I12" s="2">
        <f t="shared" si="2"/>
        <v>-5550000.0000000009</v>
      </c>
      <c r="J12" s="2">
        <f t="shared" si="2"/>
        <v>10301249.999999998</v>
      </c>
      <c r="K12" s="2">
        <f t="shared" si="2"/>
        <v>10558781.249999996</v>
      </c>
      <c r="L12" s="2">
        <f t="shared" si="2"/>
        <v>10822750.781249996</v>
      </c>
      <c r="M12" s="2">
        <f t="shared" si="2"/>
        <v>11093319.550781244</v>
      </c>
      <c r="N12" s="2">
        <f t="shared" si="2"/>
        <v>223622833.27783188</v>
      </c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</row>
    <row r="13" spans="1:27"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</row>
    <row r="14" spans="1:27">
      <c r="Q14" s="170"/>
      <c r="R14" s="171"/>
      <c r="S14" s="170"/>
      <c r="T14" s="170"/>
      <c r="U14" s="171"/>
      <c r="V14" s="170"/>
      <c r="W14" s="170"/>
      <c r="X14" s="170"/>
      <c r="Y14" s="170"/>
      <c r="Z14" s="170"/>
      <c r="AA14" s="170"/>
    </row>
    <row r="15" spans="1:27">
      <c r="B15" s="142" t="s">
        <v>120</v>
      </c>
      <c r="C15" s="7">
        <f>IRR(C12:N12)</f>
        <v>0.11643509730385637</v>
      </c>
      <c r="Q15" s="170"/>
      <c r="R15" s="170"/>
      <c r="S15" s="170"/>
      <c r="T15" s="170"/>
      <c r="U15" s="171"/>
      <c r="V15" s="171"/>
      <c r="W15" s="171"/>
      <c r="X15" s="171"/>
      <c r="Y15" s="171"/>
      <c r="Z15" s="171"/>
      <c r="AA15" s="170"/>
    </row>
    <row r="16" spans="1:27">
      <c r="Q16" s="170"/>
      <c r="R16" s="171"/>
      <c r="S16" s="170"/>
      <c r="T16" s="170"/>
      <c r="U16" s="171"/>
      <c r="V16" s="171"/>
      <c r="W16" s="171"/>
      <c r="X16" s="171"/>
      <c r="Y16" s="171"/>
      <c r="Z16" s="171"/>
      <c r="AA16" s="170"/>
    </row>
    <row r="17" spans="1:27">
      <c r="Q17" s="170"/>
      <c r="R17" s="170"/>
      <c r="S17" s="170"/>
      <c r="T17" s="170"/>
      <c r="U17" s="171"/>
      <c r="V17" s="171"/>
      <c r="W17" s="171"/>
      <c r="X17" s="171"/>
      <c r="Y17" s="171"/>
      <c r="Z17" s="171"/>
      <c r="AA17" s="170"/>
    </row>
    <row r="18" spans="1:27">
      <c r="A18" s="3" t="s">
        <v>127</v>
      </c>
      <c r="Q18" s="170"/>
      <c r="R18" s="170"/>
      <c r="S18" s="170"/>
      <c r="T18" s="170"/>
      <c r="U18" s="171"/>
      <c r="V18" s="171"/>
      <c r="W18" s="171"/>
      <c r="X18" s="171"/>
      <c r="Y18" s="171"/>
      <c r="Z18" s="171"/>
      <c r="AA18" s="170"/>
    </row>
    <row r="19" spans="1:27">
      <c r="Q19" s="170"/>
      <c r="R19" s="170"/>
      <c r="S19" s="170"/>
      <c r="T19" s="170"/>
      <c r="U19" s="171"/>
      <c r="V19" s="171"/>
      <c r="W19" s="171"/>
      <c r="X19" s="171"/>
      <c r="Y19" s="171"/>
      <c r="Z19" s="171"/>
      <c r="AA19" s="170"/>
    </row>
    <row r="20" spans="1:27">
      <c r="C20" s="46">
        <v>0</v>
      </c>
      <c r="D20" s="32">
        <f>C20+1</f>
        <v>1</v>
      </c>
      <c r="E20" s="32">
        <f t="shared" ref="E20:K20" si="3">D20+1</f>
        <v>2</v>
      </c>
      <c r="F20" s="32">
        <f t="shared" si="3"/>
        <v>3</v>
      </c>
      <c r="G20" s="32">
        <f t="shared" si="3"/>
        <v>4</v>
      </c>
      <c r="H20" s="32">
        <f t="shared" si="3"/>
        <v>5</v>
      </c>
      <c r="I20" s="32">
        <f t="shared" si="3"/>
        <v>6</v>
      </c>
      <c r="J20" s="32">
        <f t="shared" si="3"/>
        <v>7</v>
      </c>
      <c r="K20" s="32">
        <f t="shared" si="3"/>
        <v>8</v>
      </c>
      <c r="L20" s="32">
        <f>K20+1</f>
        <v>9</v>
      </c>
      <c r="M20" s="32">
        <f>L20+1</f>
        <v>10</v>
      </c>
      <c r="N20" s="32">
        <f t="shared" ref="N20" si="4">M20+1</f>
        <v>11</v>
      </c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</row>
    <row r="21" spans="1:27">
      <c r="B21" t="s">
        <v>128</v>
      </c>
      <c r="C21" s="132">
        <f>-'Sources &amp; Uses'!J8</f>
        <v>-32336000</v>
      </c>
      <c r="D21" s="132">
        <v>0</v>
      </c>
      <c r="E21" s="132">
        <f>D21</f>
        <v>0</v>
      </c>
      <c r="F21" s="132">
        <f t="shared" ref="F21:N21" si="5">E21</f>
        <v>0</v>
      </c>
      <c r="G21" s="132">
        <f t="shared" si="5"/>
        <v>0</v>
      </c>
      <c r="H21" s="132">
        <f t="shared" si="5"/>
        <v>0</v>
      </c>
      <c r="I21" s="132">
        <f t="shared" si="5"/>
        <v>0</v>
      </c>
      <c r="J21" s="132">
        <f t="shared" si="5"/>
        <v>0</v>
      </c>
      <c r="K21" s="132">
        <f t="shared" si="5"/>
        <v>0</v>
      </c>
      <c r="L21" s="132">
        <f t="shared" si="5"/>
        <v>0</v>
      </c>
      <c r="M21" s="132">
        <f t="shared" si="5"/>
        <v>0</v>
      </c>
      <c r="N21" s="132">
        <f t="shared" si="5"/>
        <v>0</v>
      </c>
    </row>
    <row r="22" spans="1:27">
      <c r="B22" t="s">
        <v>129</v>
      </c>
      <c r="C22" s="132">
        <f>'Landlord Cash flow'!B15</f>
        <v>0</v>
      </c>
      <c r="D22" s="132">
        <f>'Landlord Cash flow'!C15</f>
        <v>0</v>
      </c>
      <c r="E22" s="132">
        <f>'Landlord Cash flow'!D15</f>
        <v>0</v>
      </c>
      <c r="F22" s="132">
        <f>'Landlord Cash flow'!E15</f>
        <v>0</v>
      </c>
      <c r="G22" s="132">
        <f>'Landlord Cash flow'!F15</f>
        <v>0</v>
      </c>
      <c r="H22" s="132">
        <f>'Landlord Cash flow'!G15</f>
        <v>-23122873.548066117</v>
      </c>
      <c r="I22" s="132">
        <f>'Landlord Cash flow'!H15</f>
        <v>-9922873.5480661169</v>
      </c>
      <c r="J22" s="132">
        <f>'Landlord Cash flow'!I15</f>
        <v>5928376.4519338831</v>
      </c>
      <c r="K22" s="132">
        <f>'Landlord Cash flow'!J15</f>
        <v>6185907.7019338813</v>
      </c>
      <c r="L22" s="132">
        <f>'Landlord Cash flow'!K15</f>
        <v>6449877.2331838813</v>
      </c>
      <c r="M22" s="132">
        <f>'Landlord Cash flow'!L15</f>
        <v>6720446.0027151285</v>
      </c>
      <c r="N22" s="132">
        <f>'Landlord Cash flow'!M15</f>
        <v>6997778.9914846588</v>
      </c>
    </row>
    <row r="23" spans="1:27">
      <c r="B23" t="s">
        <v>130</v>
      </c>
      <c r="C23" s="143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8">
        <f>'Landlord Cash flow'!G23</f>
        <v>177501049.25787321</v>
      </c>
    </row>
    <row r="24" spans="1:27">
      <c r="C24" s="2">
        <f>SUM(C21:C23)</f>
        <v>-32336000</v>
      </c>
      <c r="D24" s="2">
        <f t="shared" ref="D24:N24" si="6">SUM(D21:D23)</f>
        <v>0</v>
      </c>
      <c r="E24" s="2">
        <f t="shared" si="6"/>
        <v>0</v>
      </c>
      <c r="F24" s="2">
        <f t="shared" si="6"/>
        <v>0</v>
      </c>
      <c r="G24" s="2">
        <f t="shared" si="6"/>
        <v>0</v>
      </c>
      <c r="H24" s="2">
        <f t="shared" si="6"/>
        <v>-23122873.548066117</v>
      </c>
      <c r="I24" s="2">
        <f t="shared" si="6"/>
        <v>-9922873.5480661169</v>
      </c>
      <c r="J24" s="2">
        <f t="shared" si="6"/>
        <v>5928376.4519338831</v>
      </c>
      <c r="K24" s="2">
        <f t="shared" si="6"/>
        <v>6185907.7019338813</v>
      </c>
      <c r="L24" s="2">
        <f t="shared" si="6"/>
        <v>6449877.2331838813</v>
      </c>
      <c r="M24" s="2">
        <f t="shared" si="6"/>
        <v>6720446.0027151285</v>
      </c>
      <c r="N24" s="2">
        <f t="shared" si="6"/>
        <v>184498828.24935788</v>
      </c>
    </row>
    <row r="26" spans="1:27">
      <c r="B26" s="142" t="s">
        <v>119</v>
      </c>
      <c r="C26" s="7">
        <f>IRR(C24:N24)</f>
        <v>0.14804067762086315</v>
      </c>
    </row>
    <row r="28" spans="1:27">
      <c r="B28" s="142" t="s">
        <v>131</v>
      </c>
      <c r="C28" s="58">
        <f>(SUM(H24:N24))/-C24</f>
        <v>5.4656633022944217</v>
      </c>
    </row>
    <row r="30" spans="1:27">
      <c r="B30" s="142" t="s">
        <v>132</v>
      </c>
      <c r="C30" s="59">
        <f>J12/'Operating assumtions'!C14</f>
        <v>0.11978197674418603</v>
      </c>
    </row>
    <row r="32" spans="1:27">
      <c r="B32" s="142" t="s">
        <v>133</v>
      </c>
      <c r="C32" s="59">
        <f>J24/'Operating assumtions'!C14</f>
        <v>6.893460990620795E-2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4"/>
  <sheetViews>
    <sheetView zoomScale="90" zoomScaleNormal="90" workbookViewId="0">
      <selection activeCell="L7" sqref="L7"/>
    </sheetView>
  </sheetViews>
  <sheetFormatPr baseColWidth="10" defaultColWidth="8.83203125" defaultRowHeight="15"/>
  <cols>
    <col min="1" max="1" width="23.5" bestFit="1" customWidth="1"/>
    <col min="2" max="2" width="29.6640625" customWidth="1"/>
    <col min="4" max="4" width="7.5" customWidth="1"/>
    <col min="5" max="5" width="18.5" customWidth="1"/>
  </cols>
  <sheetData>
    <row r="1" spans="1:21">
      <c r="A1" s="1" t="s">
        <v>27</v>
      </c>
      <c r="B1" s="1" t="s">
        <v>28</v>
      </c>
    </row>
    <row r="2" spans="1:21">
      <c r="A2" t="s">
        <v>29</v>
      </c>
      <c r="B2" t="s">
        <v>30</v>
      </c>
    </row>
    <row r="3" spans="1:21">
      <c r="A3" t="s">
        <v>31</v>
      </c>
      <c r="B3" t="s">
        <v>32</v>
      </c>
    </row>
    <row r="4" spans="1:21">
      <c r="A4" t="s">
        <v>33</v>
      </c>
      <c r="B4" t="s">
        <v>34</v>
      </c>
    </row>
    <row r="10" spans="1:21">
      <c r="H10" t="s">
        <v>134</v>
      </c>
      <c r="R10" t="s">
        <v>134</v>
      </c>
    </row>
    <row r="11" spans="1:21">
      <c r="B11" t="s">
        <v>143</v>
      </c>
      <c r="C11" s="7">
        <f>'Return Analysis'!C26</f>
        <v>0.14804067762086315</v>
      </c>
      <c r="F11" s="154">
        <f>'Return Analysis'!C26</f>
        <v>0.14804067762086315</v>
      </c>
      <c r="G11" s="74">
        <f>H11-1</f>
        <v>46</v>
      </c>
      <c r="H11" s="75">
        <f>I11-1</f>
        <v>47</v>
      </c>
      <c r="I11" s="75">
        <f>C12</f>
        <v>48</v>
      </c>
      <c r="J11" s="75">
        <f>I11+1</f>
        <v>49</v>
      </c>
      <c r="K11" s="76">
        <f>J11+1</f>
        <v>50</v>
      </c>
      <c r="P11" s="7">
        <f>'Return Analysis'!C26</f>
        <v>0.14804067762086315</v>
      </c>
      <c r="Q11" s="74">
        <f>R11-1</f>
        <v>46</v>
      </c>
      <c r="R11" s="75">
        <f>S11-1</f>
        <v>47</v>
      </c>
      <c r="S11" s="75">
        <f>C12</f>
        <v>48</v>
      </c>
      <c r="T11" s="75">
        <f>S11+1</f>
        <v>49</v>
      </c>
      <c r="U11" s="76">
        <f>T11+1</f>
        <v>50</v>
      </c>
    </row>
    <row r="12" spans="1:21">
      <c r="B12" t="s">
        <v>181</v>
      </c>
      <c r="C12">
        <v>48</v>
      </c>
      <c r="F12" s="70">
        <f>F13+0.0025</f>
        <v>5.7500000000000002E-2</v>
      </c>
      <c r="G12" s="7">
        <v>0.13189999999999999</v>
      </c>
      <c r="H12" s="7">
        <v>0.1343</v>
      </c>
      <c r="I12" s="7">
        <v>0.1366</v>
      </c>
      <c r="J12" s="7">
        <v>0.13900000000000001</v>
      </c>
      <c r="K12" s="7">
        <v>0.14130000000000001</v>
      </c>
      <c r="P12" s="70">
        <f>P13+0.0025</f>
        <v>5.7500000000000002E-2</v>
      </c>
      <c r="Q12" s="7">
        <f t="dataTable" ref="Q12:U16" dt2D="1" dtr="1" r1="C12" r2="C13" ca="1"/>
        <v>0.14804067762086315</v>
      </c>
      <c r="R12" s="7">
        <v>0.14804067762086315</v>
      </c>
      <c r="S12" s="7">
        <v>0.14804067762086315</v>
      </c>
      <c r="T12" s="7">
        <v>0.14804067762086315</v>
      </c>
      <c r="U12" s="7">
        <v>0.14804067762086315</v>
      </c>
    </row>
    <row r="13" spans="1:21" ht="16" thickBot="1">
      <c r="B13" t="s">
        <v>137</v>
      </c>
      <c r="C13" s="7">
        <v>5.2499999999999998E-2</v>
      </c>
      <c r="F13" s="71">
        <f>F14+0.0025</f>
        <v>5.5E-2</v>
      </c>
      <c r="G13" s="7">
        <v>0.13750000000000001</v>
      </c>
      <c r="H13" s="7">
        <v>0.1399</v>
      </c>
      <c r="I13" s="7">
        <v>0.14219999999999999</v>
      </c>
      <c r="J13" s="7">
        <v>0.14449999999999999</v>
      </c>
      <c r="K13" s="7">
        <v>0.14680000000000001</v>
      </c>
      <c r="P13" s="71">
        <f>P14+0.0025</f>
        <v>5.5E-2</v>
      </c>
      <c r="Q13" s="7">
        <v>0.14804067762086315</v>
      </c>
      <c r="R13" s="7">
        <v>0.14804067762086315</v>
      </c>
      <c r="S13" s="7">
        <v>0.14804067762086315</v>
      </c>
      <c r="T13" s="7">
        <v>0.14804067762086315</v>
      </c>
      <c r="U13" s="7">
        <v>0.14804067762086315</v>
      </c>
    </row>
    <row r="14" spans="1:21" ht="16" thickBot="1">
      <c r="E14" t="s">
        <v>137</v>
      </c>
      <c r="F14" s="71">
        <f>C13</f>
        <v>5.2499999999999998E-2</v>
      </c>
      <c r="G14" s="7">
        <v>0.1434</v>
      </c>
      <c r="H14" s="7">
        <v>0.1457</v>
      </c>
      <c r="I14" s="173">
        <v>0.14799999999999999</v>
      </c>
      <c r="J14" s="7">
        <v>0.15029999999999999</v>
      </c>
      <c r="K14" s="7">
        <v>0.15260000000000001</v>
      </c>
      <c r="O14" t="s">
        <v>137</v>
      </c>
      <c r="P14" s="71">
        <f>C13</f>
        <v>5.2499999999999998E-2</v>
      </c>
      <c r="Q14" s="7">
        <v>0.14804067762086315</v>
      </c>
      <c r="R14" s="7">
        <v>0.14804067762086315</v>
      </c>
      <c r="S14" s="7">
        <v>0.14804067762086315</v>
      </c>
      <c r="T14" s="7">
        <v>0.14804067762086315</v>
      </c>
      <c r="U14" s="7">
        <v>0.14804067762086315</v>
      </c>
    </row>
    <row r="15" spans="1:21">
      <c r="F15" s="71">
        <f>F14-0.0025</f>
        <v>4.9999999999999996E-2</v>
      </c>
      <c r="G15" s="7">
        <v>0.14949999999999999</v>
      </c>
      <c r="H15" s="7">
        <v>0.15190000000000001</v>
      </c>
      <c r="I15" s="7">
        <v>0.15409999999999999</v>
      </c>
      <c r="J15" s="7">
        <v>0.15640000000000001</v>
      </c>
      <c r="K15" s="7">
        <v>0.15859999999999999</v>
      </c>
      <c r="P15" s="71">
        <f>P14-0.0025</f>
        <v>4.9999999999999996E-2</v>
      </c>
      <c r="Q15" s="7">
        <v>0.14804067762086315</v>
      </c>
      <c r="R15" s="7">
        <v>0.14804067762086315</v>
      </c>
      <c r="S15" s="7">
        <v>0.14804067762086315</v>
      </c>
      <c r="T15" s="7">
        <v>0.14804067762086315</v>
      </c>
      <c r="U15" s="7">
        <v>0.14804067762086315</v>
      </c>
    </row>
    <row r="16" spans="1:21">
      <c r="F16" s="73">
        <f>F15-0.0025</f>
        <v>4.7499999999999994E-2</v>
      </c>
      <c r="G16" s="7">
        <v>0.156</v>
      </c>
      <c r="H16" s="7">
        <v>0.1583</v>
      </c>
      <c r="I16" s="7">
        <v>0.16059999999999999</v>
      </c>
      <c r="J16" s="7">
        <v>0.1628</v>
      </c>
      <c r="K16" s="7">
        <v>0.16500000000000001</v>
      </c>
      <c r="P16" s="73">
        <f>P15-0.0025</f>
        <v>4.7499999999999994E-2</v>
      </c>
      <c r="Q16" s="7">
        <v>0.14804067762086315</v>
      </c>
      <c r="R16" s="7">
        <v>0.14804067762086315</v>
      </c>
      <c r="S16" s="7">
        <v>0.14804067762086315</v>
      </c>
      <c r="T16" s="7">
        <v>0.14804067762086315</v>
      </c>
      <c r="U16" s="7">
        <v>0.14804067762086315</v>
      </c>
    </row>
    <row r="18" spans="2:23" ht="11" customHeight="1"/>
    <row r="19" spans="2:23" ht="14" customHeight="1">
      <c r="P19" s="165" t="s">
        <v>182</v>
      </c>
      <c r="Q19" s="165"/>
      <c r="R19" s="165"/>
      <c r="S19" s="165"/>
      <c r="T19" s="165"/>
      <c r="U19" s="165"/>
      <c r="V19" s="165"/>
      <c r="W19" s="165"/>
    </row>
    <row r="20" spans="2:23">
      <c r="H20" t="s">
        <v>140</v>
      </c>
      <c r="P20" s="165"/>
      <c r="Q20" s="165"/>
      <c r="R20" s="165"/>
      <c r="S20" s="165"/>
      <c r="T20" s="165"/>
      <c r="U20" s="165"/>
      <c r="V20" s="165"/>
      <c r="W20" s="165"/>
    </row>
    <row r="21" spans="2:23">
      <c r="B21" t="s">
        <v>140</v>
      </c>
      <c r="C21">
        <f>'Operating assumtions'!B10</f>
        <v>80</v>
      </c>
      <c r="F21" s="154">
        <f>'Return Analysis'!C26</f>
        <v>0.14804067762086315</v>
      </c>
      <c r="G21" s="74">
        <f>H21-5</f>
        <v>70</v>
      </c>
      <c r="H21" s="75">
        <f>I21-5</f>
        <v>75</v>
      </c>
      <c r="I21" s="75">
        <v>80</v>
      </c>
      <c r="J21" s="75">
        <f>I21+5</f>
        <v>85</v>
      </c>
      <c r="K21" s="76">
        <f>J21+5</f>
        <v>90</v>
      </c>
    </row>
    <row r="22" spans="2:23">
      <c r="B22" t="s">
        <v>136</v>
      </c>
      <c r="C22" s="7">
        <f>'Operating assumtions'!B36</f>
        <v>0.06</v>
      </c>
      <c r="F22" s="70">
        <f>F23-0.0025</f>
        <v>5.4999999999999993E-2</v>
      </c>
      <c r="G22" s="7">
        <v>0.15260000000000001</v>
      </c>
      <c r="H22" s="7">
        <v>0.151</v>
      </c>
      <c r="I22" s="7">
        <v>0.14940000000000001</v>
      </c>
      <c r="J22" s="7">
        <v>0.14779999999999999</v>
      </c>
      <c r="K22" s="7">
        <v>0.1462</v>
      </c>
    </row>
    <row r="23" spans="2:23" ht="16" thickBot="1">
      <c r="F23" s="71">
        <f>F24-0.0025</f>
        <v>5.7499999999999996E-2</v>
      </c>
      <c r="G23" s="7">
        <v>0.15190000000000001</v>
      </c>
      <c r="H23" s="7">
        <v>0.15029999999999999</v>
      </c>
      <c r="I23" s="7">
        <v>0.1487</v>
      </c>
      <c r="J23" s="7">
        <v>0.14710000000000001</v>
      </c>
      <c r="K23" s="7">
        <v>0.14549999999999999</v>
      </c>
    </row>
    <row r="24" spans="2:23" ht="16" thickBot="1">
      <c r="E24" t="s">
        <v>136</v>
      </c>
      <c r="F24" s="72">
        <f>6%</f>
        <v>0.06</v>
      </c>
      <c r="G24" s="7">
        <v>0.15129999999999999</v>
      </c>
      <c r="H24" s="7">
        <v>0.1497</v>
      </c>
      <c r="I24" s="172">
        <v>0.14799999999999999</v>
      </c>
      <c r="J24" s="7">
        <v>0.1464</v>
      </c>
      <c r="K24" s="7">
        <v>0.1449</v>
      </c>
    </row>
    <row r="25" spans="2:23">
      <c r="F25" s="71">
        <f>F24+0.0025</f>
        <v>6.25E-2</v>
      </c>
      <c r="G25" s="7">
        <v>0.15060000000000001</v>
      </c>
      <c r="H25" s="7">
        <v>0.14899999999999999</v>
      </c>
      <c r="I25" s="7">
        <v>0.1474</v>
      </c>
      <c r="J25" s="7">
        <v>0.14580000000000001</v>
      </c>
      <c r="K25" s="7">
        <v>0.14419999999999999</v>
      </c>
    </row>
    <row r="26" spans="2:23">
      <c r="F26" s="73">
        <f>F25+0.0025</f>
        <v>6.5000000000000002E-2</v>
      </c>
      <c r="G26" s="7">
        <v>0.15</v>
      </c>
      <c r="H26" s="7">
        <v>0.14829999999999999</v>
      </c>
      <c r="I26" s="7">
        <v>0.1467</v>
      </c>
      <c r="J26" s="7">
        <v>0.14510000000000001</v>
      </c>
      <c r="K26" s="7">
        <v>0.14349999999999999</v>
      </c>
    </row>
    <row r="28" spans="2:23">
      <c r="H28" t="s">
        <v>138</v>
      </c>
    </row>
    <row r="29" spans="2:23">
      <c r="F29" s="154">
        <f>'Return Analysis'!C26</f>
        <v>0.14804067762086315</v>
      </c>
      <c r="G29" s="74">
        <f>H29-2</f>
        <v>56</v>
      </c>
      <c r="H29" s="75">
        <f>I29-2</f>
        <v>58</v>
      </c>
      <c r="I29" s="75">
        <v>60</v>
      </c>
      <c r="J29" s="75">
        <f>I29+2</f>
        <v>62</v>
      </c>
      <c r="K29" s="76">
        <f>J29+2</f>
        <v>64</v>
      </c>
    </row>
    <row r="30" spans="2:23">
      <c r="B30" t="s">
        <v>138</v>
      </c>
      <c r="C30">
        <f>'Operating assumtions'!C19</f>
        <v>60</v>
      </c>
      <c r="F30" s="28">
        <f>F31+10</f>
        <v>200</v>
      </c>
      <c r="G30" s="7">
        <v>0.1421</v>
      </c>
      <c r="H30" s="7">
        <v>0.14430000000000001</v>
      </c>
      <c r="I30" s="7">
        <v>0.14649999999999999</v>
      </c>
      <c r="J30" s="7">
        <v>0.1487</v>
      </c>
      <c r="K30" s="7">
        <v>0.15079999999999999</v>
      </c>
    </row>
    <row r="31" spans="2:23" ht="16" thickBot="1">
      <c r="B31" t="s">
        <v>139</v>
      </c>
      <c r="C31">
        <f>'Operating assumtions'!G19</f>
        <v>180</v>
      </c>
      <c r="F31" s="60">
        <f>F32+10</f>
        <v>190</v>
      </c>
      <c r="G31" s="7">
        <v>0.1429</v>
      </c>
      <c r="H31" s="7">
        <v>0.14510000000000001</v>
      </c>
      <c r="I31" s="7">
        <v>0.14729999999999999</v>
      </c>
      <c r="J31" s="7">
        <v>0.14940000000000001</v>
      </c>
      <c r="K31" s="7">
        <v>0.15160000000000001</v>
      </c>
    </row>
    <row r="32" spans="2:23" ht="16" thickBot="1">
      <c r="E32" t="s">
        <v>139</v>
      </c>
      <c r="F32" s="60">
        <v>180</v>
      </c>
      <c r="G32" s="7">
        <v>0.14360000000000001</v>
      </c>
      <c r="H32" s="7">
        <v>0.1459</v>
      </c>
      <c r="I32" s="150">
        <v>0.14799999999999999</v>
      </c>
      <c r="J32" s="7">
        <v>0.1502</v>
      </c>
      <c r="K32" s="7">
        <v>0.15229999999999999</v>
      </c>
    </row>
    <row r="33" spans="6:11">
      <c r="F33" s="60">
        <f>F32-10</f>
        <v>170</v>
      </c>
      <c r="G33" s="7">
        <v>0.1444</v>
      </c>
      <c r="H33" s="7">
        <v>0.14660000000000001</v>
      </c>
      <c r="I33" s="7">
        <v>0.14879999999999999</v>
      </c>
      <c r="J33" s="7">
        <v>0.151</v>
      </c>
      <c r="K33" s="7">
        <v>0.15310000000000001</v>
      </c>
    </row>
    <row r="34" spans="6:11">
      <c r="F34" s="61">
        <f>F33-10</f>
        <v>160</v>
      </c>
      <c r="G34" s="7">
        <v>0.1452</v>
      </c>
      <c r="H34" s="7">
        <v>0.1474</v>
      </c>
      <c r="I34" s="7">
        <v>0.14960000000000001</v>
      </c>
      <c r="J34" s="7">
        <v>0.1517</v>
      </c>
      <c r="K34" s="7">
        <v>0.15379999999999999</v>
      </c>
    </row>
  </sheetData>
  <mergeCells count="1">
    <mergeCell ref="P19:W20"/>
  </mergeCells>
  <conditionalFormatting sqref="G12:K16">
    <cfRule type="colorScale" priority="1">
      <colorScale>
        <cfvo type="min"/>
        <cfvo type="max"/>
        <color rgb="FFFCFCFF"/>
        <color rgb="FF63BE7B"/>
      </colorScale>
    </cfRule>
  </conditionalFormatting>
  <conditionalFormatting sqref="G22:K26">
    <cfRule type="colorScale" priority="4">
      <colorScale>
        <cfvo type="min"/>
        <cfvo type="max"/>
        <color rgb="FFFCFCFF"/>
        <color rgb="FFF8696B"/>
      </colorScale>
    </cfRule>
  </conditionalFormatting>
  <conditionalFormatting sqref="G30:K3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9D80-F6BE-9344-A201-26A0633F0961}">
  <dimension ref="A3:R132"/>
  <sheetViews>
    <sheetView workbookViewId="0">
      <selection activeCell="E109" sqref="E109"/>
    </sheetView>
  </sheetViews>
  <sheetFormatPr baseColWidth="10" defaultRowHeight="15"/>
  <cols>
    <col min="1" max="1" width="14.6640625" bestFit="1" customWidth="1"/>
    <col min="2" max="2" width="13" bestFit="1" customWidth="1"/>
    <col min="3" max="3" width="25.1640625" bestFit="1" customWidth="1"/>
    <col min="4" max="4" width="11.6640625" bestFit="1" customWidth="1"/>
    <col min="5" max="7" width="11" bestFit="1" customWidth="1"/>
    <col min="8" max="8" width="14.1640625" bestFit="1" customWidth="1"/>
    <col min="9" max="9" width="13.1640625" bestFit="1" customWidth="1"/>
    <col min="10" max="13" width="12.6640625" bestFit="1" customWidth="1"/>
    <col min="14" max="14" width="14.6640625" bestFit="1" customWidth="1"/>
    <col min="15" max="15" width="12.1640625" bestFit="1" customWidth="1"/>
    <col min="17" max="17" width="11.1640625" bestFit="1" customWidth="1"/>
  </cols>
  <sheetData>
    <row r="3" spans="1:15">
      <c r="A3" t="s">
        <v>141</v>
      </c>
    </row>
    <row r="4" spans="1:15">
      <c r="D4" s="46">
        <v>0</v>
      </c>
      <c r="E4" s="32">
        <f>D4+1</f>
        <v>1</v>
      </c>
      <c r="F4" s="32">
        <f t="shared" ref="F4:L4" si="0">E4+1</f>
        <v>2</v>
      </c>
      <c r="G4" s="32">
        <f t="shared" si="0"/>
        <v>3</v>
      </c>
      <c r="H4" s="32">
        <f t="shared" si="0"/>
        <v>4</v>
      </c>
      <c r="I4" s="32">
        <f t="shared" si="0"/>
        <v>5</v>
      </c>
      <c r="J4" s="32">
        <f t="shared" si="0"/>
        <v>6</v>
      </c>
      <c r="K4" s="32">
        <f t="shared" si="0"/>
        <v>7</v>
      </c>
      <c r="L4" s="32">
        <f t="shared" si="0"/>
        <v>8</v>
      </c>
      <c r="M4" s="32">
        <f>L4+1</f>
        <v>9</v>
      </c>
      <c r="N4" s="32">
        <f>M4+1</f>
        <v>10</v>
      </c>
      <c r="O4" s="32">
        <f t="shared" ref="O4" si="1">N4+1</f>
        <v>11</v>
      </c>
    </row>
    <row r="5" spans="1:15">
      <c r="C5" t="s">
        <v>142</v>
      </c>
      <c r="D5" s="132">
        <f>'Return Analysis'!C24</f>
        <v>-32336000</v>
      </c>
      <c r="E5" s="132">
        <f>'Return Analysis'!D24</f>
        <v>0</v>
      </c>
      <c r="F5" s="132">
        <f>'Return Analysis'!E24</f>
        <v>0</v>
      </c>
      <c r="G5" s="132">
        <f>'Return Analysis'!F24</f>
        <v>0</v>
      </c>
      <c r="H5" s="132">
        <f>'Return Analysis'!G24</f>
        <v>0</v>
      </c>
      <c r="I5" s="132">
        <f>'Return Analysis'!H24</f>
        <v>-23122873.548066117</v>
      </c>
      <c r="J5" s="132">
        <f>'Return Analysis'!I24</f>
        <v>-9922873.5480661169</v>
      </c>
      <c r="K5" s="132">
        <f>'Return Analysis'!J24</f>
        <v>5928376.4519338831</v>
      </c>
      <c r="L5" s="132">
        <f>'Return Analysis'!K24</f>
        <v>6185907.7019338813</v>
      </c>
      <c r="M5" s="132">
        <f>'Return Analysis'!L24</f>
        <v>6449877.2331838813</v>
      </c>
      <c r="N5" s="132">
        <f>'Return Analysis'!M24</f>
        <v>6720446.0027151285</v>
      </c>
      <c r="O5" s="132">
        <f>'Return Analysis'!N24</f>
        <v>184498828.24935788</v>
      </c>
    </row>
    <row r="8" spans="1:15">
      <c r="C8" t="s">
        <v>143</v>
      </c>
      <c r="D8" s="133">
        <f>IRR(D5:O5)</f>
        <v>0.14804067762086315</v>
      </c>
    </row>
    <row r="10" spans="1:15">
      <c r="A10" t="s">
        <v>144</v>
      </c>
    </row>
    <row r="11" spans="1:15">
      <c r="C11" t="s">
        <v>145</v>
      </c>
      <c r="D11" s="21">
        <f>5%</f>
        <v>0.05</v>
      </c>
    </row>
    <row r="12" spans="1:15">
      <c r="C12" t="s">
        <v>146</v>
      </c>
      <c r="D12" s="41">
        <v>0.95</v>
      </c>
    </row>
    <row r="13" spans="1:15" ht="16" thickBot="1"/>
    <row r="14" spans="1:15" ht="16" thickBot="1">
      <c r="C14" s="162" t="s">
        <v>153</v>
      </c>
      <c r="D14" s="163"/>
      <c r="E14" s="163"/>
      <c r="F14" s="164"/>
    </row>
    <row r="15" spans="1:15">
      <c r="C15" s="80" t="s">
        <v>149</v>
      </c>
      <c r="D15" s="81"/>
      <c r="E15" s="81"/>
      <c r="F15" s="82"/>
    </row>
    <row r="16" spans="1:15">
      <c r="C16" s="83" t="s">
        <v>143</v>
      </c>
      <c r="D16" s="41">
        <v>0.08</v>
      </c>
      <c r="F16" s="84"/>
    </row>
    <row r="17" spans="3:6">
      <c r="C17" s="83" t="s">
        <v>154</v>
      </c>
      <c r="D17" s="41">
        <v>0.95</v>
      </c>
      <c r="F17" s="84"/>
    </row>
    <row r="18" spans="3:6">
      <c r="C18" s="83" t="s">
        <v>155</v>
      </c>
      <c r="D18" s="41">
        <v>0.05</v>
      </c>
      <c r="F18" s="84"/>
    </row>
    <row r="19" spans="3:6">
      <c r="C19" s="83"/>
      <c r="D19" s="16"/>
      <c r="F19" s="84"/>
    </row>
    <row r="20" spans="3:6">
      <c r="C20" s="83" t="s">
        <v>152</v>
      </c>
      <c r="D20" s="16"/>
      <c r="F20" s="84"/>
    </row>
    <row r="21" spans="3:6">
      <c r="C21" s="83" t="s">
        <v>143</v>
      </c>
      <c r="D21" s="41">
        <v>0.12</v>
      </c>
      <c r="F21" s="84"/>
    </row>
    <row r="22" spans="3:6">
      <c r="C22" s="83" t="s">
        <v>154</v>
      </c>
      <c r="D22" s="41">
        <v>0.8</v>
      </c>
      <c r="F22" s="84"/>
    </row>
    <row r="23" spans="3:6">
      <c r="C23" s="83" t="s">
        <v>155</v>
      </c>
      <c r="D23" s="41">
        <v>0.2</v>
      </c>
      <c r="F23" s="84"/>
    </row>
    <row r="24" spans="3:6">
      <c r="C24" s="83"/>
      <c r="D24" s="16"/>
      <c r="F24" s="84"/>
    </row>
    <row r="25" spans="3:6">
      <c r="C25" s="83" t="s">
        <v>151</v>
      </c>
      <c r="D25" s="16"/>
      <c r="F25" s="84"/>
    </row>
    <row r="26" spans="3:6">
      <c r="C26" s="83" t="s">
        <v>143</v>
      </c>
      <c r="D26" s="41">
        <v>0.15</v>
      </c>
      <c r="F26" s="84"/>
    </row>
    <row r="27" spans="3:6">
      <c r="C27" s="83" t="s">
        <v>154</v>
      </c>
      <c r="D27" s="41">
        <v>0.7</v>
      </c>
      <c r="F27" s="84"/>
    </row>
    <row r="28" spans="3:6">
      <c r="C28" s="83" t="s">
        <v>155</v>
      </c>
      <c r="D28" s="41">
        <v>0.3</v>
      </c>
      <c r="F28" s="84"/>
    </row>
    <row r="29" spans="3:6">
      <c r="C29" s="83"/>
      <c r="D29" s="16"/>
      <c r="F29" s="84"/>
    </row>
    <row r="30" spans="3:6">
      <c r="C30" s="83" t="s">
        <v>150</v>
      </c>
      <c r="D30" s="16"/>
      <c r="F30" s="84"/>
    </row>
    <row r="31" spans="3:6">
      <c r="C31" s="83" t="s">
        <v>154</v>
      </c>
      <c r="D31" s="41">
        <v>0.6</v>
      </c>
      <c r="F31" s="84"/>
    </row>
    <row r="32" spans="3:6">
      <c r="C32" s="83" t="s">
        <v>155</v>
      </c>
      <c r="D32" s="41">
        <v>0.4</v>
      </c>
      <c r="F32" s="84"/>
    </row>
    <row r="33" spans="2:18">
      <c r="C33" s="83"/>
      <c r="F33" s="84"/>
    </row>
    <row r="34" spans="2:18">
      <c r="C34" s="83" t="s">
        <v>156</v>
      </c>
      <c r="D34" s="4">
        <f>D12*-D5</f>
        <v>30719200</v>
      </c>
      <c r="F34" s="84"/>
    </row>
    <row r="35" spans="2:18" ht="16" thickBot="1">
      <c r="C35" s="85" t="s">
        <v>157</v>
      </c>
      <c r="D35" s="86">
        <f>D11*-D5</f>
        <v>1616800</v>
      </c>
      <c r="E35" s="35"/>
      <c r="F35" s="87"/>
    </row>
    <row r="38" spans="2:18">
      <c r="B38" s="3" t="s">
        <v>149</v>
      </c>
      <c r="D38" s="46">
        <v>0</v>
      </c>
      <c r="E38" s="32">
        <f>D38+1</f>
        <v>1</v>
      </c>
      <c r="F38" s="32">
        <f t="shared" ref="F38" si="2">E38+1</f>
        <v>2</v>
      </c>
      <c r="G38" s="32">
        <f t="shared" ref="G38" si="3">F38+1</f>
        <v>3</v>
      </c>
      <c r="H38" s="32">
        <f t="shared" ref="H38" si="4">G38+1</f>
        <v>4</v>
      </c>
      <c r="I38" s="32">
        <f t="shared" ref="I38" si="5">H38+1</f>
        <v>5</v>
      </c>
      <c r="J38" s="32">
        <f t="shared" ref="J38" si="6">I38+1</f>
        <v>6</v>
      </c>
      <c r="K38" s="32">
        <f t="shared" ref="K38" si="7">J38+1</f>
        <v>7</v>
      </c>
      <c r="L38" s="32">
        <f t="shared" ref="L38" si="8">K38+1</f>
        <v>8</v>
      </c>
      <c r="M38" s="32">
        <f>L38+1</f>
        <v>9</v>
      </c>
      <c r="N38" s="32">
        <f>M38+1</f>
        <v>10</v>
      </c>
      <c r="O38" s="32">
        <f t="shared" ref="O38" si="9">N38+1</f>
        <v>11</v>
      </c>
    </row>
    <row r="40" spans="2:18">
      <c r="B40" t="s">
        <v>158</v>
      </c>
      <c r="D40" s="132">
        <f t="shared" ref="D40:O40" si="10">D5</f>
        <v>-32336000</v>
      </c>
      <c r="E40" s="132">
        <f t="shared" si="10"/>
        <v>0</v>
      </c>
      <c r="F40" s="132">
        <f t="shared" si="10"/>
        <v>0</v>
      </c>
      <c r="G40" s="132">
        <f t="shared" si="10"/>
        <v>0</v>
      </c>
      <c r="H40" s="132">
        <f t="shared" si="10"/>
        <v>0</v>
      </c>
      <c r="I40" s="132">
        <f t="shared" si="10"/>
        <v>-23122873.548066117</v>
      </c>
      <c r="J40" s="132">
        <f t="shared" si="10"/>
        <v>-9922873.5480661169</v>
      </c>
      <c r="K40" s="132">
        <f t="shared" si="10"/>
        <v>5928376.4519338831</v>
      </c>
      <c r="L40" s="132">
        <f t="shared" si="10"/>
        <v>6185907.7019338813</v>
      </c>
      <c r="M40" s="132">
        <f t="shared" si="10"/>
        <v>6449877.2331838813</v>
      </c>
      <c r="N40" s="132">
        <f t="shared" si="10"/>
        <v>6720446.0027151285</v>
      </c>
      <c r="O40" s="132">
        <f t="shared" si="10"/>
        <v>184498828.24935788</v>
      </c>
    </row>
    <row r="42" spans="2:18">
      <c r="C42" t="s">
        <v>159</v>
      </c>
    </row>
    <row r="43" spans="2:18">
      <c r="C43" t="s">
        <v>160</v>
      </c>
      <c r="D43" s="132">
        <f>D34</f>
        <v>30719200</v>
      </c>
      <c r="E43" s="132">
        <f>D49</f>
        <v>30719200</v>
      </c>
      <c r="F43" s="132">
        <f t="shared" ref="F43:O43" si="11">E49</f>
        <v>33176736</v>
      </c>
      <c r="G43" s="132">
        <f t="shared" si="11"/>
        <v>35830874.880000003</v>
      </c>
      <c r="H43" s="132">
        <f t="shared" si="11"/>
        <v>38697344.870400004</v>
      </c>
      <c r="I43" s="132">
        <f t="shared" si="11"/>
        <v>41793132.460032001</v>
      </c>
      <c r="J43" s="132">
        <f t="shared" si="11"/>
        <v>67103312.927497372</v>
      </c>
      <c r="K43" s="132">
        <f t="shared" si="11"/>
        <v>81898307.83235997</v>
      </c>
      <c r="L43" s="132">
        <f t="shared" si="11"/>
        <v>82818214.82961157</v>
      </c>
      <c r="M43" s="132">
        <f t="shared" si="11"/>
        <v>83567059.699143305</v>
      </c>
      <c r="N43" s="132">
        <f t="shared" si="11"/>
        <v>84125041.103550076</v>
      </c>
      <c r="O43" s="132">
        <f t="shared" si="11"/>
        <v>84470620.689254701</v>
      </c>
    </row>
    <row r="44" spans="2:18">
      <c r="C44" t="s">
        <v>171</v>
      </c>
      <c r="D44" s="69"/>
      <c r="E44" s="69">
        <f>E43*$D$16</f>
        <v>2457536</v>
      </c>
      <c r="F44" s="69">
        <f t="shared" ref="F44:N44" si="12">F43*$D$16</f>
        <v>2654138.88</v>
      </c>
      <c r="G44" s="69">
        <f t="shared" si="12"/>
        <v>2866469.9904000005</v>
      </c>
      <c r="H44" s="69">
        <f t="shared" si="12"/>
        <v>3095787.5896320003</v>
      </c>
      <c r="I44" s="69">
        <f t="shared" si="12"/>
        <v>3343450.5968025601</v>
      </c>
      <c r="J44" s="69">
        <f t="shared" si="12"/>
        <v>5368265.0341997901</v>
      </c>
      <c r="K44" s="69">
        <f t="shared" si="12"/>
        <v>6551864.6265887981</v>
      </c>
      <c r="L44" s="69">
        <f t="shared" si="12"/>
        <v>6625457.1863689255</v>
      </c>
      <c r="M44" s="69">
        <f t="shared" si="12"/>
        <v>6685364.7759314645</v>
      </c>
      <c r="N44" s="69">
        <f t="shared" si="12"/>
        <v>6730003.2882840065</v>
      </c>
      <c r="O44" s="69">
        <f>O43*$D$16</f>
        <v>6757649.6551403766</v>
      </c>
    </row>
    <row r="45" spans="2:18">
      <c r="D45" s="4">
        <f>SUM(D43:D44)</f>
        <v>30719200</v>
      </c>
      <c r="E45" s="4">
        <f>SUM(E43:E44)</f>
        <v>33176736</v>
      </c>
      <c r="F45" s="4">
        <f t="shared" ref="F45:O45" si="13">SUM(F43:F44)</f>
        <v>35830874.880000003</v>
      </c>
      <c r="G45" s="4">
        <f t="shared" si="13"/>
        <v>38697344.870400004</v>
      </c>
      <c r="H45" s="4">
        <f t="shared" si="13"/>
        <v>41793132.460032001</v>
      </c>
      <c r="I45" s="4">
        <f t="shared" si="13"/>
        <v>45136583.056834564</v>
      </c>
      <c r="J45" s="4">
        <f t="shared" si="13"/>
        <v>72471577.961697161</v>
      </c>
      <c r="K45" s="4">
        <f t="shared" si="13"/>
        <v>88450172.458948761</v>
      </c>
      <c r="L45" s="4">
        <f t="shared" si="13"/>
        <v>89443672.015980497</v>
      </c>
      <c r="M45" s="4">
        <f t="shared" si="13"/>
        <v>90252424.475074768</v>
      </c>
      <c r="N45" s="4">
        <f t="shared" si="13"/>
        <v>90855044.39183408</v>
      </c>
      <c r="O45" s="4">
        <f t="shared" si="13"/>
        <v>91228270.344395071</v>
      </c>
    </row>
    <row r="46" spans="2:18">
      <c r="B46" s="9">
        <v>0.95</v>
      </c>
      <c r="C46" t="s">
        <v>161</v>
      </c>
      <c r="D46" s="4"/>
      <c r="E46" s="4">
        <f>MIN(E40*$B$46,E45)</f>
        <v>0</v>
      </c>
      <c r="F46" s="4">
        <f t="shared" ref="F46:O46" si="14">MIN(F40*$B$46,F45)</f>
        <v>0</v>
      </c>
      <c r="G46" s="4">
        <f t="shared" si="14"/>
        <v>0</v>
      </c>
      <c r="H46" s="4">
        <f t="shared" si="14"/>
        <v>0</v>
      </c>
      <c r="I46" s="4">
        <f t="shared" si="14"/>
        <v>-21966729.870662808</v>
      </c>
      <c r="J46" s="4">
        <f t="shared" si="14"/>
        <v>-9426729.8706628103</v>
      </c>
      <c r="K46" s="4">
        <f t="shared" si="14"/>
        <v>5631957.6293371888</v>
      </c>
      <c r="L46" s="4">
        <f t="shared" si="14"/>
        <v>5876612.3168371869</v>
      </c>
      <c r="M46" s="4">
        <f t="shared" si="14"/>
        <v>6127383.3715246869</v>
      </c>
      <c r="N46" s="4">
        <f t="shared" si="14"/>
        <v>6384423.7025793716</v>
      </c>
      <c r="O46" s="4">
        <f t="shared" si="14"/>
        <v>91228270.344395071</v>
      </c>
      <c r="P46" s="4"/>
      <c r="Q46" s="4"/>
      <c r="R46" s="4"/>
    </row>
    <row r="47" spans="2:18">
      <c r="C47" t="s">
        <v>171</v>
      </c>
      <c r="D47" s="4"/>
      <c r="E47" s="4">
        <f>MIN(E46,E44)</f>
        <v>0</v>
      </c>
      <c r="F47" s="4">
        <f t="shared" ref="F47:O47" si="15">MIN(F46,F44)</f>
        <v>0</v>
      </c>
      <c r="G47" s="4">
        <f t="shared" si="15"/>
        <v>0</v>
      </c>
      <c r="H47" s="4">
        <f t="shared" si="15"/>
        <v>0</v>
      </c>
      <c r="I47" s="4">
        <f t="shared" si="15"/>
        <v>-21966729.870662808</v>
      </c>
      <c r="J47" s="4">
        <f t="shared" si="15"/>
        <v>-9426729.8706628103</v>
      </c>
      <c r="K47" s="4">
        <f t="shared" si="15"/>
        <v>5631957.6293371888</v>
      </c>
      <c r="L47" s="4">
        <f t="shared" si="15"/>
        <v>5876612.3168371869</v>
      </c>
      <c r="M47" s="4">
        <f t="shared" si="15"/>
        <v>6127383.3715246869</v>
      </c>
      <c r="N47" s="4">
        <f t="shared" si="15"/>
        <v>6384423.7025793716</v>
      </c>
      <c r="O47" s="4">
        <f t="shared" si="15"/>
        <v>6757649.6551403766</v>
      </c>
      <c r="P47" s="4"/>
      <c r="Q47" s="4"/>
      <c r="R47" s="4"/>
    </row>
    <row r="48" spans="2:18">
      <c r="C48" t="s">
        <v>172</v>
      </c>
      <c r="D48" s="69"/>
      <c r="E48" s="69">
        <f>E46-E47</f>
        <v>0</v>
      </c>
      <c r="F48" s="69">
        <f t="shared" ref="F48:O48" si="16">F46-F47</f>
        <v>0</v>
      </c>
      <c r="G48" s="69">
        <f t="shared" si="16"/>
        <v>0</v>
      </c>
      <c r="H48" s="69">
        <f t="shared" si="16"/>
        <v>0</v>
      </c>
      <c r="I48" s="69">
        <f t="shared" si="16"/>
        <v>0</v>
      </c>
      <c r="J48" s="69">
        <f t="shared" si="16"/>
        <v>0</v>
      </c>
      <c r="K48" s="69">
        <f t="shared" si="16"/>
        <v>0</v>
      </c>
      <c r="L48" s="69">
        <f t="shared" si="16"/>
        <v>0</v>
      </c>
      <c r="M48" s="69">
        <f t="shared" si="16"/>
        <v>0</v>
      </c>
      <c r="N48" s="69">
        <f t="shared" si="16"/>
        <v>0</v>
      </c>
      <c r="O48" s="69">
        <f t="shared" si="16"/>
        <v>84470620.689254701</v>
      </c>
      <c r="P48" s="4"/>
      <c r="Q48" s="4"/>
      <c r="R48" s="4"/>
    </row>
    <row r="49" spans="2:18">
      <c r="C49" t="s">
        <v>162</v>
      </c>
      <c r="D49" s="4">
        <f>D45-D46</f>
        <v>30719200</v>
      </c>
      <c r="E49" s="4">
        <f t="shared" ref="E49:O49" si="17">E45-E46</f>
        <v>33176736</v>
      </c>
      <c r="F49" s="4">
        <f t="shared" si="17"/>
        <v>35830874.880000003</v>
      </c>
      <c r="G49" s="4">
        <f t="shared" si="17"/>
        <v>38697344.870400004</v>
      </c>
      <c r="H49" s="4">
        <f t="shared" si="17"/>
        <v>41793132.460032001</v>
      </c>
      <c r="I49" s="4">
        <f>I45-I46</f>
        <v>67103312.927497372</v>
      </c>
      <c r="J49" s="4">
        <f t="shared" si="17"/>
        <v>81898307.83235997</v>
      </c>
      <c r="K49" s="4">
        <f t="shared" si="17"/>
        <v>82818214.82961157</v>
      </c>
      <c r="L49" s="4">
        <f t="shared" si="17"/>
        <v>83567059.699143305</v>
      </c>
      <c r="M49" s="4">
        <f t="shared" si="17"/>
        <v>84125041.103550076</v>
      </c>
      <c r="N49" s="4">
        <f t="shared" si="17"/>
        <v>84470620.689254701</v>
      </c>
      <c r="O49" s="4">
        <f t="shared" si="17"/>
        <v>0</v>
      </c>
      <c r="P49" s="4"/>
      <c r="Q49" s="4"/>
      <c r="R49" s="4"/>
    </row>
    <row r="50" spans="2:18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2:18">
      <c r="C51" t="s">
        <v>163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>
      <c r="C52" t="s">
        <v>160</v>
      </c>
      <c r="D52" s="132">
        <f>D35</f>
        <v>1616800</v>
      </c>
      <c r="E52" s="132">
        <f>D58</f>
        <v>1616800</v>
      </c>
      <c r="F52" s="132">
        <f>E58</f>
        <v>1746144</v>
      </c>
      <c r="G52" s="132">
        <f t="shared" ref="G52:O52" si="18">F58</f>
        <v>1885835.52</v>
      </c>
      <c r="H52" s="132">
        <f t="shared" si="18"/>
        <v>2036702.3615999999</v>
      </c>
      <c r="I52" s="132">
        <f t="shared" si="18"/>
        <v>2199638.5505280001</v>
      </c>
      <c r="J52" s="132">
        <f t="shared" si="18"/>
        <v>3531753.3119735457</v>
      </c>
      <c r="K52" s="132">
        <f t="shared" si="18"/>
        <v>4310437.2543347357</v>
      </c>
      <c r="L52" s="132">
        <f t="shared" si="18"/>
        <v>4358853.4120848207</v>
      </c>
      <c r="M52" s="132">
        <f t="shared" si="18"/>
        <v>4398266.2999549117</v>
      </c>
      <c r="N52" s="132">
        <f t="shared" si="18"/>
        <v>4427633.7422921099</v>
      </c>
      <c r="O52" s="132">
        <f t="shared" si="18"/>
        <v>4445822.1415397217</v>
      </c>
      <c r="P52" s="4"/>
      <c r="Q52" s="4"/>
      <c r="R52" s="4"/>
    </row>
    <row r="53" spans="2:18">
      <c r="C53" t="s">
        <v>171</v>
      </c>
      <c r="D53" s="69"/>
      <c r="E53" s="69">
        <f>E52*$D$16</f>
        <v>129344</v>
      </c>
      <c r="F53" s="69">
        <f t="shared" ref="F53:O53" si="19">F52*$D$16</f>
        <v>139691.51999999999</v>
      </c>
      <c r="G53" s="69">
        <f t="shared" si="19"/>
        <v>150866.84160000001</v>
      </c>
      <c r="H53" s="69">
        <f t="shared" si="19"/>
        <v>162936.18892799999</v>
      </c>
      <c r="I53" s="69">
        <f t="shared" si="19"/>
        <v>175971.08404224002</v>
      </c>
      <c r="J53" s="69">
        <f t="shared" si="19"/>
        <v>282540.26495788369</v>
      </c>
      <c r="K53" s="69">
        <f t="shared" si="19"/>
        <v>344834.98034677887</v>
      </c>
      <c r="L53" s="69">
        <f t="shared" si="19"/>
        <v>348708.27296678565</v>
      </c>
      <c r="M53" s="69">
        <f t="shared" si="19"/>
        <v>351861.30399639293</v>
      </c>
      <c r="N53" s="69">
        <f t="shared" si="19"/>
        <v>354210.69938336877</v>
      </c>
      <c r="O53" s="69">
        <f t="shared" si="19"/>
        <v>355665.77132317773</v>
      </c>
      <c r="P53" s="4"/>
      <c r="Q53" s="4"/>
      <c r="R53" s="4"/>
    </row>
    <row r="54" spans="2:18">
      <c r="D54" s="4">
        <f>SUM(D52:D53)</f>
        <v>1616800</v>
      </c>
      <c r="E54" s="4">
        <f>SUM(E52:E53)</f>
        <v>1746144</v>
      </c>
      <c r="F54" s="4">
        <f t="shared" ref="F54:O54" si="20">SUM(F52:F53)</f>
        <v>1885835.52</v>
      </c>
      <c r="G54" s="4">
        <f t="shared" si="20"/>
        <v>2036702.3615999999</v>
      </c>
      <c r="H54" s="4">
        <f t="shared" si="20"/>
        <v>2199638.5505280001</v>
      </c>
      <c r="I54" s="4">
        <f t="shared" si="20"/>
        <v>2375609.63457024</v>
      </c>
      <c r="J54" s="4">
        <f t="shared" si="20"/>
        <v>3814293.5769314296</v>
      </c>
      <c r="K54" s="4">
        <f t="shared" si="20"/>
        <v>4655272.234681515</v>
      </c>
      <c r="L54" s="4">
        <f t="shared" si="20"/>
        <v>4707561.685051606</v>
      </c>
      <c r="M54" s="4">
        <f t="shared" si="20"/>
        <v>4750127.6039513042</v>
      </c>
      <c r="N54" s="4">
        <f t="shared" si="20"/>
        <v>4781844.4416754786</v>
      </c>
      <c r="O54" s="4">
        <f t="shared" si="20"/>
        <v>4801487.9128628997</v>
      </c>
      <c r="P54" s="4"/>
      <c r="Q54" s="4"/>
      <c r="R54" s="4"/>
    </row>
    <row r="55" spans="2:18">
      <c r="B55" s="9">
        <v>0.05</v>
      </c>
      <c r="C55" t="s">
        <v>164</v>
      </c>
      <c r="D55" s="4"/>
      <c r="E55" s="4">
        <f>MIN(E40*$B$55,E54)</f>
        <v>0</v>
      </c>
      <c r="F55" s="4">
        <f t="shared" ref="F55:O55" si="21">MIN(F40*$B$55,F54)</f>
        <v>0</v>
      </c>
      <c r="G55" s="4">
        <f t="shared" si="21"/>
        <v>0</v>
      </c>
      <c r="H55" s="4">
        <f t="shared" si="21"/>
        <v>0</v>
      </c>
      <c r="I55" s="4">
        <f t="shared" si="21"/>
        <v>-1156143.6774033059</v>
      </c>
      <c r="J55" s="4">
        <f t="shared" si="21"/>
        <v>-496143.67740330589</v>
      </c>
      <c r="K55" s="4">
        <f t="shared" si="21"/>
        <v>296418.82259669417</v>
      </c>
      <c r="L55" s="4">
        <f t="shared" si="21"/>
        <v>309295.38509669405</v>
      </c>
      <c r="M55" s="4">
        <f t="shared" si="21"/>
        <v>322493.86165919411</v>
      </c>
      <c r="N55" s="4">
        <f t="shared" si="21"/>
        <v>336022.30013575644</v>
      </c>
      <c r="O55" s="4">
        <f t="shared" si="21"/>
        <v>4801487.9128628997</v>
      </c>
      <c r="P55" s="4"/>
      <c r="Q55" s="4"/>
      <c r="R55" s="4"/>
    </row>
    <row r="56" spans="2:18">
      <c r="C56" t="s">
        <v>171</v>
      </c>
      <c r="D56" s="4"/>
      <c r="E56" s="4">
        <f>MIN(E55,E53)</f>
        <v>0</v>
      </c>
      <c r="F56" s="4">
        <f t="shared" ref="F56:O56" si="22">MIN(F55,F53)</f>
        <v>0</v>
      </c>
      <c r="G56" s="4">
        <f t="shared" si="22"/>
        <v>0</v>
      </c>
      <c r="H56" s="4">
        <f t="shared" si="22"/>
        <v>0</v>
      </c>
      <c r="I56" s="4">
        <f t="shared" si="22"/>
        <v>-1156143.6774033059</v>
      </c>
      <c r="J56" s="4">
        <f t="shared" si="22"/>
        <v>-496143.67740330589</v>
      </c>
      <c r="K56" s="4">
        <f t="shared" si="22"/>
        <v>296418.82259669417</v>
      </c>
      <c r="L56" s="4">
        <f t="shared" si="22"/>
        <v>309295.38509669405</v>
      </c>
      <c r="M56" s="4">
        <f t="shared" si="22"/>
        <v>322493.86165919411</v>
      </c>
      <c r="N56" s="4">
        <f t="shared" si="22"/>
        <v>336022.30013575644</v>
      </c>
      <c r="O56" s="4">
        <f t="shared" si="22"/>
        <v>355665.77132317773</v>
      </c>
      <c r="P56" s="4"/>
      <c r="Q56" s="4"/>
      <c r="R56" s="4"/>
    </row>
    <row r="57" spans="2:18">
      <c r="C57" t="s">
        <v>172</v>
      </c>
      <c r="D57" s="69"/>
      <c r="E57" s="69">
        <f>E55-E56</f>
        <v>0</v>
      </c>
      <c r="F57" s="69">
        <f t="shared" ref="F57:O57" si="23">F55-F56</f>
        <v>0</v>
      </c>
      <c r="G57" s="69">
        <f t="shared" si="23"/>
        <v>0</v>
      </c>
      <c r="H57" s="69">
        <f t="shared" si="23"/>
        <v>0</v>
      </c>
      <c r="I57" s="69">
        <f t="shared" si="23"/>
        <v>0</v>
      </c>
      <c r="J57" s="69">
        <f t="shared" si="23"/>
        <v>0</v>
      </c>
      <c r="K57" s="69">
        <f t="shared" si="23"/>
        <v>0</v>
      </c>
      <c r="L57" s="69">
        <f t="shared" si="23"/>
        <v>0</v>
      </c>
      <c r="M57" s="69">
        <f t="shared" si="23"/>
        <v>0</v>
      </c>
      <c r="N57" s="69">
        <f t="shared" si="23"/>
        <v>0</v>
      </c>
      <c r="O57" s="69">
        <f t="shared" si="23"/>
        <v>4445822.1415397217</v>
      </c>
      <c r="P57" s="4"/>
      <c r="Q57" s="4"/>
      <c r="R57" s="4"/>
    </row>
    <row r="58" spans="2:18">
      <c r="C58" t="s">
        <v>162</v>
      </c>
      <c r="D58" s="4">
        <f>D54-D55</f>
        <v>1616800</v>
      </c>
      <c r="E58" s="4">
        <f>E54-E55</f>
        <v>1746144</v>
      </c>
      <c r="F58" s="4">
        <f t="shared" ref="F58:O58" si="24">F54-F55</f>
        <v>1885835.52</v>
      </c>
      <c r="G58" s="4">
        <f t="shared" si="24"/>
        <v>2036702.3615999999</v>
      </c>
      <c r="H58" s="4">
        <f t="shared" si="24"/>
        <v>2199638.5505280001</v>
      </c>
      <c r="I58" s="4">
        <f t="shared" si="24"/>
        <v>3531753.3119735457</v>
      </c>
      <c r="J58" s="4">
        <f t="shared" si="24"/>
        <v>4310437.2543347357</v>
      </c>
      <c r="K58" s="4">
        <f t="shared" si="24"/>
        <v>4358853.4120848207</v>
      </c>
      <c r="L58" s="4">
        <f t="shared" si="24"/>
        <v>4398266.2999549117</v>
      </c>
      <c r="M58" s="4">
        <f t="shared" si="24"/>
        <v>4427633.7422921099</v>
      </c>
      <c r="N58" s="4">
        <f t="shared" si="24"/>
        <v>4445822.1415397217</v>
      </c>
      <c r="O58" s="4">
        <f t="shared" si="24"/>
        <v>0</v>
      </c>
      <c r="P58" s="4"/>
      <c r="Q58" s="4"/>
      <c r="R58" s="4"/>
    </row>
    <row r="59" spans="2:18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2:18">
      <c r="C60" s="142" t="s">
        <v>165</v>
      </c>
      <c r="D60" s="132">
        <f>-D45</f>
        <v>-30719200</v>
      </c>
      <c r="E60" s="132">
        <f>E46</f>
        <v>0</v>
      </c>
      <c r="F60" s="132">
        <f t="shared" ref="F60:O60" si="25">F46</f>
        <v>0</v>
      </c>
      <c r="G60" s="132">
        <f t="shared" si="25"/>
        <v>0</v>
      </c>
      <c r="H60" s="132">
        <f t="shared" si="25"/>
        <v>0</v>
      </c>
      <c r="I60" s="132">
        <f t="shared" si="25"/>
        <v>-21966729.870662808</v>
      </c>
      <c r="J60" s="132">
        <f t="shared" si="25"/>
        <v>-9426729.8706628103</v>
      </c>
      <c r="K60" s="132">
        <f t="shared" si="25"/>
        <v>5631957.6293371888</v>
      </c>
      <c r="L60" s="132">
        <f t="shared" si="25"/>
        <v>5876612.3168371869</v>
      </c>
      <c r="M60" s="132">
        <f t="shared" si="25"/>
        <v>6127383.3715246869</v>
      </c>
      <c r="N60" s="132">
        <f t="shared" si="25"/>
        <v>6384423.7025793716</v>
      </c>
      <c r="O60" s="132">
        <f t="shared" si="25"/>
        <v>91228270.344395071</v>
      </c>
      <c r="P60" s="4"/>
      <c r="Q60" s="4"/>
      <c r="R60" s="4"/>
    </row>
    <row r="61" spans="2:18">
      <c r="C61" s="154">
        <f>IRR(D60:O60)</f>
        <v>7.9999999999999849E-2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2:18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2:18">
      <c r="C63" s="142" t="s">
        <v>166</v>
      </c>
      <c r="D63" s="132">
        <f>-D54</f>
        <v>-1616800</v>
      </c>
      <c r="E63" s="4">
        <f>E55</f>
        <v>0</v>
      </c>
      <c r="F63" s="4">
        <f t="shared" ref="F63:O63" si="26">F55</f>
        <v>0</v>
      </c>
      <c r="G63" s="4">
        <f t="shared" si="26"/>
        <v>0</v>
      </c>
      <c r="H63" s="4">
        <f t="shared" si="26"/>
        <v>0</v>
      </c>
      <c r="I63" s="4">
        <f t="shared" si="26"/>
        <v>-1156143.6774033059</v>
      </c>
      <c r="J63" s="4">
        <f t="shared" si="26"/>
        <v>-496143.67740330589</v>
      </c>
      <c r="K63" s="4">
        <f>K55</f>
        <v>296418.82259669417</v>
      </c>
      <c r="L63" s="4">
        <f t="shared" si="26"/>
        <v>309295.38509669405</v>
      </c>
      <c r="M63" s="4">
        <f t="shared" si="26"/>
        <v>322493.86165919411</v>
      </c>
      <c r="N63" s="4">
        <f t="shared" si="26"/>
        <v>336022.30013575644</v>
      </c>
      <c r="O63" s="4">
        <f t="shared" si="26"/>
        <v>4801487.9128628997</v>
      </c>
      <c r="P63" s="4"/>
      <c r="Q63" s="4"/>
      <c r="R63" s="4"/>
    </row>
    <row r="64" spans="2:18">
      <c r="C64" s="154">
        <f>IRR(D63:O63)</f>
        <v>8.0000000000000071E-2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2:18">
      <c r="C66" t="s">
        <v>167</v>
      </c>
      <c r="D66" s="4"/>
      <c r="E66" s="4">
        <f>SUM(E60,E63)</f>
        <v>0</v>
      </c>
      <c r="F66" s="4">
        <f t="shared" ref="F66:N66" si="27">SUM(F60,F63)</f>
        <v>0</v>
      </c>
      <c r="G66" s="4">
        <f t="shared" si="27"/>
        <v>0</v>
      </c>
      <c r="H66" s="4">
        <f t="shared" si="27"/>
        <v>0</v>
      </c>
      <c r="I66" s="4">
        <f t="shared" si="27"/>
        <v>-23122873.548066113</v>
      </c>
      <c r="J66" s="4">
        <f t="shared" si="27"/>
        <v>-9922873.5480661169</v>
      </c>
      <c r="K66" s="4">
        <f t="shared" si="27"/>
        <v>5928376.4519338831</v>
      </c>
      <c r="L66" s="4">
        <f t="shared" si="27"/>
        <v>6185907.7019338813</v>
      </c>
      <c r="M66" s="4">
        <f t="shared" si="27"/>
        <v>6449877.2331838813</v>
      </c>
      <c r="N66" s="4">
        <f t="shared" si="27"/>
        <v>6720446.0027151285</v>
      </c>
      <c r="O66" s="4">
        <f>SUM(O60,O63)</f>
        <v>96029758.257257968</v>
      </c>
      <c r="P66" s="4"/>
      <c r="Q66" s="4"/>
      <c r="R66" s="4"/>
    </row>
    <row r="67" spans="2:18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2:18">
      <c r="C68" t="s">
        <v>173</v>
      </c>
      <c r="D68" s="4"/>
      <c r="E68" s="4">
        <f>IF(E40&lt;0,0,E40-E66)</f>
        <v>0</v>
      </c>
      <c r="F68" s="4">
        <f t="shared" ref="F68:N68" si="28">IF(F40&lt;0,0,F40-F66)</f>
        <v>0</v>
      </c>
      <c r="G68" s="4">
        <f t="shared" si="28"/>
        <v>0</v>
      </c>
      <c r="H68" s="4">
        <f t="shared" si="28"/>
        <v>0</v>
      </c>
      <c r="I68" s="4">
        <f t="shared" si="28"/>
        <v>0</v>
      </c>
      <c r="J68" s="4">
        <f t="shared" si="28"/>
        <v>0</v>
      </c>
      <c r="K68" s="4">
        <f>IF(K40&lt;0,0,K40-K66)</f>
        <v>0</v>
      </c>
      <c r="L68" s="4">
        <f t="shared" si="28"/>
        <v>0</v>
      </c>
      <c r="M68" s="4">
        <f t="shared" si="28"/>
        <v>0</v>
      </c>
      <c r="N68" s="4">
        <f t="shared" si="28"/>
        <v>0</v>
      </c>
      <c r="O68" s="4">
        <f>IF(O40&lt;0,0,O40-O66)</f>
        <v>88469069.992099911</v>
      </c>
      <c r="P68" s="4"/>
      <c r="Q68" s="4"/>
      <c r="R68" s="4"/>
    </row>
    <row r="69" spans="2:18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2:18">
      <c r="B70" s="3" t="s">
        <v>152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2:18">
      <c r="C71" t="s">
        <v>168</v>
      </c>
      <c r="D71" s="4"/>
      <c r="E71" s="4">
        <f>E46</f>
        <v>0</v>
      </c>
      <c r="F71" s="4">
        <f t="shared" ref="F71:O71" si="29">F46</f>
        <v>0</v>
      </c>
      <c r="G71" s="4">
        <f t="shared" si="29"/>
        <v>0</v>
      </c>
      <c r="H71" s="4">
        <f t="shared" si="29"/>
        <v>0</v>
      </c>
      <c r="I71" s="4">
        <f t="shared" si="29"/>
        <v>-21966729.870662808</v>
      </c>
      <c r="J71" s="4">
        <f t="shared" si="29"/>
        <v>-9426729.8706628103</v>
      </c>
      <c r="K71" s="4">
        <f t="shared" si="29"/>
        <v>5631957.6293371888</v>
      </c>
      <c r="L71" s="4">
        <f t="shared" si="29"/>
        <v>5876612.3168371869</v>
      </c>
      <c r="M71" s="4">
        <f t="shared" si="29"/>
        <v>6127383.3715246869</v>
      </c>
      <c r="N71" s="4">
        <f t="shared" si="29"/>
        <v>6384423.7025793716</v>
      </c>
      <c r="O71" s="4">
        <f t="shared" si="29"/>
        <v>91228270.344395071</v>
      </c>
      <c r="P71" s="4"/>
      <c r="Q71" s="4"/>
      <c r="R71" s="4"/>
    </row>
    <row r="72" spans="2:18">
      <c r="B72" s="9">
        <v>0.8</v>
      </c>
      <c r="C72" t="s">
        <v>169</v>
      </c>
      <c r="D72" s="4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>
        <f>O68*$B$72</f>
        <v>70775255.993679926</v>
      </c>
      <c r="P72" s="4"/>
      <c r="Q72" s="4"/>
      <c r="R72" s="4"/>
    </row>
    <row r="73" spans="2:18">
      <c r="D73" s="4"/>
      <c r="E73" s="4">
        <f>SUM(E71:E72)</f>
        <v>0</v>
      </c>
      <c r="F73" s="4">
        <f t="shared" ref="F73:O73" si="30">SUM(F71:F72)</f>
        <v>0</v>
      </c>
      <c r="G73" s="4">
        <f t="shared" si="30"/>
        <v>0</v>
      </c>
      <c r="H73" s="4">
        <f t="shared" si="30"/>
        <v>0</v>
      </c>
      <c r="I73" s="4">
        <f t="shared" si="30"/>
        <v>-21966729.870662808</v>
      </c>
      <c r="J73" s="4">
        <f t="shared" si="30"/>
        <v>-9426729.8706628103</v>
      </c>
      <c r="K73" s="4">
        <f t="shared" si="30"/>
        <v>5631957.6293371888</v>
      </c>
      <c r="L73" s="4">
        <f t="shared" si="30"/>
        <v>5876612.3168371869</v>
      </c>
      <c r="M73" s="4">
        <f t="shared" si="30"/>
        <v>6127383.3715246869</v>
      </c>
      <c r="N73" s="4">
        <f t="shared" si="30"/>
        <v>6384423.7025793716</v>
      </c>
      <c r="O73" s="4">
        <f t="shared" si="30"/>
        <v>162003526.33807498</v>
      </c>
      <c r="P73" s="4"/>
      <c r="Q73" s="4"/>
      <c r="R73" s="4"/>
    </row>
    <row r="74" spans="2:18">
      <c r="C74" t="s">
        <v>159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2:18">
      <c r="C75" t="s">
        <v>160</v>
      </c>
      <c r="D75" s="4">
        <f>D34</f>
        <v>30719200</v>
      </c>
      <c r="E75" s="4">
        <f>D81</f>
        <v>30719200</v>
      </c>
      <c r="F75" s="4">
        <f>E81</f>
        <v>34405504</v>
      </c>
      <c r="G75" s="4">
        <f t="shared" ref="G75:O75" si="31">F81</f>
        <v>38534164.479999997</v>
      </c>
      <c r="H75" s="4">
        <f t="shared" si="31"/>
        <v>43158264.217599995</v>
      </c>
      <c r="I75" s="4">
        <f t="shared" si="31"/>
        <v>48337255.923711993</v>
      </c>
      <c r="J75" s="4">
        <f t="shared" si="31"/>
        <v>76104456.505220234</v>
      </c>
      <c r="K75" s="4">
        <f t="shared" si="31"/>
        <v>94663721.156509474</v>
      </c>
      <c r="L75" s="4">
        <f t="shared" si="31"/>
        <v>100391410.06595342</v>
      </c>
      <c r="M75" s="4">
        <f t="shared" si="31"/>
        <v>106561766.95703064</v>
      </c>
      <c r="N75" s="4">
        <f t="shared" si="31"/>
        <v>113221795.62034962</v>
      </c>
      <c r="O75" s="4">
        <f t="shared" si="31"/>
        <v>120423987.39221218</v>
      </c>
      <c r="P75" s="4"/>
      <c r="Q75" s="4"/>
      <c r="R75" s="4"/>
    </row>
    <row r="76" spans="2:18">
      <c r="C76" t="s">
        <v>171</v>
      </c>
      <c r="D76" s="69"/>
      <c r="E76" s="69">
        <f>E75*$D$21</f>
        <v>3686304</v>
      </c>
      <c r="F76" s="69">
        <f t="shared" ref="F76:O76" si="32">F75*$D$21</f>
        <v>4128660.48</v>
      </c>
      <c r="G76" s="69">
        <f t="shared" si="32"/>
        <v>4624099.7375999996</v>
      </c>
      <c r="H76" s="69">
        <f t="shared" si="32"/>
        <v>5178991.7061119992</v>
      </c>
      <c r="I76" s="69">
        <f t="shared" si="32"/>
        <v>5800470.7108454388</v>
      </c>
      <c r="J76" s="69">
        <f t="shared" si="32"/>
        <v>9132534.7806264274</v>
      </c>
      <c r="K76" s="69">
        <f t="shared" si="32"/>
        <v>11359646.538781136</v>
      </c>
      <c r="L76" s="69">
        <f t="shared" si="32"/>
        <v>12046969.20791441</v>
      </c>
      <c r="M76" s="69">
        <f t="shared" si="32"/>
        <v>12787412.034843676</v>
      </c>
      <c r="N76" s="69">
        <f t="shared" si="32"/>
        <v>13586615.474441953</v>
      </c>
      <c r="O76" s="69">
        <f t="shared" si="32"/>
        <v>14450878.487065461</v>
      </c>
      <c r="P76" s="4"/>
      <c r="Q76" s="4"/>
      <c r="R76" s="4"/>
    </row>
    <row r="77" spans="2:18">
      <c r="D77" s="4">
        <f>SUM(D75:D76)</f>
        <v>30719200</v>
      </c>
      <c r="E77" s="4">
        <f>SUM(E75:E76)</f>
        <v>34405504</v>
      </c>
      <c r="F77" s="4">
        <f t="shared" ref="F77:O77" si="33">SUM(F75:F76)</f>
        <v>38534164.479999997</v>
      </c>
      <c r="G77" s="4">
        <f t="shared" si="33"/>
        <v>43158264.217599995</v>
      </c>
      <c r="H77" s="4">
        <f t="shared" si="33"/>
        <v>48337255.923711993</v>
      </c>
      <c r="I77" s="4">
        <f t="shared" si="33"/>
        <v>54137726.634557433</v>
      </c>
      <c r="J77" s="4">
        <f t="shared" si="33"/>
        <v>85236991.285846666</v>
      </c>
      <c r="K77" s="4">
        <f t="shared" si="33"/>
        <v>106023367.69529061</v>
      </c>
      <c r="L77" s="4">
        <f t="shared" si="33"/>
        <v>112438379.27386783</v>
      </c>
      <c r="M77" s="4">
        <f t="shared" si="33"/>
        <v>119349178.99187431</v>
      </c>
      <c r="N77" s="4">
        <f t="shared" si="33"/>
        <v>126808411.09479156</v>
      </c>
      <c r="O77" s="4">
        <f t="shared" si="33"/>
        <v>134874865.87927765</v>
      </c>
      <c r="P77" s="4"/>
      <c r="Q77" s="4"/>
      <c r="R77" s="4"/>
    </row>
    <row r="78" spans="2:18">
      <c r="B78" s="9">
        <v>0.8</v>
      </c>
      <c r="C78" t="s">
        <v>161</v>
      </c>
      <c r="D78" s="4"/>
      <c r="E78" s="4">
        <f>MIN(E73,E77)</f>
        <v>0</v>
      </c>
      <c r="F78" s="4">
        <f t="shared" ref="F78:J78" si="34">MIN(F73,F77)</f>
        <v>0</v>
      </c>
      <c r="G78" s="4">
        <f t="shared" si="34"/>
        <v>0</v>
      </c>
      <c r="H78" s="4">
        <f t="shared" si="34"/>
        <v>0</v>
      </c>
      <c r="I78" s="4">
        <f t="shared" si="34"/>
        <v>-21966729.870662808</v>
      </c>
      <c r="J78" s="4">
        <f t="shared" si="34"/>
        <v>-9426729.8706628103</v>
      </c>
      <c r="K78" s="4">
        <f>MIN(K73,K77)</f>
        <v>5631957.6293371888</v>
      </c>
      <c r="L78" s="4">
        <f t="shared" ref="L78" si="35">MIN(L73,L77)</f>
        <v>5876612.3168371869</v>
      </c>
      <c r="M78" s="4">
        <f t="shared" ref="M78" si="36">MIN(M73,M77)</f>
        <v>6127383.3715246869</v>
      </c>
      <c r="N78" s="4">
        <f t="shared" ref="N78" si="37">MIN(N73,N77)</f>
        <v>6384423.7025793716</v>
      </c>
      <c r="O78" s="4">
        <f t="shared" ref="O78" si="38">MIN(O73,O77)</f>
        <v>134874865.87927765</v>
      </c>
      <c r="P78" s="4"/>
      <c r="Q78" s="4"/>
      <c r="R78" s="4"/>
    </row>
    <row r="79" spans="2:18">
      <c r="C79" t="s">
        <v>171</v>
      </c>
      <c r="D79" s="4"/>
      <c r="E79" s="4">
        <f>MIN(E78,E76)</f>
        <v>0</v>
      </c>
      <c r="F79" s="4">
        <f t="shared" ref="F79:O79" si="39">MIN(F78,F76)</f>
        <v>0</v>
      </c>
      <c r="G79" s="4">
        <f t="shared" si="39"/>
        <v>0</v>
      </c>
      <c r="H79" s="4">
        <f t="shared" si="39"/>
        <v>0</v>
      </c>
      <c r="I79" s="4">
        <f t="shared" si="39"/>
        <v>-21966729.870662808</v>
      </c>
      <c r="J79" s="4">
        <f t="shared" si="39"/>
        <v>-9426729.8706628103</v>
      </c>
      <c r="K79" s="4">
        <f t="shared" si="39"/>
        <v>5631957.6293371888</v>
      </c>
      <c r="L79" s="4">
        <f t="shared" si="39"/>
        <v>5876612.3168371869</v>
      </c>
      <c r="M79" s="4">
        <f t="shared" si="39"/>
        <v>6127383.3715246869</v>
      </c>
      <c r="N79" s="4">
        <f t="shared" si="39"/>
        <v>6384423.7025793716</v>
      </c>
      <c r="O79" s="4">
        <f t="shared" si="39"/>
        <v>14450878.487065461</v>
      </c>
      <c r="P79" s="4"/>
      <c r="Q79" s="4"/>
      <c r="R79" s="4"/>
    </row>
    <row r="80" spans="2:18">
      <c r="C80" t="s">
        <v>172</v>
      </c>
      <c r="D80" s="69"/>
      <c r="E80" s="69">
        <f>E78-E79</f>
        <v>0</v>
      </c>
      <c r="F80" s="69">
        <f t="shared" ref="F80:O80" si="40">F78-F79</f>
        <v>0</v>
      </c>
      <c r="G80" s="69">
        <f t="shared" si="40"/>
        <v>0</v>
      </c>
      <c r="H80" s="69">
        <f t="shared" si="40"/>
        <v>0</v>
      </c>
      <c r="I80" s="69">
        <f t="shared" si="40"/>
        <v>0</v>
      </c>
      <c r="J80" s="69">
        <f t="shared" si="40"/>
        <v>0</v>
      </c>
      <c r="K80" s="69">
        <f t="shared" si="40"/>
        <v>0</v>
      </c>
      <c r="L80" s="69">
        <f t="shared" si="40"/>
        <v>0</v>
      </c>
      <c r="M80" s="69">
        <f t="shared" si="40"/>
        <v>0</v>
      </c>
      <c r="N80" s="69">
        <f t="shared" si="40"/>
        <v>0</v>
      </c>
      <c r="O80" s="69">
        <f t="shared" si="40"/>
        <v>120423987.39221218</v>
      </c>
      <c r="P80" s="4"/>
      <c r="Q80" s="4"/>
      <c r="R80" s="4"/>
    </row>
    <row r="81" spans="2:18">
      <c r="C81" t="s">
        <v>162</v>
      </c>
      <c r="D81" s="88">
        <f>D77-D78</f>
        <v>30719200</v>
      </c>
      <c r="E81" s="88">
        <f>E77-E78</f>
        <v>34405504</v>
      </c>
      <c r="F81" s="88">
        <f t="shared" ref="F81:O81" si="41">F77-F78</f>
        <v>38534164.479999997</v>
      </c>
      <c r="G81" s="88">
        <f t="shared" si="41"/>
        <v>43158264.217599995</v>
      </c>
      <c r="H81" s="88">
        <f t="shared" si="41"/>
        <v>48337255.923711993</v>
      </c>
      <c r="I81" s="88">
        <f t="shared" si="41"/>
        <v>76104456.505220234</v>
      </c>
      <c r="J81" s="88">
        <f t="shared" si="41"/>
        <v>94663721.156509474</v>
      </c>
      <c r="K81" s="88">
        <f t="shared" si="41"/>
        <v>100391410.06595342</v>
      </c>
      <c r="L81" s="88">
        <f t="shared" si="41"/>
        <v>106561766.95703064</v>
      </c>
      <c r="M81" s="88">
        <f t="shared" si="41"/>
        <v>113221795.62034962</v>
      </c>
      <c r="N81" s="88">
        <f t="shared" si="41"/>
        <v>120423987.39221218</v>
      </c>
      <c r="O81" s="88">
        <f t="shared" si="41"/>
        <v>0</v>
      </c>
      <c r="P81" s="4"/>
      <c r="Q81" s="4"/>
      <c r="R81" s="4"/>
    </row>
    <row r="82" spans="2:18"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"/>
      <c r="Q82" s="4"/>
      <c r="R82" s="4"/>
    </row>
    <row r="83" spans="2:18">
      <c r="C83" s="142" t="s">
        <v>165</v>
      </c>
      <c r="D83" s="4">
        <f>-D77</f>
        <v>-30719200</v>
      </c>
      <c r="E83" s="4">
        <f t="shared" ref="E83:O83" si="42">E78</f>
        <v>0</v>
      </c>
      <c r="F83" s="4">
        <f t="shared" si="42"/>
        <v>0</v>
      </c>
      <c r="G83" s="4">
        <f t="shared" si="42"/>
        <v>0</v>
      </c>
      <c r="H83" s="4">
        <f t="shared" si="42"/>
        <v>0</v>
      </c>
      <c r="I83" s="4">
        <f t="shared" si="42"/>
        <v>-21966729.870662808</v>
      </c>
      <c r="J83" s="4">
        <f t="shared" si="42"/>
        <v>-9426729.8706628103</v>
      </c>
      <c r="K83" s="4">
        <f t="shared" si="42"/>
        <v>5631957.6293371888</v>
      </c>
      <c r="L83" s="4">
        <f t="shared" si="42"/>
        <v>5876612.3168371869</v>
      </c>
      <c r="M83" s="4">
        <f t="shared" si="42"/>
        <v>6127383.3715246869</v>
      </c>
      <c r="N83" s="4">
        <f t="shared" si="42"/>
        <v>6384423.7025793716</v>
      </c>
      <c r="O83" s="4">
        <f t="shared" si="42"/>
        <v>134874865.87927765</v>
      </c>
      <c r="P83" s="4"/>
      <c r="Q83" s="4"/>
      <c r="R83" s="4"/>
    </row>
    <row r="84" spans="2:18">
      <c r="C84" s="154">
        <f>IRR(D83:O83)</f>
        <v>0.11999999999999988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2:18"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18">
      <c r="C86" s="9"/>
      <c r="D86" s="4"/>
      <c r="E86" s="4">
        <f>E78-E71</f>
        <v>0</v>
      </c>
      <c r="F86" s="4">
        <f t="shared" ref="F86:M86" si="43">F78-F71</f>
        <v>0</v>
      </c>
      <c r="G86" s="4">
        <f t="shared" si="43"/>
        <v>0</v>
      </c>
      <c r="H86" s="4">
        <f t="shared" si="43"/>
        <v>0</v>
      </c>
      <c r="I86" s="4">
        <f t="shared" si="43"/>
        <v>0</v>
      </c>
      <c r="J86" s="4">
        <f t="shared" si="43"/>
        <v>0</v>
      </c>
      <c r="K86" s="4">
        <f t="shared" si="43"/>
        <v>0</v>
      </c>
      <c r="L86" s="4">
        <f t="shared" si="43"/>
        <v>0</v>
      </c>
      <c r="M86" s="4">
        <f t="shared" si="43"/>
        <v>0</v>
      </c>
      <c r="N86" s="4">
        <f>N78-N71</f>
        <v>0</v>
      </c>
      <c r="O86" s="4">
        <f>O78-O71</f>
        <v>43646595.534882575</v>
      </c>
      <c r="P86" s="4"/>
      <c r="Q86" s="4"/>
      <c r="R86" s="4"/>
    </row>
    <row r="87" spans="2:18"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"/>
      <c r="Q87" s="4"/>
      <c r="R87" s="4"/>
    </row>
    <row r="88" spans="2:18">
      <c r="B88" s="9">
        <v>0.2</v>
      </c>
      <c r="C88" t="s">
        <v>163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>
        <f>IF(O86&gt;0,O86/B78*B88,0)</f>
        <v>10911648.883720644</v>
      </c>
      <c r="P88" s="4"/>
      <c r="Q88" s="4"/>
      <c r="R88" s="4"/>
    </row>
    <row r="89" spans="2:18">
      <c r="B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2:18">
      <c r="B90" s="9"/>
      <c r="C90" t="s">
        <v>173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>
        <f>O68-O86-O88</f>
        <v>33910825.573496692</v>
      </c>
      <c r="P90" s="4"/>
      <c r="Q90" s="4"/>
      <c r="R90" s="4"/>
    </row>
    <row r="91" spans="2:18">
      <c r="B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2:18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2:18">
      <c r="B93" s="3" t="s">
        <v>151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2:18">
      <c r="C94" t="s">
        <v>174</v>
      </c>
      <c r="D94" s="4"/>
      <c r="E94" s="4">
        <f>E78</f>
        <v>0</v>
      </c>
      <c r="F94" s="4">
        <f t="shared" ref="F94:N94" si="44">F78</f>
        <v>0</v>
      </c>
      <c r="G94" s="4">
        <f t="shared" si="44"/>
        <v>0</v>
      </c>
      <c r="H94" s="4">
        <f t="shared" si="44"/>
        <v>0</v>
      </c>
      <c r="I94" s="4">
        <f t="shared" si="44"/>
        <v>-21966729.870662808</v>
      </c>
      <c r="J94" s="4">
        <f t="shared" si="44"/>
        <v>-9426729.8706628103</v>
      </c>
      <c r="K94" s="4">
        <f t="shared" si="44"/>
        <v>5631957.6293371888</v>
      </c>
      <c r="L94" s="4">
        <f t="shared" si="44"/>
        <v>5876612.3168371869</v>
      </c>
      <c r="M94" s="4">
        <f t="shared" si="44"/>
        <v>6127383.3715246869</v>
      </c>
      <c r="N94" s="4">
        <f t="shared" si="44"/>
        <v>6384423.7025793716</v>
      </c>
      <c r="O94" s="4">
        <f>O78</f>
        <v>134874865.87927765</v>
      </c>
      <c r="P94" s="4"/>
      <c r="Q94" s="4"/>
      <c r="R94" s="4"/>
    </row>
    <row r="95" spans="2:18">
      <c r="B95" s="9">
        <v>0.7</v>
      </c>
      <c r="C95" t="s">
        <v>175</v>
      </c>
      <c r="D95" s="4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>
        <f>O90*B95</f>
        <v>23737577.901447684</v>
      </c>
      <c r="P95" s="4"/>
      <c r="Q95" s="4"/>
      <c r="R95" s="4"/>
    </row>
    <row r="96" spans="2:18">
      <c r="D96" s="4"/>
      <c r="E96" s="4">
        <f>SUM(E94:E95)</f>
        <v>0</v>
      </c>
      <c r="F96" s="4">
        <f t="shared" ref="F96" si="45">SUM(F94:F95)</f>
        <v>0</v>
      </c>
      <c r="G96" s="4">
        <f t="shared" ref="G96" si="46">SUM(G94:G95)</f>
        <v>0</v>
      </c>
      <c r="H96" s="4">
        <f t="shared" ref="H96" si="47">SUM(H94:H95)</f>
        <v>0</v>
      </c>
      <c r="I96" s="4">
        <f t="shared" ref="I96" si="48">SUM(I94:I95)</f>
        <v>-21966729.870662808</v>
      </c>
      <c r="J96" s="4">
        <f t="shared" ref="J96" si="49">SUM(J94:J95)</f>
        <v>-9426729.8706628103</v>
      </c>
      <c r="K96" s="4">
        <f t="shared" ref="K96" si="50">SUM(K94:K95)</f>
        <v>5631957.6293371888</v>
      </c>
      <c r="L96" s="4">
        <f t="shared" ref="L96" si="51">SUM(L94:L95)</f>
        <v>5876612.3168371869</v>
      </c>
      <c r="M96" s="4">
        <f t="shared" ref="M96" si="52">SUM(M94:M95)</f>
        <v>6127383.3715246869</v>
      </c>
      <c r="N96" s="4">
        <f t="shared" ref="N96" si="53">SUM(N94:N95)</f>
        <v>6384423.7025793716</v>
      </c>
      <c r="O96" s="4">
        <f t="shared" ref="O96" si="54">SUM(O94:O95)</f>
        <v>158612443.78072533</v>
      </c>
      <c r="P96" s="4"/>
      <c r="Q96" s="4"/>
      <c r="R96" s="4"/>
    </row>
    <row r="97" spans="2:18">
      <c r="C97" t="s">
        <v>159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2:18">
      <c r="C98" t="s">
        <v>160</v>
      </c>
      <c r="D98" s="4">
        <f>D34</f>
        <v>30719200</v>
      </c>
      <c r="E98" s="4">
        <f>D104</f>
        <v>30719200</v>
      </c>
      <c r="F98" s="4">
        <f>E104</f>
        <v>35327080</v>
      </c>
      <c r="G98" s="4">
        <f t="shared" ref="G98:O98" si="55">F104</f>
        <v>40626142</v>
      </c>
      <c r="H98" s="4">
        <f t="shared" si="55"/>
        <v>46720063.299999997</v>
      </c>
      <c r="I98" s="4">
        <f t="shared" si="55"/>
        <v>53728072.794999994</v>
      </c>
      <c r="J98" s="4">
        <f t="shared" si="55"/>
        <v>83754013.584912807</v>
      </c>
      <c r="K98" s="4">
        <f t="shared" si="55"/>
        <v>105743845.49331254</v>
      </c>
      <c r="L98" s="4">
        <f t="shared" si="55"/>
        <v>115973464.68797222</v>
      </c>
      <c r="M98" s="4">
        <f t="shared" si="55"/>
        <v>127492872.07433087</v>
      </c>
      <c r="N98" s="4">
        <f t="shared" si="55"/>
        <v>140489419.5139558</v>
      </c>
      <c r="O98" s="4">
        <f t="shared" si="55"/>
        <v>155178408.73846978</v>
      </c>
      <c r="P98" s="4"/>
      <c r="Q98" s="4"/>
      <c r="R98" s="4"/>
    </row>
    <row r="99" spans="2:18">
      <c r="C99" t="s">
        <v>171</v>
      </c>
      <c r="D99" s="69"/>
      <c r="E99" s="69">
        <f>E98*$D$26</f>
        <v>4607880</v>
      </c>
      <c r="F99" s="69">
        <f t="shared" ref="F99:N99" si="56">F98*$D$26</f>
        <v>5299062</v>
      </c>
      <c r="G99" s="69">
        <f t="shared" si="56"/>
        <v>6093921.2999999998</v>
      </c>
      <c r="H99" s="69">
        <f t="shared" si="56"/>
        <v>7008009.4949999992</v>
      </c>
      <c r="I99" s="69">
        <f t="shared" si="56"/>
        <v>8059210.9192499984</v>
      </c>
      <c r="J99" s="69">
        <f t="shared" si="56"/>
        <v>12563102.037736921</v>
      </c>
      <c r="K99" s="69">
        <f t="shared" si="56"/>
        <v>15861576.823996879</v>
      </c>
      <c r="L99" s="69">
        <f t="shared" si="56"/>
        <v>17396019.703195833</v>
      </c>
      <c r="M99" s="69">
        <f t="shared" si="56"/>
        <v>19123930.811149631</v>
      </c>
      <c r="N99" s="69">
        <f t="shared" si="56"/>
        <v>21073412.927093368</v>
      </c>
      <c r="O99" s="69">
        <f>O98*$D$26</f>
        <v>23276761.310770467</v>
      </c>
      <c r="P99" s="4"/>
      <c r="Q99" s="4"/>
      <c r="R99" s="4"/>
    </row>
    <row r="100" spans="2:18">
      <c r="D100" s="4">
        <f>SUM(D98:D99)</f>
        <v>30719200</v>
      </c>
      <c r="E100" s="4">
        <f>SUM(E98:E99)</f>
        <v>35327080</v>
      </c>
      <c r="F100" s="4">
        <f t="shared" ref="F100" si="57">SUM(F98:F99)</f>
        <v>40626142</v>
      </c>
      <c r="G100" s="4">
        <f t="shared" ref="G100" si="58">SUM(G98:G99)</f>
        <v>46720063.299999997</v>
      </c>
      <c r="H100" s="4">
        <f t="shared" ref="H100" si="59">SUM(H98:H99)</f>
        <v>53728072.794999994</v>
      </c>
      <c r="I100" s="4">
        <f t="shared" ref="I100" si="60">SUM(I98:I99)</f>
        <v>61787283.714249991</v>
      </c>
      <c r="J100" s="4">
        <f t="shared" ref="J100" si="61">SUM(J98:J99)</f>
        <v>96317115.622649729</v>
      </c>
      <c r="K100" s="4">
        <f t="shared" ref="K100" si="62">SUM(K98:K99)</f>
        <v>121605422.31730941</v>
      </c>
      <c r="L100" s="4">
        <f t="shared" ref="L100" si="63">SUM(L98:L99)</f>
        <v>133369484.39116806</v>
      </c>
      <c r="M100" s="4">
        <f t="shared" ref="M100" si="64">SUM(M98:M99)</f>
        <v>146616802.88548049</v>
      </c>
      <c r="N100" s="4">
        <f t="shared" ref="N100" si="65">SUM(N98:N99)</f>
        <v>161562832.44104916</v>
      </c>
      <c r="O100" s="4">
        <f t="shared" ref="O100" si="66">SUM(O98:O99)</f>
        <v>178455170.04924023</v>
      </c>
      <c r="P100" s="4"/>
      <c r="Q100" s="4"/>
      <c r="R100" s="4"/>
    </row>
    <row r="101" spans="2:18">
      <c r="B101" s="9">
        <v>0.7</v>
      </c>
      <c r="C101" t="s">
        <v>161</v>
      </c>
      <c r="D101" s="4"/>
      <c r="E101" s="4">
        <f>MIN(E96,E100)</f>
        <v>0</v>
      </c>
      <c r="F101" s="4">
        <f>MIN(F96,F100)</f>
        <v>0</v>
      </c>
      <c r="G101" s="4">
        <f t="shared" ref="G101" si="67">MIN(G96,G100)</f>
        <v>0</v>
      </c>
      <c r="H101" s="4">
        <f t="shared" ref="H101" si="68">MIN(H96,H100)</f>
        <v>0</v>
      </c>
      <c r="I101" s="4">
        <f t="shared" ref="I101" si="69">MIN(I96,I100)</f>
        <v>-21966729.870662808</v>
      </c>
      <c r="J101" s="4">
        <f t="shared" ref="J101" si="70">MIN(J96,J100)</f>
        <v>-9426729.8706628103</v>
      </c>
      <c r="K101" s="4">
        <f>MIN(K96,K100)</f>
        <v>5631957.6293371888</v>
      </c>
      <c r="L101" s="4">
        <f t="shared" ref="L101" si="71">MIN(L96,L100)</f>
        <v>5876612.3168371869</v>
      </c>
      <c r="M101" s="4">
        <f t="shared" ref="M101" si="72">MIN(M96,M100)</f>
        <v>6127383.3715246869</v>
      </c>
      <c r="N101" s="4">
        <f t="shared" ref="N101" si="73">MIN(N96,N100)</f>
        <v>6384423.7025793716</v>
      </c>
      <c r="O101" s="4">
        <f t="shared" ref="O101" si="74">MIN(O96,O100)</f>
        <v>158612443.78072533</v>
      </c>
      <c r="P101" s="4"/>
      <c r="Q101" s="4"/>
      <c r="R101" s="4"/>
    </row>
    <row r="102" spans="2:18">
      <c r="C102" t="s">
        <v>171</v>
      </c>
      <c r="D102" s="4"/>
      <c r="E102" s="4">
        <f>MIN(E101,E99)</f>
        <v>0</v>
      </c>
      <c r="F102" s="4">
        <f t="shared" ref="F102" si="75">MIN(F101,F99)</f>
        <v>0</v>
      </c>
      <c r="G102" s="4">
        <f t="shared" ref="G102" si="76">MIN(G101,G99)</f>
        <v>0</v>
      </c>
      <c r="H102" s="4">
        <f t="shared" ref="H102" si="77">MIN(H101,H99)</f>
        <v>0</v>
      </c>
      <c r="I102" s="4">
        <f t="shared" ref="I102" si="78">MIN(I101,I99)</f>
        <v>-21966729.870662808</v>
      </c>
      <c r="J102" s="4">
        <f t="shared" ref="J102" si="79">MIN(J101,J99)</f>
        <v>-9426729.8706628103</v>
      </c>
      <c r="K102" s="4">
        <f t="shared" ref="K102" si="80">MIN(K101,K99)</f>
        <v>5631957.6293371888</v>
      </c>
      <c r="L102" s="4">
        <f t="shared" ref="L102" si="81">MIN(L101,L99)</f>
        <v>5876612.3168371869</v>
      </c>
      <c r="M102" s="4">
        <f t="shared" ref="M102" si="82">MIN(M101,M99)</f>
        <v>6127383.3715246869</v>
      </c>
      <c r="N102" s="4">
        <f t="shared" ref="N102" si="83">MIN(N101,N99)</f>
        <v>6384423.7025793716</v>
      </c>
      <c r="O102" s="4">
        <f t="shared" ref="O102" si="84">MIN(O101,O99)</f>
        <v>23276761.310770467</v>
      </c>
    </row>
    <row r="103" spans="2:18">
      <c r="C103" t="s">
        <v>172</v>
      </c>
      <c r="D103" s="69"/>
      <c r="E103" s="69">
        <f>E101-E102</f>
        <v>0</v>
      </c>
      <c r="F103" s="69">
        <f t="shared" ref="F103" si="85">F101-F102</f>
        <v>0</v>
      </c>
      <c r="G103" s="69">
        <f t="shared" ref="G103" si="86">G101-G102</f>
        <v>0</v>
      </c>
      <c r="H103" s="69">
        <f t="shared" ref="H103" si="87">H101-H102</f>
        <v>0</v>
      </c>
      <c r="I103" s="69">
        <f t="shared" ref="I103" si="88">I101-I102</f>
        <v>0</v>
      </c>
      <c r="J103" s="69">
        <f t="shared" ref="J103" si="89">J101-J102</f>
        <v>0</v>
      </c>
      <c r="K103" s="69">
        <f t="shared" ref="K103" si="90">K101-K102</f>
        <v>0</v>
      </c>
      <c r="L103" s="69">
        <f t="shared" ref="L103" si="91">L101-L102</f>
        <v>0</v>
      </c>
      <c r="M103" s="69">
        <f t="shared" ref="M103" si="92">M101-M102</f>
        <v>0</v>
      </c>
      <c r="N103" s="69">
        <f t="shared" ref="N103" si="93">N101-N102</f>
        <v>0</v>
      </c>
      <c r="O103" s="69">
        <f t="shared" ref="O103" si="94">O101-O102</f>
        <v>135335682.46995485</v>
      </c>
    </row>
    <row r="104" spans="2:18">
      <c r="C104" t="s">
        <v>162</v>
      </c>
      <c r="D104" s="88">
        <f>D100-D101</f>
        <v>30719200</v>
      </c>
      <c r="E104" s="88">
        <f>E100-E101</f>
        <v>35327080</v>
      </c>
      <c r="F104" s="88">
        <f t="shared" ref="F104:O104" si="95">F100-F101</f>
        <v>40626142</v>
      </c>
      <c r="G104" s="88">
        <f t="shared" si="95"/>
        <v>46720063.299999997</v>
      </c>
      <c r="H104" s="88">
        <f t="shared" si="95"/>
        <v>53728072.794999994</v>
      </c>
      <c r="I104" s="88">
        <f t="shared" si="95"/>
        <v>83754013.584912807</v>
      </c>
      <c r="J104" s="88">
        <f t="shared" si="95"/>
        <v>105743845.49331254</v>
      </c>
      <c r="K104" s="88">
        <f t="shared" si="95"/>
        <v>115973464.68797222</v>
      </c>
      <c r="L104" s="88">
        <f t="shared" si="95"/>
        <v>127492872.07433087</v>
      </c>
      <c r="M104" s="88">
        <f t="shared" si="95"/>
        <v>140489419.5139558</v>
      </c>
      <c r="N104" s="88">
        <f t="shared" si="95"/>
        <v>155178408.73846978</v>
      </c>
      <c r="O104" s="88">
        <f t="shared" si="95"/>
        <v>19842726.268514901</v>
      </c>
    </row>
    <row r="105" spans="2:18"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</row>
    <row r="106" spans="2:18">
      <c r="C106" s="142" t="s">
        <v>165</v>
      </c>
      <c r="D106" s="4">
        <f>-D100</f>
        <v>-30719200</v>
      </c>
      <c r="E106" s="4">
        <f t="shared" ref="E106:O106" si="96">E101</f>
        <v>0</v>
      </c>
      <c r="F106" s="4">
        <f t="shared" si="96"/>
        <v>0</v>
      </c>
      <c r="G106" s="4">
        <f t="shared" si="96"/>
        <v>0</v>
      </c>
      <c r="H106" s="4">
        <f t="shared" si="96"/>
        <v>0</v>
      </c>
      <c r="I106" s="4">
        <f t="shared" si="96"/>
        <v>-21966729.870662808</v>
      </c>
      <c r="J106" s="4">
        <f t="shared" si="96"/>
        <v>-9426729.8706628103</v>
      </c>
      <c r="K106" s="4">
        <f t="shared" si="96"/>
        <v>5631957.6293371888</v>
      </c>
      <c r="L106" s="4">
        <f t="shared" si="96"/>
        <v>5876612.3168371869</v>
      </c>
      <c r="M106" s="4">
        <f t="shared" si="96"/>
        <v>6127383.3715246869</v>
      </c>
      <c r="N106" s="4">
        <f t="shared" si="96"/>
        <v>6384423.7025793716</v>
      </c>
      <c r="O106" s="4">
        <f t="shared" si="96"/>
        <v>158612443.78072533</v>
      </c>
    </row>
    <row r="107" spans="2:18">
      <c r="C107" s="154">
        <f>IRR(D106:O106)</f>
        <v>0.13723932526534055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8"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2:18">
      <c r="C109" s="9"/>
      <c r="D109" s="4"/>
      <c r="E109" s="4">
        <f>E101-E94</f>
        <v>0</v>
      </c>
      <c r="F109" s="4">
        <f t="shared" ref="F109:M109" si="97">F101-F94</f>
        <v>0</v>
      </c>
      <c r="G109" s="4">
        <f t="shared" si="97"/>
        <v>0</v>
      </c>
      <c r="H109" s="4">
        <f t="shared" si="97"/>
        <v>0</v>
      </c>
      <c r="I109" s="4">
        <f t="shared" si="97"/>
        <v>0</v>
      </c>
      <c r="J109" s="4">
        <f t="shared" si="97"/>
        <v>0</v>
      </c>
      <c r="K109" s="4">
        <f t="shared" si="97"/>
        <v>0</v>
      </c>
      <c r="L109" s="4">
        <f t="shared" si="97"/>
        <v>0</v>
      </c>
      <c r="M109" s="4">
        <f t="shared" si="97"/>
        <v>0</v>
      </c>
      <c r="N109" s="4">
        <f>N101-N94</f>
        <v>0</v>
      </c>
      <c r="O109" s="4">
        <f>O101-O94</f>
        <v>23737577.901447684</v>
      </c>
    </row>
    <row r="110" spans="2:18"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</row>
    <row r="111" spans="2:18">
      <c r="B111" s="9">
        <v>0.3</v>
      </c>
      <c r="C111" t="s">
        <v>163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>
        <f>IF(O109&gt;0,O109/B101*B111,0)</f>
        <v>10173247.672049006</v>
      </c>
    </row>
    <row r="112" spans="2:18">
      <c r="B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B113" s="9"/>
      <c r="C113" t="s">
        <v>173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>
        <f>O90-O109-O111</f>
        <v>0</v>
      </c>
    </row>
    <row r="114" spans="1:15">
      <c r="B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B115" s="3" t="s">
        <v>150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B116" s="9">
        <v>0.6</v>
      </c>
      <c r="C116" s="170" t="s">
        <v>154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>
        <f>O113*B116</f>
        <v>0</v>
      </c>
    </row>
    <row r="117" spans="1:15">
      <c r="B117" s="9">
        <v>0.4</v>
      </c>
      <c r="C117" s="170" t="s">
        <v>155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>
        <f>O113*B117</f>
        <v>0</v>
      </c>
    </row>
    <row r="118" spans="1:15">
      <c r="B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B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6" thickBot="1">
      <c r="A120" s="3" t="s">
        <v>176</v>
      </c>
      <c r="C120" s="3" t="s">
        <v>143</v>
      </c>
    </row>
    <row r="121" spans="1:15" ht="16" thickBot="1">
      <c r="B121" s="142" t="s">
        <v>170</v>
      </c>
      <c r="C121" s="150">
        <f>D8</f>
        <v>0.14804067762086315</v>
      </c>
    </row>
    <row r="122" spans="1:15" ht="16" thickBot="1">
      <c r="B122" s="3" t="s">
        <v>147</v>
      </c>
    </row>
    <row r="123" spans="1:15">
      <c r="B123" s="80" t="s">
        <v>149</v>
      </c>
      <c r="C123" s="151">
        <f>IRR(D123:O123)</f>
        <v>7.9999999999999849E-2</v>
      </c>
      <c r="D123" s="144">
        <f>-D34</f>
        <v>-30719200</v>
      </c>
      <c r="E123" s="144">
        <f>E46</f>
        <v>0</v>
      </c>
      <c r="F123" s="144">
        <f t="shared" ref="F123:O123" si="98">F46</f>
        <v>0</v>
      </c>
      <c r="G123" s="144">
        <f t="shared" si="98"/>
        <v>0</v>
      </c>
      <c r="H123" s="144">
        <f t="shared" si="98"/>
        <v>0</v>
      </c>
      <c r="I123" s="144">
        <f t="shared" si="98"/>
        <v>-21966729.870662808</v>
      </c>
      <c r="J123" s="144">
        <f t="shared" si="98"/>
        <v>-9426729.8706628103</v>
      </c>
      <c r="K123" s="144">
        <f t="shared" si="98"/>
        <v>5631957.6293371888</v>
      </c>
      <c r="L123" s="144">
        <f t="shared" si="98"/>
        <v>5876612.3168371869</v>
      </c>
      <c r="M123" s="144">
        <f t="shared" si="98"/>
        <v>6127383.3715246869</v>
      </c>
      <c r="N123" s="144">
        <f t="shared" si="98"/>
        <v>6384423.7025793716</v>
      </c>
      <c r="O123" s="145">
        <f t="shared" si="98"/>
        <v>91228270.344395071</v>
      </c>
    </row>
    <row r="124" spans="1:15">
      <c r="B124" s="83" t="s">
        <v>152</v>
      </c>
      <c r="C124" s="7">
        <f t="shared" ref="C124:C126" si="99">IRR(D124:O124)</f>
        <v>0.11999999999999988</v>
      </c>
      <c r="D124" s="136">
        <f>-D34</f>
        <v>-30719200</v>
      </c>
      <c r="E124" s="136">
        <f>E78</f>
        <v>0</v>
      </c>
      <c r="F124" s="136">
        <f t="shared" ref="F124:O124" si="100">F78</f>
        <v>0</v>
      </c>
      <c r="G124" s="136">
        <f t="shared" si="100"/>
        <v>0</v>
      </c>
      <c r="H124" s="136">
        <f t="shared" si="100"/>
        <v>0</v>
      </c>
      <c r="I124" s="136">
        <f t="shared" si="100"/>
        <v>-21966729.870662808</v>
      </c>
      <c r="J124" s="136">
        <f t="shared" si="100"/>
        <v>-9426729.8706628103</v>
      </c>
      <c r="K124" s="136">
        <f t="shared" si="100"/>
        <v>5631957.6293371888</v>
      </c>
      <c r="L124" s="136">
        <f t="shared" si="100"/>
        <v>5876612.3168371869</v>
      </c>
      <c r="M124" s="136">
        <f t="shared" si="100"/>
        <v>6127383.3715246869</v>
      </c>
      <c r="N124" s="136">
        <f t="shared" si="100"/>
        <v>6384423.7025793716</v>
      </c>
      <c r="O124" s="146">
        <f t="shared" si="100"/>
        <v>134874865.87927765</v>
      </c>
    </row>
    <row r="125" spans="1:15">
      <c r="B125" s="83" t="s">
        <v>151</v>
      </c>
      <c r="C125" s="7">
        <f t="shared" si="99"/>
        <v>0.13723932526534055</v>
      </c>
      <c r="D125" s="136">
        <f>-D34</f>
        <v>-30719200</v>
      </c>
      <c r="E125" s="136">
        <f>E101</f>
        <v>0</v>
      </c>
      <c r="F125" s="136">
        <f t="shared" ref="F125:O125" si="101">F101</f>
        <v>0</v>
      </c>
      <c r="G125" s="136">
        <f t="shared" si="101"/>
        <v>0</v>
      </c>
      <c r="H125" s="136">
        <f t="shared" si="101"/>
        <v>0</v>
      </c>
      <c r="I125" s="136">
        <f t="shared" si="101"/>
        <v>-21966729.870662808</v>
      </c>
      <c r="J125" s="136">
        <f t="shared" si="101"/>
        <v>-9426729.8706628103</v>
      </c>
      <c r="K125" s="136">
        <f t="shared" si="101"/>
        <v>5631957.6293371888</v>
      </c>
      <c r="L125" s="136">
        <f t="shared" si="101"/>
        <v>5876612.3168371869</v>
      </c>
      <c r="M125" s="136">
        <f t="shared" si="101"/>
        <v>6127383.3715246869</v>
      </c>
      <c r="N125" s="136">
        <f t="shared" si="101"/>
        <v>6384423.7025793716</v>
      </c>
      <c r="O125" s="146">
        <f t="shared" si="101"/>
        <v>158612443.78072533</v>
      </c>
    </row>
    <row r="126" spans="1:15" ht="16" thickBot="1">
      <c r="B126" s="85" t="s">
        <v>150</v>
      </c>
      <c r="C126" s="152">
        <f t="shared" si="99"/>
        <v>0.13723932526534055</v>
      </c>
      <c r="D126" s="147">
        <f>-D34</f>
        <v>-30719200</v>
      </c>
      <c r="E126" s="86">
        <f t="shared" ref="E126:O126" si="102">E125+E116</f>
        <v>0</v>
      </c>
      <c r="F126" s="86">
        <f t="shared" si="102"/>
        <v>0</v>
      </c>
      <c r="G126" s="86">
        <f t="shared" si="102"/>
        <v>0</v>
      </c>
      <c r="H126" s="86">
        <f t="shared" si="102"/>
        <v>0</v>
      </c>
      <c r="I126" s="86">
        <f t="shared" si="102"/>
        <v>-21966729.870662808</v>
      </c>
      <c r="J126" s="86">
        <f t="shared" si="102"/>
        <v>-9426729.8706628103</v>
      </c>
      <c r="K126" s="86">
        <f t="shared" si="102"/>
        <v>5631957.6293371888</v>
      </c>
      <c r="L126" s="86">
        <f t="shared" si="102"/>
        <v>5876612.3168371869</v>
      </c>
      <c r="M126" s="86">
        <f t="shared" si="102"/>
        <v>6127383.3715246869</v>
      </c>
      <c r="N126" s="86">
        <f t="shared" si="102"/>
        <v>6384423.7025793716</v>
      </c>
      <c r="O126" s="148">
        <f t="shared" si="102"/>
        <v>158612443.78072533</v>
      </c>
    </row>
    <row r="127" spans="1:15">
      <c r="C127" s="7"/>
    </row>
    <row r="128" spans="1:15" ht="16" thickBot="1">
      <c r="B128" s="3" t="s">
        <v>148</v>
      </c>
      <c r="C128" s="153"/>
    </row>
    <row r="129" spans="2:15">
      <c r="B129" s="80" t="s">
        <v>149</v>
      </c>
      <c r="C129" s="151">
        <f>IRR(D129:O129)</f>
        <v>8.0000000000000071E-2</v>
      </c>
      <c r="D129" s="144">
        <f>-D35</f>
        <v>-1616800</v>
      </c>
      <c r="E129" s="144">
        <f>E55</f>
        <v>0</v>
      </c>
      <c r="F129" s="144">
        <f t="shared" ref="F129:O129" si="103">F55</f>
        <v>0</v>
      </c>
      <c r="G129" s="144">
        <f t="shared" si="103"/>
        <v>0</v>
      </c>
      <c r="H129" s="144">
        <f t="shared" si="103"/>
        <v>0</v>
      </c>
      <c r="I129" s="144">
        <f t="shared" si="103"/>
        <v>-1156143.6774033059</v>
      </c>
      <c r="J129" s="144">
        <f t="shared" si="103"/>
        <v>-496143.67740330589</v>
      </c>
      <c r="K129" s="144">
        <f t="shared" si="103"/>
        <v>296418.82259669417</v>
      </c>
      <c r="L129" s="144">
        <f t="shared" si="103"/>
        <v>309295.38509669405</v>
      </c>
      <c r="M129" s="144">
        <f t="shared" si="103"/>
        <v>322493.86165919411</v>
      </c>
      <c r="N129" s="144">
        <f t="shared" si="103"/>
        <v>336022.30013575644</v>
      </c>
      <c r="O129" s="145">
        <f t="shared" si="103"/>
        <v>4801487.9128628997</v>
      </c>
    </row>
    <row r="130" spans="2:15">
      <c r="B130" s="83" t="s">
        <v>152</v>
      </c>
      <c r="C130" s="7">
        <f t="shared" ref="C130:C132" si="104">IRR(D130:O130)</f>
        <v>0.20780397618223478</v>
      </c>
      <c r="D130" s="136">
        <f>-D35</f>
        <v>-1616800</v>
      </c>
      <c r="E130" s="4">
        <f t="shared" ref="E130:O130" si="105">E129+E88</f>
        <v>0</v>
      </c>
      <c r="F130" s="4">
        <f t="shared" si="105"/>
        <v>0</v>
      </c>
      <c r="G130" s="4">
        <f t="shared" si="105"/>
        <v>0</v>
      </c>
      <c r="H130" s="4">
        <f t="shared" si="105"/>
        <v>0</v>
      </c>
      <c r="I130" s="4">
        <f t="shared" si="105"/>
        <v>-1156143.6774033059</v>
      </c>
      <c r="J130" s="4">
        <f t="shared" si="105"/>
        <v>-496143.67740330589</v>
      </c>
      <c r="K130" s="4">
        <f t="shared" si="105"/>
        <v>296418.82259669417</v>
      </c>
      <c r="L130" s="4">
        <f t="shared" si="105"/>
        <v>309295.38509669405</v>
      </c>
      <c r="M130" s="4">
        <f t="shared" si="105"/>
        <v>322493.86165919411</v>
      </c>
      <c r="N130" s="4">
        <f t="shared" si="105"/>
        <v>336022.30013575644</v>
      </c>
      <c r="O130" s="149">
        <f t="shared" si="105"/>
        <v>15713136.796583544</v>
      </c>
    </row>
    <row r="131" spans="2:15">
      <c r="B131" s="83" t="s">
        <v>151</v>
      </c>
      <c r="C131" s="7">
        <f t="shared" si="104"/>
        <v>0.26691971118590763</v>
      </c>
      <c r="D131" s="136">
        <f>-D35</f>
        <v>-1616800</v>
      </c>
      <c r="E131" s="4">
        <f t="shared" ref="E131:O131" si="106">E130+E111</f>
        <v>0</v>
      </c>
      <c r="F131" s="4">
        <f t="shared" si="106"/>
        <v>0</v>
      </c>
      <c r="G131" s="4">
        <f t="shared" si="106"/>
        <v>0</v>
      </c>
      <c r="H131" s="4">
        <f t="shared" si="106"/>
        <v>0</v>
      </c>
      <c r="I131" s="4">
        <f t="shared" si="106"/>
        <v>-1156143.6774033059</v>
      </c>
      <c r="J131" s="4">
        <f t="shared" si="106"/>
        <v>-496143.67740330589</v>
      </c>
      <c r="K131" s="4">
        <f t="shared" si="106"/>
        <v>296418.82259669417</v>
      </c>
      <c r="L131" s="4">
        <f t="shared" si="106"/>
        <v>309295.38509669405</v>
      </c>
      <c r="M131" s="4">
        <f t="shared" si="106"/>
        <v>322493.86165919411</v>
      </c>
      <c r="N131" s="4">
        <f t="shared" si="106"/>
        <v>336022.30013575644</v>
      </c>
      <c r="O131" s="149">
        <f t="shared" si="106"/>
        <v>25886384.468632549</v>
      </c>
    </row>
    <row r="132" spans="2:15" ht="16" thickBot="1">
      <c r="B132" s="85" t="s">
        <v>150</v>
      </c>
      <c r="C132" s="152">
        <f t="shared" si="104"/>
        <v>0.26691971118590763</v>
      </c>
      <c r="D132" s="147">
        <f>-D35</f>
        <v>-1616800</v>
      </c>
      <c r="E132" s="86">
        <f t="shared" ref="E132:O132" si="107">E131+E117</f>
        <v>0</v>
      </c>
      <c r="F132" s="86">
        <f t="shared" si="107"/>
        <v>0</v>
      </c>
      <c r="G132" s="86">
        <f t="shared" si="107"/>
        <v>0</v>
      </c>
      <c r="H132" s="86">
        <f t="shared" si="107"/>
        <v>0</v>
      </c>
      <c r="I132" s="86">
        <f t="shared" si="107"/>
        <v>-1156143.6774033059</v>
      </c>
      <c r="J132" s="86">
        <f t="shared" si="107"/>
        <v>-496143.67740330589</v>
      </c>
      <c r="K132" s="86">
        <f t="shared" si="107"/>
        <v>296418.82259669417</v>
      </c>
      <c r="L132" s="86">
        <f t="shared" si="107"/>
        <v>309295.38509669405</v>
      </c>
      <c r="M132" s="86">
        <f t="shared" si="107"/>
        <v>322493.86165919411</v>
      </c>
      <c r="N132" s="86">
        <f t="shared" si="107"/>
        <v>336022.30013575644</v>
      </c>
      <c r="O132" s="148">
        <f t="shared" si="107"/>
        <v>25886384.468632549</v>
      </c>
    </row>
  </sheetData>
  <mergeCells count="1"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 Sheet</vt:lpstr>
      <vt:lpstr>Results Sheet</vt:lpstr>
      <vt:lpstr>Operating assumtions</vt:lpstr>
      <vt:lpstr>Leasing adjustment</vt:lpstr>
      <vt:lpstr>Amortisation Schedule</vt:lpstr>
      <vt:lpstr>Landlord Cash flow</vt:lpstr>
      <vt:lpstr>Sources &amp; Uses</vt:lpstr>
      <vt:lpstr>Return Analysis</vt:lpstr>
      <vt:lpstr>Data Tables</vt:lpstr>
      <vt:lpstr>GP 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Marathe</cp:lastModifiedBy>
  <dcterms:created xsi:type="dcterms:W3CDTF">2024-12-11T18:46:48Z</dcterms:created>
  <dcterms:modified xsi:type="dcterms:W3CDTF">2024-12-14T05:03:57Z</dcterms:modified>
</cp:coreProperties>
</file>