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garmarathe/Desktop/Reports/Vale/"/>
    </mc:Choice>
  </mc:AlternateContent>
  <xr:revisionPtr revIDLastSave="0" documentId="13_ncr:1_{C014F010-3FF2-C048-9D75-EAC8464CADA9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production &amp; revenueforecast" sheetId="3" r:id="rId1"/>
    <sheet name="iron ore prices analysis" sheetId="5" r:id="rId2"/>
    <sheet name="modelling and valuation" sheetId="1" r:id="rId3"/>
    <sheet name="relative valuation" sheetId="4" r:id="rId4"/>
    <sheet name="Relative valuation regression" sheetId="6" r:id="rId5"/>
    <sheet name="Rel valun equation regression " sheetId="7" r:id="rId6"/>
    <sheet name="Football (2)" sheetId="8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8" l="1"/>
  <c r="E16" i="8"/>
  <c r="E15" i="8"/>
  <c r="E14" i="8"/>
  <c r="E13" i="8"/>
  <c r="E12" i="8"/>
  <c r="D67" i="4" l="1"/>
  <c r="D68" i="4"/>
  <c r="D69" i="4"/>
  <c r="D71" i="4"/>
  <c r="D72" i="4"/>
  <c r="F347" i="1" l="1"/>
  <c r="F349" i="1" s="1"/>
  <c r="G345" i="1"/>
  <c r="H345" i="1"/>
  <c r="K345" i="1"/>
  <c r="J345" i="1"/>
  <c r="G307" i="1"/>
  <c r="G308" i="1" s="1"/>
  <c r="D326" i="1"/>
  <c r="D352" i="1"/>
  <c r="I265" i="1"/>
  <c r="L293" i="1" s="1"/>
  <c r="K305" i="1" s="1"/>
  <c r="L305" i="1" s="1"/>
  <c r="F160" i="1"/>
  <c r="G160" i="1" s="1"/>
  <c r="H160" i="1" s="1"/>
  <c r="I160" i="1" s="1"/>
  <c r="J160" i="1" s="1"/>
  <c r="K160" i="1" s="1"/>
  <c r="L160" i="1" s="1"/>
  <c r="F216" i="1"/>
  <c r="G216" i="1" s="1"/>
  <c r="H216" i="1" s="1"/>
  <c r="I216" i="1" s="1"/>
  <c r="J216" i="1" s="1"/>
  <c r="K216" i="1" s="1"/>
  <c r="L216" i="1" s="1"/>
  <c r="L224" i="1"/>
  <c r="L202" i="1" s="1"/>
  <c r="K224" i="1"/>
  <c r="K202" i="1" s="1"/>
  <c r="J224" i="1"/>
  <c r="J202" i="1" s="1"/>
  <c r="I224" i="1"/>
  <c r="I202" i="1" s="1"/>
  <c r="H224" i="1"/>
  <c r="H202" i="1" s="1"/>
  <c r="G224" i="1"/>
  <c r="G202" i="1" s="1"/>
  <c r="F224" i="1"/>
  <c r="F202" i="1" s="1"/>
  <c r="F222" i="1"/>
  <c r="F200" i="1" s="1"/>
  <c r="E144" i="1"/>
  <c r="H61" i="1" s="1"/>
  <c r="O39" i="4"/>
  <c r="M48" i="5"/>
  <c r="K45" i="5"/>
  <c r="F45" i="5"/>
  <c r="K44" i="5"/>
  <c r="F44" i="5"/>
  <c r="K43" i="5"/>
  <c r="F43" i="5"/>
  <c r="K42" i="5"/>
  <c r="L42" i="5" s="1"/>
  <c r="F42" i="5"/>
  <c r="I42" i="5" s="1"/>
  <c r="K41" i="5"/>
  <c r="F41" i="5"/>
  <c r="F39" i="5"/>
  <c r="I41" i="5" s="1"/>
  <c r="O38" i="4"/>
  <c r="E54" i="4"/>
  <c r="F54" i="4"/>
  <c r="G54" i="4"/>
  <c r="E55" i="4"/>
  <c r="F55" i="4"/>
  <c r="G55" i="4"/>
  <c r="E56" i="4"/>
  <c r="F56" i="4"/>
  <c r="G56" i="4"/>
  <c r="E57" i="4"/>
  <c r="E58" i="4" s="1"/>
  <c r="F57" i="4"/>
  <c r="F58" i="4" s="1"/>
  <c r="D63" i="4" s="1"/>
  <c r="G57" i="4"/>
  <c r="G58" i="4" s="1"/>
  <c r="D64" i="4" s="1"/>
  <c r="H57" i="4"/>
  <c r="H56" i="4"/>
  <c r="H55" i="4"/>
  <c r="H54" i="4"/>
  <c r="C33" i="3"/>
  <c r="G39" i="4"/>
  <c r="G40" i="4"/>
  <c r="G38" i="4"/>
  <c r="E267" i="1"/>
  <c r="E266" i="1"/>
  <c r="D62" i="4" l="1"/>
  <c r="D354" i="1"/>
  <c r="G309" i="1"/>
  <c r="F346" i="1"/>
  <c r="G306" i="1"/>
  <c r="F348" i="1"/>
  <c r="I305" i="1"/>
  <c r="H305" i="1" s="1"/>
  <c r="F223" i="1"/>
  <c r="F201" i="1" s="1"/>
  <c r="F204" i="1" s="1"/>
  <c r="L61" i="1"/>
  <c r="G61" i="1"/>
  <c r="F61" i="1"/>
  <c r="F144" i="1" s="1"/>
  <c r="K61" i="1"/>
  <c r="J61" i="1"/>
  <c r="I61" i="1"/>
  <c r="H47" i="4"/>
  <c r="D65" i="4" s="1"/>
  <c r="H49" i="4"/>
  <c r="H48" i="4"/>
  <c r="L41" i="5"/>
  <c r="L45" i="5"/>
  <c r="J42" i="5"/>
  <c r="I45" i="5"/>
  <c r="I43" i="5"/>
  <c r="I44" i="5"/>
  <c r="J44" i="5" s="1"/>
  <c r="C262" i="1"/>
  <c r="I258" i="1" s="1"/>
  <c r="F20" i="3"/>
  <c r="F19" i="3"/>
  <c r="H38" i="3"/>
  <c r="G38" i="3"/>
  <c r="F38" i="3"/>
  <c r="E38" i="3"/>
  <c r="D38" i="3"/>
  <c r="C38" i="3"/>
  <c r="C36" i="3"/>
  <c r="D36" i="3" s="1"/>
  <c r="E36" i="3" s="1"/>
  <c r="F36" i="3" s="1"/>
  <c r="G36" i="3" s="1"/>
  <c r="H36" i="3" s="1"/>
  <c r="F17" i="3"/>
  <c r="G17" i="3" s="1"/>
  <c r="H17" i="3" s="1"/>
  <c r="I17" i="3" s="1"/>
  <c r="J17" i="3" s="1"/>
  <c r="K17" i="3" s="1"/>
  <c r="K13" i="3"/>
  <c r="J13" i="3"/>
  <c r="I13" i="3"/>
  <c r="H13" i="3"/>
  <c r="G13" i="3"/>
  <c r="F13" i="3"/>
  <c r="E13" i="3"/>
  <c r="D13" i="3"/>
  <c r="K11" i="3"/>
  <c r="K19" i="3" s="1"/>
  <c r="J11" i="3"/>
  <c r="J19" i="3" s="1"/>
  <c r="J20" i="3" s="1"/>
  <c r="I11" i="3"/>
  <c r="I19" i="3" s="1"/>
  <c r="H11" i="3"/>
  <c r="H19" i="3" s="1"/>
  <c r="G11" i="3"/>
  <c r="G19" i="3" s="1"/>
  <c r="F11" i="3"/>
  <c r="E11" i="3"/>
  <c r="E19" i="3" s="1"/>
  <c r="D11" i="3"/>
  <c r="K9" i="3"/>
  <c r="J9" i="3"/>
  <c r="I9" i="3"/>
  <c r="H9" i="3"/>
  <c r="G9" i="3"/>
  <c r="F9" i="3"/>
  <c r="E9" i="3"/>
  <c r="D9" i="3"/>
  <c r="K7" i="3"/>
  <c r="K18" i="3" s="1"/>
  <c r="J7" i="3"/>
  <c r="J18" i="3" s="1"/>
  <c r="I7" i="3"/>
  <c r="I18" i="3" s="1"/>
  <c r="H7" i="3"/>
  <c r="G7" i="3"/>
  <c r="G18" i="3" s="1"/>
  <c r="G20" i="3" s="1"/>
  <c r="F7" i="3"/>
  <c r="F18" i="3" s="1"/>
  <c r="E7" i="3"/>
  <c r="E18" i="3" s="1"/>
  <c r="E20" i="3" s="1"/>
  <c r="D7" i="3"/>
  <c r="D5" i="3"/>
  <c r="E5" i="3" s="1"/>
  <c r="F5" i="3" s="1"/>
  <c r="G5" i="3" s="1"/>
  <c r="H5" i="3" s="1"/>
  <c r="I5" i="3" s="1"/>
  <c r="J5" i="3" s="1"/>
  <c r="K5" i="3" s="1"/>
  <c r="F226" i="1" l="1"/>
  <c r="I20" i="3"/>
  <c r="K20" i="3"/>
  <c r="H18" i="3"/>
  <c r="H20" i="3" s="1"/>
  <c r="G223" i="1"/>
  <c r="G201" i="1" s="1"/>
  <c r="H223" i="1"/>
  <c r="H201" i="1" s="1"/>
  <c r="G144" i="1"/>
  <c r="H144" i="1" s="1"/>
  <c r="I144" i="1" s="1"/>
  <c r="J144" i="1" s="1"/>
  <c r="K144" i="1" s="1"/>
  <c r="L144" i="1" s="1"/>
  <c r="J43" i="5"/>
  <c r="L43" i="5"/>
  <c r="L44" i="5"/>
  <c r="L48" i="5" s="1"/>
  <c r="J45" i="5"/>
  <c r="J48" i="5"/>
  <c r="I48" i="5"/>
  <c r="K22" i="3"/>
  <c r="I223" i="1" l="1"/>
  <c r="I201" i="1" s="1"/>
  <c r="D355" i="1"/>
  <c r="J223" i="1" l="1"/>
  <c r="J201" i="1" s="1"/>
  <c r="C356" i="1"/>
  <c r="C361" i="1" s="1"/>
  <c r="L223" i="1" l="1"/>
  <c r="L201" i="1" s="1"/>
  <c r="K223" i="1"/>
  <c r="K201" i="1" s="1"/>
  <c r="F314" i="1"/>
  <c r="E314" i="1"/>
  <c r="D314" i="1"/>
  <c r="C314" i="1"/>
  <c r="F312" i="1"/>
  <c r="E312" i="1"/>
  <c r="D312" i="1"/>
  <c r="C312" i="1"/>
  <c r="F313" i="1"/>
  <c r="E313" i="1"/>
  <c r="D313" i="1"/>
  <c r="C313" i="1"/>
  <c r="F315" i="1"/>
  <c r="E315" i="1"/>
  <c r="D315" i="1"/>
  <c r="C315" i="1"/>
  <c r="F316" i="1"/>
  <c r="E316" i="1"/>
  <c r="D316" i="1"/>
  <c r="C316" i="1"/>
  <c r="D311" i="1"/>
  <c r="E311" i="1" s="1"/>
  <c r="F311" i="1" s="1"/>
  <c r="C319" i="1" l="1"/>
  <c r="D319" i="1"/>
  <c r="E319" i="1"/>
  <c r="F319" i="1"/>
  <c r="E318" i="1"/>
  <c r="C318" i="1"/>
  <c r="F318" i="1"/>
  <c r="D318" i="1"/>
  <c r="G318" i="1" l="1"/>
  <c r="G319" i="1"/>
  <c r="C305" i="1" l="1"/>
  <c r="F280" i="1"/>
  <c r="F273" i="1"/>
  <c r="G273" i="1" s="1"/>
  <c r="H273" i="1" s="1"/>
  <c r="I273" i="1" s="1"/>
  <c r="J273" i="1" s="1"/>
  <c r="K273" i="1" s="1"/>
  <c r="L273" i="1" s="1"/>
  <c r="G181" i="1"/>
  <c r="H181" i="1" s="1"/>
  <c r="I181" i="1" s="1"/>
  <c r="J181" i="1" s="1"/>
  <c r="K181" i="1" s="1"/>
  <c r="L181" i="1" s="1"/>
  <c r="F190" i="1"/>
  <c r="F193" i="1" s="1"/>
  <c r="G155" i="1"/>
  <c r="H222" i="1" s="1"/>
  <c r="H155" i="1"/>
  <c r="I222" i="1" s="1"/>
  <c r="I155" i="1"/>
  <c r="J222" i="1" s="1"/>
  <c r="J155" i="1"/>
  <c r="K222" i="1" s="1"/>
  <c r="K155" i="1"/>
  <c r="L222" i="1" s="1"/>
  <c r="L155" i="1"/>
  <c r="F155" i="1"/>
  <c r="G222" i="1" s="1"/>
  <c r="E153" i="1"/>
  <c r="E102" i="1" s="1"/>
  <c r="E135" i="1"/>
  <c r="E95" i="1" s="1"/>
  <c r="E100" i="1"/>
  <c r="E99" i="1"/>
  <c r="E98" i="1"/>
  <c r="E92" i="1"/>
  <c r="E90" i="1"/>
  <c r="E142" i="1"/>
  <c r="E138" i="1"/>
  <c r="E137" i="1"/>
  <c r="K58" i="1"/>
  <c r="L58" i="1"/>
  <c r="J58" i="1"/>
  <c r="I58" i="1"/>
  <c r="H58" i="1"/>
  <c r="G58" i="1"/>
  <c r="F58" i="1"/>
  <c r="F123" i="1"/>
  <c r="F175" i="1" s="1"/>
  <c r="E46" i="1"/>
  <c r="E83" i="1" s="1"/>
  <c r="F46" i="1"/>
  <c r="F83" i="1" s="1"/>
  <c r="E48" i="1"/>
  <c r="B72" i="1"/>
  <c r="F7" i="1"/>
  <c r="E27" i="1"/>
  <c r="E53" i="1" s="1"/>
  <c r="D27" i="1"/>
  <c r="D28" i="1" s="1"/>
  <c r="C27" i="1"/>
  <c r="E25" i="1"/>
  <c r="D25" i="1"/>
  <c r="C25" i="1"/>
  <c r="E39" i="1"/>
  <c r="D39" i="1"/>
  <c r="C39" i="1"/>
  <c r="E22" i="1"/>
  <c r="D22" i="1"/>
  <c r="C22" i="1"/>
  <c r="E17" i="1"/>
  <c r="E49" i="1" s="1"/>
  <c r="E86" i="1" s="1"/>
  <c r="D17" i="1"/>
  <c r="D18" i="1" s="1"/>
  <c r="C17" i="1"/>
  <c r="C18" i="1" s="1"/>
  <c r="E15" i="1"/>
  <c r="D15" i="1"/>
  <c r="C15" i="1"/>
  <c r="E12" i="1"/>
  <c r="D12" i="1"/>
  <c r="C12" i="1"/>
  <c r="E8" i="1"/>
  <c r="D8" i="1"/>
  <c r="G5" i="1"/>
  <c r="H5" i="1" s="1"/>
  <c r="L226" i="1" l="1"/>
  <c r="L200" i="1"/>
  <c r="L204" i="1" s="1"/>
  <c r="K226" i="1"/>
  <c r="K200" i="1"/>
  <c r="K204" i="1" s="1"/>
  <c r="J226" i="1"/>
  <c r="J200" i="1"/>
  <c r="J204" i="1" s="1"/>
  <c r="H226" i="1"/>
  <c r="H200" i="1"/>
  <c r="H204" i="1" s="1"/>
  <c r="I226" i="1"/>
  <c r="I200" i="1"/>
  <c r="I204" i="1" s="1"/>
  <c r="G226" i="1"/>
  <c r="G200" i="1"/>
  <c r="G204" i="1" s="1"/>
  <c r="F272" i="1"/>
  <c r="F212" i="1"/>
  <c r="E18" i="1"/>
  <c r="F48" i="1"/>
  <c r="F85" i="1" s="1"/>
  <c r="E140" i="1"/>
  <c r="E146" i="1" s="1"/>
  <c r="E112" i="1"/>
  <c r="F112" i="1" s="1"/>
  <c r="E114" i="1"/>
  <c r="F114" i="1" s="1"/>
  <c r="G114" i="1" s="1"/>
  <c r="G7" i="1"/>
  <c r="G48" i="1" s="1"/>
  <c r="D31" i="1"/>
  <c r="D32" i="1" s="1"/>
  <c r="F24" i="1"/>
  <c r="E116" i="1"/>
  <c r="F116" i="1" s="1"/>
  <c r="G116" i="1" s="1"/>
  <c r="F14" i="1"/>
  <c r="F11" i="1"/>
  <c r="F137" i="1"/>
  <c r="F21" i="1"/>
  <c r="E118" i="1"/>
  <c r="F118" i="1" s="1"/>
  <c r="G118" i="1" s="1"/>
  <c r="H118" i="1" s="1"/>
  <c r="I118" i="1" s="1"/>
  <c r="E117" i="1"/>
  <c r="F117" i="1" s="1"/>
  <c r="G117" i="1" s="1"/>
  <c r="H46" i="1"/>
  <c r="H83" i="1" s="1"/>
  <c r="I5" i="1"/>
  <c r="C28" i="1"/>
  <c r="C31" i="1"/>
  <c r="E105" i="1"/>
  <c r="E125" i="1" s="1"/>
  <c r="E31" i="1"/>
  <c r="E115" i="1"/>
  <c r="F115" i="1" s="1"/>
  <c r="E28" i="1"/>
  <c r="E51" i="1"/>
  <c r="E55" i="1" s="1"/>
  <c r="E85" i="1"/>
  <c r="E110" i="1" s="1"/>
  <c r="G123" i="1"/>
  <c r="E162" i="1"/>
  <c r="E166" i="1" s="1"/>
  <c r="G46" i="1"/>
  <c r="G83" i="1" s="1"/>
  <c r="E126" i="1" l="1"/>
  <c r="E89" i="1"/>
  <c r="F138" i="1"/>
  <c r="F140" i="1" s="1"/>
  <c r="F27" i="1"/>
  <c r="F28" i="1" s="1"/>
  <c r="E168" i="1"/>
  <c r="G11" i="1"/>
  <c r="G38" i="1"/>
  <c r="G280" i="1" s="1"/>
  <c r="E113" i="1"/>
  <c r="F113" i="1" s="1"/>
  <c r="G113" i="1" s="1"/>
  <c r="H113" i="1" s="1"/>
  <c r="I113" i="1" s="1"/>
  <c r="J113" i="1" s="1"/>
  <c r="K113" i="1" s="1"/>
  <c r="L113" i="1" s="1"/>
  <c r="G21" i="1"/>
  <c r="D35" i="1"/>
  <c r="D36" i="1" s="1"/>
  <c r="G24" i="1"/>
  <c r="D33" i="1"/>
  <c r="F180" i="1"/>
  <c r="F73" i="1"/>
  <c r="F277" i="1" s="1"/>
  <c r="G14" i="1"/>
  <c r="H7" i="1"/>
  <c r="F17" i="1"/>
  <c r="F18" i="1" s="1"/>
  <c r="E35" i="1"/>
  <c r="E36" i="1" s="1"/>
  <c r="E32" i="1"/>
  <c r="E33" i="1"/>
  <c r="H114" i="1"/>
  <c r="G115" i="1"/>
  <c r="J118" i="1"/>
  <c r="C32" i="1"/>
  <c r="C35" i="1"/>
  <c r="C36" i="1" s="1"/>
  <c r="E111" i="1"/>
  <c r="F111" i="1" s="1"/>
  <c r="G111" i="1" s="1"/>
  <c r="H111" i="1" s="1"/>
  <c r="I111" i="1" s="1"/>
  <c r="J111" i="1" s="1"/>
  <c r="K111" i="1" s="1"/>
  <c r="L111" i="1" s="1"/>
  <c r="F110" i="1"/>
  <c r="H117" i="1"/>
  <c r="H116" i="1"/>
  <c r="H123" i="1"/>
  <c r="G175" i="1"/>
  <c r="J5" i="1"/>
  <c r="I46" i="1"/>
  <c r="I83" i="1" s="1"/>
  <c r="G112" i="1"/>
  <c r="G85" i="1"/>
  <c r="F60" i="1" l="1"/>
  <c r="E109" i="1"/>
  <c r="F109" i="1" s="1"/>
  <c r="G109" i="1" s="1"/>
  <c r="H109" i="1" s="1"/>
  <c r="I109" i="1" s="1"/>
  <c r="F236" i="1"/>
  <c r="G272" i="1"/>
  <c r="G212" i="1"/>
  <c r="G190" i="1"/>
  <c r="G193" i="1" s="1"/>
  <c r="F31" i="1"/>
  <c r="F32" i="1" s="1"/>
  <c r="F53" i="1"/>
  <c r="G27" i="1"/>
  <c r="G31" i="1" s="1"/>
  <c r="G137" i="1"/>
  <c r="F49" i="1"/>
  <c r="F51" i="1" s="1"/>
  <c r="G17" i="1"/>
  <c r="G180" i="1"/>
  <c r="G73" i="1"/>
  <c r="G277" i="1" s="1"/>
  <c r="H21" i="1"/>
  <c r="H14" i="1"/>
  <c r="H11" i="1"/>
  <c r="H48" i="1"/>
  <c r="I7" i="1"/>
  <c r="H38" i="1"/>
  <c r="H24" i="1"/>
  <c r="G138" i="1"/>
  <c r="F90" i="1"/>
  <c r="F130" i="1" s="1"/>
  <c r="G110" i="1"/>
  <c r="I114" i="1"/>
  <c r="I117" i="1"/>
  <c r="K118" i="1"/>
  <c r="H115" i="1"/>
  <c r="K5" i="1"/>
  <c r="J46" i="1"/>
  <c r="J83" i="1" s="1"/>
  <c r="I123" i="1"/>
  <c r="H175" i="1"/>
  <c r="H112" i="1"/>
  <c r="I116" i="1"/>
  <c r="H272" i="1" l="1"/>
  <c r="H212" i="1"/>
  <c r="F55" i="1"/>
  <c r="F72" i="1" s="1"/>
  <c r="F33" i="1"/>
  <c r="F35" i="1"/>
  <c r="F36" i="1" s="1"/>
  <c r="G33" i="1"/>
  <c r="G32" i="1"/>
  <c r="F86" i="1"/>
  <c r="F89" i="1" s="1"/>
  <c r="H138" i="1"/>
  <c r="G35" i="1"/>
  <c r="G36" i="1" s="1"/>
  <c r="G28" i="1"/>
  <c r="G53" i="1"/>
  <c r="H137" i="1"/>
  <c r="H27" i="1"/>
  <c r="H31" i="1" s="1"/>
  <c r="G140" i="1"/>
  <c r="I24" i="1"/>
  <c r="I11" i="1"/>
  <c r="I38" i="1"/>
  <c r="I14" i="1"/>
  <c r="J7" i="1"/>
  <c r="I21" i="1"/>
  <c r="I48" i="1"/>
  <c r="I85" i="1" s="1"/>
  <c r="H85" i="1"/>
  <c r="H73" i="1"/>
  <c r="H277" i="1" s="1"/>
  <c r="H180" i="1"/>
  <c r="H17" i="1"/>
  <c r="H190" i="1"/>
  <c r="H193" i="1" s="1"/>
  <c r="H280" i="1"/>
  <c r="G49" i="1"/>
  <c r="G18" i="1"/>
  <c r="J123" i="1"/>
  <c r="I175" i="1"/>
  <c r="J114" i="1"/>
  <c r="J117" i="1"/>
  <c r="G90" i="1"/>
  <c r="H110" i="1"/>
  <c r="L118" i="1"/>
  <c r="J116" i="1"/>
  <c r="L5" i="1"/>
  <c r="L46" i="1" s="1"/>
  <c r="L83" i="1" s="1"/>
  <c r="K46" i="1"/>
  <c r="K83" i="1" s="1"/>
  <c r="J109" i="1"/>
  <c r="I112" i="1"/>
  <c r="I115" i="1"/>
  <c r="I272" i="1" l="1"/>
  <c r="I212" i="1"/>
  <c r="F64" i="1"/>
  <c r="F65" i="1" s="1"/>
  <c r="F283" i="1" s="1"/>
  <c r="F92" i="1"/>
  <c r="F132" i="1" s="1"/>
  <c r="F100" i="1"/>
  <c r="F151" i="1" s="1"/>
  <c r="F98" i="1"/>
  <c r="F149" i="1" s="1"/>
  <c r="F99" i="1"/>
  <c r="F150" i="1" s="1"/>
  <c r="F93" i="1"/>
  <c r="F133" i="1" s="1"/>
  <c r="F91" i="1"/>
  <c r="F131" i="1" s="1"/>
  <c r="H140" i="1"/>
  <c r="I138" i="1"/>
  <c r="I137" i="1"/>
  <c r="H53" i="1"/>
  <c r="H28" i="1"/>
  <c r="I27" i="1"/>
  <c r="I28" i="1" s="1"/>
  <c r="J38" i="1"/>
  <c r="J48" i="1"/>
  <c r="J85" i="1" s="1"/>
  <c r="J14" i="1"/>
  <c r="K7" i="1"/>
  <c r="J24" i="1"/>
  <c r="J11" i="1"/>
  <c r="J21" i="1"/>
  <c r="H18" i="1"/>
  <c r="H49" i="1"/>
  <c r="I73" i="1"/>
  <c r="I277" i="1" s="1"/>
  <c r="I180" i="1"/>
  <c r="I17" i="1"/>
  <c r="G86" i="1"/>
  <c r="G51" i="1"/>
  <c r="G55" i="1" s="1"/>
  <c r="G72" i="1" s="1"/>
  <c r="I190" i="1"/>
  <c r="I193" i="1" s="1"/>
  <c r="I280" i="1"/>
  <c r="H32" i="1"/>
  <c r="H35" i="1"/>
  <c r="H36" i="1" s="1"/>
  <c r="H33" i="1"/>
  <c r="F75" i="1"/>
  <c r="F279" i="1" s="1"/>
  <c r="F276" i="1"/>
  <c r="G130" i="1"/>
  <c r="J112" i="1"/>
  <c r="K116" i="1"/>
  <c r="K117" i="1"/>
  <c r="G60" i="1"/>
  <c r="I110" i="1"/>
  <c r="H90" i="1"/>
  <c r="J115" i="1"/>
  <c r="J175" i="1"/>
  <c r="K123" i="1"/>
  <c r="K109" i="1"/>
  <c r="K114" i="1"/>
  <c r="J272" i="1" l="1"/>
  <c r="J212" i="1"/>
  <c r="I140" i="1"/>
  <c r="F135" i="1"/>
  <c r="F146" i="1" s="1"/>
  <c r="I53" i="1"/>
  <c r="I31" i="1"/>
  <c r="I35" i="1" s="1"/>
  <c r="I36" i="1" s="1"/>
  <c r="F153" i="1"/>
  <c r="F162" i="1" s="1"/>
  <c r="F102" i="1"/>
  <c r="F95" i="1"/>
  <c r="J137" i="1"/>
  <c r="F67" i="1"/>
  <c r="D338" i="1" s="1"/>
  <c r="D341" i="1" s="1"/>
  <c r="G64" i="1"/>
  <c r="G65" i="1" s="1"/>
  <c r="G100" i="1"/>
  <c r="G151" i="1" s="1"/>
  <c r="G89" i="1"/>
  <c r="G93" i="1"/>
  <c r="G133" i="1" s="1"/>
  <c r="G99" i="1"/>
  <c r="G150" i="1" s="1"/>
  <c r="G92" i="1"/>
  <c r="G132" i="1" s="1"/>
  <c r="G98" i="1"/>
  <c r="G91" i="1"/>
  <c r="G131" i="1" s="1"/>
  <c r="I49" i="1"/>
  <c r="I18" i="1"/>
  <c r="L7" i="1"/>
  <c r="K21" i="1"/>
  <c r="K48" i="1"/>
  <c r="K85" i="1" s="1"/>
  <c r="K38" i="1"/>
  <c r="K14" i="1"/>
  <c r="K24" i="1"/>
  <c r="K11" i="1"/>
  <c r="J17" i="1"/>
  <c r="J73" i="1"/>
  <c r="J277" i="1" s="1"/>
  <c r="J138" i="1"/>
  <c r="J180" i="1"/>
  <c r="H86" i="1"/>
  <c r="H51" i="1"/>
  <c r="H55" i="1" s="1"/>
  <c r="J190" i="1"/>
  <c r="J193" i="1" s="1"/>
  <c r="J280" i="1"/>
  <c r="J27" i="1"/>
  <c r="G75" i="1"/>
  <c r="G279" i="1" s="1"/>
  <c r="G282" i="1" s="1"/>
  <c r="G276" i="1"/>
  <c r="F282" i="1"/>
  <c r="K115" i="1"/>
  <c r="L109" i="1"/>
  <c r="L117" i="1"/>
  <c r="L114" i="1"/>
  <c r="H130" i="1"/>
  <c r="J110" i="1"/>
  <c r="I90" i="1"/>
  <c r="I130" i="1" s="1"/>
  <c r="L123" i="1"/>
  <c r="L175" i="1" s="1"/>
  <c r="K175" i="1"/>
  <c r="L116" i="1"/>
  <c r="K112" i="1"/>
  <c r="K272" i="1" l="1"/>
  <c r="K212" i="1"/>
  <c r="L272" i="1"/>
  <c r="L212" i="1"/>
  <c r="F105" i="1"/>
  <c r="I33" i="1"/>
  <c r="I32" i="1"/>
  <c r="F179" i="1"/>
  <c r="F183" i="1" s="1"/>
  <c r="F164" i="1"/>
  <c r="F166" i="1" s="1"/>
  <c r="F168" i="1" s="1"/>
  <c r="J140" i="1"/>
  <c r="F69" i="1"/>
  <c r="K137" i="1"/>
  <c r="G135" i="1"/>
  <c r="G146" i="1" s="1"/>
  <c r="G67" i="1"/>
  <c r="E338" i="1" s="1"/>
  <c r="E341" i="1" s="1"/>
  <c r="G283" i="1"/>
  <c r="I86" i="1"/>
  <c r="I51" i="1"/>
  <c r="I55" i="1" s="1"/>
  <c r="H72" i="1"/>
  <c r="K73" i="1"/>
  <c r="K277" i="1" s="1"/>
  <c r="K180" i="1"/>
  <c r="K17" i="1"/>
  <c r="G102" i="1"/>
  <c r="G149" i="1"/>
  <c r="G153" i="1" s="1"/>
  <c r="G162" i="1" s="1"/>
  <c r="H100" i="1"/>
  <c r="H151" i="1" s="1"/>
  <c r="H93" i="1"/>
  <c r="H133" i="1" s="1"/>
  <c r="H99" i="1"/>
  <c r="H150" i="1" s="1"/>
  <c r="H92" i="1"/>
  <c r="H132" i="1" s="1"/>
  <c r="H89" i="1"/>
  <c r="H91" i="1"/>
  <c r="H131" i="1" s="1"/>
  <c r="H98" i="1"/>
  <c r="K190" i="1"/>
  <c r="K193" i="1" s="1"/>
  <c r="K280" i="1"/>
  <c r="K138" i="1"/>
  <c r="K27" i="1"/>
  <c r="L24" i="1"/>
  <c r="L11" i="1"/>
  <c r="L14" i="1"/>
  <c r="L48" i="1"/>
  <c r="L85" i="1" s="1"/>
  <c r="L38" i="1"/>
  <c r="L21" i="1"/>
  <c r="H60" i="1"/>
  <c r="H64" i="1" s="1"/>
  <c r="H65" i="1" s="1"/>
  <c r="G95" i="1"/>
  <c r="J31" i="1"/>
  <c r="J28" i="1"/>
  <c r="J53" i="1"/>
  <c r="J49" i="1"/>
  <c r="J18" i="1"/>
  <c r="L112" i="1"/>
  <c r="L115" i="1"/>
  <c r="K110" i="1"/>
  <c r="J90" i="1"/>
  <c r="J130" i="1" s="1"/>
  <c r="F106" i="1" l="1"/>
  <c r="F184" i="1" s="1"/>
  <c r="F186" i="1" s="1"/>
  <c r="F196" i="1" s="1"/>
  <c r="F206" i="1" s="1"/>
  <c r="F125" i="1"/>
  <c r="F126" i="1" s="1"/>
  <c r="L137" i="1"/>
  <c r="G179" i="1"/>
  <c r="G183" i="1" s="1"/>
  <c r="K140" i="1"/>
  <c r="G105" i="1"/>
  <c r="H135" i="1"/>
  <c r="H146" i="1" s="1"/>
  <c r="G164" i="1"/>
  <c r="G166" i="1" s="1"/>
  <c r="G168" i="1" s="1"/>
  <c r="G69" i="1"/>
  <c r="L27" i="1"/>
  <c r="L31" i="1" s="1"/>
  <c r="K31" i="1"/>
  <c r="K53" i="1"/>
  <c r="K28" i="1"/>
  <c r="I60" i="1"/>
  <c r="I64" i="1" s="1"/>
  <c r="I65" i="1" s="1"/>
  <c r="H95" i="1"/>
  <c r="J86" i="1"/>
  <c r="J51" i="1"/>
  <c r="J55" i="1" s="1"/>
  <c r="L190" i="1"/>
  <c r="L193" i="1" s="1"/>
  <c r="L280" i="1"/>
  <c r="H67" i="1"/>
  <c r="F338" i="1" s="1"/>
  <c r="F341" i="1" s="1"/>
  <c r="H283" i="1"/>
  <c r="H75" i="1"/>
  <c r="H279" i="1" s="1"/>
  <c r="H282" i="1" s="1"/>
  <c r="H276" i="1"/>
  <c r="L138" i="1"/>
  <c r="L73" i="1"/>
  <c r="L277" i="1" s="1"/>
  <c r="L17" i="1"/>
  <c r="L180" i="1"/>
  <c r="I72" i="1"/>
  <c r="J35" i="1"/>
  <c r="J36" i="1" s="1"/>
  <c r="J33" i="1"/>
  <c r="J32" i="1"/>
  <c r="I98" i="1"/>
  <c r="I91" i="1"/>
  <c r="I131" i="1" s="1"/>
  <c r="I89" i="1"/>
  <c r="I93" i="1"/>
  <c r="I133" i="1" s="1"/>
  <c r="I92" i="1"/>
  <c r="I132" i="1" s="1"/>
  <c r="I99" i="1"/>
  <c r="I150" i="1" s="1"/>
  <c r="I100" i="1"/>
  <c r="I151" i="1" s="1"/>
  <c r="H102" i="1"/>
  <c r="H149" i="1"/>
  <c r="H153" i="1" s="1"/>
  <c r="H162" i="1" s="1"/>
  <c r="K49" i="1"/>
  <c r="K18" i="1"/>
  <c r="K90" i="1"/>
  <c r="K130" i="1" s="1"/>
  <c r="L110" i="1"/>
  <c r="L90" i="1" s="1"/>
  <c r="L130" i="1" s="1"/>
  <c r="F284" i="1" l="1"/>
  <c r="F286" i="1" s="1"/>
  <c r="F299" i="1" s="1"/>
  <c r="F301" i="1" s="1"/>
  <c r="G236" i="1"/>
  <c r="C306" i="1"/>
  <c r="F237" i="1"/>
  <c r="F239" i="1" s="1"/>
  <c r="G106" i="1"/>
  <c r="G284" i="1" s="1"/>
  <c r="G286" i="1" s="1"/>
  <c r="G299" i="1" s="1"/>
  <c r="G301" i="1" s="1"/>
  <c r="G125" i="1"/>
  <c r="G126" i="1" s="1"/>
  <c r="H236" i="1" s="1"/>
  <c r="L140" i="1"/>
  <c r="I135" i="1"/>
  <c r="I146" i="1" s="1"/>
  <c r="H164" i="1"/>
  <c r="H166" i="1" s="1"/>
  <c r="H168" i="1" s="1"/>
  <c r="L28" i="1"/>
  <c r="L53" i="1"/>
  <c r="H105" i="1"/>
  <c r="I95" i="1"/>
  <c r="J60" i="1"/>
  <c r="J64" i="1" s="1"/>
  <c r="I67" i="1"/>
  <c r="G338" i="1" s="1"/>
  <c r="G341" i="1" s="1"/>
  <c r="I283" i="1"/>
  <c r="L33" i="1"/>
  <c r="L32" i="1"/>
  <c r="L35" i="1"/>
  <c r="L36" i="1" s="1"/>
  <c r="H179" i="1"/>
  <c r="H183" i="1" s="1"/>
  <c r="H69" i="1"/>
  <c r="L18" i="1"/>
  <c r="L49" i="1"/>
  <c r="I75" i="1"/>
  <c r="I279" i="1" s="1"/>
  <c r="I282" i="1" s="1"/>
  <c r="I276" i="1"/>
  <c r="I149" i="1"/>
  <c r="I153" i="1" s="1"/>
  <c r="I162" i="1" s="1"/>
  <c r="I102" i="1"/>
  <c r="K51" i="1"/>
  <c r="K55" i="1" s="1"/>
  <c r="K72" i="1" s="1"/>
  <c r="K86" i="1"/>
  <c r="J72" i="1"/>
  <c r="J98" i="1"/>
  <c r="J91" i="1"/>
  <c r="J131" i="1" s="1"/>
  <c r="J100" i="1"/>
  <c r="J151" i="1" s="1"/>
  <c r="J99" i="1"/>
  <c r="J150" i="1" s="1"/>
  <c r="J93" i="1"/>
  <c r="J133" i="1" s="1"/>
  <c r="J92" i="1"/>
  <c r="J132" i="1" s="1"/>
  <c r="J89" i="1"/>
  <c r="K35" i="1"/>
  <c r="K36" i="1" s="1"/>
  <c r="K32" i="1"/>
  <c r="K33" i="1"/>
  <c r="G184" i="1" l="1"/>
  <c r="G186" i="1" s="1"/>
  <c r="G196" i="1" s="1"/>
  <c r="G206" i="1" s="1"/>
  <c r="H106" i="1"/>
  <c r="H184" i="1" s="1"/>
  <c r="H186" i="1" s="1"/>
  <c r="H196" i="1" s="1"/>
  <c r="H206" i="1" s="1"/>
  <c r="H125" i="1"/>
  <c r="H126" i="1" s="1"/>
  <c r="I236" i="1" s="1"/>
  <c r="J149" i="1"/>
  <c r="J153" i="1" s="1"/>
  <c r="J162" i="1" s="1"/>
  <c r="J102" i="1"/>
  <c r="J75" i="1"/>
  <c r="J279" i="1" s="1"/>
  <c r="J282" i="1" s="1"/>
  <c r="J276" i="1"/>
  <c r="L86" i="1"/>
  <c r="L51" i="1"/>
  <c r="L55" i="1" s="1"/>
  <c r="L72" i="1" s="1"/>
  <c r="J65" i="1"/>
  <c r="J283" i="1" s="1"/>
  <c r="K92" i="1"/>
  <c r="K132" i="1" s="1"/>
  <c r="K89" i="1"/>
  <c r="K91" i="1"/>
  <c r="K131" i="1" s="1"/>
  <c r="K98" i="1"/>
  <c r="K100" i="1"/>
  <c r="K151" i="1" s="1"/>
  <c r="K99" i="1"/>
  <c r="K150" i="1" s="1"/>
  <c r="K93" i="1"/>
  <c r="K133" i="1" s="1"/>
  <c r="I69" i="1"/>
  <c r="I179" i="1"/>
  <c r="I183" i="1" s="1"/>
  <c r="J95" i="1"/>
  <c r="K60" i="1"/>
  <c r="K64" i="1" s="1"/>
  <c r="K65" i="1" s="1"/>
  <c r="K75" i="1"/>
  <c r="K279" i="1" s="1"/>
  <c r="K282" i="1" s="1"/>
  <c r="K276" i="1"/>
  <c r="I164" i="1"/>
  <c r="I166" i="1" s="1"/>
  <c r="I168" i="1" s="1"/>
  <c r="J135" i="1"/>
  <c r="J146" i="1" s="1"/>
  <c r="I105" i="1"/>
  <c r="I125" i="1" s="1"/>
  <c r="I126" i="1" s="1"/>
  <c r="J236" i="1" s="1"/>
  <c r="G237" i="1" l="1"/>
  <c r="G239" i="1" s="1"/>
  <c r="H237" i="1"/>
  <c r="H239" i="1" s="1"/>
  <c r="H284" i="1"/>
  <c r="H286" i="1" s="1"/>
  <c r="H299" i="1" s="1"/>
  <c r="H301" i="1" s="1"/>
  <c r="K102" i="1"/>
  <c r="K149" i="1"/>
  <c r="K153" i="1" s="1"/>
  <c r="K162" i="1" s="1"/>
  <c r="K67" i="1"/>
  <c r="I338" i="1" s="1"/>
  <c r="I341" i="1" s="1"/>
  <c r="K283" i="1"/>
  <c r="J105" i="1"/>
  <c r="J125" i="1" s="1"/>
  <c r="J126" i="1" s="1"/>
  <c r="K236" i="1" s="1"/>
  <c r="K135" i="1"/>
  <c r="K146" i="1" s="1"/>
  <c r="L75" i="1"/>
  <c r="L279" i="1" s="1"/>
  <c r="L282" i="1" s="1"/>
  <c r="L276" i="1"/>
  <c r="K95" i="1"/>
  <c r="L60" i="1"/>
  <c r="L64" i="1" s="1"/>
  <c r="L65" i="1" s="1"/>
  <c r="I106" i="1"/>
  <c r="L91" i="1"/>
  <c r="L131" i="1" s="1"/>
  <c r="L89" i="1"/>
  <c r="L99" i="1"/>
  <c r="L150" i="1" s="1"/>
  <c r="L92" i="1"/>
  <c r="L132" i="1" s="1"/>
  <c r="L93" i="1"/>
  <c r="L133" i="1" s="1"/>
  <c r="L100" i="1"/>
  <c r="L151" i="1" s="1"/>
  <c r="L98" i="1"/>
  <c r="J67" i="1"/>
  <c r="H338" i="1" s="1"/>
  <c r="H341" i="1" s="1"/>
  <c r="K105" i="1" l="1"/>
  <c r="J164" i="1"/>
  <c r="K164" i="1" s="1"/>
  <c r="K166" i="1" s="1"/>
  <c r="K168" i="1" s="1"/>
  <c r="L149" i="1"/>
  <c r="L153" i="1" s="1"/>
  <c r="L162" i="1" s="1"/>
  <c r="L102" i="1"/>
  <c r="J106" i="1"/>
  <c r="L67" i="1"/>
  <c r="J338" i="1" s="1"/>
  <c r="K338" i="1" s="1"/>
  <c r="J340" i="1" s="1"/>
  <c r="L283" i="1"/>
  <c r="I184" i="1"/>
  <c r="I186" i="1" s="1"/>
  <c r="I196" i="1" s="1"/>
  <c r="I206" i="1" s="1"/>
  <c r="I284" i="1"/>
  <c r="I286" i="1" s="1"/>
  <c r="I299" i="1" s="1"/>
  <c r="I301" i="1" s="1"/>
  <c r="K69" i="1"/>
  <c r="K179" i="1"/>
  <c r="K183" i="1" s="1"/>
  <c r="L95" i="1"/>
  <c r="L135" i="1"/>
  <c r="L146" i="1" s="1"/>
  <c r="J69" i="1"/>
  <c r="J179" i="1"/>
  <c r="J183" i="1" s="1"/>
  <c r="I237" i="1" l="1"/>
  <c r="I239" i="1" s="1"/>
  <c r="K106" i="1"/>
  <c r="K184" i="1" s="1"/>
  <c r="K186" i="1" s="1"/>
  <c r="K196" i="1" s="1"/>
  <c r="K206" i="1" s="1"/>
  <c r="K125" i="1"/>
  <c r="K126" i="1" s="1"/>
  <c r="L236" i="1" s="1"/>
  <c r="J166" i="1"/>
  <c r="J168" i="1" s="1"/>
  <c r="L105" i="1"/>
  <c r="L164" i="1"/>
  <c r="L166" i="1" s="1"/>
  <c r="L168" i="1" s="1"/>
  <c r="L179" i="1"/>
  <c r="L183" i="1" s="1"/>
  <c r="L69" i="1"/>
  <c r="J184" i="1"/>
  <c r="J186" i="1" s="1"/>
  <c r="J196" i="1" s="1"/>
  <c r="J206" i="1" s="1"/>
  <c r="J284" i="1"/>
  <c r="J286" i="1" s="1"/>
  <c r="J299" i="1" s="1"/>
  <c r="J301" i="1" s="1"/>
  <c r="J341" i="1" l="1"/>
  <c r="C342" i="1" s="1"/>
  <c r="C347" i="1" s="1"/>
  <c r="J237" i="1"/>
  <c r="J239" i="1" s="1"/>
  <c r="K237" i="1"/>
  <c r="K239" i="1" s="1"/>
  <c r="L106" i="1"/>
  <c r="L184" i="1" s="1"/>
  <c r="L186" i="1" s="1"/>
  <c r="L196" i="1" s="1"/>
  <c r="L206" i="1" s="1"/>
  <c r="L125" i="1"/>
  <c r="L126" i="1" s="1"/>
  <c r="K284" i="1"/>
  <c r="K286" i="1" s="1"/>
  <c r="K299" i="1" s="1"/>
  <c r="K301" i="1" s="1"/>
  <c r="F345" i="1" l="1"/>
  <c r="L237" i="1"/>
  <c r="L239" i="1" s="1"/>
  <c r="L284" i="1"/>
  <c r="L286" i="1" s="1"/>
  <c r="L292" i="1" s="1"/>
  <c r="L294" i="1" s="1"/>
  <c r="L300" i="1" s="1"/>
  <c r="L299" i="1" l="1"/>
  <c r="L301" i="1" s="1"/>
  <c r="E301" i="1" s="1"/>
  <c r="C304" i="1" s="1"/>
  <c r="C307" i="1" s="1"/>
  <c r="C309" i="1" s="1"/>
  <c r="G305" i="1" s="1"/>
  <c r="L295" i="1"/>
  <c r="D309" i="1" l="1"/>
  <c r="J229" i="1" l="1"/>
  <c r="J230" i="1" s="1"/>
  <c r="G229" i="1"/>
  <c r="G230" i="1" s="1"/>
  <c r="G232" i="1" s="1"/>
  <c r="G240" i="1" s="1"/>
  <c r="H229" i="1"/>
  <c r="H230" i="1" s="1"/>
  <c r="L229" i="1"/>
  <c r="L230" i="1" s="1"/>
  <c r="K229" i="1"/>
  <c r="K230" i="1" s="1"/>
  <c r="K232" i="1" s="1"/>
  <c r="I229" i="1"/>
  <c r="I230" i="1" s="1"/>
  <c r="I232" i="1" s="1"/>
  <c r="F229" i="1"/>
  <c r="F230" i="1" s="1"/>
  <c r="F232" i="1" s="1"/>
  <c r="G242" i="1" l="1"/>
  <c r="G244" i="1" s="1"/>
  <c r="J232" i="1"/>
  <c r="J240" i="1" s="1"/>
  <c r="J242" i="1" s="1"/>
  <c r="L232" i="1"/>
  <c r="F240" i="1"/>
  <c r="F242" i="1" s="1"/>
  <c r="F244" i="1" s="1"/>
  <c r="K240" i="1"/>
  <c r="K242" i="1" s="1"/>
  <c r="K244" i="1" s="1"/>
  <c r="I240" i="1"/>
  <c r="I242" i="1" s="1"/>
  <c r="I244" i="1" s="1"/>
  <c r="H232" i="1"/>
  <c r="J244" i="1" l="1"/>
  <c r="L240" i="1"/>
  <c r="L242" i="1" s="1"/>
  <c r="L244" i="1" s="1"/>
  <c r="H240" i="1"/>
  <c r="H242" i="1" s="1"/>
  <c r="H2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tc={61E5C056-52E3-3443-A0AA-813726C1EFD1}</author>
    <author>tc={7BD88E52-D93A-3547-B9C3-1A324FEC8515}</author>
    <author>tc={64801CE1-E4C5-924E-A894-AE503F19ED99}</author>
    <author>DealMaven</author>
  </authors>
  <commentList>
    <comment ref="F156" authorId="0" shapeId="0" xr:uid="{61E5C056-52E3-3443-A0AA-813726C1E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MD&amp;A Report 2024 </t>
      </text>
    </comment>
    <comment ref="I257" authorId="1" shapeId="0" xr:uid="{7BD88E52-D93A-3547-B9C3-1A324FEC8515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China slowdown + Brazil related risk + stock specific risk</t>
      </text>
    </comment>
    <comment ref="I260" authorId="2" shapeId="0" xr:uid="{64801CE1-E4C5-924E-A894-AE503F19ED99}">
      <text>
        <t>[Threaded comment]
Your version of Excel allows you to read this threaded comment; however, any edits to it will get removed if the file is opened in a newer version of Excel. Learn more: https://go.microsoft.com/fwlink/?linkid=870924
Comment:
    MD&amp;A 2024 Report</t>
      </text>
    </comment>
    <comment ref="C308" authorId="3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DealMaven:
</t>
        </r>
        <r>
          <rPr>
            <b/>
            <sz val="8"/>
            <color rgb="FF000000"/>
            <rFont val="Tahoma"/>
            <family val="2"/>
          </rPr>
          <t>Note: If the # of shares changed in the deal, you'd want the PreDeal shares here.</t>
        </r>
      </text>
    </comment>
  </commentList>
</comments>
</file>

<file path=xl/sharedStrings.xml><?xml version="1.0" encoding="utf-8"?>
<sst xmlns="http://schemas.openxmlformats.org/spreadsheetml/2006/main" count="742" uniqueCount="393">
  <si>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</si>
  <si>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</si>
  <si>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</si>
  <si>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</si>
  <si>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</si>
  <si>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</si>
  <si>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</si>
  <si>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</si>
  <si>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</si>
  <si>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</si>
  <si>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</si>
  <si>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</si>
  <si>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</si>
  <si>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</si>
  <si>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</si>
  <si>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</si>
  <si>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</si>
  <si>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</si>
  <si>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</si>
  <si>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Other Expenses</t>
  </si>
  <si>
    <t>INCOME STATEMENTS</t>
  </si>
  <si>
    <t xml:space="preserve">Less: Total COGS </t>
  </si>
  <si>
    <t>Gross Profit</t>
  </si>
  <si>
    <t>Less: Total SG&amp;A</t>
  </si>
  <si>
    <t>EBIT</t>
  </si>
  <si>
    <t>Interest &amp; Other Expense / (Income):</t>
  </si>
  <si>
    <t>Rate</t>
  </si>
  <si>
    <t xml:space="preserve">    Total Interest Expense</t>
  </si>
  <si>
    <t>Less: Interest Income</t>
  </si>
  <si>
    <t xml:space="preserve">  Pretax Income</t>
  </si>
  <si>
    <t xml:space="preserve">  Less: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</si>
  <si>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</si>
  <si>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</si>
  <si>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</si>
  <si>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</si>
  <si>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  EBITDA</t>
  </si>
  <si>
    <t xml:space="preserve">  Plus: Depreciation &amp; Amortisation</t>
  </si>
  <si>
    <t>WORKING CAPITAL ASSUMPTIONS</t>
  </si>
  <si>
    <t>Pro Forma</t>
  </si>
  <si>
    <t>Sales</t>
  </si>
  <si>
    <t>Total COGS</t>
  </si>
  <si>
    <t>Current Assets</t>
  </si>
  <si>
    <t>Required Cash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</si>
  <si>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</si>
  <si>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</si>
  <si>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</si>
  <si>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</si>
  <si>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</si>
  <si>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</si>
  <si>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</si>
  <si>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</si>
  <si>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</si>
  <si>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</si>
  <si>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</si>
  <si>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</si>
  <si>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>Required Cash % of COGS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</si>
  <si>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</si>
  <si>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</si>
  <si>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</si>
  <si>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</si>
  <si>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</si>
  <si>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</si>
  <si>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</si>
  <si>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BALANCE SHEETS</t>
  </si>
  <si>
    <t>ASSETS:</t>
  </si>
  <si>
    <t>Excess Cash</t>
  </si>
  <si>
    <t>Total 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</si>
  <si>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</si>
  <si>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</si>
  <si>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</si>
  <si>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</si>
  <si>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</si>
  <si>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</si>
  <si>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</si>
  <si>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</si>
  <si>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</si>
  <si>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</si>
  <si>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</si>
  <si>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</si>
  <si>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</si>
  <si>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</si>
  <si>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</si>
  <si>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</si>
  <si>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</si>
  <si>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</si>
  <si>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</si>
  <si>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</si>
  <si>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</si>
  <si>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</si>
  <si>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Other</t>
  </si>
  <si>
    <t xml:space="preserve">  Other</t>
  </si>
  <si>
    <t>Other Non-Current assets</t>
  </si>
  <si>
    <t>Long Term Loan</t>
  </si>
  <si>
    <t>Capital Lease Obligations</t>
  </si>
  <si>
    <t>Other Assets % COGS</t>
  </si>
  <si>
    <t>Other Liabilities % COGS</t>
  </si>
  <si>
    <t>CASH FLOW STATEMENTS</t>
  </si>
  <si>
    <t>Operating Activities:</t>
  </si>
  <si>
    <t>Subtotal</t>
  </si>
  <si>
    <t>Changes in Working Capital</t>
  </si>
  <si>
    <t>Cash Flow from Operations</t>
  </si>
  <si>
    <t>Investing Activities:</t>
  </si>
  <si>
    <t>Less: Capital Expenditures</t>
  </si>
  <si>
    <t>Plus: Investment Gains/(Losses)</t>
  </si>
  <si>
    <t>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</si>
  <si>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</si>
  <si>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</si>
  <si>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</si>
  <si>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</si>
  <si>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Non-Cah Expense</t>
  </si>
  <si>
    <t>VALUATION ANALYSIS</t>
  </si>
  <si>
    <t>Free Cash Flow Calculation</t>
  </si>
  <si>
    <t xml:space="preserve">  EBIT</t>
  </si>
  <si>
    <t xml:space="preserve">  Plus: Depreciation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</si>
  <si>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</si>
  <si>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</si>
  <si>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</si>
  <si>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</si>
  <si>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</si>
  <si>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</si>
  <si>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</si>
  <si>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</si>
  <si>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</si>
  <si>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</si>
  <si>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</si>
  <si>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</si>
  <si>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</si>
  <si>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</si>
  <si>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</si>
  <si>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</si>
  <si>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</si>
  <si>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>DCF Equity Sensitivity Analysis</t>
  </si>
  <si>
    <t xml:space="preserve">  DCF Enterprise Value</t>
  </si>
  <si>
    <t>WACC</t>
  </si>
  <si>
    <t xml:space="preserve">  Less: Net Debt (PreDeal)</t>
  </si>
  <si>
    <t xml:space="preserve">  Equity Value</t>
  </si>
  <si>
    <t xml:space="preserve">  Shares (PreDeal)</t>
  </si>
  <si>
    <t xml:space="preserve">  DCF Value per Share</t>
  </si>
  <si>
    <t>Forward</t>
  </si>
  <si>
    <t>PV</t>
  </si>
  <si>
    <t xml:space="preserve">  Add : Excess Cash</t>
  </si>
  <si>
    <t>Growth</t>
  </si>
  <si>
    <t>Assumptions</t>
  </si>
  <si>
    <t>Long-term growth rate</t>
  </si>
  <si>
    <t>Cost of Equity</t>
  </si>
  <si>
    <t>Number of Outstanding shares</t>
  </si>
  <si>
    <t>Output</t>
  </si>
  <si>
    <t>Year</t>
  </si>
  <si>
    <t>2024
Fcst</t>
  </si>
  <si>
    <t>2025
Fcst</t>
  </si>
  <si>
    <t>2026
Fcst</t>
  </si>
  <si>
    <t>2027
Fcst</t>
  </si>
  <si>
    <t>2028
Fcst</t>
  </si>
  <si>
    <t>Dividend</t>
  </si>
  <si>
    <t>Terminal value</t>
  </si>
  <si>
    <t>Dividend + Terminal Value</t>
  </si>
  <si>
    <t>Present value</t>
  </si>
  <si>
    <t>Share Price</t>
  </si>
  <si>
    <t>Dividend History</t>
  </si>
  <si>
    <t>Dividend Yield</t>
  </si>
  <si>
    <t>Dividend Paid per share</t>
  </si>
  <si>
    <t>Diluted Normalised EPS</t>
  </si>
  <si>
    <t>Dividend (2023) (in millions)</t>
  </si>
  <si>
    <t>Ttoal income (in millions)</t>
  </si>
  <si>
    <t>Diluted  Net Income (in millions)</t>
  </si>
  <si>
    <t>Total Dividend paid (in millions)</t>
  </si>
  <si>
    <t>Dividend Gordon Growth Model Based Valuation</t>
  </si>
  <si>
    <t>2023
Act</t>
  </si>
  <si>
    <t>2029
Fcst</t>
  </si>
  <si>
    <t>2030
Fcst</t>
  </si>
  <si>
    <t>2031
Fcst</t>
  </si>
  <si>
    <t>Conservative earnings</t>
  </si>
  <si>
    <t xml:space="preserve">Reasons </t>
  </si>
  <si>
    <t>high capex % taken in consideration</t>
  </si>
  <si>
    <t>low/ optimal growth rate</t>
  </si>
  <si>
    <t>revenue growth optimal ( production growth 6 % ,</t>
  </si>
  <si>
    <t>further 20% contri of energy materials ---&gt; growth of 6.5%</t>
  </si>
  <si>
    <t>haven’t adjusted the chances in expenses after bur dam expenses stop from 2026. ----&gt; net income increase</t>
  </si>
  <si>
    <t>DDM Sensitivity Analysis</t>
  </si>
  <si>
    <t>Dividend Forecast : Finite Horizon</t>
  </si>
  <si>
    <t>Forecasted Dividend payout( historical analysis)</t>
  </si>
  <si>
    <t>Dividend Growth Model</t>
  </si>
  <si>
    <t>Dividend payout ratio (diluted)</t>
  </si>
  <si>
    <t>Dividend payout ratio (total)</t>
  </si>
  <si>
    <t>Chinese GDP growth 2024 and 2025</t>
  </si>
  <si>
    <t>Average rates</t>
  </si>
  <si>
    <t>Beta estimates</t>
  </si>
  <si>
    <t>Risk free rate</t>
  </si>
  <si>
    <t>Source</t>
  </si>
  <si>
    <t>Beta</t>
  </si>
  <si>
    <t>YahooFinance</t>
  </si>
  <si>
    <t>ValueLine</t>
  </si>
  <si>
    <t>TradingView</t>
  </si>
  <si>
    <t>Cost on equity</t>
  </si>
  <si>
    <t>MarketWatch</t>
  </si>
  <si>
    <t>Cost of debt</t>
  </si>
  <si>
    <t>tax rate</t>
  </si>
  <si>
    <t>Average Beta</t>
  </si>
  <si>
    <t>Weightage of debt</t>
  </si>
  <si>
    <t>Weightage of equity</t>
  </si>
  <si>
    <t>Minerals production growth forecast</t>
  </si>
  <si>
    <t>Iron ore solutions</t>
  </si>
  <si>
    <t>Iron ore ( in Mt)</t>
  </si>
  <si>
    <t>Growth rate</t>
  </si>
  <si>
    <t>Iron Pellets (in Mt)</t>
  </si>
  <si>
    <t xml:space="preserve">Energy Transition  </t>
  </si>
  <si>
    <t>Copper (in Kt)</t>
  </si>
  <si>
    <t>minerals</t>
  </si>
  <si>
    <t>Nickel (in Kt)</t>
  </si>
  <si>
    <t>Revenue (by source)</t>
  </si>
  <si>
    <t>percentage</t>
  </si>
  <si>
    <t>Iron Ore Solutions</t>
  </si>
  <si>
    <t>NA</t>
  </si>
  <si>
    <t>Energy Transition Minerals</t>
  </si>
  <si>
    <t>Forecasted Production Growrh</t>
  </si>
  <si>
    <t>AVG GROWTH RATE</t>
  </si>
  <si>
    <t>Revenue ( by country</t>
  </si>
  <si>
    <t>China</t>
  </si>
  <si>
    <t>Brazil</t>
  </si>
  <si>
    <t>Europe ( except Germany)</t>
  </si>
  <si>
    <t>Japan</t>
  </si>
  <si>
    <t>Middle East</t>
  </si>
  <si>
    <t>USA</t>
  </si>
  <si>
    <t>Germany</t>
  </si>
  <si>
    <t>Others</t>
  </si>
  <si>
    <t>Asia ( except  Japan &amp; China)</t>
  </si>
  <si>
    <t>Iron Ore</t>
  </si>
  <si>
    <t>Copper</t>
  </si>
  <si>
    <t>Nickel</t>
  </si>
  <si>
    <t>Region</t>
  </si>
  <si>
    <t>Europe</t>
  </si>
  <si>
    <t>USA + Europe</t>
  </si>
  <si>
    <t>Mineral</t>
  </si>
  <si>
    <t>Maximum % of total Sale</t>
  </si>
  <si>
    <t>Total Shares(in ml)</t>
  </si>
  <si>
    <t>Buyback %</t>
  </si>
  <si>
    <t>Dividend forecasted on historical relation with respect to dividend paid as percent of net income for both diluted and net income</t>
  </si>
  <si>
    <t>production growth rate</t>
  </si>
  <si>
    <t>Revenue growth rate assumption</t>
  </si>
  <si>
    <t>risk free rate</t>
  </si>
  <si>
    <t>MRP</t>
  </si>
  <si>
    <t>Weighted Average</t>
  </si>
  <si>
    <t>Net income average growth from 2024-2030</t>
  </si>
  <si>
    <t>Brazil GDP growth 2024 and 2025</t>
  </si>
  <si>
    <t>CAPM</t>
  </si>
  <si>
    <t>Equity risk premium</t>
  </si>
  <si>
    <t>Extra risk premium</t>
  </si>
  <si>
    <t>Vale SA</t>
  </si>
  <si>
    <t>BHP</t>
  </si>
  <si>
    <t>P/B</t>
  </si>
  <si>
    <t>Tickers</t>
  </si>
  <si>
    <t>BHP Group Limited</t>
  </si>
  <si>
    <t>Rio Tinto PLC</t>
  </si>
  <si>
    <t>RIO</t>
  </si>
  <si>
    <t>VALE</t>
  </si>
  <si>
    <t>Metrics</t>
  </si>
  <si>
    <t>Revenues</t>
  </si>
  <si>
    <t>Full-Time Employees</t>
  </si>
  <si>
    <t>Liquidity Ratios</t>
  </si>
  <si>
    <t>Current Ratio</t>
  </si>
  <si>
    <t>Profitability Ratios</t>
  </si>
  <si>
    <t>Operating Margin</t>
  </si>
  <si>
    <t>Profit Margin</t>
  </si>
  <si>
    <t>ROE</t>
  </si>
  <si>
    <t>ROA</t>
  </si>
  <si>
    <t>Quick Ratio</t>
  </si>
  <si>
    <t>Solvency Ratios</t>
  </si>
  <si>
    <t>Debt to Equity</t>
  </si>
  <si>
    <t>Effeciency Ratios</t>
  </si>
  <si>
    <t>Asset Turnover</t>
  </si>
  <si>
    <t>Inventory Turnover</t>
  </si>
  <si>
    <t>Comparable Company Analysis</t>
  </si>
  <si>
    <t>Company</t>
  </si>
  <si>
    <t>Ticker</t>
  </si>
  <si>
    <t>Share price</t>
  </si>
  <si>
    <t>Shares Outstanding</t>
  </si>
  <si>
    <t>Market Value</t>
  </si>
  <si>
    <t>Net Debt</t>
  </si>
  <si>
    <t>Enterprise Value</t>
  </si>
  <si>
    <t>Market Data</t>
  </si>
  <si>
    <t>Net Income</t>
  </si>
  <si>
    <t>P/FCF</t>
  </si>
  <si>
    <t>EV/EBITDA</t>
  </si>
  <si>
    <t>Valuation</t>
  </si>
  <si>
    <t>Relative Yeild</t>
  </si>
  <si>
    <t>Dividend Yeild</t>
  </si>
  <si>
    <t>Maximum</t>
  </si>
  <si>
    <t>Median</t>
  </si>
  <si>
    <t>Mean</t>
  </si>
  <si>
    <t>Basic Metals and Mining</t>
  </si>
  <si>
    <t>Minimum</t>
  </si>
  <si>
    <t>FRED Graph Observations</t>
  </si>
  <si>
    <t>Federal Reserve Economic Data</t>
  </si>
  <si>
    <t>PIORECRUSDM</t>
  </si>
  <si>
    <t>Global price of Iron Ore, U.S. Dollars per Metric Ton, Monthly, Not Seasonally Adjusted</t>
  </si>
  <si>
    <t>Frequency: Monthly</t>
  </si>
  <si>
    <t>observation_date</t>
  </si>
  <si>
    <t>Average price of iron ore</t>
  </si>
  <si>
    <t>Time frame 2018-2023</t>
  </si>
  <si>
    <t>Normalised revenues</t>
  </si>
  <si>
    <t>growth rate</t>
  </si>
  <si>
    <t>COGS</t>
  </si>
  <si>
    <t>% OF SALES</t>
  </si>
  <si>
    <t>Deprecn/amortisation</t>
  </si>
  <si>
    <t>Average price of iron ore 2019</t>
  </si>
  <si>
    <t>Average price of iron ore 2020</t>
  </si>
  <si>
    <t>Average price of iron ore 2021</t>
  </si>
  <si>
    <t>Average price of iron ore 2022</t>
  </si>
  <si>
    <t>Average price of iron ore 2023</t>
  </si>
  <si>
    <t>Average values</t>
  </si>
  <si>
    <t>Free Cash Flow/Share</t>
  </si>
  <si>
    <t>Book Value/ Share</t>
  </si>
  <si>
    <t>Cash</t>
  </si>
  <si>
    <t xml:space="preserve">Financial Data </t>
  </si>
  <si>
    <t>Relative yeild</t>
  </si>
  <si>
    <t xml:space="preserve"> -------  All values in billions ----------</t>
  </si>
  <si>
    <t>Relative Valuation Calculation</t>
  </si>
  <si>
    <t>DCF Forecast</t>
  </si>
  <si>
    <t>DDM gordon Growth Model</t>
  </si>
  <si>
    <t>DDM (Historical analysis) forecast</t>
  </si>
  <si>
    <t>LTD to Total Assets</t>
  </si>
  <si>
    <t>Valuation Ratios</t>
  </si>
  <si>
    <t>Financing Costs Amortization</t>
  </si>
  <si>
    <t>Financing cost</t>
  </si>
  <si>
    <t>Scheduled Debt Retirement</t>
  </si>
  <si>
    <t>Years to Amortize</t>
  </si>
  <si>
    <t>USES OF FUNDS</t>
  </si>
  <si>
    <t>Required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</si>
  <si>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</si>
  <si>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</si>
  <si>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</si>
  <si>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</si>
  <si>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</si>
  <si>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</si>
  <si>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</si>
  <si>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</si>
  <si>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</si>
  <si>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</si>
  <si>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MC Model 1 Average</t>
  </si>
  <si>
    <t>MC Model 2 Average</t>
  </si>
  <si>
    <t>Regression based weighted value</t>
  </si>
  <si>
    <t>VALE P/CF</t>
  </si>
  <si>
    <t>VALE P/B</t>
  </si>
  <si>
    <t>VALE EV/ EBITTDA</t>
  </si>
  <si>
    <t>vale</t>
  </si>
  <si>
    <t>avg p/cf</t>
  </si>
  <si>
    <t>AVG EV/EBITDA</t>
  </si>
  <si>
    <t>avg P/B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</si>
  <si>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</si>
  <si>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</si>
  <si>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</si>
  <si>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</si>
  <si>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</si>
  <si>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</si>
  <si>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</si>
  <si>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</si>
  <si>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</si>
  <si>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</si>
  <si>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</si>
  <si>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</si>
  <si>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</si>
  <si>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</si>
  <si>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</si>
  <si>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</si>
  <si>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</si>
  <si>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</si>
  <si>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</si>
  <si>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</si>
  <si>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</si>
  <si>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</si>
  <si>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</si>
  <si>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</si>
  <si>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BHP P/CF</t>
  </si>
  <si>
    <t>RIO P/CF</t>
  </si>
  <si>
    <t>BHP P/B</t>
  </si>
  <si>
    <t>RIO  P/B</t>
  </si>
  <si>
    <t xml:space="preserve">P/CF </t>
  </si>
  <si>
    <t>Equation</t>
  </si>
  <si>
    <t>(0.6555 * Avg P/B) + 0.2944</t>
  </si>
  <si>
    <t>(1.05125* Avg P/CF) - 1.508</t>
  </si>
  <si>
    <t xml:space="preserve"> ( 1.2332 * Avg EV/EBITDA) - 2.1</t>
  </si>
  <si>
    <t>Production Growth Forecast</t>
  </si>
  <si>
    <t>Revenue Growth Forecast (Volume Based)</t>
  </si>
  <si>
    <t>Revenue Normalisation process</t>
  </si>
  <si>
    <t>DEBT STRUCTURE</t>
  </si>
  <si>
    <t>Min</t>
  </si>
  <si>
    <t>Difference</t>
  </si>
  <si>
    <t>Max</t>
  </si>
  <si>
    <t>52 WK High-Low</t>
  </si>
  <si>
    <t>Equity Analyst Targets</t>
  </si>
  <si>
    <t xml:space="preserve">Regression + ARCH Model </t>
  </si>
  <si>
    <t>DDM forecast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</si>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</sst>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8" formatCode="&quot;£&quot;#,##0.00_);[Red]\(&quot;£&quot;#,##0.00\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#,##0.0_);\(#,##0.0\)"/>
    <numFmt numFmtId="169" formatCode="0.0%;\(0.0%\)"/>
    <numFmt numFmtId="170" formatCode="&quot;$&quot;#,##0.0_);\(&quot;$&quot;#,##0.0\)"/>
    <numFmt numFmtId="171" formatCode="0.0%"/>
    <numFmt numFmtId="172" formatCode="0.0"/>
    <numFmt numFmtId="173" formatCode="0.00%;\(0.00%\)"/>
    <numFmt numFmtId="174" formatCode="0.0%_);\(0.0%\);0.0%_);@_)"/>
    <numFmt numFmtId="175" formatCode="#,##0.000_);\(#,##0.000\)"/>
    <numFmt numFmtId="176" formatCode="&quot;$&quot;#,##0.0_);\(&quot;$&quot;#,##0.0\);&quot;$&quot;#,##0.0_);@_)"/>
    <numFmt numFmtId="177" formatCode="0.0\ &quot;d&quot;"/>
    <numFmt numFmtId="178" formatCode="0.0\x_);&quot;NM&quot;_);0.0\x_);@_)"/>
    <numFmt numFmtId="179" formatCode="&quot;$&quot;#,##0.0_)\ ;\(&quot;$&quot;#,##0.0\)\ "/>
    <numFmt numFmtId="180" formatCode="#,##0.0000_);\(#,##0.0000\)"/>
    <numFmt numFmtId="181" formatCode="0.000"/>
    <numFmt numFmtId="182" formatCode="yyyy\-mm"/>
    <numFmt numFmtId="183" formatCode="0.0000000000000"/>
    <numFmt numFmtId="184" formatCode="0.0\ &quot;y&quot;"/>
    <numFmt numFmtId="185" formatCode="0\ &quot;y&quot;"/>
    <numFmt numFmtId="186" formatCode="0%_);\(0%\);0%_);@_)"/>
  </numFmts>
  <fonts count="57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i/>
      <u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i/>
      <sz val="10"/>
      <color indexed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theme="1"/>
      <name val="Calibri"/>
      <family val="2"/>
      <scheme val="minor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name val="Times New Roman"/>
      <family val="1"/>
    </font>
    <font>
      <i/>
      <sz val="8"/>
      <color indexed="8"/>
      <name val="times new roman"/>
      <family val="1"/>
    </font>
    <font>
      <b/>
      <sz val="10"/>
      <color indexed="21"/>
      <name val="times new roman"/>
      <family val="1"/>
    </font>
    <font>
      <b/>
      <sz val="8"/>
      <color rgb="FF000000"/>
      <name val="Tahoma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Light"/>
      <family val="2"/>
      <scheme val="major"/>
    </font>
    <font>
      <sz val="8"/>
      <color rgb="FF000000"/>
      <name val="Helvetica"/>
      <family val="2"/>
    </font>
    <font>
      <sz val="12"/>
      <name val="TimesNewRomanPSMT"/>
    </font>
    <font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2"/>
      <color rgb="FF131722"/>
      <name val="Times New Roman"/>
      <family val="1"/>
    </font>
    <font>
      <sz val="12"/>
      <name val="Times New Roman"/>
      <family val="1"/>
    </font>
    <font>
      <i/>
      <sz val="12"/>
      <color theme="1"/>
      <name val="Calibri"/>
      <family val="2"/>
      <scheme val="minor"/>
    </font>
    <font>
      <sz val="10"/>
      <color rgb="FF00B050"/>
      <name val="Times New Roman"/>
      <family val="1"/>
    </font>
    <font>
      <b/>
      <u/>
      <sz val="16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double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76" fontId="12" fillId="0" borderId="0" applyNumberFormat="0"/>
    <xf numFmtId="0" fontId="34" fillId="0" borderId="0"/>
    <xf numFmtId="0" fontId="24" fillId="0" borderId="0"/>
    <xf numFmtId="0" fontId="1" fillId="0" borderId="0"/>
  </cellStyleXfs>
  <cellXfs count="456">
    <xf numFmtId="0" fontId="0" fillId="0" borderId="0" xfId="0"/>
    <xf numFmtId="168" fontId="2" fillId="0" borderId="0" xfId="0" applyNumberFormat="1" applyFont="1"/>
    <xf numFmtId="168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8" fontId="7" fillId="0" borderId="0" xfId="0" applyNumberFormat="1" applyFont="1" applyAlignment="1">
      <alignment horizontal="centerContinuous"/>
    </xf>
    <xf numFmtId="168" fontId="2" fillId="0" borderId="0" xfId="0" applyNumberFormat="1" applyFont="1" applyAlignment="1">
      <alignment horizontal="centerContinuous"/>
    </xf>
    <xf numFmtId="168" fontId="8" fillId="0" borderId="0" xfId="0" applyNumberFormat="1" applyFont="1"/>
    <xf numFmtId="169" fontId="9" fillId="0" borderId="0" xfId="0" applyNumberFormat="1" applyFont="1"/>
    <xf numFmtId="169" fontId="10" fillId="0" borderId="0" xfId="0" applyNumberFormat="1" applyFont="1"/>
    <xf numFmtId="168" fontId="9" fillId="0" borderId="0" xfId="0" applyNumberFormat="1" applyFont="1"/>
    <xf numFmtId="168" fontId="11" fillId="0" borderId="0" xfId="0" applyNumberFormat="1" applyFont="1"/>
    <xf numFmtId="170" fontId="8" fillId="0" borderId="0" xfId="0" applyNumberFormat="1" applyFont="1"/>
    <xf numFmtId="170" fontId="0" fillId="0" borderId="0" xfId="0" applyNumberFormat="1"/>
    <xf numFmtId="169" fontId="12" fillId="0" borderId="0" xfId="0" applyNumberFormat="1" applyFont="1"/>
    <xf numFmtId="168" fontId="10" fillId="0" borderId="0" xfId="0" applyNumberFormat="1" applyFont="1"/>
    <xf numFmtId="168" fontId="8" fillId="0" borderId="0" xfId="0" applyNumberFormat="1" applyFont="1" applyAlignment="1">
      <alignment horizontal="left" indent="1"/>
    </xf>
    <xf numFmtId="168" fontId="14" fillId="0" borderId="0" xfId="0" applyNumberFormat="1" applyFont="1" applyAlignment="1">
      <alignment horizontal="right"/>
    </xf>
    <xf numFmtId="1" fontId="8" fillId="0" borderId="0" xfId="0" applyNumberFormat="1" applyFont="1"/>
    <xf numFmtId="168" fontId="13" fillId="0" borderId="0" xfId="0" applyNumberFormat="1" applyFont="1"/>
    <xf numFmtId="9" fontId="10" fillId="0" borderId="0" xfId="1" applyFont="1"/>
    <xf numFmtId="0" fontId="8" fillId="0" borderId="0" xfId="0" applyFont="1" applyAlignment="1">
      <alignment horizontal="right"/>
    </xf>
    <xf numFmtId="168" fontId="14" fillId="0" borderId="0" xfId="0" applyNumberFormat="1" applyFont="1"/>
    <xf numFmtId="173" fontId="15" fillId="0" borderId="0" xfId="0" applyNumberFormat="1" applyFont="1" applyAlignment="1">
      <alignment horizontal="center"/>
    </xf>
    <xf numFmtId="173" fontId="9" fillId="0" borderId="0" xfId="0" applyNumberFormat="1" applyFont="1"/>
    <xf numFmtId="168" fontId="16" fillId="0" borderId="0" xfId="0" applyNumberFormat="1" applyFont="1"/>
    <xf numFmtId="174" fontId="17" fillId="0" borderId="0" xfId="0" applyNumberFormat="1" applyFont="1"/>
    <xf numFmtId="176" fontId="13" fillId="0" borderId="0" xfId="0" applyNumberFormat="1" applyFont="1"/>
    <xf numFmtId="168" fontId="15" fillId="0" borderId="0" xfId="0" applyNumberFormat="1" applyFont="1"/>
    <xf numFmtId="175" fontId="0" fillId="0" borderId="0" xfId="0" applyNumberFormat="1"/>
    <xf numFmtId="10" fontId="0" fillId="0" borderId="0" xfId="1" applyNumberFormat="1" applyFont="1"/>
    <xf numFmtId="169" fontId="12" fillId="0" borderId="0" xfId="0" applyNumberFormat="1" applyFont="1" applyAlignment="1">
      <alignment horizontal="centerContinuous"/>
    </xf>
    <xf numFmtId="169" fontId="8" fillId="0" borderId="0" xfId="0" applyNumberFormat="1" applyFont="1"/>
    <xf numFmtId="172" fontId="13" fillId="0" borderId="0" xfId="2" applyNumberFormat="1" applyFont="1"/>
    <xf numFmtId="169" fontId="8" fillId="0" borderId="0" xfId="0" applyNumberFormat="1" applyFont="1" applyAlignment="1">
      <alignment horizontal="left" indent="1"/>
    </xf>
    <xf numFmtId="169" fontId="12" fillId="0" borderId="0" xfId="0" applyNumberFormat="1" applyFont="1" applyAlignment="1">
      <alignment horizontal="left" indent="1"/>
    </xf>
    <xf numFmtId="172" fontId="14" fillId="0" borderId="0" xfId="2" applyNumberFormat="1" applyFont="1"/>
    <xf numFmtId="172" fontId="12" fillId="0" borderId="0" xfId="2" applyNumberFormat="1"/>
    <xf numFmtId="169" fontId="9" fillId="0" borderId="0" xfId="0" applyNumberFormat="1" applyFont="1" applyAlignment="1">
      <alignment horizontal="left" indent="1"/>
    </xf>
    <xf numFmtId="177" fontId="18" fillId="0" borderId="0" xfId="0" applyNumberFormat="1" applyFont="1"/>
    <xf numFmtId="178" fontId="12" fillId="0" borderId="0" xfId="0" applyNumberFormat="1" applyFont="1"/>
    <xf numFmtId="168" fontId="5" fillId="0" borderId="0" xfId="0" applyNumberFormat="1" applyFont="1" applyAlignment="1">
      <alignment horizontal="centerContinuous"/>
    </xf>
    <xf numFmtId="0" fontId="11" fillId="0" borderId="0" xfId="0" applyFont="1"/>
    <xf numFmtId="17" fontId="19" fillId="0" borderId="0" xfId="0" applyNumberFormat="1" applyFont="1"/>
    <xf numFmtId="17" fontId="20" fillId="0" borderId="0" xfId="0" applyNumberFormat="1" applyFont="1"/>
    <xf numFmtId="168" fontId="3" fillId="0" borderId="0" xfId="0" applyNumberFormat="1" applyFont="1"/>
    <xf numFmtId="168" fontId="4" fillId="0" borderId="0" xfId="0" applyNumberFormat="1" applyFont="1"/>
    <xf numFmtId="176" fontId="8" fillId="0" borderId="0" xfId="0" applyNumberFormat="1" applyFont="1"/>
    <xf numFmtId="170" fontId="14" fillId="0" borderId="0" xfId="0" applyNumberFormat="1" applyFont="1"/>
    <xf numFmtId="168" fontId="0" fillId="0" borderId="0" xfId="0" applyNumberFormat="1" applyAlignment="1">
      <alignment horizontal="left" indent="1"/>
    </xf>
    <xf numFmtId="179" fontId="13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left" indent="1"/>
    </xf>
    <xf numFmtId="175" fontId="13" fillId="0" borderId="0" xfId="0" applyNumberFormat="1" applyFont="1"/>
    <xf numFmtId="9" fontId="0" fillId="0" borderId="0" xfId="1" applyFont="1"/>
    <xf numFmtId="0" fontId="8" fillId="0" borderId="0" xfId="0" applyFont="1"/>
    <xf numFmtId="164" fontId="21" fillId="0" borderId="0" xfId="0" applyNumberFormat="1" applyFont="1"/>
    <xf numFmtId="2" fontId="13" fillId="0" borderId="0" xfId="0" applyNumberFormat="1" applyFont="1"/>
    <xf numFmtId="168" fontId="22" fillId="0" borderId="0" xfId="0" applyNumberFormat="1" applyFont="1"/>
    <xf numFmtId="0" fontId="8" fillId="0" borderId="0" xfId="0" applyFont="1" applyAlignment="1">
      <alignment horizontal="left" indent="1"/>
    </xf>
    <xf numFmtId="168" fontId="23" fillId="0" borderId="0" xfId="0" applyNumberFormat="1" applyFont="1"/>
    <xf numFmtId="168" fontId="7" fillId="2" borderId="1" xfId="0" applyNumberFormat="1" applyFont="1" applyFill="1" applyBorder="1" applyAlignment="1">
      <alignment horizontal="centerContinuous"/>
    </xf>
    <xf numFmtId="168" fontId="7" fillId="2" borderId="2" xfId="0" applyNumberFormat="1" applyFont="1" applyFill="1" applyBorder="1" applyAlignment="1">
      <alignment horizontal="centerContinuous"/>
    </xf>
    <xf numFmtId="168" fontId="7" fillId="2" borderId="3" xfId="0" applyNumberFormat="1" applyFont="1" applyFill="1" applyBorder="1" applyAlignment="1">
      <alignment horizontal="centerContinuous"/>
    </xf>
    <xf numFmtId="168" fontId="3" fillId="2" borderId="4" xfId="0" applyNumberFormat="1" applyFont="1" applyFill="1" applyBorder="1"/>
    <xf numFmtId="0" fontId="11" fillId="2" borderId="0" xfId="0" applyFont="1" applyFill="1"/>
    <xf numFmtId="168" fontId="8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centerContinuous"/>
    </xf>
    <xf numFmtId="0" fontId="11" fillId="2" borderId="4" xfId="0" applyFont="1" applyFill="1" applyBorder="1"/>
    <xf numFmtId="0" fontId="4" fillId="2" borderId="0" xfId="0" applyFont="1" applyFill="1"/>
    <xf numFmtId="0" fontId="25" fillId="2" borderId="4" xfId="0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4" xfId="0" applyFont="1" applyFill="1" applyBorder="1"/>
    <xf numFmtId="0" fontId="3" fillId="2" borderId="4" xfId="0" applyFont="1" applyFill="1" applyBorder="1"/>
    <xf numFmtId="168" fontId="8" fillId="2" borderId="4" xfId="0" applyNumberFormat="1" applyFont="1" applyFill="1" applyBorder="1"/>
    <xf numFmtId="168" fontId="11" fillId="2" borderId="0" xfId="0" applyNumberFormat="1" applyFont="1" applyFill="1"/>
    <xf numFmtId="170" fontId="13" fillId="2" borderId="0" xfId="0" applyNumberFormat="1" applyFont="1" applyFill="1"/>
    <xf numFmtId="168" fontId="13" fillId="2" borderId="0" xfId="0" applyNumberFormat="1" applyFont="1" applyFill="1"/>
    <xf numFmtId="168" fontId="14" fillId="2" borderId="0" xfId="0" applyNumberFormat="1" applyFont="1" applyFill="1" applyAlignment="1">
      <alignment horizontal="right"/>
    </xf>
    <xf numFmtId="168" fontId="17" fillId="2" borderId="4" xfId="0" applyNumberFormat="1" applyFont="1" applyFill="1" applyBorder="1"/>
    <xf numFmtId="168" fontId="29" fillId="2" borderId="0" xfId="0" applyNumberFormat="1" applyFont="1" applyFill="1"/>
    <xf numFmtId="168" fontId="16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168" fontId="11" fillId="2" borderId="4" xfId="0" applyNumberFormat="1" applyFont="1" applyFill="1" applyBorder="1"/>
    <xf numFmtId="168" fontId="11" fillId="2" borderId="5" xfId="0" applyNumberFormat="1" applyFont="1" applyFill="1" applyBorder="1"/>
    <xf numFmtId="0" fontId="9" fillId="2" borderId="4" xfId="0" applyFont="1" applyFill="1" applyBorder="1"/>
    <xf numFmtId="168" fontId="9" fillId="2" borderId="4" xfId="0" applyNumberFormat="1" applyFont="1" applyFill="1" applyBorder="1"/>
    <xf numFmtId="168" fontId="8" fillId="2" borderId="6" xfId="0" applyNumberFormat="1" applyFont="1" applyFill="1" applyBorder="1"/>
    <xf numFmtId="168" fontId="11" fillId="2" borderId="7" xfId="0" applyNumberFormat="1" applyFont="1" applyFill="1" applyBorder="1"/>
    <xf numFmtId="168" fontId="16" fillId="2" borderId="7" xfId="0" applyNumberFormat="1" applyFont="1" applyFill="1" applyBorder="1"/>
    <xf numFmtId="168" fontId="13" fillId="2" borderId="7" xfId="0" applyNumberFormat="1" applyFont="1" applyFill="1" applyBorder="1"/>
    <xf numFmtId="168" fontId="5" fillId="2" borderId="1" xfId="0" applyNumberFormat="1" applyFont="1" applyFill="1" applyBorder="1" applyAlignment="1">
      <alignment horizontal="centerContinuous"/>
    </xf>
    <xf numFmtId="168" fontId="22" fillId="2" borderId="2" xfId="0" applyNumberFormat="1" applyFont="1" applyFill="1" applyBorder="1" applyAlignment="1">
      <alignment horizontal="centerContinuous"/>
    </xf>
    <xf numFmtId="168" fontId="22" fillId="2" borderId="3" xfId="0" applyNumberFormat="1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78" fontId="30" fillId="2" borderId="0" xfId="0" applyNumberFormat="1" applyFont="1" applyFill="1" applyAlignment="1">
      <alignment horizontal="centerContinuous"/>
    </xf>
    <xf numFmtId="168" fontId="31" fillId="0" borderId="0" xfId="0" applyNumberFormat="1" applyFont="1"/>
    <xf numFmtId="168" fontId="8" fillId="2" borderId="0" xfId="0" quotePrefix="1" applyNumberFormat="1" applyFont="1" applyFill="1" applyAlignment="1">
      <alignment horizontal="right"/>
    </xf>
    <xf numFmtId="2" fontId="0" fillId="2" borderId="0" xfId="0" applyNumberFormat="1" applyFill="1"/>
    <xf numFmtId="175" fontId="13" fillId="2" borderId="0" xfId="0" applyNumberFormat="1" applyFont="1" applyFill="1" applyAlignment="1">
      <alignment horizontal="right"/>
    </xf>
    <xf numFmtId="174" fontId="8" fillId="2" borderId="6" xfId="0" applyNumberFormat="1" applyFont="1" applyFill="1" applyBorder="1"/>
    <xf numFmtId="178" fontId="30" fillId="2" borderId="7" xfId="0" applyNumberFormat="1" applyFont="1" applyFill="1" applyBorder="1" applyAlignment="1">
      <alignment horizontal="right"/>
    </xf>
    <xf numFmtId="168" fontId="8" fillId="2" borderId="8" xfId="0" applyNumberFormat="1" applyFont="1" applyFill="1" applyBorder="1" applyAlignment="1">
      <alignment horizontal="centerContinuous"/>
    </xf>
    <xf numFmtId="168" fontId="7" fillId="2" borderId="0" xfId="0" applyNumberFormat="1" applyFont="1" applyFill="1" applyAlignment="1">
      <alignment horizontal="centerContinuous"/>
    </xf>
    <xf numFmtId="168" fontId="7" fillId="2" borderId="4" xfId="0" applyNumberFormat="1" applyFont="1" applyFill="1" applyBorder="1" applyAlignment="1">
      <alignment horizontal="centerContinuous"/>
    </xf>
    <xf numFmtId="168" fontId="7" fillId="2" borderId="5" xfId="0" applyNumberFormat="1" applyFont="1" applyFill="1" applyBorder="1" applyAlignment="1">
      <alignment horizontal="centerContinuous"/>
    </xf>
    <xf numFmtId="17" fontId="4" fillId="2" borderId="0" xfId="0" applyNumberFormat="1" applyFont="1" applyFill="1"/>
    <xf numFmtId="174" fontId="8" fillId="2" borderId="10" xfId="0" applyNumberFormat="1" applyFont="1" applyFill="1" applyBorder="1"/>
    <xf numFmtId="174" fontId="8" fillId="2" borderId="7" xfId="0" applyNumberFormat="1" applyFont="1" applyFill="1" applyBorder="1"/>
    <xf numFmtId="174" fontId="8" fillId="2" borderId="8" xfId="0" applyNumberFormat="1" applyFont="1" applyFill="1" applyBorder="1"/>
    <xf numFmtId="2" fontId="13" fillId="2" borderId="0" xfId="0" applyNumberFormat="1" applyFont="1" applyFill="1"/>
    <xf numFmtId="174" fontId="8" fillId="2" borderId="11" xfId="0" applyNumberFormat="1" applyFont="1" applyFill="1" applyBorder="1"/>
    <xf numFmtId="0" fontId="5" fillId="2" borderId="9" xfId="0" applyFont="1" applyFill="1" applyBorder="1" applyAlignment="1">
      <alignment horizontal="centerContinuous"/>
    </xf>
    <xf numFmtId="2" fontId="11" fillId="2" borderId="0" xfId="0" applyNumberFormat="1" applyFont="1" applyFill="1"/>
    <xf numFmtId="166" fontId="5" fillId="2" borderId="9" xfId="0" applyNumberFormat="1" applyFont="1" applyFill="1" applyBorder="1" applyAlignment="1">
      <alignment horizontal="centerContinuous"/>
    </xf>
    <xf numFmtId="2" fontId="0" fillId="2" borderId="0" xfId="0" applyNumberFormat="1" applyFill="1" applyAlignment="1">
      <alignment horizontal="centerContinuous"/>
    </xf>
    <xf numFmtId="2" fontId="0" fillId="2" borderId="5" xfId="0" applyNumberFormat="1" applyFill="1" applyBorder="1" applyAlignment="1">
      <alignment horizontal="centerContinuous"/>
    </xf>
    <xf numFmtId="2" fontId="33" fillId="2" borderId="7" xfId="1" applyNumberFormat="1" applyFont="1" applyFill="1" applyBorder="1"/>
    <xf numFmtId="2" fontId="33" fillId="2" borderId="8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/>
    <xf numFmtId="0" fontId="6" fillId="2" borderId="2" xfId="0" applyFont="1" applyFill="1" applyBorder="1" applyAlignment="1">
      <alignment horizontal="centerContinuous"/>
    </xf>
    <xf numFmtId="168" fontId="16" fillId="2" borderId="5" xfId="0" applyNumberFormat="1" applyFont="1" applyFill="1" applyBorder="1"/>
    <xf numFmtId="10" fontId="7" fillId="2" borderId="5" xfId="1" applyNumberFormat="1" applyFont="1" applyFill="1" applyBorder="1" applyAlignment="1">
      <alignment horizontal="centerContinuous"/>
    </xf>
    <xf numFmtId="49" fontId="35" fillId="3" borderId="12" xfId="3" applyNumberFormat="1" applyFont="1" applyFill="1" applyBorder="1" applyAlignment="1">
      <alignment wrapText="1"/>
    </xf>
    <xf numFmtId="49" fontId="35" fillId="3" borderId="12" xfId="3" applyNumberFormat="1" applyFont="1" applyFill="1" applyBorder="1" applyAlignment="1">
      <alignment horizontal="center" wrapText="1"/>
    </xf>
    <xf numFmtId="0" fontId="36" fillId="3" borderId="12" xfId="3" applyFont="1" applyFill="1" applyBorder="1"/>
    <xf numFmtId="166" fontId="36" fillId="3" borderId="12" xfId="3" applyNumberFormat="1" applyFont="1" applyFill="1" applyBorder="1"/>
    <xf numFmtId="0" fontId="37" fillId="3" borderId="0" xfId="0" applyFont="1" applyFill="1"/>
    <xf numFmtId="0" fontId="38" fillId="4" borderId="0" xfId="0" applyFont="1" applyFill="1"/>
    <xf numFmtId="0" fontId="37" fillId="4" borderId="0" xfId="0" applyFont="1" applyFill="1"/>
    <xf numFmtId="165" fontId="37" fillId="4" borderId="0" xfId="0" applyNumberFormat="1" applyFont="1" applyFill="1"/>
    <xf numFmtId="9" fontId="37" fillId="4" borderId="0" xfId="0" applyNumberFormat="1" applyFont="1" applyFill="1"/>
    <xf numFmtId="0" fontId="37" fillId="3" borderId="7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wrapText="1"/>
    </xf>
    <xf numFmtId="0" fontId="40" fillId="7" borderId="7" xfId="0" applyFont="1" applyFill="1" applyBorder="1" applyAlignment="1">
      <alignment horizontal="center" wrapText="1"/>
    </xf>
    <xf numFmtId="2" fontId="37" fillId="3" borderId="0" xfId="0" applyNumberFormat="1" applyFont="1" applyFill="1" applyAlignment="1">
      <alignment horizontal="left"/>
    </xf>
    <xf numFmtId="165" fontId="37" fillId="3" borderId="0" xfId="0" applyNumberFormat="1" applyFont="1" applyFill="1" applyAlignment="1">
      <alignment horizontal="center"/>
    </xf>
    <xf numFmtId="167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left"/>
    </xf>
    <xf numFmtId="167" fontId="37" fillId="3" borderId="0" xfId="0" applyNumberFormat="1" applyFont="1" applyFill="1" applyAlignment="1">
      <alignment horizontal="left"/>
    </xf>
    <xf numFmtId="0" fontId="37" fillId="3" borderId="0" xfId="0" applyFont="1" applyFill="1" applyAlignment="1">
      <alignment horizontal="center"/>
    </xf>
    <xf numFmtId="0" fontId="37" fillId="3" borderId="13" xfId="0" applyFont="1" applyFill="1" applyBorder="1" applyAlignment="1">
      <alignment horizontal="left"/>
    </xf>
    <xf numFmtId="0" fontId="37" fillId="3" borderId="13" xfId="0" applyFont="1" applyFill="1" applyBorder="1" applyAlignment="1">
      <alignment horizontal="center"/>
    </xf>
    <xf numFmtId="167" fontId="39" fillId="6" borderId="0" xfId="0" applyNumberFormat="1" applyFont="1" applyFill="1" applyAlignment="1">
      <alignment horizontal="center"/>
    </xf>
    <xf numFmtId="167" fontId="41" fillId="6" borderId="0" xfId="0" applyNumberFormat="1" applyFont="1" applyFill="1" applyAlignment="1">
      <alignment horizontal="center" wrapText="1"/>
    </xf>
    <xf numFmtId="167" fontId="39" fillId="3" borderId="0" xfId="0" applyNumberFormat="1" applyFont="1" applyFill="1" applyAlignment="1">
      <alignment horizontal="center"/>
    </xf>
    <xf numFmtId="167" fontId="41" fillId="3" borderId="0" xfId="0" applyNumberFormat="1" applyFont="1" applyFill="1" applyAlignment="1">
      <alignment horizontal="center"/>
    </xf>
    <xf numFmtId="167" fontId="37" fillId="3" borderId="14" xfId="0" applyNumberFormat="1" applyFont="1" applyFill="1" applyBorder="1" applyAlignment="1">
      <alignment horizontal="right"/>
    </xf>
    <xf numFmtId="0" fontId="37" fillId="3" borderId="0" xfId="4" applyFont="1" applyFill="1"/>
    <xf numFmtId="168" fontId="1" fillId="0" borderId="0" xfId="0" applyNumberFormat="1" applyFont="1"/>
    <xf numFmtId="39" fontId="0" fillId="0" borderId="0" xfId="0" applyNumberFormat="1"/>
    <xf numFmtId="168" fontId="0" fillId="0" borderId="5" xfId="0" applyNumberFormat="1" applyBorder="1"/>
    <xf numFmtId="39" fontId="1" fillId="0" borderId="0" xfId="0" applyNumberFormat="1" applyFont="1"/>
    <xf numFmtId="39" fontId="0" fillId="0" borderId="5" xfId="0" applyNumberFormat="1" applyBorder="1"/>
    <xf numFmtId="0" fontId="0" fillId="0" borderId="5" xfId="0" applyBorder="1"/>
    <xf numFmtId="175" fontId="0" fillId="0" borderId="5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0" borderId="15" xfId="0" applyBorder="1"/>
    <xf numFmtId="0" fontId="0" fillId="0" borderId="16" xfId="0" applyBorder="1"/>
    <xf numFmtId="168" fontId="1" fillId="0" borderId="9" xfId="0" applyNumberFormat="1" applyFont="1" applyBorder="1"/>
    <xf numFmtId="168" fontId="1" fillId="0" borderId="11" xfId="0" applyNumberFormat="1" applyFont="1" applyBorder="1"/>
    <xf numFmtId="0" fontId="39" fillId="3" borderId="13" xfId="0" applyFont="1" applyFill="1" applyBorder="1" applyAlignment="1">
      <alignment horizontal="center"/>
    </xf>
    <xf numFmtId="171" fontId="37" fillId="4" borderId="0" xfId="0" applyNumberFormat="1" applyFont="1" applyFill="1"/>
    <xf numFmtId="10" fontId="37" fillId="4" borderId="0" xfId="0" applyNumberFormat="1" applyFont="1" applyFill="1"/>
    <xf numFmtId="0" fontId="40" fillId="0" borderId="0" xfId="0" applyFont="1" applyAlignment="1">
      <alignment horizontal="center" wrapText="1"/>
    </xf>
    <xf numFmtId="171" fontId="0" fillId="0" borderId="0" xfId="1" applyNumberFormat="1" applyFont="1"/>
    <xf numFmtId="9" fontId="37" fillId="3" borderId="0" xfId="0" applyNumberFormat="1" applyFont="1" applyFill="1"/>
    <xf numFmtId="8" fontId="37" fillId="3" borderId="0" xfId="0" applyNumberFormat="1" applyFont="1" applyFill="1"/>
    <xf numFmtId="172" fontId="37" fillId="3" borderId="0" xfId="0" applyNumberFormat="1" applyFont="1" applyFill="1"/>
    <xf numFmtId="0" fontId="5" fillId="2" borderId="10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5" fillId="2" borderId="9" xfId="0" applyFont="1" applyFill="1" applyBorder="1" applyAlignment="1">
      <alignment horizontal="right"/>
    </xf>
    <xf numFmtId="0" fontId="0" fillId="2" borderId="15" xfId="0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7" fillId="2" borderId="9" xfId="0" applyFont="1" applyFill="1" applyBorder="1" applyAlignment="1">
      <alignment horizontal="centerContinuous" vertical="center"/>
    </xf>
    <xf numFmtId="0" fontId="42" fillId="3" borderId="0" xfId="0" applyFont="1" applyFill="1"/>
    <xf numFmtId="168" fontId="43" fillId="2" borderId="6" xfId="0" applyNumberFormat="1" applyFont="1" applyFill="1" applyBorder="1"/>
    <xf numFmtId="166" fontId="43" fillId="2" borderId="7" xfId="0" applyNumberFormat="1" applyFont="1" applyFill="1" applyBorder="1"/>
    <xf numFmtId="180" fontId="0" fillId="0" borderId="0" xfId="0" applyNumberFormat="1"/>
    <xf numFmtId="2" fontId="37" fillId="3" borderId="0" xfId="0" applyNumberFormat="1" applyFont="1" applyFill="1" applyAlignment="1">
      <alignment horizontal="center"/>
    </xf>
    <xf numFmtId="2" fontId="39" fillId="3" borderId="13" xfId="0" applyNumberFormat="1" applyFont="1" applyFill="1" applyBorder="1" applyAlignment="1">
      <alignment horizontal="center"/>
    </xf>
    <xf numFmtId="167" fontId="37" fillId="0" borderId="0" xfId="0" applyNumberFormat="1" applyFont="1" applyAlignment="1">
      <alignment horizontal="center"/>
    </xf>
    <xf numFmtId="0" fontId="39" fillId="3" borderId="0" xfId="0" applyFont="1" applyFill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168" fontId="1" fillId="0" borderId="7" xfId="0" applyNumberFormat="1" applyFont="1" applyBorder="1"/>
    <xf numFmtId="9" fontId="0" fillId="0" borderId="6" xfId="1" applyFont="1" applyBorder="1"/>
    <xf numFmtId="9" fontId="0" fillId="5" borderId="0" xfId="1" applyFont="1" applyFill="1"/>
    <xf numFmtId="9" fontId="1" fillId="0" borderId="0" xfId="1" applyFont="1"/>
    <xf numFmtId="0" fontId="0" fillId="0" borderId="1" xfId="0" applyBorder="1"/>
    <xf numFmtId="0" fontId="0" fillId="0" borderId="3" xfId="0" applyBorder="1"/>
    <xf numFmtId="10" fontId="0" fillId="0" borderId="3" xfId="0" applyNumberFormat="1" applyBorder="1"/>
    <xf numFmtId="10" fontId="0" fillId="0" borderId="0" xfId="0" applyNumberFormat="1"/>
    <xf numFmtId="0" fontId="0" fillId="0" borderId="17" xfId="0" applyBorder="1"/>
    <xf numFmtId="0" fontId="0" fillId="0" borderId="9" xfId="0" applyBorder="1"/>
    <xf numFmtId="0" fontId="0" fillId="0" borderId="4" xfId="0" applyBorder="1"/>
    <xf numFmtId="10" fontId="0" fillId="0" borderId="5" xfId="0" applyNumberFormat="1" applyBorder="1"/>
    <xf numFmtId="0" fontId="0" fillId="0" borderId="11" xfId="0" applyBorder="1"/>
    <xf numFmtId="10" fontId="0" fillId="0" borderId="5" xfId="1" applyNumberFormat="1" applyFont="1" applyBorder="1"/>
    <xf numFmtId="0" fontId="0" fillId="0" borderId="6" xfId="0" applyBorder="1"/>
    <xf numFmtId="0" fontId="0" fillId="0" borderId="10" xfId="0" applyBorder="1"/>
    <xf numFmtId="9" fontId="0" fillId="0" borderId="5" xfId="0" applyNumberFormat="1" applyBorder="1"/>
    <xf numFmtId="0" fontId="0" fillId="8" borderId="0" xfId="0" applyFill="1"/>
    <xf numFmtId="2" fontId="44" fillId="0" borderId="0" xfId="0" applyNumberFormat="1" applyFont="1"/>
    <xf numFmtId="2" fontId="0" fillId="0" borderId="0" xfId="0" applyNumberFormat="1"/>
    <xf numFmtId="0" fontId="0" fillId="0" borderId="8" xfId="0" applyBorder="1"/>
    <xf numFmtId="0" fontId="0" fillId="8" borderId="17" xfId="0" applyFill="1" applyBorder="1"/>
    <xf numFmtId="0" fontId="0" fillId="8" borderId="15" xfId="0" applyFill="1" applyBorder="1"/>
    <xf numFmtId="0" fontId="45" fillId="0" borderId="0" xfId="0" applyFont="1"/>
    <xf numFmtId="0" fontId="0" fillId="0" borderId="9" xfId="0" applyBorder="1" applyAlignment="1">
      <alignment horizontal="center" wrapText="1"/>
    </xf>
    <xf numFmtId="0" fontId="0" fillId="9" borderId="9" xfId="0" applyFill="1" applyBorder="1"/>
    <xf numFmtId="0" fontId="0" fillId="10" borderId="0" xfId="0" applyFill="1"/>
    <xf numFmtId="10" fontId="44" fillId="0" borderId="9" xfId="1" applyNumberFormat="1" applyFont="1" applyBorder="1"/>
    <xf numFmtId="10" fontId="44" fillId="9" borderId="9" xfId="1" applyNumberFormat="1" applyFont="1" applyFill="1" applyBorder="1"/>
    <xf numFmtId="9" fontId="44" fillId="0" borderId="9" xfId="1" applyFont="1" applyBorder="1"/>
    <xf numFmtId="9" fontId="44" fillId="9" borderId="9" xfId="1" applyFont="1" applyFill="1" applyBorder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46" fillId="0" borderId="9" xfId="0" applyFont="1" applyBorder="1"/>
    <xf numFmtId="9" fontId="0" fillId="0" borderId="9" xfId="0" applyNumberFormat="1" applyBorder="1"/>
    <xf numFmtId="10" fontId="0" fillId="0" borderId="9" xfId="0" applyNumberFormat="1" applyBorder="1"/>
    <xf numFmtId="10" fontId="0" fillId="9" borderId="9" xfId="0" applyNumberFormat="1" applyFill="1" applyBorder="1"/>
    <xf numFmtId="10" fontId="44" fillId="9" borderId="9" xfId="0" applyNumberFormat="1" applyFont="1" applyFill="1" applyBorder="1"/>
    <xf numFmtId="0" fontId="47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0" fillId="0" borderId="18" xfId="0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1" fillId="0" borderId="10" xfId="0" applyFont="1" applyBorder="1"/>
    <xf numFmtId="0" fontId="1" fillId="0" borderId="18" xfId="0" applyFont="1" applyBorder="1"/>
    <xf numFmtId="17" fontId="4" fillId="2" borderId="5" xfId="0" applyNumberFormat="1" applyFont="1" applyFill="1" applyBorder="1"/>
    <xf numFmtId="0" fontId="27" fillId="2" borderId="5" xfId="0" applyFont="1" applyFill="1" applyBorder="1"/>
    <xf numFmtId="2" fontId="13" fillId="2" borderId="5" xfId="0" applyNumberFormat="1" applyFont="1" applyFill="1" applyBorder="1"/>
    <xf numFmtId="168" fontId="13" fillId="2" borderId="5" xfId="0" applyNumberFormat="1" applyFont="1" applyFill="1" applyBorder="1"/>
    <xf numFmtId="168" fontId="14" fillId="2" borderId="5" xfId="0" applyNumberFormat="1" applyFont="1" applyFill="1" applyBorder="1" applyAlignment="1">
      <alignment horizontal="right"/>
    </xf>
    <xf numFmtId="168" fontId="16" fillId="2" borderId="5" xfId="0" applyNumberFormat="1" applyFont="1" applyFill="1" applyBorder="1" applyAlignment="1">
      <alignment horizontal="right"/>
    </xf>
    <xf numFmtId="168" fontId="13" fillId="2" borderId="8" xfId="0" applyNumberFormat="1" applyFont="1" applyFill="1" applyBorder="1"/>
    <xf numFmtId="10" fontId="37" fillId="3" borderId="0" xfId="0" applyNumberFormat="1" applyFont="1" applyFill="1"/>
    <xf numFmtId="10" fontId="1" fillId="0" borderId="5" xfId="1" applyNumberFormat="1" applyFont="1" applyBorder="1"/>
    <xf numFmtId="9" fontId="44" fillId="0" borderId="16" xfId="1" applyFont="1" applyBorder="1"/>
    <xf numFmtId="10" fontId="1" fillId="0" borderId="5" xfId="0" applyNumberFormat="1" applyFont="1" applyBorder="1"/>
    <xf numFmtId="171" fontId="1" fillId="0" borderId="9" xfId="1" applyNumberFormat="1" applyFont="1" applyBorder="1"/>
    <xf numFmtId="171" fontId="0" fillId="0" borderId="9" xfId="1" applyNumberFormat="1" applyFont="1" applyBorder="1"/>
    <xf numFmtId="171" fontId="0" fillId="0" borderId="10" xfId="1" applyNumberFormat="1" applyFont="1" applyBorder="1"/>
    <xf numFmtId="168" fontId="1" fillId="0" borderId="17" xfId="0" applyNumberFormat="1" applyFont="1" applyBorder="1"/>
    <xf numFmtId="168" fontId="0" fillId="0" borderId="16" xfId="0" applyNumberFormat="1" applyBorder="1"/>
    <xf numFmtId="171" fontId="0" fillId="0" borderId="6" xfId="1" applyNumberFormat="1" applyFont="1" applyBorder="1"/>
    <xf numFmtId="171" fontId="0" fillId="0" borderId="5" xfId="0" applyNumberFormat="1" applyBorder="1"/>
    <xf numFmtId="168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0" fillId="0" borderId="9" xfId="0" applyNumberFormat="1" applyBorder="1"/>
    <xf numFmtId="1" fontId="0" fillId="0" borderId="9" xfId="1" applyNumberFormat="1" applyFont="1" applyBorder="1"/>
    <xf numFmtId="1" fontId="0" fillId="0" borderId="9" xfId="0" applyNumberFormat="1" applyBorder="1"/>
    <xf numFmtId="0" fontId="1" fillId="0" borderId="0" xfId="0" applyFont="1" applyAlignment="1">
      <alignment horizontal="center" wrapText="1"/>
    </xf>
    <xf numFmtId="182" fontId="0" fillId="0" borderId="0" xfId="0" applyNumberFormat="1"/>
    <xf numFmtId="183" fontId="0" fillId="0" borderId="0" xfId="0" applyNumberFormat="1"/>
    <xf numFmtId="0" fontId="34" fillId="0" borderId="0" xfId="0" applyFont="1"/>
    <xf numFmtId="0" fontId="48" fillId="0" borderId="0" xfId="0" applyFont="1"/>
    <xf numFmtId="0" fontId="34" fillId="0" borderId="9" xfId="0" applyFont="1" applyBorder="1"/>
    <xf numFmtId="0" fontId="34" fillId="0" borderId="9" xfId="0" applyFont="1" applyBorder="1" applyAlignment="1">
      <alignment horizontal="center"/>
    </xf>
    <xf numFmtId="0" fontId="34" fillId="0" borderId="4" xfId="0" applyFont="1" applyBorder="1"/>
    <xf numFmtId="0" fontId="34" fillId="0" borderId="0" xfId="0" applyFont="1" applyAlignment="1">
      <alignment horizontal="center"/>
    </xf>
    <xf numFmtId="10" fontId="0" fillId="0" borderId="0" xfId="1" applyNumberFormat="1" applyFont="1" applyBorder="1"/>
    <xf numFmtId="0" fontId="49" fillId="0" borderId="0" xfId="0" applyFont="1"/>
    <xf numFmtId="0" fontId="0" fillId="0" borderId="0" xfId="1" applyNumberFormat="1" applyFont="1" applyBorder="1"/>
    <xf numFmtId="2" fontId="0" fillId="0" borderId="7" xfId="0" applyNumberFormat="1" applyBorder="1"/>
    <xf numFmtId="0" fontId="0" fillId="0" borderId="7" xfId="0" applyBorder="1"/>
    <xf numFmtId="0" fontId="34" fillId="8" borderId="17" xfId="0" applyFont="1" applyFill="1" applyBorder="1"/>
    <xf numFmtId="0" fontId="50" fillId="0" borderId="15" xfId="0" applyFont="1" applyBorder="1"/>
    <xf numFmtId="10" fontId="50" fillId="0" borderId="15" xfId="0" applyNumberFormat="1" applyFont="1" applyBorder="1"/>
    <xf numFmtId="0" fontId="50" fillId="0" borderId="16" xfId="0" applyFont="1" applyBorder="1"/>
    <xf numFmtId="10" fontId="0" fillId="8" borderId="0" xfId="0" applyNumberFormat="1" applyFill="1"/>
    <xf numFmtId="0" fontId="0" fillId="11" borderId="0" xfId="0" applyFill="1"/>
    <xf numFmtId="0" fontId="1" fillId="11" borderId="0" xfId="0" applyFont="1" applyFill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168" fontId="0" fillId="0" borderId="4" xfId="0" applyNumberFormat="1" applyBorder="1"/>
    <xf numFmtId="168" fontId="0" fillId="0" borderId="4" xfId="0" applyNumberFormat="1" applyBorder="1" applyAlignment="1">
      <alignment wrapText="1"/>
    </xf>
    <xf numFmtId="168" fontId="1" fillId="0" borderId="6" xfId="0" applyNumberFormat="1" applyFont="1" applyBorder="1" applyAlignment="1">
      <alignment wrapText="1"/>
    </xf>
    <xf numFmtId="0" fontId="1" fillId="0" borderId="17" xfId="0" applyFont="1" applyBorder="1"/>
    <xf numFmtId="0" fontId="1" fillId="0" borderId="16" xfId="0" applyFont="1" applyBorder="1" applyAlignment="1">
      <alignment wrapText="1"/>
    </xf>
    <xf numFmtId="168" fontId="1" fillId="0" borderId="10" xfId="0" applyNumberFormat="1" applyFont="1" applyBorder="1"/>
    <xf numFmtId="0" fontId="0" fillId="0" borderId="2" xfId="0" applyBorder="1"/>
    <xf numFmtId="181" fontId="1" fillId="0" borderId="0" xfId="0" applyNumberFormat="1" applyFont="1"/>
    <xf numFmtId="0" fontId="1" fillId="0" borderId="0" xfId="0" applyFont="1"/>
    <xf numFmtId="10" fontId="0" fillId="0" borderId="8" xfId="0" applyNumberFormat="1" applyBorder="1"/>
    <xf numFmtId="0" fontId="0" fillId="6" borderId="2" xfId="0" applyFill="1" applyBorder="1"/>
    <xf numFmtId="0" fontId="0" fillId="6" borderId="0" xfId="0" applyFill="1"/>
    <xf numFmtId="0" fontId="0" fillId="6" borderId="7" xfId="0" applyFill="1" applyBorder="1"/>
    <xf numFmtId="168" fontId="1" fillId="8" borderId="20" xfId="0" applyNumberFormat="1" applyFont="1" applyFill="1" applyBorder="1" applyAlignment="1">
      <alignment wrapText="1"/>
    </xf>
    <xf numFmtId="0" fontId="1" fillId="0" borderId="20" xfId="0" applyFont="1" applyBorder="1"/>
    <xf numFmtId="0" fontId="1" fillId="13" borderId="0" xfId="0" applyFont="1" applyFill="1"/>
    <xf numFmtId="168" fontId="1" fillId="6" borderId="21" xfId="0" applyNumberFormat="1" applyFont="1" applyFill="1" applyBorder="1" applyAlignment="1">
      <alignment wrapText="1"/>
    </xf>
    <xf numFmtId="168" fontId="1" fillId="6" borderId="22" xfId="0" applyNumberFormat="1" applyFont="1" applyFill="1" applyBorder="1" applyAlignment="1">
      <alignment wrapText="1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0" fontId="0" fillId="0" borderId="24" xfId="1" applyNumberFormat="1" applyFont="1" applyFill="1" applyBorder="1"/>
    <xf numFmtId="10" fontId="33" fillId="0" borderId="24" xfId="1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24" xfId="0" applyFont="1" applyBorder="1"/>
    <xf numFmtId="0" fontId="0" fillId="0" borderId="28" xfId="0" applyBorder="1"/>
    <xf numFmtId="168" fontId="1" fillId="0" borderId="24" xfId="0" applyNumberFormat="1" applyFont="1" applyBorder="1"/>
    <xf numFmtId="0" fontId="0" fillId="0" borderId="24" xfId="0" applyBorder="1"/>
    <xf numFmtId="10" fontId="0" fillId="0" borderId="28" xfId="0" applyNumberFormat="1" applyBorder="1"/>
    <xf numFmtId="10" fontId="1" fillId="0" borderId="0" xfId="0" applyNumberFormat="1" applyFont="1"/>
    <xf numFmtId="9" fontId="0" fillId="0" borderId="0" xfId="0" applyNumberFormat="1"/>
    <xf numFmtId="0" fontId="1" fillId="0" borderId="32" xfId="0" applyFont="1" applyBorder="1"/>
    <xf numFmtId="0" fontId="0" fillId="0" borderId="19" xfId="0" applyBorder="1"/>
    <xf numFmtId="0" fontId="0" fillId="0" borderId="33" xfId="0" applyBorder="1"/>
    <xf numFmtId="168" fontId="0" fillId="0" borderId="32" xfId="0" applyNumberFormat="1" applyBorder="1"/>
    <xf numFmtId="168" fontId="0" fillId="0" borderId="19" xfId="0" applyNumberFormat="1" applyBorder="1"/>
    <xf numFmtId="168" fontId="0" fillId="0" borderId="33" xfId="0" applyNumberFormat="1" applyBorder="1"/>
    <xf numFmtId="0" fontId="43" fillId="0" borderId="34" xfId="0" applyFont="1" applyBorder="1"/>
    <xf numFmtId="0" fontId="0" fillId="0" borderId="35" xfId="0" applyBorder="1"/>
    <xf numFmtId="168" fontId="29" fillId="12" borderId="20" xfId="0" applyNumberFormat="1" applyFont="1" applyFill="1" applyBorder="1"/>
    <xf numFmtId="168" fontId="29" fillId="12" borderId="20" xfId="0" applyNumberFormat="1" applyFont="1" applyFill="1" applyBorder="1" applyAlignment="1">
      <alignment wrapText="1"/>
    </xf>
    <xf numFmtId="168" fontId="1" fillId="0" borderId="36" xfId="0" applyNumberFormat="1" applyFont="1" applyBorder="1"/>
    <xf numFmtId="168" fontId="29" fillId="0" borderId="37" xfId="0" applyNumberFormat="1" applyFont="1" applyBorder="1"/>
    <xf numFmtId="168" fontId="29" fillId="0" borderId="38" xfId="0" applyNumberFormat="1" applyFont="1" applyBorder="1"/>
    <xf numFmtId="0" fontId="0" fillId="0" borderId="39" xfId="0" applyBorder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84" fontId="17" fillId="0" borderId="0" xfId="0" applyNumberFormat="1" applyFont="1"/>
    <xf numFmtId="168" fontId="33" fillId="0" borderId="0" xfId="0" applyNumberFormat="1" applyFont="1"/>
    <xf numFmtId="168" fontId="0" fillId="0" borderId="0" xfId="0" applyNumberFormat="1" applyAlignment="1">
      <alignment horizontal="centerContinuous"/>
    </xf>
    <xf numFmtId="0" fontId="15" fillId="0" borderId="0" xfId="0" applyFont="1"/>
    <xf numFmtId="170" fontId="9" fillId="0" borderId="40" xfId="0" applyNumberFormat="1" applyFont="1" applyBorder="1"/>
    <xf numFmtId="170" fontId="10" fillId="0" borderId="41" xfId="0" applyNumberFormat="1" applyFont="1" applyBorder="1"/>
    <xf numFmtId="185" fontId="9" fillId="0" borderId="42" xfId="0" applyNumberFormat="1" applyFont="1" applyBorder="1" applyAlignment="1">
      <alignment horizontal="center"/>
    </xf>
    <xf numFmtId="168" fontId="13" fillId="0" borderId="0" xfId="0" applyNumberFormat="1" applyFont="1" applyAlignment="1">
      <alignment horizontal="right"/>
    </xf>
    <xf numFmtId="168" fontId="17" fillId="0" borderId="0" xfId="0" applyNumberFormat="1" applyFont="1"/>
    <xf numFmtId="17" fontId="4" fillId="0" borderId="0" xfId="0" applyNumberFormat="1" applyFont="1"/>
    <xf numFmtId="37" fontId="0" fillId="0" borderId="0" xfId="0" applyNumberFormat="1"/>
    <xf numFmtId="176" fontId="33" fillId="0" borderId="0" xfId="0" applyNumberFormat="1" applyFont="1"/>
    <xf numFmtId="168" fontId="51" fillId="0" borderId="0" xfId="0" applyNumberFormat="1" applyFont="1"/>
    <xf numFmtId="2" fontId="0" fillId="0" borderId="20" xfId="0" applyNumberFormat="1" applyBorder="1"/>
    <xf numFmtId="0" fontId="53" fillId="0" borderId="0" xfId="0" applyFont="1"/>
    <xf numFmtId="2" fontId="53" fillId="0" borderId="0" xfId="0" applyNumberFormat="1" applyFont="1"/>
    <xf numFmtId="0" fontId="54" fillId="0" borderId="43" xfId="0" applyFont="1" applyBorder="1" applyAlignment="1">
      <alignment horizontal="centerContinuous"/>
    </xf>
    <xf numFmtId="0" fontId="0" fillId="0" borderId="44" xfId="0" applyBorder="1"/>
    <xf numFmtId="0" fontId="54" fillId="0" borderId="43" xfId="0" applyFont="1" applyBorder="1" applyAlignment="1">
      <alignment horizontal="center"/>
    </xf>
    <xf numFmtId="168" fontId="1" fillId="6" borderId="10" xfId="0" applyNumberFormat="1" applyFont="1" applyFill="1" applyBorder="1" applyAlignment="1">
      <alignment wrapText="1"/>
    </xf>
    <xf numFmtId="168" fontId="1" fillId="6" borderId="4" xfId="0" applyNumberFormat="1" applyFont="1" applyFill="1" applyBorder="1" applyAlignment="1">
      <alignment wrapText="1"/>
    </xf>
    <xf numFmtId="0" fontId="0" fillId="6" borderId="4" xfId="0" applyFill="1" applyBorder="1"/>
    <xf numFmtId="2" fontId="33" fillId="6" borderId="27" xfId="0" applyNumberFormat="1" applyFont="1" applyFill="1" applyBorder="1"/>
    <xf numFmtId="2" fontId="33" fillId="6" borderId="45" xfId="0" applyNumberFormat="1" applyFont="1" applyFill="1" applyBorder="1"/>
    <xf numFmtId="2" fontId="43" fillId="6" borderId="17" xfId="0" applyNumberFormat="1" applyFont="1" applyFill="1" applyBorder="1"/>
    <xf numFmtId="2" fontId="43" fillId="6" borderId="9" xfId="0" applyNumberFormat="1" applyFont="1" applyFill="1" applyBorder="1"/>
    <xf numFmtId="2" fontId="43" fillId="6" borderId="16" xfId="0" applyNumberFormat="1" applyFont="1" applyFill="1" applyBorder="1"/>
    <xf numFmtId="0" fontId="1" fillId="8" borderId="0" xfId="0" applyFont="1" applyFill="1"/>
    <xf numFmtId="0" fontId="53" fillId="0" borderId="9" xfId="0" applyFont="1" applyBorder="1"/>
    <xf numFmtId="0" fontId="53" fillId="0" borderId="4" xfId="0" applyFont="1" applyBorder="1"/>
    <xf numFmtId="0" fontId="53" fillId="0" borderId="5" xfId="0" applyFont="1" applyBorder="1"/>
    <xf numFmtId="0" fontId="53" fillId="0" borderId="6" xfId="0" applyFont="1" applyBorder="1"/>
    <xf numFmtId="0" fontId="53" fillId="0" borderId="7" xfId="0" applyFont="1" applyBorder="1"/>
    <xf numFmtId="0" fontId="53" fillId="0" borderId="8" xfId="0" applyFont="1" applyBorder="1"/>
    <xf numFmtId="0" fontId="53" fillId="0" borderId="1" xfId="0" applyFont="1" applyBorder="1"/>
    <xf numFmtId="0" fontId="52" fillId="0" borderId="0" xfId="0" applyFont="1"/>
    <xf numFmtId="0" fontId="52" fillId="0" borderId="7" xfId="0" applyFont="1" applyBorder="1"/>
    <xf numFmtId="2" fontId="53" fillId="0" borderId="5" xfId="0" applyNumberFormat="1" applyFont="1" applyBorder="1"/>
    <xf numFmtId="2" fontId="53" fillId="0" borderId="8" xfId="0" applyNumberFormat="1" applyFont="1" applyBorder="1"/>
    <xf numFmtId="2" fontId="53" fillId="0" borderId="9" xfId="0" applyNumberFormat="1" applyFont="1" applyBorder="1"/>
    <xf numFmtId="0" fontId="53" fillId="0" borderId="10" xfId="0" applyFont="1" applyBorder="1"/>
    <xf numFmtId="0" fontId="53" fillId="0" borderId="18" xfId="0" applyFont="1" applyBorder="1"/>
    <xf numFmtId="172" fontId="8" fillId="0" borderId="0" xfId="0" applyNumberFormat="1" applyFont="1"/>
    <xf numFmtId="172" fontId="0" fillId="0" borderId="0" xfId="0" applyNumberFormat="1"/>
    <xf numFmtId="168" fontId="55" fillId="0" borderId="0" xfId="0" applyNumberFormat="1" applyFont="1"/>
    <xf numFmtId="9" fontId="7" fillId="2" borderId="5" xfId="1" applyFont="1" applyFill="1" applyBorder="1" applyAlignment="1">
      <alignment horizontal="centerContinuous"/>
    </xf>
    <xf numFmtId="186" fontId="8" fillId="2" borderId="6" xfId="0" applyNumberFormat="1" applyFont="1" applyFill="1" applyBorder="1"/>
    <xf numFmtId="186" fontId="8" fillId="2" borderId="7" xfId="0" applyNumberFormat="1" applyFont="1" applyFill="1" applyBorder="1"/>
    <xf numFmtId="2" fontId="33" fillId="0" borderId="0" xfId="1" applyNumberFormat="1" applyFont="1" applyFill="1" applyBorder="1"/>
    <xf numFmtId="2" fontId="33" fillId="0" borderId="0" xfId="1" applyNumberFormat="1" applyFont="1" applyFill="1" applyBorder="1" applyAlignment="1"/>
    <xf numFmtId="2" fontId="33" fillId="0" borderId="0" xfId="1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Continuous"/>
    </xf>
    <xf numFmtId="2" fontId="33" fillId="2" borderId="0" xfId="0" applyNumberFormat="1" applyFont="1" applyFill="1"/>
    <xf numFmtId="186" fontId="8" fillId="2" borderId="8" xfId="0" applyNumberFormat="1" applyFont="1" applyFill="1" applyBorder="1"/>
    <xf numFmtId="0" fontId="56" fillId="0" borderId="0" xfId="0" applyFont="1"/>
    <xf numFmtId="168" fontId="7" fillId="0" borderId="0" xfId="0" applyNumberFormat="1" applyFont="1" applyAlignment="1">
      <alignment horizontal="left"/>
    </xf>
    <xf numFmtId="2" fontId="33" fillId="6" borderId="46" xfId="0" applyNumberFormat="1" applyFont="1" applyFill="1" applyBorder="1"/>
    <xf numFmtId="10" fontId="33" fillId="0" borderId="0" xfId="0" applyNumberFormat="1" applyFont="1"/>
    <xf numFmtId="10" fontId="0" fillId="0" borderId="0" xfId="1" applyNumberFormat="1" applyFont="1" applyFill="1" applyBorder="1"/>
    <xf numFmtId="10" fontId="0" fillId="6" borderId="23" xfId="0" applyNumberFormat="1" applyFill="1" applyBorder="1"/>
    <xf numFmtId="10" fontId="0" fillId="6" borderId="24" xfId="0" applyNumberFormat="1" applyFill="1" applyBorder="1"/>
    <xf numFmtId="10" fontId="43" fillId="6" borderId="47" xfId="0" applyNumberFormat="1" applyFont="1" applyFill="1" applyBorder="1"/>
    <xf numFmtId="0" fontId="0" fillId="6" borderId="17" xfId="0" applyFill="1" applyBorder="1"/>
    <xf numFmtId="0" fontId="0" fillId="0" borderId="0" xfId="0" applyAlignment="1">
      <alignment horizontal="centerContinuous"/>
    </xf>
    <xf numFmtId="0" fontId="5" fillId="0" borderId="0" xfId="0" applyFont="1" applyAlignment="1">
      <alignment horizontal="right"/>
    </xf>
    <xf numFmtId="0" fontId="17" fillId="0" borderId="0" xfId="0" applyFont="1" applyAlignment="1">
      <alignment horizontal="centerContinuous" vertical="center"/>
    </xf>
    <xf numFmtId="166" fontId="5" fillId="0" borderId="0" xfId="0" applyNumberFormat="1" applyFont="1" applyAlignment="1">
      <alignment horizontal="centerContinuous"/>
    </xf>
    <xf numFmtId="174" fontId="8" fillId="0" borderId="0" xfId="0" applyNumberFormat="1" applyFont="1"/>
    <xf numFmtId="2" fontId="11" fillId="0" borderId="0" xfId="0" applyNumberFormat="1" applyFont="1"/>
    <xf numFmtId="2" fontId="0" fillId="0" borderId="0" xfId="0" applyNumberFormat="1" applyAlignment="1">
      <alignment horizontal="centerContinuous"/>
    </xf>
    <xf numFmtId="2" fontId="43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43" fillId="0" borderId="0" xfId="0" applyFont="1"/>
    <xf numFmtId="0" fontId="1" fillId="0" borderId="0" xfId="5"/>
    <xf numFmtId="0" fontId="1" fillId="0" borderId="17" xfId="5" applyBorder="1"/>
    <xf numFmtId="0" fontId="1" fillId="0" borderId="9" xfId="5" applyBorder="1"/>
    <xf numFmtId="0" fontId="1" fillId="0" borderId="16" xfId="5" applyBorder="1"/>
    <xf numFmtId="0" fontId="1" fillId="0" borderId="18" xfId="5" applyBorder="1"/>
    <xf numFmtId="0" fontId="1" fillId="0" borderId="2" xfId="5" applyBorder="1"/>
    <xf numFmtId="0" fontId="1" fillId="0" borderId="3" xfId="5" applyBorder="1"/>
    <xf numFmtId="0" fontId="1" fillId="0" borderId="11" xfId="5" applyBorder="1"/>
    <xf numFmtId="0" fontId="1" fillId="0" borderId="5" xfId="5" applyBorder="1"/>
    <xf numFmtId="168" fontId="1" fillId="0" borderId="11" xfId="5" applyNumberFormat="1" applyBorder="1" applyAlignment="1">
      <alignment wrapText="1"/>
    </xf>
    <xf numFmtId="0" fontId="1" fillId="0" borderId="10" xfId="5" applyBorder="1"/>
    <xf numFmtId="0" fontId="1" fillId="0" borderId="7" xfId="5" applyBorder="1"/>
    <xf numFmtId="0" fontId="1" fillId="0" borderId="8" xfId="5" applyBorder="1"/>
    <xf numFmtId="168" fontId="1" fillId="0" borderId="0" xfId="5" applyNumberFormat="1" applyAlignment="1">
      <alignment wrapText="1"/>
    </xf>
    <xf numFmtId="0" fontId="1" fillId="0" borderId="9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9" fillId="0" borderId="0" xfId="0" applyFont="1"/>
    <xf numFmtId="0" fontId="0" fillId="0" borderId="0" xfId="0"/>
    <xf numFmtId="0" fontId="34" fillId="0" borderId="0" xfId="0" applyFont="1"/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39" fillId="5" borderId="0" xfId="0" applyFont="1" applyFill="1" applyAlignment="1">
      <alignment horizontal="center" vertical="center"/>
    </xf>
    <xf numFmtId="168" fontId="1" fillId="5" borderId="0" xfId="0" applyNumberFormat="1" applyFont="1" applyFill="1" applyAlignment="1">
      <alignment horizontal="center"/>
    </xf>
    <xf numFmtId="171" fontId="0" fillId="0" borderId="17" xfId="1" applyNumberFormat="1" applyFont="1" applyBorder="1" applyAlignment="1">
      <alignment horizontal="center"/>
    </xf>
    <xf numFmtId="171" fontId="0" fillId="0" borderId="16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/>
    </xf>
    <xf numFmtId="171" fontId="0" fillId="0" borderId="8" xfId="1" applyNumberFormat="1" applyFont="1" applyBorder="1" applyAlignment="1">
      <alignment horizontal="center"/>
    </xf>
    <xf numFmtId="0" fontId="1" fillId="8" borderId="5" xfId="0" applyFont="1" applyFill="1" applyBorder="1" applyAlignment="1">
      <alignment horizontal="right" vertical="center" wrapText="1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3" fillId="0" borderId="17" xfId="0" applyFont="1" applyBorder="1" applyAlignment="1">
      <alignment horizontal="center" wrapText="1"/>
    </xf>
    <xf numFmtId="0" fontId="53" fillId="0" borderId="9" xfId="0" applyFont="1" applyBorder="1" applyAlignment="1">
      <alignment horizontal="center" wrapText="1"/>
    </xf>
    <xf numFmtId="2" fontId="53" fillId="0" borderId="9" xfId="0" applyNumberFormat="1" applyFont="1" applyBorder="1" applyAlignment="1">
      <alignment horizontal="center" wrapText="1"/>
    </xf>
  </cellXfs>
  <cellStyles count="6">
    <cellStyle name="Normal" xfId="0" builtinId="0"/>
    <cellStyle name="Normal 10" xfId="4" xr:uid="{00000000-0005-0000-0000-000001000000}"/>
    <cellStyle name="Normal 2" xfId="3" xr:uid="{00000000-0005-0000-0000-000002000000}"/>
    <cellStyle name="Normal 3" xfId="5" xr:uid="{E39AF7BE-9BA6-4443-81CC-03C7B75AA6DF}"/>
    <cellStyle name="Per cent" xfId="1" builtinId="5"/>
    <cellStyle name="t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74242110771697E-2"/>
          <c:y val="0.14216786529550748"/>
          <c:w val="0.59341078741645437"/>
          <c:h val="0.75474405881124274"/>
        </c:manualLayout>
      </c:layout>
      <c:doughnutChart>
        <c:varyColors val="1"/>
        <c:ser>
          <c:idx val="0"/>
          <c:order val="0"/>
          <c:tx>
            <c:strRef>
              <c:f>[1]Sheet1!$C$23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C-4D40-8C2B-F20EB984A5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C-4D40-8C2B-F20EB984A5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C-4D40-8C2B-F20EB984A5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C-4D40-8C2B-F20EB984A5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9C-4D40-8C2B-F20EB984A5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9C-4D40-8C2B-F20EB984A5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9C-4D40-8C2B-F20EB984A5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9C-4D40-8C2B-F20EB984A5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9C-4D40-8C2B-F20EB984A556}"/>
              </c:ext>
            </c:extLst>
          </c:dPt>
          <c:dLbls>
            <c:dLbl>
              <c:idx val="0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129451719771619E-2"/>
                      <c:h val="0.13132680759427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9C-4D40-8C2B-F20EB984A556}"/>
                </c:ext>
              </c:extLst>
            </c:dLbl>
            <c:dLbl>
              <c:idx val="1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6.56527241704234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09C-4D40-8C2B-F20EB984A556}"/>
                </c:ext>
              </c:extLst>
            </c:dLbl>
            <c:dLbl>
              <c:idx val="2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77753090317507E-2"/>
                      <c:h val="7.13635140333667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09C-4D40-8C2B-F20EB984A556}"/>
                </c:ext>
              </c:extLst>
            </c:dLbl>
            <c:dLbl>
              <c:idx val="3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497637858468789E-2"/>
                      <c:h val="5.4231144444536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09C-4D40-8C2B-F20EB984A556}"/>
                </c:ext>
              </c:extLst>
            </c:dLbl>
            <c:dLbl>
              <c:idx val="4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110209878374238E-2"/>
                      <c:h val="7.42189089648384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09C-4D40-8C2B-F20EB984A556}"/>
                </c:ext>
              </c:extLst>
            </c:dLbl>
            <c:dLbl>
              <c:idx val="5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45296302260776E-2"/>
                      <c:h val="6.7080421636159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09C-4D40-8C2B-F20EB984A5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09C-4D40-8C2B-F20EB984A556}"/>
                </c:ext>
              </c:extLst>
            </c:dLbl>
            <c:dLbl>
              <c:idx val="7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8.8495883622196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09C-4D40-8C2B-F20EB984A556}"/>
                </c:ext>
              </c:extLst>
            </c:dLbl>
            <c:dLbl>
              <c:idx val="8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09C-4D40-8C2B-F20EB984A556}"/>
                </c:ext>
              </c:extLst>
            </c:dLbl>
            <c:spPr>
              <a:noFill/>
              <a:ln>
                <a:solidFill>
                  <a:srgbClr val="156082">
                    <a:alpha val="61000"/>
                  </a:srgbClr>
                </a:solidFill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[1]Sheet1!$B$24:$B$32</c:f>
              <c:strCache>
                <c:ptCount val="9"/>
                <c:pt idx="0">
                  <c:v>China</c:v>
                </c:pt>
                <c:pt idx="1">
                  <c:v>Brazil</c:v>
                </c:pt>
                <c:pt idx="2">
                  <c:v>Europe ( except Germany)</c:v>
                </c:pt>
                <c:pt idx="3">
                  <c:v>Asia ( except Japan &amp; China)</c:v>
                </c:pt>
                <c:pt idx="4">
                  <c:v>Japan</c:v>
                </c:pt>
                <c:pt idx="5">
                  <c:v>Middle East</c:v>
                </c:pt>
                <c:pt idx="6">
                  <c:v>USA</c:v>
                </c:pt>
                <c:pt idx="7">
                  <c:v>Germany</c:v>
                </c:pt>
                <c:pt idx="8">
                  <c:v>Others</c:v>
                </c:pt>
              </c:strCache>
            </c:strRef>
          </c:cat>
          <c:val>
            <c:numRef>
              <c:f>[1]Sheet1!$C$24:$C$32</c:f>
              <c:numCache>
                <c:formatCode>General</c:formatCode>
                <c:ptCount val="9"/>
                <c:pt idx="0">
                  <c:v>0.51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7.6999999999999999E-2</c:v>
                </c:pt>
                <c:pt idx="5">
                  <c:v>5.7000000000000002E-2</c:v>
                </c:pt>
                <c:pt idx="6">
                  <c:v>0.04</c:v>
                </c:pt>
                <c:pt idx="7">
                  <c:v>3.3000000000000002E-2</c:v>
                </c:pt>
                <c:pt idx="8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9C-4D40-8C2B-F20EB984A5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7334087022964"/>
          <c:y val="4.6275981904264615E-2"/>
          <c:w val="0.3058427390623466"/>
          <c:h val="0.898314604276455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500" cap="all" spc="-100" baseline="30000">
              <a:solidFill>
                <a:schemeClr val="dk1">
                  <a:lumMod val="65000"/>
                  <a:lumOff val="35000"/>
                </a:schemeClr>
              </a:solidFill>
              <a:latin typeface="Al Tarikh" pitchFamily="2" charset="-78"/>
              <a:ea typeface="+mn-ea"/>
              <a:cs typeface="AL BAYAN PLA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[1]Sheet1!$E$18:$K$18</c:f>
              <c:numCache>
                <c:formatCode>General</c:formatCode>
                <c:ptCount val="7"/>
                <c:pt idx="0">
                  <c:v>1.2162162162162172E-2</c:v>
                </c:pt>
                <c:pt idx="1">
                  <c:v>7.1086448598130847E-2</c:v>
                </c:pt>
                <c:pt idx="2">
                  <c:v>4.7101449275362306E-2</c:v>
                </c:pt>
                <c:pt idx="3">
                  <c:v>4.4166666666666729E-2</c:v>
                </c:pt>
                <c:pt idx="4">
                  <c:v>4.1636363636363645E-2</c:v>
                </c:pt>
                <c:pt idx="5">
                  <c:v>3.942307692307697E-2</c:v>
                </c:pt>
                <c:pt idx="6">
                  <c:v>3.7464387464387412E-2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0440-B718-0566C476EBD1}"/>
            </c:ext>
          </c:extLst>
        </c:ser>
        <c:ser>
          <c:idx val="1"/>
          <c:order val="1"/>
          <c:tx>
            <c:strRef>
              <c:f>[1]Sheet1!$B$19</c:f>
              <c:strCache>
                <c:ptCount val="1"/>
                <c:pt idx="0">
                  <c:v>Energy Transition Minerals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[1]Sheet1!$E$19:$K$19</c:f>
              <c:numCache>
                <c:formatCode>General</c:formatCode>
                <c:ptCount val="7"/>
                <c:pt idx="0">
                  <c:v>1.3094245204336953E-2</c:v>
                </c:pt>
                <c:pt idx="1">
                  <c:v>1.7142857142857126E-2</c:v>
                </c:pt>
                <c:pt idx="2">
                  <c:v>2.1052631578947368E-2</c:v>
                </c:pt>
                <c:pt idx="3">
                  <c:v>3.4090909090909081E-2</c:v>
                </c:pt>
                <c:pt idx="4">
                  <c:v>2.8333333333333321E-2</c:v>
                </c:pt>
                <c:pt idx="5">
                  <c:v>2.4358974358974363E-2</c:v>
                </c:pt>
                <c:pt idx="6">
                  <c:v>3.5714285714285719E-2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0440-B718-0566C476EBD1}"/>
            </c:ext>
          </c:extLst>
        </c:ser>
        <c:ser>
          <c:idx val="2"/>
          <c:order val="2"/>
          <c:tx>
            <c:v>Forecasted total Growth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[1]Sheet1!$E$20:$K$20</c:f>
              <c:numCache>
                <c:formatCode>General</c:formatCode>
                <c:ptCount val="7"/>
                <c:pt idx="0">
                  <c:v>2.5256407366499124E-2</c:v>
                </c:pt>
                <c:pt idx="1">
                  <c:v>8.8229305740987973E-2</c:v>
                </c:pt>
                <c:pt idx="2">
                  <c:v>6.815408085430967E-2</c:v>
                </c:pt>
                <c:pt idx="3">
                  <c:v>7.8257575757575804E-2</c:v>
                </c:pt>
                <c:pt idx="4">
                  <c:v>6.996969696969696E-2</c:v>
                </c:pt>
                <c:pt idx="5">
                  <c:v>6.3782051282051333E-2</c:v>
                </c:pt>
                <c:pt idx="6">
                  <c:v>7.3178673178673131E-2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5-0440-B718-0566C47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29823"/>
        <c:axId val="1922901583"/>
      </c:lineChart>
      <c:dateAx>
        <c:axId val="1962129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01583"/>
        <c:crosses val="autoZero"/>
        <c:auto val="0"/>
        <c:lblOffset val="100"/>
        <c:baseTimeUnit val="days"/>
        <c:majorUnit val="1"/>
      </c:dateAx>
      <c:valAx>
        <c:axId val="19229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Iron ore price (01-2018 to 02-2024)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'[2]FRED Graph'!$A$8:$A$83</c:f>
              <c:numCache>
                <c:formatCode>General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</c:numCache>
            </c:numRef>
          </c:cat>
          <c:val>
            <c:numRef>
              <c:f>'[2]FRED Graph'!$B$8:$B$83</c:f>
              <c:numCache>
                <c:formatCode>General</c:formatCode>
                <c:ptCount val="76"/>
                <c:pt idx="0">
                  <c:v>75.7826086956522</c:v>
                </c:pt>
                <c:pt idx="1">
                  <c:v>77.650000000000006</c:v>
                </c:pt>
                <c:pt idx="2">
                  <c:v>71.318181818181799</c:v>
                </c:pt>
                <c:pt idx="3">
                  <c:v>66.3333333333333</c:v>
                </c:pt>
                <c:pt idx="4">
                  <c:v>66.630434782608702</c:v>
                </c:pt>
                <c:pt idx="5">
                  <c:v>66.857142857142904</c:v>
                </c:pt>
                <c:pt idx="6">
                  <c:v>67.045454545454504</c:v>
                </c:pt>
                <c:pt idx="7">
                  <c:v>68.021739130434796</c:v>
                </c:pt>
                <c:pt idx="8">
                  <c:v>68.8</c:v>
                </c:pt>
                <c:pt idx="9">
                  <c:v>72.021739130434796</c:v>
                </c:pt>
                <c:pt idx="10">
                  <c:v>72.295454545454504</c:v>
                </c:pt>
                <c:pt idx="11">
                  <c:v>68.904761904761898</c:v>
                </c:pt>
                <c:pt idx="12">
                  <c:v>75.2</c:v>
                </c:pt>
                <c:pt idx="13">
                  <c:v>87.59</c:v>
                </c:pt>
                <c:pt idx="14">
                  <c:v>87.071428571428598</c:v>
                </c:pt>
                <c:pt idx="15">
                  <c:v>94.5</c:v>
                </c:pt>
                <c:pt idx="16">
                  <c:v>101.76086956521701</c:v>
                </c:pt>
                <c:pt idx="17">
                  <c:v>109.55</c:v>
                </c:pt>
                <c:pt idx="18">
                  <c:v>119.586956521739</c:v>
                </c:pt>
                <c:pt idx="19">
                  <c:v>93.5</c:v>
                </c:pt>
                <c:pt idx="20">
                  <c:v>92.261904761904802</c:v>
                </c:pt>
                <c:pt idx="21">
                  <c:v>88.586956521739097</c:v>
                </c:pt>
                <c:pt idx="22">
                  <c:v>82.904761904761898</c:v>
                </c:pt>
                <c:pt idx="23">
                  <c:v>90.977272727272705</c:v>
                </c:pt>
                <c:pt idx="24">
                  <c:v>95.2173913043478</c:v>
                </c:pt>
                <c:pt idx="25">
                  <c:v>87.625</c:v>
                </c:pt>
                <c:pt idx="26">
                  <c:v>88.659090909090907</c:v>
                </c:pt>
                <c:pt idx="27">
                  <c:v>83.75</c:v>
                </c:pt>
                <c:pt idx="28">
                  <c:v>91.3333333333333</c:v>
                </c:pt>
                <c:pt idx="29">
                  <c:v>103.34090909090899</c:v>
                </c:pt>
                <c:pt idx="30">
                  <c:v>108.02173913043499</c:v>
                </c:pt>
                <c:pt idx="31">
                  <c:v>120.071428571429</c:v>
                </c:pt>
                <c:pt idx="32">
                  <c:v>123</c:v>
                </c:pt>
                <c:pt idx="33">
                  <c:v>119.25</c:v>
                </c:pt>
                <c:pt idx="34">
                  <c:v>123.52380952381</c:v>
                </c:pt>
                <c:pt idx="35">
                  <c:v>153.065217391304</c:v>
                </c:pt>
                <c:pt idx="36">
                  <c:v>166.73809523809501</c:v>
                </c:pt>
                <c:pt idx="37">
                  <c:v>162.32499999999999</c:v>
                </c:pt>
                <c:pt idx="38">
                  <c:v>166.73913043478299</c:v>
                </c:pt>
                <c:pt idx="39">
                  <c:v>178.25</c:v>
                </c:pt>
                <c:pt idx="40">
                  <c:v>202.857142857143</c:v>
                </c:pt>
                <c:pt idx="41">
                  <c:v>215.81578947368399</c:v>
                </c:pt>
                <c:pt idx="42">
                  <c:v>214.34090909090901</c:v>
                </c:pt>
                <c:pt idx="43">
                  <c:v>162.09090909090901</c:v>
                </c:pt>
                <c:pt idx="44">
                  <c:v>113.71875</c:v>
                </c:pt>
                <c:pt idx="45">
                  <c:v>114.47619047619</c:v>
                </c:pt>
                <c:pt idx="46">
                  <c:v>90.131578947368396</c:v>
                </c:pt>
                <c:pt idx="47">
                  <c:v>110.45652173913</c:v>
                </c:pt>
                <c:pt idx="48">
                  <c:v>133.04545454545499</c:v>
                </c:pt>
                <c:pt idx="49">
                  <c:v>139.69999999999999</c:v>
                </c:pt>
                <c:pt idx="50">
                  <c:v>147.34782608695701</c:v>
                </c:pt>
                <c:pt idx="51">
                  <c:v>146.666666666667</c:v>
                </c:pt>
                <c:pt idx="52">
                  <c:v>131.09090909090901</c:v>
                </c:pt>
                <c:pt idx="53">
                  <c:v>131.04545454545499</c:v>
                </c:pt>
                <c:pt idx="54">
                  <c:v>109.04761904761899</c:v>
                </c:pt>
                <c:pt idx="55">
                  <c:v>109.065217391304</c:v>
                </c:pt>
                <c:pt idx="56">
                  <c:v>100.84090909090899</c:v>
                </c:pt>
                <c:pt idx="57">
                  <c:v>94.619047619047606</c:v>
                </c:pt>
                <c:pt idx="58">
                  <c:v>94.568181818181799</c:v>
                </c:pt>
                <c:pt idx="59">
                  <c:v>111.40909090909101</c:v>
                </c:pt>
                <c:pt idx="60">
                  <c:v>122.431818181818</c:v>
                </c:pt>
                <c:pt idx="61">
                  <c:v>127.075</c:v>
                </c:pt>
                <c:pt idx="62">
                  <c:v>127.97826086956501</c:v>
                </c:pt>
                <c:pt idx="63">
                  <c:v>117.125</c:v>
                </c:pt>
                <c:pt idx="64">
                  <c:v>104.52173913043499</c:v>
                </c:pt>
                <c:pt idx="65">
                  <c:v>113.09090909090899</c:v>
                </c:pt>
                <c:pt idx="66">
                  <c:v>113.97619047619</c:v>
                </c:pt>
                <c:pt idx="67">
                  <c:v>109.60869565217401</c:v>
                </c:pt>
                <c:pt idx="68">
                  <c:v>120.428571428571</c:v>
                </c:pt>
                <c:pt idx="69">
                  <c:v>118.75</c:v>
                </c:pt>
                <c:pt idx="70">
                  <c:v>131.25</c:v>
                </c:pt>
                <c:pt idx="71">
                  <c:v>137.54761904761901</c:v>
                </c:pt>
                <c:pt idx="72">
                  <c:v>136.58695652173901</c:v>
                </c:pt>
                <c:pt idx="73">
                  <c:v>125.928571428571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DE49-A5C4-C8A01CFF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4799"/>
        <c:axId val="1"/>
      </c:lineChart>
      <c:catAx>
        <c:axId val="732074799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4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2127950025664267E-2"/>
          <c:y val="0.91194711316823096"/>
          <c:w val="0.93012231480773644"/>
          <c:h val="8.80528868317690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P//CF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regression'!$B$3</c:f>
              <c:strCache>
                <c:ptCount val="1"/>
                <c:pt idx="0">
                  <c:v>VALE P/CF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regression'!$B$4:$B$11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FB48-B950-699C9EBCA7EB}"/>
            </c:ext>
          </c:extLst>
        </c:ser>
        <c:ser>
          <c:idx val="1"/>
          <c:order val="1"/>
          <c:tx>
            <c:strRef>
              <c:f>'Relative valuation regression'!$C$3</c:f>
              <c:strCache>
                <c:ptCount val="1"/>
                <c:pt idx="0">
                  <c:v>BHP P/CF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regression'!$C$4:$C$11</c:f>
              <c:numCache>
                <c:formatCode>General</c:formatCode>
                <c:ptCount val="8"/>
                <c:pt idx="0">
                  <c:v>5.65</c:v>
                </c:pt>
                <c:pt idx="1">
                  <c:v>7.23</c:v>
                </c:pt>
                <c:pt idx="2">
                  <c:v>8.44</c:v>
                </c:pt>
                <c:pt idx="3">
                  <c:v>8.0299999999999994</c:v>
                </c:pt>
                <c:pt idx="4">
                  <c:v>6.78</c:v>
                </c:pt>
                <c:pt idx="5">
                  <c:v>4.43</c:v>
                </c:pt>
                <c:pt idx="6">
                  <c:v>8.09</c:v>
                </c:pt>
                <c:pt idx="7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FB48-B950-699C9EBCA7EB}"/>
            </c:ext>
          </c:extLst>
        </c:ser>
        <c:ser>
          <c:idx val="2"/>
          <c:order val="2"/>
          <c:tx>
            <c:strRef>
              <c:f>'Relative valuation regression'!$D$3</c:f>
              <c:strCache>
                <c:ptCount val="1"/>
                <c:pt idx="0">
                  <c:v>RIO P/CF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regression'!$D$4:$D$11</c:f>
              <c:numCache>
                <c:formatCode>General</c:formatCode>
                <c:ptCount val="8"/>
                <c:pt idx="0">
                  <c:v>6.67</c:v>
                </c:pt>
                <c:pt idx="1">
                  <c:v>6.86</c:v>
                </c:pt>
                <c:pt idx="2">
                  <c:v>6.38</c:v>
                </c:pt>
                <c:pt idx="3">
                  <c:v>7.4</c:v>
                </c:pt>
                <c:pt idx="4">
                  <c:v>4.12</c:v>
                </c:pt>
                <c:pt idx="5">
                  <c:v>7.01</c:v>
                </c:pt>
                <c:pt idx="6">
                  <c:v>7.78</c:v>
                </c:pt>
                <c:pt idx="7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F-FB48-B950-699C9EBC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3808"/>
        <c:axId val="216609392"/>
      </c:lineChart>
      <c:catAx>
        <c:axId val="634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9392"/>
        <c:crosses val="autoZero"/>
        <c:auto val="1"/>
        <c:lblAlgn val="ctr"/>
        <c:lblOffset val="100"/>
        <c:noMultiLvlLbl val="0"/>
      </c:catAx>
      <c:valAx>
        <c:axId val="216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P/B 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regression'!$B$17</c:f>
              <c:strCache>
                <c:ptCount val="1"/>
                <c:pt idx="0">
                  <c:v>VALE 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regression'!$B$18:$B$25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8-DF49-8B04-283430659886}"/>
            </c:ext>
          </c:extLst>
        </c:ser>
        <c:ser>
          <c:idx val="1"/>
          <c:order val="1"/>
          <c:tx>
            <c:strRef>
              <c:f>'Relative valuation regression'!$C$17</c:f>
              <c:strCache>
                <c:ptCount val="1"/>
                <c:pt idx="0">
                  <c:v>BHP P/B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regression'!$C$18:$C$25</c:f>
              <c:numCache>
                <c:formatCode>General</c:formatCode>
                <c:ptCount val="8"/>
                <c:pt idx="0">
                  <c:v>1</c:v>
                </c:pt>
                <c:pt idx="1">
                  <c:v>2.39</c:v>
                </c:pt>
                <c:pt idx="2">
                  <c:v>3.11</c:v>
                </c:pt>
                <c:pt idx="3">
                  <c:v>2.63</c:v>
                </c:pt>
                <c:pt idx="4">
                  <c:v>3.59</c:v>
                </c:pt>
                <c:pt idx="5">
                  <c:v>3.16</c:v>
                </c:pt>
                <c:pt idx="6">
                  <c:v>3.4</c:v>
                </c:pt>
                <c:pt idx="7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8-DF49-8B04-283430659886}"/>
            </c:ext>
          </c:extLst>
        </c:ser>
        <c:ser>
          <c:idx val="2"/>
          <c:order val="2"/>
          <c:tx>
            <c:strRef>
              <c:f>'Relative valuation regression'!$D$17</c:f>
              <c:strCache>
                <c:ptCount val="1"/>
                <c:pt idx="0">
                  <c:v>RIO  P/B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regression'!$D$18:$D$25</c:f>
              <c:numCache>
                <c:formatCode>General</c:formatCode>
                <c:ptCount val="8"/>
                <c:pt idx="0">
                  <c:v>2.08</c:v>
                </c:pt>
                <c:pt idx="1">
                  <c:v>1.83</c:v>
                </c:pt>
                <c:pt idx="2">
                  <c:v>2.37</c:v>
                </c:pt>
                <c:pt idx="3">
                  <c:v>2.58</c:v>
                </c:pt>
                <c:pt idx="4">
                  <c:v>2.11</c:v>
                </c:pt>
                <c:pt idx="5">
                  <c:v>2.2799999999999998</c:v>
                </c:pt>
                <c:pt idx="6">
                  <c:v>2.21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8-DF49-8B04-28343065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79232"/>
        <c:axId val="328955120"/>
      </c:lineChart>
      <c:catAx>
        <c:axId val="3289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5120"/>
        <c:crosses val="autoZero"/>
        <c:auto val="1"/>
        <c:lblAlgn val="ctr"/>
        <c:lblOffset val="100"/>
        <c:noMultiLvlLbl val="0"/>
      </c:catAx>
      <c:valAx>
        <c:axId val="3289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EV/ EBITDA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regression'!$B$27:$B$28</c:f>
              <c:strCache>
                <c:ptCount val="2"/>
                <c:pt idx="0">
                  <c:v>VALE EV/ EBITTDA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regression'!$B$29:$B$36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0-5F4E-B3AD-129E15699AEF}"/>
            </c:ext>
          </c:extLst>
        </c:ser>
        <c:ser>
          <c:idx val="1"/>
          <c:order val="1"/>
          <c:tx>
            <c:strRef>
              <c:f>'Relative valuation regression'!$C$27:$C$28</c:f>
              <c:strCache>
                <c:ptCount val="2"/>
                <c:pt idx="0">
                  <c:v>VALE EV/ EBITTDA</c:v>
                </c:pt>
                <c:pt idx="1">
                  <c:v>BHP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regression'!$C$29:$C$36</c:f>
              <c:numCache>
                <c:formatCode>General</c:formatCode>
                <c:ptCount val="8"/>
                <c:pt idx="0">
                  <c:v>6.42</c:v>
                </c:pt>
                <c:pt idx="1">
                  <c:v>6.74</c:v>
                </c:pt>
                <c:pt idx="2">
                  <c:v>7.39</c:v>
                </c:pt>
                <c:pt idx="3">
                  <c:v>6.61</c:v>
                </c:pt>
                <c:pt idx="4">
                  <c:v>5.2</c:v>
                </c:pt>
                <c:pt idx="5">
                  <c:v>3.76</c:v>
                </c:pt>
                <c:pt idx="6">
                  <c:v>6.09</c:v>
                </c:pt>
                <c:pt idx="7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0-5F4E-B3AD-129E15699AEF}"/>
            </c:ext>
          </c:extLst>
        </c:ser>
        <c:ser>
          <c:idx val="2"/>
          <c:order val="2"/>
          <c:tx>
            <c:strRef>
              <c:f>'Relative valuation regression'!$D$27:$D$28</c:f>
              <c:strCache>
                <c:ptCount val="2"/>
                <c:pt idx="0">
                  <c:v>VALE EV/ EBITTDA</c:v>
                </c:pt>
                <c:pt idx="1">
                  <c:v>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regression'!$D$29:$D$36</c:f>
              <c:numCache>
                <c:formatCode>General</c:formatCode>
                <c:ptCount val="8"/>
                <c:pt idx="0">
                  <c:v>6.56</c:v>
                </c:pt>
                <c:pt idx="1">
                  <c:v>5.83</c:v>
                </c:pt>
                <c:pt idx="2">
                  <c:v>5.61</c:v>
                </c:pt>
                <c:pt idx="3">
                  <c:v>5.92</c:v>
                </c:pt>
                <c:pt idx="4">
                  <c:v>3.35</c:v>
                </c:pt>
                <c:pt idx="5">
                  <c:v>5.22</c:v>
                </c:pt>
                <c:pt idx="6">
                  <c:v>6.27</c:v>
                </c:pt>
                <c:pt idx="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0-5F4E-B3AD-129E1569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9232"/>
        <c:axId val="340085760"/>
      </c:lineChart>
      <c:catAx>
        <c:axId val="3401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5760"/>
        <c:crosses val="autoZero"/>
        <c:auto val="1"/>
        <c:lblAlgn val="ctr"/>
        <c:lblOffset val="100"/>
        <c:noMultiLvlLbl val="0"/>
      </c:catAx>
      <c:valAx>
        <c:axId val="340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Football Field Valuation (	Vale SA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'Football (2)'!$C$12:$C$18</c:f>
              <c:strCache>
                <c:ptCount val="7"/>
                <c:pt idx="0">
                  <c:v>52 WK High-Low</c:v>
                </c:pt>
                <c:pt idx="1">
                  <c:v>Equity Analyst Targets</c:v>
                </c:pt>
                <c:pt idx="2">
                  <c:v>Regression + ARCH Model </c:v>
                </c:pt>
                <c:pt idx="3">
                  <c:v>Relative Valuation Calculation</c:v>
                </c:pt>
                <c:pt idx="4">
                  <c:v>DCF Forecast</c:v>
                </c:pt>
                <c:pt idx="5">
                  <c:v>DDM forecast</c:v>
                </c:pt>
                <c:pt idx="6">
                  <c:v>Current Price</c:v>
                </c:pt>
              </c:strCache>
            </c:strRef>
          </c:cat>
          <c:val>
            <c:numRef>
              <c:f>'Football (2)'!$D$12:$D$17</c:f>
              <c:numCache>
                <c:formatCode>General</c:formatCode>
                <c:ptCount val="6"/>
                <c:pt idx="0">
                  <c:v>9.66</c:v>
                </c:pt>
                <c:pt idx="1">
                  <c:v>11.1</c:v>
                </c:pt>
                <c:pt idx="2">
                  <c:v>14.5</c:v>
                </c:pt>
                <c:pt idx="3">
                  <c:v>14.29</c:v>
                </c:pt>
                <c:pt idx="4">
                  <c:v>12.63</c:v>
                </c:pt>
                <c:pt idx="5">
                  <c:v>11.95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3-6646-B829-2F0FEFD2A9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'Football (2)'!$C$12:$C$18</c:f>
              <c:strCache>
                <c:ptCount val="7"/>
                <c:pt idx="0">
                  <c:v>52 WK High-Low</c:v>
                </c:pt>
                <c:pt idx="1">
                  <c:v>Equity Analyst Targets</c:v>
                </c:pt>
                <c:pt idx="2">
                  <c:v>Regression + ARCH Model </c:v>
                </c:pt>
                <c:pt idx="3">
                  <c:v>Relative Valuation Calculation</c:v>
                </c:pt>
                <c:pt idx="4">
                  <c:v>DCF Forecast</c:v>
                </c:pt>
                <c:pt idx="5">
                  <c:v>DDM forecast</c:v>
                </c:pt>
                <c:pt idx="6">
                  <c:v>Current Price</c:v>
                </c:pt>
              </c:strCache>
            </c:strRef>
          </c:cat>
          <c:val>
            <c:numRef>
              <c:f>'Football (2)'!$E$12:$E$17</c:f>
              <c:numCache>
                <c:formatCode>General</c:formatCode>
                <c:ptCount val="6"/>
                <c:pt idx="0">
                  <c:v>6.3999999999999986</c:v>
                </c:pt>
                <c:pt idx="1">
                  <c:v>6.9</c:v>
                </c:pt>
                <c:pt idx="2">
                  <c:v>2.5</c:v>
                </c:pt>
                <c:pt idx="3">
                  <c:v>1.5500000000000007</c:v>
                </c:pt>
                <c:pt idx="4">
                  <c:v>5.2200000000000006</c:v>
                </c:pt>
                <c:pt idx="5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3-6646-B829-2F0FEFD2A96B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'Football (2)'!$C$12:$C$18</c:f>
              <c:strCache>
                <c:ptCount val="7"/>
                <c:pt idx="0">
                  <c:v>52 WK High-Low</c:v>
                </c:pt>
                <c:pt idx="1">
                  <c:v>Equity Analyst Targets</c:v>
                </c:pt>
                <c:pt idx="2">
                  <c:v>Regression + ARCH Model </c:v>
                </c:pt>
                <c:pt idx="3">
                  <c:v>Relative Valuation Calculation</c:v>
                </c:pt>
                <c:pt idx="4">
                  <c:v>DCF Forecast</c:v>
                </c:pt>
                <c:pt idx="5">
                  <c:v>DDM forecast</c:v>
                </c:pt>
                <c:pt idx="6">
                  <c:v>Current Price</c:v>
                </c:pt>
              </c:strCache>
            </c:strRef>
          </c:cat>
          <c:val>
            <c:numRef>
              <c:f>'Football (2)'!$F$12:$F$17</c:f>
              <c:numCache>
                <c:formatCode>General</c:formatCode>
                <c:ptCount val="6"/>
                <c:pt idx="0">
                  <c:v>16.059999999999999</c:v>
                </c:pt>
                <c:pt idx="1">
                  <c:v>18</c:v>
                </c:pt>
                <c:pt idx="2">
                  <c:v>17</c:v>
                </c:pt>
                <c:pt idx="3">
                  <c:v>15.84</c:v>
                </c:pt>
                <c:pt idx="4">
                  <c:v>17.850000000000001</c:v>
                </c:pt>
                <c:pt idx="5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3-6646-B829-2F0FEFD2A96B}"/>
            </c:ext>
          </c:extLst>
        </c:ser>
        <c:ser>
          <c:idx val="3"/>
          <c:order val="3"/>
          <c:tx>
            <c:strRef>
              <c:f>'Football (2)'!$C$18</c:f>
              <c:strCache>
                <c:ptCount val="1"/>
                <c:pt idx="0">
                  <c:v>Current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'Football (2)'!$D$18:$F$18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3-6646-B829-2F0FEFD2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401407"/>
        <c:axId val="1553660847"/>
      </c:barChart>
      <c:catAx>
        <c:axId val="202440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0847"/>
        <c:crosses val="autoZero"/>
        <c:auto val="1"/>
        <c:lblAlgn val="ctr"/>
        <c:lblOffset val="100"/>
        <c:noMultiLvlLbl val="0"/>
      </c:catAx>
      <c:valAx>
        <c:axId val="155366084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65000"/>
                <a:alpha val="5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74E8855-8C9D-F04C-B122-048C6D244D75}" type="doc">
      <dgm:prSet loTypeId="urn:microsoft.com/office/officeart/2005/8/layout/hierarchy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7B77E5E6-E98D-2B43-91BC-05769AF10A4A}">
      <dgm:prSet phldrT="[Text]" custT="1"/>
      <dgm:spPr/>
      <dgm:t>
        <a:bodyPr/>
        <a:lstStyle/>
        <a:p>
          <a:r>
            <a:rPr lang="en-GB" sz="1400"/>
            <a:t>ROE  (20.91%)</a:t>
          </a:r>
        </a:p>
      </dgm:t>
    </dgm:pt>
    <dgm:pt modelId="{7F4B58ED-2EB8-324E-84AF-8873798BE420}" type="parTrans" cxnId="{1ACA1BBD-2B0F-834D-B9F0-1238FE56DA4B}">
      <dgm:prSet/>
      <dgm:spPr/>
      <dgm:t>
        <a:bodyPr/>
        <a:lstStyle/>
        <a:p>
          <a:endParaRPr lang="en-GB"/>
        </a:p>
      </dgm:t>
    </dgm:pt>
    <dgm:pt modelId="{76A1AC68-F7B7-2D4D-9470-CEB0D02C988A}" type="sibTrans" cxnId="{1ACA1BBD-2B0F-834D-B9F0-1238FE56DA4B}">
      <dgm:prSet/>
      <dgm:spPr/>
      <dgm:t>
        <a:bodyPr/>
        <a:lstStyle/>
        <a:p>
          <a:endParaRPr lang="en-GB"/>
        </a:p>
      </dgm:t>
    </dgm:pt>
    <dgm:pt modelId="{4B3F3D12-A940-E744-A6EB-245F7A141D53}">
      <dgm:prSet phldrT="[Text]" custT="1"/>
      <dgm:spPr/>
      <dgm:t>
        <a:bodyPr/>
        <a:lstStyle/>
        <a:p>
          <a:r>
            <a:rPr lang="en-GB" sz="1200"/>
            <a:t>Net Profit Margin  (19.2%)</a:t>
          </a:r>
        </a:p>
      </dgm:t>
    </dgm:pt>
    <dgm:pt modelId="{354D8682-C6A7-8C48-B9F7-93BF23D9519C}" type="parTrans" cxnId="{02AEA69E-8F47-514B-B5D4-80AA9245775F}">
      <dgm:prSet/>
      <dgm:spPr/>
      <dgm:t>
        <a:bodyPr/>
        <a:lstStyle/>
        <a:p>
          <a:endParaRPr lang="en-GB"/>
        </a:p>
      </dgm:t>
    </dgm:pt>
    <dgm:pt modelId="{C7B358A3-EFF2-2D4C-A4AF-5261878F5751}" type="sibTrans" cxnId="{02AEA69E-8F47-514B-B5D4-80AA9245775F}">
      <dgm:prSet/>
      <dgm:spPr/>
      <dgm:t>
        <a:bodyPr/>
        <a:lstStyle/>
        <a:p>
          <a:endParaRPr lang="en-GB"/>
        </a:p>
      </dgm:t>
    </dgm:pt>
    <dgm:pt modelId="{B93F2EFA-FAA0-7049-AFA7-A1A9D7C42618}">
      <dgm:prSet phldrT="[Text]" custT="1"/>
      <dgm:spPr/>
      <dgm:t>
        <a:bodyPr/>
        <a:lstStyle/>
        <a:p>
          <a:r>
            <a:rPr lang="en-GB" sz="1100"/>
            <a:t>Operating Margin (31.37%)</a:t>
          </a:r>
          <a:endParaRPr lang="en-GB" sz="1300"/>
        </a:p>
      </dgm:t>
    </dgm:pt>
    <dgm:pt modelId="{F6EAA074-3FC8-CE4B-90EE-C1619F9C5B70}" type="parTrans" cxnId="{CF7EFF3C-6681-924F-8640-30ADC0074C8D}">
      <dgm:prSet/>
      <dgm:spPr/>
      <dgm:t>
        <a:bodyPr/>
        <a:lstStyle/>
        <a:p>
          <a:endParaRPr lang="en-GB"/>
        </a:p>
      </dgm:t>
    </dgm:pt>
    <dgm:pt modelId="{8BBA4B70-08EB-4141-9FED-36E870961481}" type="sibTrans" cxnId="{CF7EFF3C-6681-924F-8640-30ADC0074C8D}">
      <dgm:prSet/>
      <dgm:spPr/>
      <dgm:t>
        <a:bodyPr/>
        <a:lstStyle/>
        <a:p>
          <a:endParaRPr lang="en-GB"/>
        </a:p>
      </dgm:t>
    </dgm:pt>
    <dgm:pt modelId="{9D21AE1F-B349-624E-BBBA-AAD8555A6220}">
      <dgm:prSet phldrT="[Text]" custT="1"/>
      <dgm:spPr/>
      <dgm:t>
        <a:bodyPr/>
        <a:lstStyle/>
        <a:p>
          <a:r>
            <a:rPr lang="en-GB" sz="1100"/>
            <a:t>(EBT/EBIT) Interest burden (0.88)</a:t>
          </a:r>
          <a:endParaRPr lang="en-GB" sz="1200"/>
        </a:p>
      </dgm:t>
    </dgm:pt>
    <dgm:pt modelId="{13FE9E03-5D12-7E40-891F-269B5532ABFB}" type="parTrans" cxnId="{F0A28A23-71FC-FC4B-8754-1E8F023CCBA2}">
      <dgm:prSet/>
      <dgm:spPr/>
      <dgm:t>
        <a:bodyPr/>
        <a:lstStyle/>
        <a:p>
          <a:endParaRPr lang="en-GB"/>
        </a:p>
      </dgm:t>
    </dgm:pt>
    <dgm:pt modelId="{C2F9797F-6E6C-1347-A185-E1691DFD2F0D}" type="sibTrans" cxnId="{F0A28A23-71FC-FC4B-8754-1E8F023CCBA2}">
      <dgm:prSet/>
      <dgm:spPr/>
      <dgm:t>
        <a:bodyPr/>
        <a:lstStyle/>
        <a:p>
          <a:endParaRPr lang="en-GB"/>
        </a:p>
      </dgm:t>
    </dgm:pt>
    <dgm:pt modelId="{117BB29B-AF7D-7043-8BAA-7B43CBB4FB82}">
      <dgm:prSet phldrT="[Text]" custT="1"/>
      <dgm:spPr/>
      <dgm:t>
        <a:bodyPr/>
        <a:lstStyle/>
        <a:p>
          <a:r>
            <a:rPr lang="en-GB" sz="1200"/>
            <a:t>Asset Turnover  (0.46)</a:t>
          </a:r>
        </a:p>
      </dgm:t>
    </dgm:pt>
    <dgm:pt modelId="{C127FFE0-7DA0-F447-B868-A70CE8A78D91}" type="parTrans" cxnId="{91ACCCC4-8546-0B45-8C91-E452973CE971}">
      <dgm:prSet/>
      <dgm:spPr/>
      <dgm:t>
        <a:bodyPr/>
        <a:lstStyle/>
        <a:p>
          <a:endParaRPr lang="en-GB"/>
        </a:p>
      </dgm:t>
    </dgm:pt>
    <dgm:pt modelId="{3114C935-1295-624F-AF51-B96B49DD886B}" type="sibTrans" cxnId="{91ACCCC4-8546-0B45-8C91-E452973CE971}">
      <dgm:prSet/>
      <dgm:spPr/>
      <dgm:t>
        <a:bodyPr/>
        <a:lstStyle/>
        <a:p>
          <a:endParaRPr lang="en-GB"/>
        </a:p>
      </dgm:t>
    </dgm:pt>
    <dgm:pt modelId="{DE6C055E-5084-0B40-BECB-290535090C69}">
      <dgm:prSet custT="1"/>
      <dgm:spPr/>
      <dgm:t>
        <a:bodyPr/>
        <a:lstStyle/>
        <a:p>
          <a:r>
            <a:rPr lang="en-GB" sz="1200"/>
            <a:t>Financial leverage ratio (2.33)</a:t>
          </a:r>
        </a:p>
      </dgm:t>
    </dgm:pt>
    <dgm:pt modelId="{A0F7932C-49EC-924A-BAA0-36A04CC35900}" type="parTrans" cxnId="{89CFE544-B5A7-1C40-8D48-657A9BF510C1}">
      <dgm:prSet/>
      <dgm:spPr/>
      <dgm:t>
        <a:bodyPr/>
        <a:lstStyle/>
        <a:p>
          <a:endParaRPr lang="en-GB"/>
        </a:p>
      </dgm:t>
    </dgm:pt>
    <dgm:pt modelId="{CB309853-04B0-FC4F-A3F3-E0212CCD3378}" type="sibTrans" cxnId="{89CFE544-B5A7-1C40-8D48-657A9BF510C1}">
      <dgm:prSet/>
      <dgm:spPr/>
      <dgm:t>
        <a:bodyPr/>
        <a:lstStyle/>
        <a:p>
          <a:endParaRPr lang="en-GB"/>
        </a:p>
      </dgm:t>
    </dgm:pt>
    <dgm:pt modelId="{D001597F-BAFC-0946-8B74-9A38BA98DFC9}">
      <dgm:prSet custT="1"/>
      <dgm:spPr/>
      <dgm:t>
        <a:bodyPr/>
        <a:lstStyle/>
        <a:p>
          <a:r>
            <a:rPr lang="en-GB" sz="1100"/>
            <a:t>(NI/EBT)               Tax burd</a:t>
          </a:r>
          <a:r>
            <a:rPr lang="en-GB" sz="1200"/>
            <a:t>en   </a:t>
          </a:r>
          <a:r>
            <a:rPr lang="en-GB" sz="1100"/>
            <a:t>(0.73)</a:t>
          </a:r>
          <a:endParaRPr lang="en-GB" sz="1200"/>
        </a:p>
      </dgm:t>
    </dgm:pt>
    <dgm:pt modelId="{442216AE-ECCA-E74D-95AE-7056B400F486}" type="parTrans" cxnId="{C8FA531D-1CB4-E944-96EA-41677ED750D0}">
      <dgm:prSet/>
      <dgm:spPr/>
      <dgm:t>
        <a:bodyPr/>
        <a:lstStyle/>
        <a:p>
          <a:endParaRPr lang="en-GB"/>
        </a:p>
      </dgm:t>
    </dgm:pt>
    <dgm:pt modelId="{0B3F3A39-DF2F-DA49-AD78-15B939FA216D}" type="sibTrans" cxnId="{C8FA531D-1CB4-E944-96EA-41677ED750D0}">
      <dgm:prSet/>
      <dgm:spPr/>
      <dgm:t>
        <a:bodyPr/>
        <a:lstStyle/>
        <a:p>
          <a:endParaRPr lang="en-GB"/>
        </a:p>
      </dgm:t>
    </dgm:pt>
    <dgm:pt modelId="{AE83104B-934C-F141-B41F-E31466A41B8E}" type="pres">
      <dgm:prSet presAssocID="{C74E8855-8C9D-F04C-B122-048C6D244D75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F796AA87-F4E6-3347-84B8-4476CE4B0795}" type="pres">
      <dgm:prSet presAssocID="{7B77E5E6-E98D-2B43-91BC-05769AF10A4A}" presName="hierRoot1" presStyleCnt="0"/>
      <dgm:spPr/>
    </dgm:pt>
    <dgm:pt modelId="{F9FDA0B5-5364-6A4F-923D-9E69BCA53D25}" type="pres">
      <dgm:prSet presAssocID="{7B77E5E6-E98D-2B43-91BC-05769AF10A4A}" presName="composite" presStyleCnt="0"/>
      <dgm:spPr/>
    </dgm:pt>
    <dgm:pt modelId="{BE8F4FB6-E1B2-3D42-8996-A8674287C778}" type="pres">
      <dgm:prSet presAssocID="{7B77E5E6-E98D-2B43-91BC-05769AF10A4A}" presName="background" presStyleLbl="node0" presStyleIdx="0" presStyleCnt="1"/>
      <dgm:spPr/>
    </dgm:pt>
    <dgm:pt modelId="{3FA98399-3081-B44C-B185-E2808F754C54}" type="pres">
      <dgm:prSet presAssocID="{7B77E5E6-E98D-2B43-91BC-05769AF10A4A}" presName="text" presStyleLbl="fgAcc0" presStyleIdx="0" presStyleCnt="1">
        <dgm:presLayoutVars>
          <dgm:chPref val="3"/>
        </dgm:presLayoutVars>
      </dgm:prSet>
      <dgm:spPr/>
    </dgm:pt>
    <dgm:pt modelId="{F03303C2-3975-7D43-B462-3F8087250C18}" type="pres">
      <dgm:prSet presAssocID="{7B77E5E6-E98D-2B43-91BC-05769AF10A4A}" presName="hierChild2" presStyleCnt="0"/>
      <dgm:spPr/>
    </dgm:pt>
    <dgm:pt modelId="{4DB8DCD2-BA13-F54F-B4DF-EC4C95948F70}" type="pres">
      <dgm:prSet presAssocID="{C127FFE0-7DA0-F447-B868-A70CE8A78D91}" presName="Name10" presStyleLbl="parChTrans1D2" presStyleIdx="0" presStyleCnt="3"/>
      <dgm:spPr/>
    </dgm:pt>
    <dgm:pt modelId="{B22B5447-FC72-D542-9067-F0311C48B55E}" type="pres">
      <dgm:prSet presAssocID="{117BB29B-AF7D-7043-8BAA-7B43CBB4FB82}" presName="hierRoot2" presStyleCnt="0"/>
      <dgm:spPr/>
    </dgm:pt>
    <dgm:pt modelId="{7A6C0126-D3FE-1A4B-9210-623DCB05FBBF}" type="pres">
      <dgm:prSet presAssocID="{117BB29B-AF7D-7043-8BAA-7B43CBB4FB82}" presName="composite2" presStyleCnt="0"/>
      <dgm:spPr/>
    </dgm:pt>
    <dgm:pt modelId="{CAAA1266-81E1-1647-8928-448F9ACB8836}" type="pres">
      <dgm:prSet presAssocID="{117BB29B-AF7D-7043-8BAA-7B43CBB4FB82}" presName="background2" presStyleLbl="node2" presStyleIdx="0" presStyleCnt="3"/>
      <dgm:spPr/>
    </dgm:pt>
    <dgm:pt modelId="{B96AE2B5-738B-DF4E-9CA6-157B7E8F640B}" type="pres">
      <dgm:prSet presAssocID="{117BB29B-AF7D-7043-8BAA-7B43CBB4FB82}" presName="text2" presStyleLbl="fgAcc2" presStyleIdx="0" presStyleCnt="3">
        <dgm:presLayoutVars>
          <dgm:chPref val="3"/>
        </dgm:presLayoutVars>
      </dgm:prSet>
      <dgm:spPr/>
    </dgm:pt>
    <dgm:pt modelId="{D6671554-6D6E-B941-B7C5-4B20B7A95896}" type="pres">
      <dgm:prSet presAssocID="{117BB29B-AF7D-7043-8BAA-7B43CBB4FB82}" presName="hierChild3" presStyleCnt="0"/>
      <dgm:spPr/>
    </dgm:pt>
    <dgm:pt modelId="{65D9A8D1-62D3-7D44-AF79-A52854D0F8B9}" type="pres">
      <dgm:prSet presAssocID="{354D8682-C6A7-8C48-B9F7-93BF23D9519C}" presName="Name10" presStyleLbl="parChTrans1D2" presStyleIdx="1" presStyleCnt="3"/>
      <dgm:spPr/>
    </dgm:pt>
    <dgm:pt modelId="{580E20E6-CE65-D04F-A95B-836057EB28E0}" type="pres">
      <dgm:prSet presAssocID="{4B3F3D12-A940-E744-A6EB-245F7A141D53}" presName="hierRoot2" presStyleCnt="0"/>
      <dgm:spPr/>
    </dgm:pt>
    <dgm:pt modelId="{90353786-EC45-4248-9D9E-E67087743D0F}" type="pres">
      <dgm:prSet presAssocID="{4B3F3D12-A940-E744-A6EB-245F7A141D53}" presName="composite2" presStyleCnt="0"/>
      <dgm:spPr/>
    </dgm:pt>
    <dgm:pt modelId="{8FA949FC-4B5B-5C4A-A310-054BAA318A66}" type="pres">
      <dgm:prSet presAssocID="{4B3F3D12-A940-E744-A6EB-245F7A141D53}" presName="background2" presStyleLbl="node2" presStyleIdx="1" presStyleCnt="3"/>
      <dgm:spPr/>
    </dgm:pt>
    <dgm:pt modelId="{97B9BDAB-F6FB-7D43-A9E4-F183C25373AD}" type="pres">
      <dgm:prSet presAssocID="{4B3F3D12-A940-E744-A6EB-245F7A141D53}" presName="text2" presStyleLbl="fgAcc2" presStyleIdx="1" presStyleCnt="3" custLinFactNeighborX="-14058" custLinFactNeighborY="-9366">
        <dgm:presLayoutVars>
          <dgm:chPref val="3"/>
        </dgm:presLayoutVars>
      </dgm:prSet>
      <dgm:spPr/>
    </dgm:pt>
    <dgm:pt modelId="{474FECE9-C62F-7048-A39E-913089D0B1DF}" type="pres">
      <dgm:prSet presAssocID="{4B3F3D12-A940-E744-A6EB-245F7A141D53}" presName="hierChild3" presStyleCnt="0"/>
      <dgm:spPr/>
    </dgm:pt>
    <dgm:pt modelId="{E012FE5B-A579-8947-8E86-7217EA8E4C52}" type="pres">
      <dgm:prSet presAssocID="{F6EAA074-3FC8-CE4B-90EE-C1619F9C5B70}" presName="Name17" presStyleLbl="parChTrans1D3" presStyleIdx="0" presStyleCnt="3"/>
      <dgm:spPr/>
    </dgm:pt>
    <dgm:pt modelId="{45AAD202-1802-F744-9A40-E33EBD6334A2}" type="pres">
      <dgm:prSet presAssocID="{B93F2EFA-FAA0-7049-AFA7-A1A9D7C42618}" presName="hierRoot3" presStyleCnt="0"/>
      <dgm:spPr/>
    </dgm:pt>
    <dgm:pt modelId="{CFADC6A8-F51D-CF42-86D4-07E115EC0721}" type="pres">
      <dgm:prSet presAssocID="{B93F2EFA-FAA0-7049-AFA7-A1A9D7C42618}" presName="composite3" presStyleCnt="0"/>
      <dgm:spPr/>
    </dgm:pt>
    <dgm:pt modelId="{2952B6BC-9376-9947-A412-CD7C4D440FC1}" type="pres">
      <dgm:prSet presAssocID="{B93F2EFA-FAA0-7049-AFA7-A1A9D7C42618}" presName="background3" presStyleLbl="node3" presStyleIdx="0" presStyleCnt="3"/>
      <dgm:spPr/>
    </dgm:pt>
    <dgm:pt modelId="{4FD46659-3258-6F4B-963D-3A48E8832FA1}" type="pres">
      <dgm:prSet presAssocID="{B93F2EFA-FAA0-7049-AFA7-A1A9D7C42618}" presName="text3" presStyleLbl="fgAcc3" presStyleIdx="0" presStyleCnt="3">
        <dgm:presLayoutVars>
          <dgm:chPref val="3"/>
        </dgm:presLayoutVars>
      </dgm:prSet>
      <dgm:spPr/>
    </dgm:pt>
    <dgm:pt modelId="{DD629AE3-3796-0241-B443-27F9F3A19BA4}" type="pres">
      <dgm:prSet presAssocID="{B93F2EFA-FAA0-7049-AFA7-A1A9D7C42618}" presName="hierChild4" presStyleCnt="0"/>
      <dgm:spPr/>
    </dgm:pt>
    <dgm:pt modelId="{EC600654-67CB-944A-891F-6F443B24D6FD}" type="pres">
      <dgm:prSet presAssocID="{13FE9E03-5D12-7E40-891F-269B5532ABFB}" presName="Name17" presStyleLbl="parChTrans1D3" presStyleIdx="1" presStyleCnt="3"/>
      <dgm:spPr/>
    </dgm:pt>
    <dgm:pt modelId="{C00D5691-CD8F-E14E-90D9-5CFFE06079A2}" type="pres">
      <dgm:prSet presAssocID="{9D21AE1F-B349-624E-BBBA-AAD8555A6220}" presName="hierRoot3" presStyleCnt="0"/>
      <dgm:spPr/>
    </dgm:pt>
    <dgm:pt modelId="{99C9CDED-1AED-9643-B412-E70800AFC7A0}" type="pres">
      <dgm:prSet presAssocID="{9D21AE1F-B349-624E-BBBA-AAD8555A6220}" presName="composite3" presStyleCnt="0"/>
      <dgm:spPr/>
    </dgm:pt>
    <dgm:pt modelId="{93431F02-D65A-1A46-96E0-290E51C9A50B}" type="pres">
      <dgm:prSet presAssocID="{9D21AE1F-B349-624E-BBBA-AAD8555A6220}" presName="background3" presStyleLbl="node3" presStyleIdx="1" presStyleCnt="3"/>
      <dgm:spPr/>
    </dgm:pt>
    <dgm:pt modelId="{EC816274-E0E0-A740-90B2-82416D7D1036}" type="pres">
      <dgm:prSet presAssocID="{9D21AE1F-B349-624E-BBBA-AAD8555A6220}" presName="text3" presStyleLbl="fgAcc3" presStyleIdx="1" presStyleCnt="3">
        <dgm:presLayoutVars>
          <dgm:chPref val="3"/>
        </dgm:presLayoutVars>
      </dgm:prSet>
      <dgm:spPr/>
    </dgm:pt>
    <dgm:pt modelId="{E634C4CC-2849-BC4A-8AB1-9E08996D3180}" type="pres">
      <dgm:prSet presAssocID="{9D21AE1F-B349-624E-BBBA-AAD8555A6220}" presName="hierChild4" presStyleCnt="0"/>
      <dgm:spPr/>
    </dgm:pt>
    <dgm:pt modelId="{E2EC1474-13BB-B24C-8234-A75ECC5D6955}" type="pres">
      <dgm:prSet presAssocID="{442216AE-ECCA-E74D-95AE-7056B400F486}" presName="Name17" presStyleLbl="parChTrans1D3" presStyleIdx="2" presStyleCnt="3"/>
      <dgm:spPr/>
    </dgm:pt>
    <dgm:pt modelId="{0A11126E-2EA8-AB46-9ABD-750802690F53}" type="pres">
      <dgm:prSet presAssocID="{D001597F-BAFC-0946-8B74-9A38BA98DFC9}" presName="hierRoot3" presStyleCnt="0"/>
      <dgm:spPr/>
    </dgm:pt>
    <dgm:pt modelId="{08FDCD86-3E00-784C-84E2-59AB9C4279BA}" type="pres">
      <dgm:prSet presAssocID="{D001597F-BAFC-0946-8B74-9A38BA98DFC9}" presName="composite3" presStyleCnt="0"/>
      <dgm:spPr/>
    </dgm:pt>
    <dgm:pt modelId="{07597668-F054-3E43-9EDF-D331C79C3C39}" type="pres">
      <dgm:prSet presAssocID="{D001597F-BAFC-0946-8B74-9A38BA98DFC9}" presName="background3" presStyleLbl="node3" presStyleIdx="2" presStyleCnt="3"/>
      <dgm:spPr/>
    </dgm:pt>
    <dgm:pt modelId="{496377A0-5D52-0E42-BBD7-6980F45FBC50}" type="pres">
      <dgm:prSet presAssocID="{D001597F-BAFC-0946-8B74-9A38BA98DFC9}" presName="text3" presStyleLbl="fgAcc3" presStyleIdx="2" presStyleCnt="3">
        <dgm:presLayoutVars>
          <dgm:chPref val="3"/>
        </dgm:presLayoutVars>
      </dgm:prSet>
      <dgm:spPr/>
    </dgm:pt>
    <dgm:pt modelId="{3FB1A270-665A-D441-AB73-750F4219BA41}" type="pres">
      <dgm:prSet presAssocID="{D001597F-BAFC-0946-8B74-9A38BA98DFC9}" presName="hierChild4" presStyleCnt="0"/>
      <dgm:spPr/>
    </dgm:pt>
    <dgm:pt modelId="{231BBB20-8494-C649-9550-FB76A19BCC07}" type="pres">
      <dgm:prSet presAssocID="{A0F7932C-49EC-924A-BAA0-36A04CC35900}" presName="Name10" presStyleLbl="parChTrans1D2" presStyleIdx="2" presStyleCnt="3"/>
      <dgm:spPr/>
    </dgm:pt>
    <dgm:pt modelId="{3692F25C-9788-2045-89C0-3BCA359260DD}" type="pres">
      <dgm:prSet presAssocID="{DE6C055E-5084-0B40-BECB-290535090C69}" presName="hierRoot2" presStyleCnt="0"/>
      <dgm:spPr/>
    </dgm:pt>
    <dgm:pt modelId="{F9D5E2D7-F892-C241-B364-55A40FF94053}" type="pres">
      <dgm:prSet presAssocID="{DE6C055E-5084-0B40-BECB-290535090C69}" presName="composite2" presStyleCnt="0"/>
      <dgm:spPr/>
    </dgm:pt>
    <dgm:pt modelId="{49CE53C5-51B5-B248-89D3-1C8EE06A09E8}" type="pres">
      <dgm:prSet presAssocID="{DE6C055E-5084-0B40-BECB-290535090C69}" presName="background2" presStyleLbl="node2" presStyleIdx="2" presStyleCnt="3"/>
      <dgm:spPr/>
    </dgm:pt>
    <dgm:pt modelId="{181521A3-B57D-B846-A94C-1AD07B30B7DE}" type="pres">
      <dgm:prSet presAssocID="{DE6C055E-5084-0B40-BECB-290535090C69}" presName="text2" presStyleLbl="fgAcc2" presStyleIdx="2" presStyleCnt="3">
        <dgm:presLayoutVars>
          <dgm:chPref val="3"/>
        </dgm:presLayoutVars>
      </dgm:prSet>
      <dgm:spPr/>
    </dgm:pt>
    <dgm:pt modelId="{D0D09C0B-E244-4E4D-9A3B-D97FC1883EDE}" type="pres">
      <dgm:prSet presAssocID="{DE6C055E-5084-0B40-BECB-290535090C69}" presName="hierChild3" presStyleCnt="0"/>
      <dgm:spPr/>
    </dgm:pt>
  </dgm:ptLst>
  <dgm:cxnLst>
    <dgm:cxn modelId="{8CB1E00D-DC1D-EB45-8AD4-D54C2CDF8C60}" type="presOf" srcId="{117BB29B-AF7D-7043-8BAA-7B43CBB4FB82}" destId="{B96AE2B5-738B-DF4E-9CA6-157B7E8F640B}" srcOrd="0" destOrd="0" presId="urn:microsoft.com/office/officeart/2005/8/layout/hierarchy1"/>
    <dgm:cxn modelId="{C8FA531D-1CB4-E944-96EA-41677ED750D0}" srcId="{4B3F3D12-A940-E744-A6EB-245F7A141D53}" destId="{D001597F-BAFC-0946-8B74-9A38BA98DFC9}" srcOrd="2" destOrd="0" parTransId="{442216AE-ECCA-E74D-95AE-7056B400F486}" sibTransId="{0B3F3A39-DF2F-DA49-AD78-15B939FA216D}"/>
    <dgm:cxn modelId="{F0A28A23-71FC-FC4B-8754-1E8F023CCBA2}" srcId="{4B3F3D12-A940-E744-A6EB-245F7A141D53}" destId="{9D21AE1F-B349-624E-BBBA-AAD8555A6220}" srcOrd="1" destOrd="0" parTransId="{13FE9E03-5D12-7E40-891F-269B5532ABFB}" sibTransId="{C2F9797F-6E6C-1347-A185-E1691DFD2F0D}"/>
    <dgm:cxn modelId="{8C014637-013E-8340-ABEE-794D6FA057E4}" type="presOf" srcId="{C127FFE0-7DA0-F447-B868-A70CE8A78D91}" destId="{4DB8DCD2-BA13-F54F-B4DF-EC4C95948F70}" srcOrd="0" destOrd="0" presId="urn:microsoft.com/office/officeart/2005/8/layout/hierarchy1"/>
    <dgm:cxn modelId="{54576F37-4EF0-0342-AE4D-AF3AE0944A0E}" type="presOf" srcId="{D001597F-BAFC-0946-8B74-9A38BA98DFC9}" destId="{496377A0-5D52-0E42-BBD7-6980F45FBC50}" srcOrd="0" destOrd="0" presId="urn:microsoft.com/office/officeart/2005/8/layout/hierarchy1"/>
    <dgm:cxn modelId="{CF7EFF3C-6681-924F-8640-30ADC0074C8D}" srcId="{4B3F3D12-A940-E744-A6EB-245F7A141D53}" destId="{B93F2EFA-FAA0-7049-AFA7-A1A9D7C42618}" srcOrd="0" destOrd="0" parTransId="{F6EAA074-3FC8-CE4B-90EE-C1619F9C5B70}" sibTransId="{8BBA4B70-08EB-4141-9FED-36E870961481}"/>
    <dgm:cxn modelId="{89CFE544-B5A7-1C40-8D48-657A9BF510C1}" srcId="{7B77E5E6-E98D-2B43-91BC-05769AF10A4A}" destId="{DE6C055E-5084-0B40-BECB-290535090C69}" srcOrd="2" destOrd="0" parTransId="{A0F7932C-49EC-924A-BAA0-36A04CC35900}" sibTransId="{CB309853-04B0-FC4F-A3F3-E0212CCD3378}"/>
    <dgm:cxn modelId="{A8B06445-E928-D94A-8F0E-93A4FE41B5B4}" type="presOf" srcId="{A0F7932C-49EC-924A-BAA0-36A04CC35900}" destId="{231BBB20-8494-C649-9550-FB76A19BCC07}" srcOrd="0" destOrd="0" presId="urn:microsoft.com/office/officeart/2005/8/layout/hierarchy1"/>
    <dgm:cxn modelId="{D5CFBE54-A922-3B41-B683-56FF4242D01E}" type="presOf" srcId="{354D8682-C6A7-8C48-B9F7-93BF23D9519C}" destId="{65D9A8D1-62D3-7D44-AF79-A52854D0F8B9}" srcOrd="0" destOrd="0" presId="urn:microsoft.com/office/officeart/2005/8/layout/hierarchy1"/>
    <dgm:cxn modelId="{6022C162-FD1B-6140-86F9-DBD064C3E189}" type="presOf" srcId="{C74E8855-8C9D-F04C-B122-048C6D244D75}" destId="{AE83104B-934C-F141-B41F-E31466A41B8E}" srcOrd="0" destOrd="0" presId="urn:microsoft.com/office/officeart/2005/8/layout/hierarchy1"/>
    <dgm:cxn modelId="{B7D8E676-F1E7-584A-A38B-3112E509A75B}" type="presOf" srcId="{442216AE-ECCA-E74D-95AE-7056B400F486}" destId="{E2EC1474-13BB-B24C-8234-A75ECC5D6955}" srcOrd="0" destOrd="0" presId="urn:microsoft.com/office/officeart/2005/8/layout/hierarchy1"/>
    <dgm:cxn modelId="{CE22B192-12B7-7348-A33B-7D567803FB92}" type="presOf" srcId="{9D21AE1F-B349-624E-BBBA-AAD8555A6220}" destId="{EC816274-E0E0-A740-90B2-82416D7D1036}" srcOrd="0" destOrd="0" presId="urn:microsoft.com/office/officeart/2005/8/layout/hierarchy1"/>
    <dgm:cxn modelId="{02AEA69E-8F47-514B-B5D4-80AA9245775F}" srcId="{7B77E5E6-E98D-2B43-91BC-05769AF10A4A}" destId="{4B3F3D12-A940-E744-A6EB-245F7A141D53}" srcOrd="1" destOrd="0" parTransId="{354D8682-C6A7-8C48-B9F7-93BF23D9519C}" sibTransId="{C7B358A3-EFF2-2D4C-A4AF-5261878F5751}"/>
    <dgm:cxn modelId="{3D95A1AE-4332-6745-8493-9AB07D9BA89D}" type="presOf" srcId="{13FE9E03-5D12-7E40-891F-269B5532ABFB}" destId="{EC600654-67CB-944A-891F-6F443B24D6FD}" srcOrd="0" destOrd="0" presId="urn:microsoft.com/office/officeart/2005/8/layout/hierarchy1"/>
    <dgm:cxn modelId="{E5688FAF-5B3B-E941-9FA4-077A309A42AF}" type="presOf" srcId="{7B77E5E6-E98D-2B43-91BC-05769AF10A4A}" destId="{3FA98399-3081-B44C-B185-E2808F754C54}" srcOrd="0" destOrd="0" presId="urn:microsoft.com/office/officeart/2005/8/layout/hierarchy1"/>
    <dgm:cxn modelId="{1ACA1BBD-2B0F-834D-B9F0-1238FE56DA4B}" srcId="{C74E8855-8C9D-F04C-B122-048C6D244D75}" destId="{7B77E5E6-E98D-2B43-91BC-05769AF10A4A}" srcOrd="0" destOrd="0" parTransId="{7F4B58ED-2EB8-324E-84AF-8873798BE420}" sibTransId="{76A1AC68-F7B7-2D4D-9470-CEB0D02C988A}"/>
    <dgm:cxn modelId="{91ACCCC4-8546-0B45-8C91-E452973CE971}" srcId="{7B77E5E6-E98D-2B43-91BC-05769AF10A4A}" destId="{117BB29B-AF7D-7043-8BAA-7B43CBB4FB82}" srcOrd="0" destOrd="0" parTransId="{C127FFE0-7DA0-F447-B868-A70CE8A78D91}" sibTransId="{3114C935-1295-624F-AF51-B96B49DD886B}"/>
    <dgm:cxn modelId="{FEBF96D9-0CB5-514B-ADCE-133A02BB2E54}" type="presOf" srcId="{F6EAA074-3FC8-CE4B-90EE-C1619F9C5B70}" destId="{E012FE5B-A579-8947-8E86-7217EA8E4C52}" srcOrd="0" destOrd="0" presId="urn:microsoft.com/office/officeart/2005/8/layout/hierarchy1"/>
    <dgm:cxn modelId="{9CAAD5E0-C52B-9E4E-9F27-06319DA9A260}" type="presOf" srcId="{4B3F3D12-A940-E744-A6EB-245F7A141D53}" destId="{97B9BDAB-F6FB-7D43-A9E4-F183C25373AD}" srcOrd="0" destOrd="0" presId="urn:microsoft.com/office/officeart/2005/8/layout/hierarchy1"/>
    <dgm:cxn modelId="{D07B91E3-BE7C-2E47-B0E0-B5765F9DADCC}" type="presOf" srcId="{B93F2EFA-FAA0-7049-AFA7-A1A9D7C42618}" destId="{4FD46659-3258-6F4B-963D-3A48E8832FA1}" srcOrd="0" destOrd="0" presId="urn:microsoft.com/office/officeart/2005/8/layout/hierarchy1"/>
    <dgm:cxn modelId="{39AB10FA-F24B-A947-8CA6-8A7EE5208EDB}" type="presOf" srcId="{DE6C055E-5084-0B40-BECB-290535090C69}" destId="{181521A3-B57D-B846-A94C-1AD07B30B7DE}" srcOrd="0" destOrd="0" presId="urn:microsoft.com/office/officeart/2005/8/layout/hierarchy1"/>
    <dgm:cxn modelId="{1C60D9EB-0199-DC44-A726-670BB437DD58}" type="presParOf" srcId="{AE83104B-934C-F141-B41F-E31466A41B8E}" destId="{F796AA87-F4E6-3347-84B8-4476CE4B0795}" srcOrd="0" destOrd="0" presId="urn:microsoft.com/office/officeart/2005/8/layout/hierarchy1"/>
    <dgm:cxn modelId="{8E027A44-8E48-304E-83A3-9EF6D93393D1}" type="presParOf" srcId="{F796AA87-F4E6-3347-84B8-4476CE4B0795}" destId="{F9FDA0B5-5364-6A4F-923D-9E69BCA53D25}" srcOrd="0" destOrd="0" presId="urn:microsoft.com/office/officeart/2005/8/layout/hierarchy1"/>
    <dgm:cxn modelId="{07696263-AE66-004E-9B7F-CA5D18FEDBEB}" type="presParOf" srcId="{F9FDA0B5-5364-6A4F-923D-9E69BCA53D25}" destId="{BE8F4FB6-E1B2-3D42-8996-A8674287C778}" srcOrd="0" destOrd="0" presId="urn:microsoft.com/office/officeart/2005/8/layout/hierarchy1"/>
    <dgm:cxn modelId="{34B76C86-EC79-FF4C-818A-C281F76B5B4B}" type="presParOf" srcId="{F9FDA0B5-5364-6A4F-923D-9E69BCA53D25}" destId="{3FA98399-3081-B44C-B185-E2808F754C54}" srcOrd="1" destOrd="0" presId="urn:microsoft.com/office/officeart/2005/8/layout/hierarchy1"/>
    <dgm:cxn modelId="{B2C4DE81-6739-9141-8585-B9710F911678}" type="presParOf" srcId="{F796AA87-F4E6-3347-84B8-4476CE4B0795}" destId="{F03303C2-3975-7D43-B462-3F8087250C18}" srcOrd="1" destOrd="0" presId="urn:microsoft.com/office/officeart/2005/8/layout/hierarchy1"/>
    <dgm:cxn modelId="{73A28BB2-AF4E-5D42-9F48-F9AE15ACF267}" type="presParOf" srcId="{F03303C2-3975-7D43-B462-3F8087250C18}" destId="{4DB8DCD2-BA13-F54F-B4DF-EC4C95948F70}" srcOrd="0" destOrd="0" presId="urn:microsoft.com/office/officeart/2005/8/layout/hierarchy1"/>
    <dgm:cxn modelId="{E2EC3B1C-4F6D-2E4E-9104-B11501C501DF}" type="presParOf" srcId="{F03303C2-3975-7D43-B462-3F8087250C18}" destId="{B22B5447-FC72-D542-9067-F0311C48B55E}" srcOrd="1" destOrd="0" presId="urn:microsoft.com/office/officeart/2005/8/layout/hierarchy1"/>
    <dgm:cxn modelId="{B939494D-2DFA-AB4F-8263-B95B55449EC8}" type="presParOf" srcId="{B22B5447-FC72-D542-9067-F0311C48B55E}" destId="{7A6C0126-D3FE-1A4B-9210-623DCB05FBBF}" srcOrd="0" destOrd="0" presId="urn:microsoft.com/office/officeart/2005/8/layout/hierarchy1"/>
    <dgm:cxn modelId="{CB1583EE-4AF7-504A-884F-78A27B569393}" type="presParOf" srcId="{7A6C0126-D3FE-1A4B-9210-623DCB05FBBF}" destId="{CAAA1266-81E1-1647-8928-448F9ACB8836}" srcOrd="0" destOrd="0" presId="urn:microsoft.com/office/officeart/2005/8/layout/hierarchy1"/>
    <dgm:cxn modelId="{57942D34-4053-8944-842C-EA337B929BE6}" type="presParOf" srcId="{7A6C0126-D3FE-1A4B-9210-623DCB05FBBF}" destId="{B96AE2B5-738B-DF4E-9CA6-157B7E8F640B}" srcOrd="1" destOrd="0" presId="urn:microsoft.com/office/officeart/2005/8/layout/hierarchy1"/>
    <dgm:cxn modelId="{EBBAD6B5-0F2F-BC41-A912-8052F642CB09}" type="presParOf" srcId="{B22B5447-FC72-D542-9067-F0311C48B55E}" destId="{D6671554-6D6E-B941-B7C5-4B20B7A95896}" srcOrd="1" destOrd="0" presId="urn:microsoft.com/office/officeart/2005/8/layout/hierarchy1"/>
    <dgm:cxn modelId="{402E3614-CFCF-B748-B21F-19A94240D2A4}" type="presParOf" srcId="{F03303C2-3975-7D43-B462-3F8087250C18}" destId="{65D9A8D1-62D3-7D44-AF79-A52854D0F8B9}" srcOrd="2" destOrd="0" presId="urn:microsoft.com/office/officeart/2005/8/layout/hierarchy1"/>
    <dgm:cxn modelId="{F24423FE-4708-B946-ACCF-1726286729A9}" type="presParOf" srcId="{F03303C2-3975-7D43-B462-3F8087250C18}" destId="{580E20E6-CE65-D04F-A95B-836057EB28E0}" srcOrd="3" destOrd="0" presId="urn:microsoft.com/office/officeart/2005/8/layout/hierarchy1"/>
    <dgm:cxn modelId="{A1BD7A64-AF53-5949-814E-AB8858D89CBE}" type="presParOf" srcId="{580E20E6-CE65-D04F-A95B-836057EB28E0}" destId="{90353786-EC45-4248-9D9E-E67087743D0F}" srcOrd="0" destOrd="0" presId="urn:microsoft.com/office/officeart/2005/8/layout/hierarchy1"/>
    <dgm:cxn modelId="{98C87614-C6B7-A34D-A37B-3617C7BCA32E}" type="presParOf" srcId="{90353786-EC45-4248-9D9E-E67087743D0F}" destId="{8FA949FC-4B5B-5C4A-A310-054BAA318A66}" srcOrd="0" destOrd="0" presId="urn:microsoft.com/office/officeart/2005/8/layout/hierarchy1"/>
    <dgm:cxn modelId="{293E9699-23D1-A14E-9A05-14A72D46A4A5}" type="presParOf" srcId="{90353786-EC45-4248-9D9E-E67087743D0F}" destId="{97B9BDAB-F6FB-7D43-A9E4-F183C25373AD}" srcOrd="1" destOrd="0" presId="urn:microsoft.com/office/officeart/2005/8/layout/hierarchy1"/>
    <dgm:cxn modelId="{C7FB54A8-D99F-3245-ADBD-10825D395B6D}" type="presParOf" srcId="{580E20E6-CE65-D04F-A95B-836057EB28E0}" destId="{474FECE9-C62F-7048-A39E-913089D0B1DF}" srcOrd="1" destOrd="0" presId="urn:microsoft.com/office/officeart/2005/8/layout/hierarchy1"/>
    <dgm:cxn modelId="{6B36DFAF-E607-CD40-A539-1F15862D484C}" type="presParOf" srcId="{474FECE9-C62F-7048-A39E-913089D0B1DF}" destId="{E012FE5B-A579-8947-8E86-7217EA8E4C52}" srcOrd="0" destOrd="0" presId="urn:microsoft.com/office/officeart/2005/8/layout/hierarchy1"/>
    <dgm:cxn modelId="{43542A0C-D000-6540-8B2E-64FA664E0A0B}" type="presParOf" srcId="{474FECE9-C62F-7048-A39E-913089D0B1DF}" destId="{45AAD202-1802-F744-9A40-E33EBD6334A2}" srcOrd="1" destOrd="0" presId="urn:microsoft.com/office/officeart/2005/8/layout/hierarchy1"/>
    <dgm:cxn modelId="{7DCFE96D-9E3E-8044-9937-3BCFE57EC104}" type="presParOf" srcId="{45AAD202-1802-F744-9A40-E33EBD6334A2}" destId="{CFADC6A8-F51D-CF42-86D4-07E115EC0721}" srcOrd="0" destOrd="0" presId="urn:microsoft.com/office/officeart/2005/8/layout/hierarchy1"/>
    <dgm:cxn modelId="{18617B8C-D213-E646-B3E9-66A37ECC997B}" type="presParOf" srcId="{CFADC6A8-F51D-CF42-86D4-07E115EC0721}" destId="{2952B6BC-9376-9947-A412-CD7C4D440FC1}" srcOrd="0" destOrd="0" presId="urn:microsoft.com/office/officeart/2005/8/layout/hierarchy1"/>
    <dgm:cxn modelId="{0E01F75B-A1EA-4745-8DDC-FF9ED0AA51C2}" type="presParOf" srcId="{CFADC6A8-F51D-CF42-86D4-07E115EC0721}" destId="{4FD46659-3258-6F4B-963D-3A48E8832FA1}" srcOrd="1" destOrd="0" presId="urn:microsoft.com/office/officeart/2005/8/layout/hierarchy1"/>
    <dgm:cxn modelId="{64AFB500-4FBB-9A45-A6DA-7D38076F31D3}" type="presParOf" srcId="{45AAD202-1802-F744-9A40-E33EBD6334A2}" destId="{DD629AE3-3796-0241-B443-27F9F3A19BA4}" srcOrd="1" destOrd="0" presId="urn:microsoft.com/office/officeart/2005/8/layout/hierarchy1"/>
    <dgm:cxn modelId="{1A57CEAE-1C0D-6F48-A608-937D48B4C9D1}" type="presParOf" srcId="{474FECE9-C62F-7048-A39E-913089D0B1DF}" destId="{EC600654-67CB-944A-891F-6F443B24D6FD}" srcOrd="2" destOrd="0" presId="urn:microsoft.com/office/officeart/2005/8/layout/hierarchy1"/>
    <dgm:cxn modelId="{9CFFA4A2-FAD8-A942-AB38-5453B4B22B3D}" type="presParOf" srcId="{474FECE9-C62F-7048-A39E-913089D0B1DF}" destId="{C00D5691-CD8F-E14E-90D9-5CFFE06079A2}" srcOrd="3" destOrd="0" presId="urn:microsoft.com/office/officeart/2005/8/layout/hierarchy1"/>
    <dgm:cxn modelId="{62046910-67A7-944F-8544-34E9619214F9}" type="presParOf" srcId="{C00D5691-CD8F-E14E-90D9-5CFFE06079A2}" destId="{99C9CDED-1AED-9643-B412-E70800AFC7A0}" srcOrd="0" destOrd="0" presId="urn:microsoft.com/office/officeart/2005/8/layout/hierarchy1"/>
    <dgm:cxn modelId="{383C3C9C-7437-B848-A1C8-F81A83267985}" type="presParOf" srcId="{99C9CDED-1AED-9643-B412-E70800AFC7A0}" destId="{93431F02-D65A-1A46-96E0-290E51C9A50B}" srcOrd="0" destOrd="0" presId="urn:microsoft.com/office/officeart/2005/8/layout/hierarchy1"/>
    <dgm:cxn modelId="{36B03345-428F-C849-AAD2-3F8ACDD71653}" type="presParOf" srcId="{99C9CDED-1AED-9643-B412-E70800AFC7A0}" destId="{EC816274-E0E0-A740-90B2-82416D7D1036}" srcOrd="1" destOrd="0" presId="urn:microsoft.com/office/officeart/2005/8/layout/hierarchy1"/>
    <dgm:cxn modelId="{07C03654-1FB1-4D49-B5A6-B65F7F2C8563}" type="presParOf" srcId="{C00D5691-CD8F-E14E-90D9-5CFFE06079A2}" destId="{E634C4CC-2849-BC4A-8AB1-9E08996D3180}" srcOrd="1" destOrd="0" presId="urn:microsoft.com/office/officeart/2005/8/layout/hierarchy1"/>
    <dgm:cxn modelId="{61A6ED34-B574-9842-B12F-03D6DBB7253D}" type="presParOf" srcId="{474FECE9-C62F-7048-A39E-913089D0B1DF}" destId="{E2EC1474-13BB-B24C-8234-A75ECC5D6955}" srcOrd="4" destOrd="0" presId="urn:microsoft.com/office/officeart/2005/8/layout/hierarchy1"/>
    <dgm:cxn modelId="{56542C2D-F1AB-C641-AA21-87B19619C36A}" type="presParOf" srcId="{474FECE9-C62F-7048-A39E-913089D0B1DF}" destId="{0A11126E-2EA8-AB46-9ABD-750802690F53}" srcOrd="5" destOrd="0" presId="urn:microsoft.com/office/officeart/2005/8/layout/hierarchy1"/>
    <dgm:cxn modelId="{E582D64A-9635-F04B-A069-CB8101D525C8}" type="presParOf" srcId="{0A11126E-2EA8-AB46-9ABD-750802690F53}" destId="{08FDCD86-3E00-784C-84E2-59AB9C4279BA}" srcOrd="0" destOrd="0" presId="urn:microsoft.com/office/officeart/2005/8/layout/hierarchy1"/>
    <dgm:cxn modelId="{3E3663B7-931E-B048-A0FB-900BE8333281}" type="presParOf" srcId="{08FDCD86-3E00-784C-84E2-59AB9C4279BA}" destId="{07597668-F054-3E43-9EDF-D331C79C3C39}" srcOrd="0" destOrd="0" presId="urn:microsoft.com/office/officeart/2005/8/layout/hierarchy1"/>
    <dgm:cxn modelId="{14F8598B-06D7-B345-B1EF-46D643C7CFAA}" type="presParOf" srcId="{08FDCD86-3E00-784C-84E2-59AB9C4279BA}" destId="{496377A0-5D52-0E42-BBD7-6980F45FBC50}" srcOrd="1" destOrd="0" presId="urn:microsoft.com/office/officeart/2005/8/layout/hierarchy1"/>
    <dgm:cxn modelId="{BE7D967B-E871-2748-8ABA-7E94C9B03B42}" type="presParOf" srcId="{0A11126E-2EA8-AB46-9ABD-750802690F53}" destId="{3FB1A270-665A-D441-AB73-750F4219BA41}" srcOrd="1" destOrd="0" presId="urn:microsoft.com/office/officeart/2005/8/layout/hierarchy1"/>
    <dgm:cxn modelId="{BDE55BBC-CEF5-A44B-8EB0-DB495EAB5798}" type="presParOf" srcId="{F03303C2-3975-7D43-B462-3F8087250C18}" destId="{231BBB20-8494-C649-9550-FB76A19BCC07}" srcOrd="4" destOrd="0" presId="urn:microsoft.com/office/officeart/2005/8/layout/hierarchy1"/>
    <dgm:cxn modelId="{D29908EE-CBC4-F84A-95C4-89817834BD09}" type="presParOf" srcId="{F03303C2-3975-7D43-B462-3F8087250C18}" destId="{3692F25C-9788-2045-89C0-3BCA359260DD}" srcOrd="5" destOrd="0" presId="urn:microsoft.com/office/officeart/2005/8/layout/hierarchy1"/>
    <dgm:cxn modelId="{6F92AABE-ABAC-3D49-B22A-60C173E31F74}" type="presParOf" srcId="{3692F25C-9788-2045-89C0-3BCA359260DD}" destId="{F9D5E2D7-F892-C241-B364-55A40FF94053}" srcOrd="0" destOrd="0" presId="urn:microsoft.com/office/officeart/2005/8/layout/hierarchy1"/>
    <dgm:cxn modelId="{586146F6-707B-A044-A537-248E2EB33CCF}" type="presParOf" srcId="{F9D5E2D7-F892-C241-B364-55A40FF94053}" destId="{49CE53C5-51B5-B248-89D3-1C8EE06A09E8}" srcOrd="0" destOrd="0" presId="urn:microsoft.com/office/officeart/2005/8/layout/hierarchy1"/>
    <dgm:cxn modelId="{B9A57B0C-6D95-C546-A03E-642436E53172}" type="presParOf" srcId="{F9D5E2D7-F892-C241-B364-55A40FF94053}" destId="{181521A3-B57D-B846-A94C-1AD07B30B7DE}" srcOrd="1" destOrd="0" presId="urn:microsoft.com/office/officeart/2005/8/layout/hierarchy1"/>
    <dgm:cxn modelId="{37008A1B-1B3B-7142-BC7F-1483697A94E5}" type="presParOf" srcId="{3692F25C-9788-2045-89C0-3BCA359260DD}" destId="{D0D09C0B-E244-4E4D-9A3B-D97FC1883EDE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1BBB20-8494-C649-9550-FB76A19BCC07}">
      <dsp:nvSpPr>
        <dsp:cNvPr id="0" name=""/>
        <dsp:cNvSpPr/>
      </dsp:nvSpPr>
      <dsp:spPr>
        <a:xfrm>
          <a:off x="3082701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477"/>
              </a:lnTo>
              <a:lnTo>
                <a:pt x="1532307" y="248477"/>
              </a:lnTo>
              <a:lnTo>
                <a:pt x="1532307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EC1474-13BB-B24C-8234-A75ECC5D6955}">
      <dsp:nvSpPr>
        <dsp:cNvPr id="0" name=""/>
        <dsp:cNvSpPr/>
      </dsp:nvSpPr>
      <dsp:spPr>
        <a:xfrm>
          <a:off x="2906455" y="1883979"/>
          <a:ext cx="1708553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08553" y="323040"/>
              </a:lnTo>
              <a:lnTo>
                <a:pt x="1708553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600654-67CB-944A-891F-6F443B24D6FD}">
      <dsp:nvSpPr>
        <dsp:cNvPr id="0" name=""/>
        <dsp:cNvSpPr/>
      </dsp:nvSpPr>
      <dsp:spPr>
        <a:xfrm>
          <a:off x="2906455" y="1883979"/>
          <a:ext cx="176246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6246" y="323040"/>
              </a:lnTo>
              <a:lnTo>
                <a:pt x="176246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12FE5B-A579-8947-8E86-7217EA8E4C52}">
      <dsp:nvSpPr>
        <dsp:cNvPr id="0" name=""/>
        <dsp:cNvSpPr/>
      </dsp:nvSpPr>
      <dsp:spPr>
        <a:xfrm>
          <a:off x="1550393" y="1883979"/>
          <a:ext cx="1356061" cy="439182"/>
        </a:xfrm>
        <a:custGeom>
          <a:avLst/>
          <a:gdLst/>
          <a:ahLst/>
          <a:cxnLst/>
          <a:rect l="0" t="0" r="0" b="0"/>
          <a:pathLst>
            <a:path>
              <a:moveTo>
                <a:pt x="1356061" y="0"/>
              </a:moveTo>
              <a:lnTo>
                <a:pt x="1356061" y="323040"/>
              </a:lnTo>
              <a:lnTo>
                <a:pt x="0" y="323040"/>
              </a:lnTo>
              <a:lnTo>
                <a:pt x="0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9A8D1-62D3-7D44-AF79-A52854D0F8B9}">
      <dsp:nvSpPr>
        <dsp:cNvPr id="0" name=""/>
        <dsp:cNvSpPr/>
      </dsp:nvSpPr>
      <dsp:spPr>
        <a:xfrm>
          <a:off x="2906455" y="797819"/>
          <a:ext cx="176246" cy="290056"/>
        </a:xfrm>
        <a:custGeom>
          <a:avLst/>
          <a:gdLst/>
          <a:ahLst/>
          <a:cxnLst/>
          <a:rect l="0" t="0" r="0" b="0"/>
          <a:pathLst>
            <a:path>
              <a:moveTo>
                <a:pt x="176246" y="0"/>
              </a:moveTo>
              <a:lnTo>
                <a:pt x="176246" y="173914"/>
              </a:lnTo>
              <a:lnTo>
                <a:pt x="0" y="173914"/>
              </a:lnTo>
              <a:lnTo>
                <a:pt x="0" y="29005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B8DCD2-BA13-F54F-B4DF-EC4C95948F70}">
      <dsp:nvSpPr>
        <dsp:cNvPr id="0" name=""/>
        <dsp:cNvSpPr/>
      </dsp:nvSpPr>
      <dsp:spPr>
        <a:xfrm>
          <a:off x="1550393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1532307" y="0"/>
              </a:moveTo>
              <a:lnTo>
                <a:pt x="1532307" y="248477"/>
              </a:lnTo>
              <a:lnTo>
                <a:pt x="0" y="248477"/>
              </a:lnTo>
              <a:lnTo>
                <a:pt x="0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8F4FB6-E1B2-3D42-8996-A8674287C778}">
      <dsp:nvSpPr>
        <dsp:cNvPr id="0" name=""/>
        <dsp:cNvSpPr/>
      </dsp:nvSpPr>
      <dsp:spPr>
        <a:xfrm>
          <a:off x="2455848" y="171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A98399-3081-B44C-B185-E2808F754C54}">
      <dsp:nvSpPr>
        <dsp:cNvPr id="0" name=""/>
        <dsp:cNvSpPr/>
      </dsp:nvSpPr>
      <dsp:spPr>
        <a:xfrm>
          <a:off x="2595148" y="13405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ROE  (20.91%)</a:t>
          </a:r>
        </a:p>
      </dsp:txBody>
      <dsp:txXfrm>
        <a:off x="2618465" y="157368"/>
        <a:ext cx="1207072" cy="749469"/>
      </dsp:txXfrm>
    </dsp:sp>
    <dsp:sp modelId="{CAAA1266-81E1-1647-8928-448F9ACB8836}">
      <dsp:nvSpPr>
        <dsp:cNvPr id="0" name=""/>
        <dsp:cNvSpPr/>
      </dsp:nvSpPr>
      <dsp:spPr>
        <a:xfrm>
          <a:off x="923540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96AE2B5-738B-DF4E-9CA6-157B7E8F640B}">
      <dsp:nvSpPr>
        <dsp:cNvPr id="0" name=""/>
        <dsp:cNvSpPr/>
      </dsp:nvSpPr>
      <dsp:spPr>
        <a:xfrm>
          <a:off x="1062841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Asset Turnover  (0.46)</a:t>
          </a:r>
        </a:p>
      </dsp:txBody>
      <dsp:txXfrm>
        <a:off x="1086158" y="1318091"/>
        <a:ext cx="1207072" cy="749469"/>
      </dsp:txXfrm>
    </dsp:sp>
    <dsp:sp modelId="{8FA949FC-4B5B-5C4A-A310-054BAA318A66}">
      <dsp:nvSpPr>
        <dsp:cNvPr id="0" name=""/>
        <dsp:cNvSpPr/>
      </dsp:nvSpPr>
      <dsp:spPr>
        <a:xfrm>
          <a:off x="2279602" y="108787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7B9BDAB-F6FB-7D43-A9E4-F183C25373AD}">
      <dsp:nvSpPr>
        <dsp:cNvPr id="0" name=""/>
        <dsp:cNvSpPr/>
      </dsp:nvSpPr>
      <dsp:spPr>
        <a:xfrm>
          <a:off x="2418902" y="122021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Net Profit Margin  (19.2%)</a:t>
          </a:r>
        </a:p>
      </dsp:txBody>
      <dsp:txXfrm>
        <a:off x="2442219" y="1243528"/>
        <a:ext cx="1207072" cy="749469"/>
      </dsp:txXfrm>
    </dsp:sp>
    <dsp:sp modelId="{2952B6BC-9376-9947-A412-CD7C4D440FC1}">
      <dsp:nvSpPr>
        <dsp:cNvPr id="0" name=""/>
        <dsp:cNvSpPr/>
      </dsp:nvSpPr>
      <dsp:spPr>
        <a:xfrm>
          <a:off x="923540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D46659-3258-6F4B-963D-3A48E8832FA1}">
      <dsp:nvSpPr>
        <dsp:cNvPr id="0" name=""/>
        <dsp:cNvSpPr/>
      </dsp:nvSpPr>
      <dsp:spPr>
        <a:xfrm>
          <a:off x="1062841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Operating Margin (31.37%)</a:t>
          </a:r>
          <a:endParaRPr lang="en-GB" sz="1300" kern="1200"/>
        </a:p>
      </dsp:txBody>
      <dsp:txXfrm>
        <a:off x="1086158" y="2478814"/>
        <a:ext cx="1207072" cy="749469"/>
      </dsp:txXfrm>
    </dsp:sp>
    <dsp:sp modelId="{93431F02-D65A-1A46-96E0-290E51C9A50B}">
      <dsp:nvSpPr>
        <dsp:cNvPr id="0" name=""/>
        <dsp:cNvSpPr/>
      </dsp:nvSpPr>
      <dsp:spPr>
        <a:xfrm>
          <a:off x="2455848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C816274-E0E0-A740-90B2-82416D7D1036}">
      <dsp:nvSpPr>
        <dsp:cNvPr id="0" name=""/>
        <dsp:cNvSpPr/>
      </dsp:nvSpPr>
      <dsp:spPr>
        <a:xfrm>
          <a:off x="2595148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(EBT/EBIT) Interest burden (0.88)</a:t>
          </a:r>
          <a:endParaRPr lang="en-GB" sz="1200" kern="1200"/>
        </a:p>
      </dsp:txBody>
      <dsp:txXfrm>
        <a:off x="2618465" y="2478814"/>
        <a:ext cx="1207072" cy="749469"/>
      </dsp:txXfrm>
    </dsp:sp>
    <dsp:sp modelId="{07597668-F054-3E43-9EDF-D331C79C3C39}">
      <dsp:nvSpPr>
        <dsp:cNvPr id="0" name=""/>
        <dsp:cNvSpPr/>
      </dsp:nvSpPr>
      <dsp:spPr>
        <a:xfrm>
          <a:off x="3988155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6377A0-5D52-0E42-BBD7-6980F45FBC50}">
      <dsp:nvSpPr>
        <dsp:cNvPr id="0" name=""/>
        <dsp:cNvSpPr/>
      </dsp:nvSpPr>
      <dsp:spPr>
        <a:xfrm>
          <a:off x="4127456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(NI/EBT)               Tax burd</a:t>
          </a:r>
          <a:r>
            <a:rPr lang="en-GB" sz="1200" kern="1200"/>
            <a:t>en   </a:t>
          </a:r>
          <a:r>
            <a:rPr lang="en-GB" sz="1100" kern="1200"/>
            <a:t>(0.73)</a:t>
          </a:r>
          <a:endParaRPr lang="en-GB" sz="1200" kern="1200"/>
        </a:p>
      </dsp:txBody>
      <dsp:txXfrm>
        <a:off x="4150773" y="2478814"/>
        <a:ext cx="1207072" cy="749469"/>
      </dsp:txXfrm>
    </dsp:sp>
    <dsp:sp modelId="{49CE53C5-51B5-B248-89D3-1C8EE06A09E8}">
      <dsp:nvSpPr>
        <dsp:cNvPr id="0" name=""/>
        <dsp:cNvSpPr/>
      </dsp:nvSpPr>
      <dsp:spPr>
        <a:xfrm>
          <a:off x="3988155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1521A3-B57D-B846-A94C-1AD07B30B7DE}">
      <dsp:nvSpPr>
        <dsp:cNvPr id="0" name=""/>
        <dsp:cNvSpPr/>
      </dsp:nvSpPr>
      <dsp:spPr>
        <a:xfrm>
          <a:off x="4127456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Financial leverage ratio (2.33)</a:t>
          </a:r>
        </a:p>
      </dsp:txBody>
      <dsp:txXfrm>
        <a:off x="4150773" y="1318091"/>
        <a:ext cx="1207072" cy="7494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72</xdr:row>
      <xdr:rowOff>135081</xdr:rowOff>
    </xdr:from>
    <xdr:to>
      <xdr:col>14</xdr:col>
      <xdr:colOff>191655</xdr:colOff>
      <xdr:row>112</xdr:row>
      <xdr:rowOff>34634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128B-6233-B64F-9DE5-A8F4B7D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189182</xdr:colOff>
      <xdr:row>40</xdr:row>
      <xdr:rowOff>118094</xdr:rowOff>
    </xdr:from>
    <xdr:to>
      <xdr:col>13</xdr:col>
      <xdr:colOff>487218</xdr:colOff>
      <xdr:row>67</xdr:row>
      <xdr:rowOff>164111</xdr:rowOff>
    </xdr:to>
    <xdr:graphicFrame macro="">
      <xdr:nvGraphicFramePr>
        <xdr:cNvPr id="3" name="Chart 2" descr="2024 2025&#10;">
          <a:extLst>
            <a:ext uri="{FF2B5EF4-FFF2-40B4-BE49-F238E27FC236}">
              <a16:creationId xmlns:a16="http://schemas.microsoft.com/office/drawing/2014/main" id="{E3535486-BF57-9D4D-A181-403EF4E8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1536700</xdr:colOff>
      <xdr:row>6</xdr:row>
      <xdr:rowOff>25400</xdr:rowOff>
    </xdr:from>
    <xdr:to>
      <xdr:col>8</xdr:col>
      <xdr:colOff>914400</xdr:colOff>
      <xdr:row>36</xdr:row>
      <xdr:rowOff>25400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7F190D6-06A6-7541-B7BE-44990C24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18</xdr:col>
      <xdr:colOff>602403</xdr:colOff>
      <xdr:row>23</xdr:row>
      <xdr:rowOff>78317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05AA66-D767-E1B7-EC88-875D407B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88900</xdr:rowOff>
    </xdr:from>
    <xdr:to>
      <xdr:col>17</xdr:col>
      <xdr:colOff>622300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A504-6968-6B0C-2C92-CAEC10F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25400</xdr:rowOff>
    </xdr:from>
    <xdr:to>
      <xdr:col>18</xdr:col>
      <xdr:colOff>50800</xdr:colOff>
      <xdr:row>27</xdr:row>
      <xdr:rowOff>393700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18675-B601-703E-6C9F-C9663CB3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29</xdr:row>
      <xdr:rowOff>0</xdr:rowOff>
    </xdr:from>
    <xdr:to>
      <xdr:col>18</xdr:col>
      <xdr:colOff>63500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A3375-3FDF-142B-C0C3-8E8A38BD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127000</xdr:rowOff>
    </xdr:from>
    <xdr:to>
      <xdr:col>21</xdr:col>
      <xdr:colOff>393700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82313-29EA-C44D-AE21-EC02FF937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6</xdr:row>
      <xdr:rowOff>139700</xdr:rowOff>
    </xdr:from>
    <xdr:to>
      <xdr:col>12</xdr:col>
      <xdr:colOff>76200</xdr:colOff>
      <xdr:row>32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ED99B6-5AA2-574A-845B-7CF9D3ECD653}"/>
            </a:ext>
          </a:extLst>
        </xdr:cNvPr>
        <xdr:cNvCxnSpPr/>
      </xdr:nvCxnSpPr>
      <xdr:spPr>
        <a:xfrm>
          <a:off x="9652000" y="1130300"/>
          <a:ext cx="0" cy="4203700"/>
        </a:xfrm>
        <a:prstGeom prst="line">
          <a:avLst/>
        </a:prstGeom>
        <a:ln w="158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5</xdr:row>
      <xdr:rowOff>38100</xdr:rowOff>
    </xdr:from>
    <xdr:to>
      <xdr:col>9</xdr:col>
      <xdr:colOff>165100</xdr:colOff>
      <xdr:row>7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063C3F-4D64-A144-9603-7F2CCC606DC5}"/>
            </a:ext>
          </a:extLst>
        </xdr:cNvPr>
        <xdr:cNvSpPr txBox="1"/>
      </xdr:nvSpPr>
      <xdr:spPr>
        <a:xfrm>
          <a:off x="5969000" y="863600"/>
          <a:ext cx="16764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    Comparable</a:t>
          </a:r>
          <a:r>
            <a:rPr lang="en-GB" sz="1100" baseline="0"/>
            <a:t> Valuation</a:t>
          </a:r>
          <a:endParaRPr lang="en-GB" sz="1100"/>
        </a:p>
      </xdr:txBody>
    </xdr:sp>
    <xdr:clientData/>
  </xdr:twoCellAnchor>
  <xdr:twoCellAnchor>
    <xdr:from>
      <xdr:col>15</xdr:col>
      <xdr:colOff>38100</xdr:colOff>
      <xdr:row>6</xdr:row>
      <xdr:rowOff>139700</xdr:rowOff>
    </xdr:from>
    <xdr:to>
      <xdr:col>15</xdr:col>
      <xdr:colOff>38100</xdr:colOff>
      <xdr:row>32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9A1A07D-5D5E-1B45-946C-AF920144744E}"/>
            </a:ext>
          </a:extLst>
        </xdr:cNvPr>
        <xdr:cNvCxnSpPr/>
      </xdr:nvCxnSpPr>
      <xdr:spPr>
        <a:xfrm>
          <a:off x="11709400" y="1130300"/>
          <a:ext cx="0" cy="4203700"/>
        </a:xfrm>
        <a:prstGeom prst="line">
          <a:avLst/>
        </a:prstGeom>
        <a:ln w="158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10</xdr:row>
      <xdr:rowOff>25400</xdr:rowOff>
    </xdr:from>
    <xdr:to>
      <xdr:col>17</xdr:col>
      <xdr:colOff>660400</xdr:colOff>
      <xdr:row>12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57E38B-EFF0-6A4D-B95B-432FB1C01CCF}"/>
            </a:ext>
          </a:extLst>
        </xdr:cNvPr>
        <xdr:cNvSpPr txBox="1"/>
      </xdr:nvSpPr>
      <xdr:spPr>
        <a:xfrm>
          <a:off x="11811000" y="1676400"/>
          <a:ext cx="19177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Target Price: $</a:t>
          </a:r>
          <a:r>
            <a:rPr lang="en-GB" sz="1400" b="1" baseline="0"/>
            <a:t> 15</a:t>
          </a:r>
          <a:endParaRPr lang="en-GB" sz="1400" b="1"/>
        </a:p>
      </xdr:txBody>
    </xdr:sp>
    <xdr:clientData/>
  </xdr:twoCellAnchor>
  <xdr:twoCellAnchor>
    <xdr:from>
      <xdr:col>9</xdr:col>
      <xdr:colOff>406400</xdr:colOff>
      <xdr:row>9</xdr:row>
      <xdr:rowOff>114300</xdr:rowOff>
    </xdr:from>
    <xdr:to>
      <xdr:col>11</xdr:col>
      <xdr:colOff>647700</xdr:colOff>
      <xdr:row>11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F61A69-5310-AB4B-82F1-E9850DC03A53}"/>
            </a:ext>
          </a:extLst>
        </xdr:cNvPr>
        <xdr:cNvSpPr txBox="1"/>
      </xdr:nvSpPr>
      <xdr:spPr>
        <a:xfrm>
          <a:off x="7886700" y="1600200"/>
          <a:ext cx="16383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Current Price : $ 10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production%20forecasts.xlsx" TargetMode="External"/><Relationship Id="rId1" Type="http://schemas.openxmlformats.org/officeDocument/2006/relationships/externalLinkPath" Target="/Users/sagarmarathe/Desktop/vale/docs%20project/production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Iron%20ore%20%20price%20analysis.xls" TargetMode="External"/><Relationship Id="rId1" Type="http://schemas.openxmlformats.org/officeDocument/2006/relationships/externalLinkPath" Target="/Users/sagarmarathe/Desktop/vale/docs%20project/Iron%20ore%20%20pri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7">
          <cell r="E17">
            <v>2024</v>
          </cell>
          <cell r="F17">
            <v>2025</v>
          </cell>
          <cell r="G17">
            <v>2026</v>
          </cell>
          <cell r="H17">
            <v>2027</v>
          </cell>
          <cell r="I17">
            <v>2028</v>
          </cell>
          <cell r="J17">
            <v>2029</v>
          </cell>
          <cell r="K17">
            <v>2030</v>
          </cell>
        </row>
        <row r="18">
          <cell r="E18">
            <v>1.2162162162162172E-2</v>
          </cell>
          <cell r="F18">
            <v>7.1086448598130847E-2</v>
          </cell>
          <cell r="G18">
            <v>4.7101449275362306E-2</v>
          </cell>
          <cell r="H18">
            <v>4.4166666666666729E-2</v>
          </cell>
          <cell r="I18">
            <v>4.1636363636363645E-2</v>
          </cell>
          <cell r="J18">
            <v>3.942307692307697E-2</v>
          </cell>
          <cell r="K18">
            <v>3.7464387464387412E-2</v>
          </cell>
        </row>
        <row r="19">
          <cell r="B19" t="str">
            <v>Energy Transition Minerals</v>
          </cell>
          <cell r="E19">
            <v>1.3094245204336953E-2</v>
          </cell>
          <cell r="F19">
            <v>1.7142857142857126E-2</v>
          </cell>
          <cell r="G19">
            <v>2.1052631578947368E-2</v>
          </cell>
          <cell r="H19">
            <v>3.4090909090909081E-2</v>
          </cell>
          <cell r="I19">
            <v>2.8333333333333321E-2</v>
          </cell>
          <cell r="J19">
            <v>2.4358974358974363E-2</v>
          </cell>
          <cell r="K19">
            <v>3.5714285714285719E-2</v>
          </cell>
        </row>
        <row r="20">
          <cell r="E20">
            <v>2.5256407366499124E-2</v>
          </cell>
          <cell r="F20">
            <v>8.8229305740987973E-2</v>
          </cell>
          <cell r="G20">
            <v>6.815408085430967E-2</v>
          </cell>
          <cell r="H20">
            <v>7.8257575757575804E-2</v>
          </cell>
          <cell r="I20">
            <v>6.996969696969696E-2</v>
          </cell>
          <cell r="J20">
            <v>6.3782051282051333E-2</v>
          </cell>
          <cell r="K20">
            <v>7.3178673178673131E-2</v>
          </cell>
        </row>
        <row r="23">
          <cell r="C23" t="str">
            <v>percentage</v>
          </cell>
        </row>
        <row r="24">
          <cell r="B24" t="str">
            <v>China</v>
          </cell>
          <cell r="C24">
            <v>0.51</v>
          </cell>
        </row>
        <row r="25">
          <cell r="B25" t="str">
            <v>Brazil</v>
          </cell>
          <cell r="C25">
            <v>0.09</v>
          </cell>
        </row>
        <row r="26">
          <cell r="B26" t="str">
            <v>Europe ( except Germany)</v>
          </cell>
          <cell r="C26">
            <v>0.09</v>
          </cell>
        </row>
        <row r="27">
          <cell r="B27" t="str">
            <v>Asia ( except Japan &amp; China)</v>
          </cell>
          <cell r="C27">
            <v>0.08</v>
          </cell>
        </row>
        <row r="28">
          <cell r="B28" t="str">
            <v>Japan</v>
          </cell>
          <cell r="C28">
            <v>7.6999999999999999E-2</v>
          </cell>
        </row>
        <row r="29">
          <cell r="B29" t="str">
            <v>Middle East</v>
          </cell>
          <cell r="C29">
            <v>5.7000000000000002E-2</v>
          </cell>
        </row>
        <row r="30">
          <cell r="B30" t="str">
            <v>USA</v>
          </cell>
          <cell r="C30">
            <v>0.04</v>
          </cell>
        </row>
        <row r="31">
          <cell r="B31" t="str">
            <v>Germany</v>
          </cell>
          <cell r="C31">
            <v>3.3000000000000002E-2</v>
          </cell>
        </row>
        <row r="32">
          <cell r="B32" t="str">
            <v>Others</v>
          </cell>
          <cell r="C32">
            <v>2.300000000000002E-2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"/>
      <sheetName val="FRED Graph"/>
    </sheetNames>
    <sheetDataSet>
      <sheetData sheetId="0"/>
      <sheetData sheetId="1">
        <row r="8">
          <cell r="A8">
            <v>43101</v>
          </cell>
          <cell r="B8">
            <v>75.7826086956522</v>
          </cell>
        </row>
        <row r="9">
          <cell r="A9">
            <v>43132</v>
          </cell>
          <cell r="B9">
            <v>77.650000000000006</v>
          </cell>
        </row>
        <row r="10">
          <cell r="A10">
            <v>43160</v>
          </cell>
          <cell r="B10">
            <v>71.318181818181799</v>
          </cell>
        </row>
        <row r="11">
          <cell r="A11">
            <v>43191</v>
          </cell>
          <cell r="B11">
            <v>66.3333333333333</v>
          </cell>
        </row>
        <row r="12">
          <cell r="A12">
            <v>43221</v>
          </cell>
          <cell r="B12">
            <v>66.630434782608702</v>
          </cell>
        </row>
        <row r="13">
          <cell r="A13">
            <v>43252</v>
          </cell>
          <cell r="B13">
            <v>66.857142857142904</v>
          </cell>
        </row>
        <row r="14">
          <cell r="A14">
            <v>43282</v>
          </cell>
          <cell r="B14">
            <v>67.045454545454504</v>
          </cell>
        </row>
        <row r="15">
          <cell r="A15">
            <v>43313</v>
          </cell>
          <cell r="B15">
            <v>68.021739130434796</v>
          </cell>
        </row>
        <row r="16">
          <cell r="A16">
            <v>43344</v>
          </cell>
          <cell r="B16">
            <v>68.8</v>
          </cell>
        </row>
        <row r="17">
          <cell r="A17">
            <v>43374</v>
          </cell>
          <cell r="B17">
            <v>72.021739130434796</v>
          </cell>
        </row>
        <row r="18">
          <cell r="A18">
            <v>43405</v>
          </cell>
          <cell r="B18">
            <v>72.295454545454504</v>
          </cell>
        </row>
        <row r="19">
          <cell r="A19">
            <v>43435</v>
          </cell>
          <cell r="B19">
            <v>68.904761904761898</v>
          </cell>
        </row>
        <row r="20">
          <cell r="A20">
            <v>43466</v>
          </cell>
          <cell r="B20">
            <v>75.2</v>
          </cell>
        </row>
        <row r="21">
          <cell r="A21">
            <v>43497</v>
          </cell>
          <cell r="B21">
            <v>87.59</v>
          </cell>
        </row>
        <row r="22">
          <cell r="A22">
            <v>43525</v>
          </cell>
          <cell r="B22">
            <v>87.071428571428598</v>
          </cell>
        </row>
        <row r="23">
          <cell r="A23">
            <v>43556</v>
          </cell>
          <cell r="B23">
            <v>94.5</v>
          </cell>
        </row>
        <row r="24">
          <cell r="A24">
            <v>43586</v>
          </cell>
          <cell r="B24">
            <v>101.76086956521701</v>
          </cell>
        </row>
        <row r="25">
          <cell r="A25">
            <v>43617</v>
          </cell>
          <cell r="B25">
            <v>109.55</v>
          </cell>
        </row>
        <row r="26">
          <cell r="A26">
            <v>43647</v>
          </cell>
          <cell r="B26">
            <v>119.586956521739</v>
          </cell>
        </row>
        <row r="27">
          <cell r="A27">
            <v>43678</v>
          </cell>
          <cell r="B27">
            <v>93.5</v>
          </cell>
        </row>
        <row r="28">
          <cell r="A28">
            <v>43709</v>
          </cell>
          <cell r="B28">
            <v>92.261904761904802</v>
          </cell>
        </row>
        <row r="29">
          <cell r="A29">
            <v>43739</v>
          </cell>
          <cell r="B29">
            <v>88.586956521739097</v>
          </cell>
        </row>
        <row r="30">
          <cell r="A30">
            <v>43770</v>
          </cell>
          <cell r="B30">
            <v>82.904761904761898</v>
          </cell>
        </row>
        <row r="31">
          <cell r="A31">
            <v>43800</v>
          </cell>
          <cell r="B31">
            <v>90.977272727272705</v>
          </cell>
        </row>
        <row r="32">
          <cell r="A32">
            <v>43831</v>
          </cell>
          <cell r="B32">
            <v>95.2173913043478</v>
          </cell>
        </row>
        <row r="33">
          <cell r="A33">
            <v>43862</v>
          </cell>
          <cell r="B33">
            <v>87.625</v>
          </cell>
        </row>
        <row r="34">
          <cell r="A34">
            <v>43891</v>
          </cell>
          <cell r="B34">
            <v>88.659090909090907</v>
          </cell>
        </row>
        <row r="35">
          <cell r="A35">
            <v>43922</v>
          </cell>
          <cell r="B35">
            <v>83.75</v>
          </cell>
        </row>
        <row r="36">
          <cell r="A36">
            <v>43952</v>
          </cell>
          <cell r="B36">
            <v>91.3333333333333</v>
          </cell>
        </row>
        <row r="37">
          <cell r="A37">
            <v>43983</v>
          </cell>
          <cell r="B37">
            <v>103.34090909090899</v>
          </cell>
        </row>
        <row r="38">
          <cell r="A38">
            <v>44013</v>
          </cell>
          <cell r="B38">
            <v>108.02173913043499</v>
          </cell>
        </row>
        <row r="39">
          <cell r="A39">
            <v>44044</v>
          </cell>
          <cell r="B39">
            <v>120.071428571429</v>
          </cell>
        </row>
        <row r="40">
          <cell r="A40">
            <v>44075</v>
          </cell>
          <cell r="B40">
            <v>123</v>
          </cell>
        </row>
        <row r="41">
          <cell r="A41">
            <v>44105</v>
          </cell>
          <cell r="B41">
            <v>119.25</v>
          </cell>
        </row>
        <row r="42">
          <cell r="A42">
            <v>44136</v>
          </cell>
          <cell r="B42">
            <v>123.52380952381</v>
          </cell>
        </row>
        <row r="43">
          <cell r="A43">
            <v>44166</v>
          </cell>
          <cell r="B43">
            <v>153.065217391304</v>
          </cell>
        </row>
        <row r="44">
          <cell r="A44">
            <v>44197</v>
          </cell>
          <cell r="B44">
            <v>166.73809523809501</v>
          </cell>
        </row>
        <row r="45">
          <cell r="A45">
            <v>44228</v>
          </cell>
          <cell r="B45">
            <v>162.32499999999999</v>
          </cell>
        </row>
        <row r="46">
          <cell r="A46">
            <v>44256</v>
          </cell>
          <cell r="B46">
            <v>166.73913043478299</v>
          </cell>
        </row>
        <row r="47">
          <cell r="A47">
            <v>44287</v>
          </cell>
          <cell r="B47">
            <v>178.25</v>
          </cell>
        </row>
        <row r="48">
          <cell r="A48">
            <v>44317</v>
          </cell>
          <cell r="B48">
            <v>202.857142857143</v>
          </cell>
        </row>
        <row r="49">
          <cell r="A49">
            <v>44348</v>
          </cell>
          <cell r="B49">
            <v>215.81578947368399</v>
          </cell>
        </row>
        <row r="50">
          <cell r="A50">
            <v>44378</v>
          </cell>
          <cell r="B50">
            <v>214.34090909090901</v>
          </cell>
        </row>
        <row r="51">
          <cell r="A51">
            <v>44409</v>
          </cell>
          <cell r="B51">
            <v>162.09090909090901</v>
          </cell>
        </row>
        <row r="52">
          <cell r="A52">
            <v>44440</v>
          </cell>
          <cell r="B52">
            <v>113.71875</v>
          </cell>
        </row>
        <row r="53">
          <cell r="A53">
            <v>44470</v>
          </cell>
          <cell r="B53">
            <v>114.47619047619</v>
          </cell>
        </row>
        <row r="54">
          <cell r="A54">
            <v>44501</v>
          </cell>
          <cell r="B54">
            <v>90.131578947368396</v>
          </cell>
        </row>
        <row r="55">
          <cell r="A55">
            <v>44531</v>
          </cell>
          <cell r="B55">
            <v>110.45652173913</v>
          </cell>
        </row>
        <row r="56">
          <cell r="A56">
            <v>44562</v>
          </cell>
          <cell r="B56">
            <v>133.04545454545499</v>
          </cell>
        </row>
        <row r="57">
          <cell r="A57">
            <v>44593</v>
          </cell>
          <cell r="B57">
            <v>139.69999999999999</v>
          </cell>
        </row>
        <row r="58">
          <cell r="A58">
            <v>44621</v>
          </cell>
          <cell r="B58">
            <v>147.34782608695701</v>
          </cell>
        </row>
        <row r="59">
          <cell r="A59">
            <v>44652</v>
          </cell>
          <cell r="B59">
            <v>146.666666666667</v>
          </cell>
        </row>
        <row r="60">
          <cell r="A60">
            <v>44682</v>
          </cell>
          <cell r="B60">
            <v>131.09090909090901</v>
          </cell>
        </row>
        <row r="61">
          <cell r="A61">
            <v>44713</v>
          </cell>
          <cell r="B61">
            <v>131.04545454545499</v>
          </cell>
        </row>
        <row r="62">
          <cell r="A62">
            <v>44743</v>
          </cell>
          <cell r="B62">
            <v>109.04761904761899</v>
          </cell>
        </row>
        <row r="63">
          <cell r="A63">
            <v>44774</v>
          </cell>
          <cell r="B63">
            <v>109.065217391304</v>
          </cell>
        </row>
        <row r="64">
          <cell r="A64">
            <v>44805</v>
          </cell>
          <cell r="B64">
            <v>100.84090909090899</v>
          </cell>
        </row>
        <row r="65">
          <cell r="A65">
            <v>44835</v>
          </cell>
          <cell r="B65">
            <v>94.619047619047606</v>
          </cell>
        </row>
        <row r="66">
          <cell r="A66">
            <v>44866</v>
          </cell>
          <cell r="B66">
            <v>94.568181818181799</v>
          </cell>
        </row>
        <row r="67">
          <cell r="A67">
            <v>44896</v>
          </cell>
          <cell r="B67">
            <v>111.40909090909101</v>
          </cell>
        </row>
        <row r="68">
          <cell r="A68">
            <v>44927</v>
          </cell>
          <cell r="B68">
            <v>122.431818181818</v>
          </cell>
        </row>
        <row r="69">
          <cell r="A69">
            <v>44958</v>
          </cell>
          <cell r="B69">
            <v>127.075</v>
          </cell>
        </row>
        <row r="70">
          <cell r="A70">
            <v>44986</v>
          </cell>
          <cell r="B70">
            <v>127.97826086956501</v>
          </cell>
        </row>
        <row r="71">
          <cell r="A71">
            <v>45017</v>
          </cell>
          <cell r="B71">
            <v>117.125</v>
          </cell>
        </row>
        <row r="72">
          <cell r="A72">
            <v>45047</v>
          </cell>
          <cell r="B72">
            <v>104.52173913043499</v>
          </cell>
        </row>
        <row r="73">
          <cell r="A73">
            <v>45078</v>
          </cell>
          <cell r="B73">
            <v>113.09090909090899</v>
          </cell>
        </row>
        <row r="74">
          <cell r="A74">
            <v>45108</v>
          </cell>
          <cell r="B74">
            <v>113.97619047619</v>
          </cell>
        </row>
        <row r="75">
          <cell r="A75">
            <v>45139</v>
          </cell>
          <cell r="B75">
            <v>109.60869565217401</v>
          </cell>
        </row>
        <row r="76">
          <cell r="A76">
            <v>45170</v>
          </cell>
          <cell r="B76">
            <v>120.428571428571</v>
          </cell>
        </row>
        <row r="77">
          <cell r="A77">
            <v>45200</v>
          </cell>
          <cell r="B77">
            <v>118.75</v>
          </cell>
        </row>
        <row r="78">
          <cell r="A78">
            <v>45231</v>
          </cell>
          <cell r="B78">
            <v>131.25</v>
          </cell>
        </row>
        <row r="79">
          <cell r="A79">
            <v>45261</v>
          </cell>
          <cell r="B79">
            <v>137.54761904761901</v>
          </cell>
        </row>
        <row r="80">
          <cell r="A80">
            <v>45292</v>
          </cell>
          <cell r="B80">
            <v>136.58695652173901</v>
          </cell>
        </row>
        <row r="81">
          <cell r="A81">
            <v>45323</v>
          </cell>
          <cell r="B81">
            <v>125.928571428571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gar Marathe" id="{CE46E310-A280-1C48-8167-48596280BBBA}" userId="S::sm3015@scarletmail.rutgers.edu::f464ecd4-5643-479f-9bc9-134acab2d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6" dT="2024-11-21T16:27:17.76" personId="{CE46E310-A280-1C48-8167-48596280BBBA}" id="{61E5C056-52E3-3443-A0AA-813726C1EFD1}">
    <text xml:space="preserve">MD&amp;A Report 2024 </text>
  </threadedComment>
  <threadedComment ref="I257" dT="2024-11-21T17:37:53.45" personId="{CE46E310-A280-1C48-8167-48596280BBBA}" id="{7BD88E52-D93A-3547-B9C3-1A324FEC8515}">
    <text>China slowdown + Brazil related risk + stock specific risk</text>
  </threadedComment>
  <threadedComment ref="I260" dT="2024-11-21T17:37:08.23" personId="{CE46E310-A280-1C48-8167-48596280BBBA}" id="{64801CE1-E4C5-924E-A894-AE503F19ED99}">
    <text>MD&amp;A 2024 Report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FA4-52FD-744C-B3ED-26E43E400353}">
  <dimension ref="A2:N67"/>
  <sheetViews>
    <sheetView tabSelected="1" zoomScale="73" zoomScaleNormal="73" workbookViewId="0">
      <selection activeCell="I37" sqref="I37"/>
    </sheetView>
  </sheetViews>
  <sheetFormatPr baseColWidth="10" defaultRowHeight="13"/>
  <cols>
    <col min="1" max="1" width="16.796875" bestFit="1" customWidth="1"/>
    <col min="2" max="2" width="26.19921875" bestFit="1" customWidth="1"/>
    <col min="13" max="13" width="21" bestFit="1" customWidth="1"/>
  </cols>
  <sheetData>
    <row r="2" spans="1:11" ht="24">
      <c r="F2" s="217" t="s">
        <v>381</v>
      </c>
    </row>
    <row r="5" spans="1:11" ht="28">
      <c r="B5" s="218" t="s">
        <v>200</v>
      </c>
      <c r="C5" s="203">
        <v>2022</v>
      </c>
      <c r="D5" s="203">
        <f>C5 +1</f>
        <v>2023</v>
      </c>
      <c r="E5" s="219">
        <f t="shared" ref="E5:K5" si="0">D5 +1</f>
        <v>2024</v>
      </c>
      <c r="F5" s="219">
        <f t="shared" si="0"/>
        <v>2025</v>
      </c>
      <c r="G5" s="219">
        <f t="shared" si="0"/>
        <v>2026</v>
      </c>
      <c r="H5" s="219">
        <f t="shared" si="0"/>
        <v>2027</v>
      </c>
      <c r="I5" s="219">
        <f t="shared" si="0"/>
        <v>2028</v>
      </c>
      <c r="J5" s="219">
        <f t="shared" si="0"/>
        <v>2029</v>
      </c>
      <c r="K5" s="219">
        <f t="shared" si="0"/>
        <v>2030</v>
      </c>
    </row>
    <row r="6" spans="1:11">
      <c r="A6" s="220" t="s">
        <v>201</v>
      </c>
      <c r="B6" s="203" t="s">
        <v>202</v>
      </c>
      <c r="C6" s="203">
        <v>308</v>
      </c>
      <c r="D6" s="203">
        <v>321</v>
      </c>
      <c r="E6" s="219">
        <v>321</v>
      </c>
      <c r="F6" s="219">
        <v>345</v>
      </c>
      <c r="G6" s="219">
        <v>360</v>
      </c>
      <c r="H6" s="219">
        <v>375</v>
      </c>
      <c r="I6" s="219">
        <v>390</v>
      </c>
      <c r="J6" s="219">
        <v>405</v>
      </c>
      <c r="K6" s="219">
        <v>420</v>
      </c>
    </row>
    <row r="7" spans="1:11" ht="16">
      <c r="A7" s="220"/>
      <c r="B7" s="203" t="s">
        <v>203</v>
      </c>
      <c r="C7" s="203"/>
      <c r="D7" s="221">
        <f>(D6/C6)-1</f>
        <v>4.2207792207792139E-2</v>
      </c>
      <c r="E7" s="222">
        <f>(E6/D6)-1</f>
        <v>0</v>
      </c>
      <c r="F7" s="222">
        <f t="shared" ref="F7:K7" si="1">(F6/E6)-1</f>
        <v>7.4766355140186924E-2</v>
      </c>
      <c r="G7" s="222">
        <f t="shared" si="1"/>
        <v>4.3478260869565188E-2</v>
      </c>
      <c r="H7" s="222">
        <f t="shared" si="1"/>
        <v>4.1666666666666741E-2</v>
      </c>
      <c r="I7" s="222">
        <f t="shared" si="1"/>
        <v>4.0000000000000036E-2</v>
      </c>
      <c r="J7" s="222">
        <f t="shared" si="1"/>
        <v>3.8461538461538547E-2</v>
      </c>
      <c r="K7" s="222">
        <f t="shared" si="1"/>
        <v>3.7037037037036979E-2</v>
      </c>
    </row>
    <row r="8" spans="1:11">
      <c r="A8" s="220"/>
      <c r="B8" s="203" t="s">
        <v>204</v>
      </c>
      <c r="C8" s="203">
        <v>33</v>
      </c>
      <c r="D8" s="203">
        <v>37</v>
      </c>
      <c r="E8" s="219">
        <v>40</v>
      </c>
      <c r="F8" s="219">
        <v>45</v>
      </c>
      <c r="G8" s="219">
        <v>50</v>
      </c>
      <c r="H8" s="219">
        <v>55</v>
      </c>
      <c r="I8" s="219">
        <v>60</v>
      </c>
      <c r="J8" s="219">
        <v>65</v>
      </c>
      <c r="K8" s="219">
        <v>70</v>
      </c>
    </row>
    <row r="9" spans="1:11" ht="16">
      <c r="A9" s="220"/>
      <c r="B9" s="203" t="s">
        <v>203</v>
      </c>
      <c r="C9" s="203"/>
      <c r="D9" s="223">
        <f>(D8/C8)-1</f>
        <v>0.1212121212121211</v>
      </c>
      <c r="E9" s="224">
        <f>(E8/D8)-1</f>
        <v>8.1081081081081141E-2</v>
      </c>
      <c r="F9" s="224">
        <f t="shared" ref="F9:K9" si="2">(F8/E8)-1</f>
        <v>0.125</v>
      </c>
      <c r="G9" s="224">
        <f t="shared" si="2"/>
        <v>0.11111111111111116</v>
      </c>
      <c r="H9" s="224">
        <f t="shared" si="2"/>
        <v>0.10000000000000009</v>
      </c>
      <c r="I9" s="224">
        <f t="shared" si="2"/>
        <v>9.0909090909090828E-2</v>
      </c>
      <c r="J9" s="224">
        <f t="shared" si="2"/>
        <v>8.3333333333333259E-2</v>
      </c>
      <c r="K9" s="224">
        <f t="shared" si="2"/>
        <v>7.6923076923076872E-2</v>
      </c>
    </row>
    <row r="10" spans="1:11" ht="14">
      <c r="A10" s="225" t="s">
        <v>205</v>
      </c>
      <c r="B10" s="203" t="s">
        <v>206</v>
      </c>
      <c r="C10" s="203">
        <v>253</v>
      </c>
      <c r="D10" s="203">
        <v>327</v>
      </c>
      <c r="E10" s="219">
        <v>350</v>
      </c>
      <c r="F10" s="219">
        <v>380</v>
      </c>
      <c r="G10" s="219">
        <v>400</v>
      </c>
      <c r="H10" s="219">
        <v>500</v>
      </c>
      <c r="I10" s="219">
        <v>600</v>
      </c>
      <c r="J10" s="219">
        <v>700</v>
      </c>
      <c r="K10" s="219">
        <v>900</v>
      </c>
    </row>
    <row r="11" spans="1:11" ht="16">
      <c r="A11" s="226" t="s">
        <v>207</v>
      </c>
      <c r="B11" s="203" t="s">
        <v>203</v>
      </c>
      <c r="C11" s="203"/>
      <c r="D11" s="221">
        <f>(D10/C10)-1</f>
        <v>0.29249011857707519</v>
      </c>
      <c r="E11" s="222">
        <f>(E10/D10)-1</f>
        <v>7.0336391437308965E-2</v>
      </c>
      <c r="F11" s="222">
        <f t="shared" ref="F11:J11" si="3">(F10/E10)-1</f>
        <v>8.5714285714285632E-2</v>
      </c>
      <c r="G11" s="222">
        <f t="shared" si="3"/>
        <v>5.2631578947368363E-2</v>
      </c>
      <c r="H11" s="222">
        <f t="shared" si="3"/>
        <v>0.25</v>
      </c>
      <c r="I11" s="222">
        <f t="shared" si="3"/>
        <v>0.19999999999999996</v>
      </c>
      <c r="J11" s="222">
        <f t="shared" si="3"/>
        <v>0.16666666666666674</v>
      </c>
      <c r="K11" s="222">
        <f>(K10/J10)-1</f>
        <v>0.28571428571428581</v>
      </c>
    </row>
    <row r="12" spans="1:11">
      <c r="A12" s="211"/>
      <c r="B12" s="203" t="s">
        <v>208</v>
      </c>
      <c r="C12" s="203">
        <v>179</v>
      </c>
      <c r="D12" s="203">
        <v>165</v>
      </c>
      <c r="E12" s="219">
        <v>175</v>
      </c>
      <c r="F12" s="219">
        <v>190</v>
      </c>
      <c r="G12" s="219">
        <v>220</v>
      </c>
      <c r="H12" s="219">
        <v>240</v>
      </c>
      <c r="I12" s="219">
        <v>260</v>
      </c>
      <c r="J12" s="219">
        <v>280</v>
      </c>
      <c r="K12" s="219">
        <v>300</v>
      </c>
    </row>
    <row r="13" spans="1:11" ht="16">
      <c r="A13" s="211"/>
      <c r="B13" s="227" t="s">
        <v>203</v>
      </c>
      <c r="C13" s="203"/>
      <c r="D13" s="221">
        <f>(D12/C12)-1</f>
        <v>-7.8212290502793325E-2</v>
      </c>
      <c r="E13" s="222">
        <f>(E12/D12)-1</f>
        <v>6.0606060606060552E-2</v>
      </c>
      <c r="F13" s="222">
        <f t="shared" ref="F13:K13" si="4">(F12/E12)-1</f>
        <v>8.5714285714285632E-2</v>
      </c>
      <c r="G13" s="222">
        <f t="shared" si="4"/>
        <v>0.15789473684210531</v>
      </c>
      <c r="H13" s="222">
        <f t="shared" si="4"/>
        <v>9.0909090909090828E-2</v>
      </c>
      <c r="I13" s="222">
        <f t="shared" si="4"/>
        <v>8.3333333333333259E-2</v>
      </c>
      <c r="J13" s="222">
        <f t="shared" si="4"/>
        <v>7.6923076923076872E-2</v>
      </c>
      <c r="K13" s="222">
        <f t="shared" si="4"/>
        <v>7.1428571428571397E-2</v>
      </c>
    </row>
    <row r="14" spans="1:11" ht="24">
      <c r="A14" s="217"/>
    </row>
    <row r="15" spans="1:11" ht="24">
      <c r="A15" s="217"/>
      <c r="F15" s="217" t="s">
        <v>382</v>
      </c>
    </row>
    <row r="17" spans="2:14">
      <c r="D17" s="203">
        <v>2023</v>
      </c>
      <c r="E17" s="219">
        <v>2024</v>
      </c>
      <c r="F17" s="219">
        <f>E17+1</f>
        <v>2025</v>
      </c>
      <c r="G17" s="219">
        <f t="shared" ref="G17:K17" si="5">F17+1</f>
        <v>2026</v>
      </c>
      <c r="H17" s="219">
        <f t="shared" si="5"/>
        <v>2027</v>
      </c>
      <c r="I17" s="219">
        <f t="shared" si="5"/>
        <v>2028</v>
      </c>
      <c r="J17" s="219">
        <f t="shared" si="5"/>
        <v>2029</v>
      </c>
      <c r="K17" s="219">
        <f t="shared" si="5"/>
        <v>2030</v>
      </c>
    </row>
    <row r="18" spans="2:14">
      <c r="B18" s="203" t="s">
        <v>209</v>
      </c>
      <c r="C18" s="203" t="s">
        <v>210</v>
      </c>
      <c r="D18" s="229" t="s">
        <v>212</v>
      </c>
      <c r="E18" s="230">
        <f>(0.7*E7)+(0.15*E9)</f>
        <v>1.2162162162162172E-2</v>
      </c>
      <c r="F18" s="230">
        <f t="shared" ref="F18:K18" si="6">(0.7*F7)+(0.15*F9)</f>
        <v>7.1086448598130847E-2</v>
      </c>
      <c r="G18" s="230">
        <f t="shared" si="6"/>
        <v>4.7101449275362306E-2</v>
      </c>
      <c r="H18" s="230">
        <f t="shared" si="6"/>
        <v>4.4166666666666729E-2</v>
      </c>
      <c r="I18" s="230">
        <f t="shared" si="6"/>
        <v>4.1636363636363645E-2</v>
      </c>
      <c r="J18" s="230">
        <f t="shared" si="6"/>
        <v>3.942307692307697E-2</v>
      </c>
      <c r="K18" s="230">
        <f t="shared" si="6"/>
        <v>3.7464387464387412E-2</v>
      </c>
    </row>
    <row r="19" spans="2:14">
      <c r="B19" s="203" t="s">
        <v>211</v>
      </c>
      <c r="C19" s="228">
        <v>0.85</v>
      </c>
      <c r="D19" s="229" t="s">
        <v>212</v>
      </c>
      <c r="E19" s="230">
        <f>$C$20*(AVERAGE(E11,E13))</f>
        <v>9.8206839032527141E-3</v>
      </c>
      <c r="F19" s="230">
        <f t="shared" ref="F19:K19" si="7">$C$20*(AVERAGE(F11,F13))</f>
        <v>1.2857142857142845E-2</v>
      </c>
      <c r="G19" s="230">
        <f t="shared" si="7"/>
        <v>1.5789473684210523E-2</v>
      </c>
      <c r="H19" s="230">
        <f t="shared" si="7"/>
        <v>2.5568181818181813E-2</v>
      </c>
      <c r="I19" s="230">
        <f t="shared" si="7"/>
        <v>2.1249999999999991E-2</v>
      </c>
      <c r="J19" s="230">
        <f t="shared" si="7"/>
        <v>1.826923076923077E-2</v>
      </c>
      <c r="K19" s="230">
        <f t="shared" si="7"/>
        <v>2.6785714285714291E-2</v>
      </c>
    </row>
    <row r="20" spans="2:14" ht="16">
      <c r="B20" s="203" t="s">
        <v>213</v>
      </c>
      <c r="C20" s="228">
        <v>0.15</v>
      </c>
      <c r="D20" s="229" t="s">
        <v>212</v>
      </c>
      <c r="E20" s="231">
        <f>SUM(E18:E19)</f>
        <v>2.1982846065414886E-2</v>
      </c>
      <c r="F20" s="231">
        <f t="shared" ref="F20:K20" si="8">SUM(F18:F19)</f>
        <v>8.3943591455273692E-2</v>
      </c>
      <c r="G20" s="231">
        <f t="shared" si="8"/>
        <v>6.2890922959572826E-2</v>
      </c>
      <c r="H20" s="231">
        <f t="shared" si="8"/>
        <v>6.9734848484848538E-2</v>
      </c>
      <c r="I20" s="231">
        <f t="shared" si="8"/>
        <v>6.2886363636363629E-2</v>
      </c>
      <c r="J20" s="231">
        <f t="shared" si="8"/>
        <v>5.7692307692307737E-2</v>
      </c>
      <c r="K20" s="231">
        <f t="shared" si="8"/>
        <v>6.4250101750101707E-2</v>
      </c>
      <c r="N20" s="201"/>
    </row>
    <row r="21" spans="2:14">
      <c r="B21" s="203" t="s">
        <v>214</v>
      </c>
      <c r="C21" s="228">
        <v>1</v>
      </c>
    </row>
    <row r="22" spans="2:14">
      <c r="I22" s="211" t="s">
        <v>215</v>
      </c>
      <c r="J22" s="211"/>
      <c r="K22" s="286">
        <f>AVERAGE(E20:K20)</f>
        <v>6.0482997434840424E-2</v>
      </c>
    </row>
    <row r="24" spans="2:14">
      <c r="B24" s="203" t="s">
        <v>216</v>
      </c>
      <c r="C24" s="203" t="s">
        <v>210</v>
      </c>
      <c r="G24" s="233" t="s">
        <v>232</v>
      </c>
      <c r="H24" s="429" t="s">
        <v>233</v>
      </c>
      <c r="I24" s="429"/>
      <c r="J24" s="429" t="s">
        <v>229</v>
      </c>
      <c r="K24" s="429"/>
    </row>
    <row r="25" spans="2:14">
      <c r="B25" s="203" t="s">
        <v>217</v>
      </c>
      <c r="C25" s="266">
        <v>51</v>
      </c>
      <c r="G25" s="235" t="s">
        <v>226</v>
      </c>
      <c r="H25" s="430">
        <v>0.7</v>
      </c>
      <c r="I25" s="431"/>
      <c r="J25" s="437" t="s">
        <v>217</v>
      </c>
      <c r="K25" s="433"/>
    </row>
    <row r="26" spans="2:14">
      <c r="B26" s="203" t="s">
        <v>218</v>
      </c>
      <c r="C26" s="267">
        <v>9</v>
      </c>
      <c r="G26" s="235" t="s">
        <v>227</v>
      </c>
      <c r="H26" s="432">
        <v>0.5</v>
      </c>
      <c r="I26" s="433"/>
      <c r="J26" s="433" t="s">
        <v>230</v>
      </c>
      <c r="K26" s="433"/>
    </row>
    <row r="27" spans="2:14">
      <c r="B27" s="203" t="s">
        <v>219</v>
      </c>
      <c r="C27" s="267">
        <v>9</v>
      </c>
      <c r="G27" s="236" t="s">
        <v>228</v>
      </c>
      <c r="H27" s="434">
        <v>0.65</v>
      </c>
      <c r="I27" s="435"/>
      <c r="J27" s="436" t="s">
        <v>231</v>
      </c>
      <c r="K27" s="435"/>
    </row>
    <row r="28" spans="2:14">
      <c r="B28" s="233" t="s">
        <v>225</v>
      </c>
      <c r="C28" s="267">
        <v>8</v>
      </c>
    </row>
    <row r="29" spans="2:14">
      <c r="B29" s="203" t="s">
        <v>220</v>
      </c>
      <c r="C29" s="267">
        <v>8</v>
      </c>
    </row>
    <row r="30" spans="2:14">
      <c r="B30" s="203" t="s">
        <v>221</v>
      </c>
      <c r="C30" s="267">
        <v>6</v>
      </c>
    </row>
    <row r="31" spans="2:14">
      <c r="B31" s="203" t="s">
        <v>222</v>
      </c>
      <c r="C31" s="267">
        <v>4</v>
      </c>
    </row>
    <row r="32" spans="2:14">
      <c r="B32" s="203" t="s">
        <v>223</v>
      </c>
      <c r="C32" s="267">
        <v>3</v>
      </c>
    </row>
    <row r="33" spans="1:8">
      <c r="B33" s="203" t="s">
        <v>224</v>
      </c>
      <c r="C33" s="267">
        <f>100 - SUM(C25:C32)</f>
        <v>2</v>
      </c>
    </row>
    <row r="36" spans="1:8">
      <c r="B36" s="237">
        <v>2019</v>
      </c>
      <c r="C36" s="237">
        <f>B36+1</f>
        <v>2020</v>
      </c>
      <c r="D36" s="237">
        <f>C36+1</f>
        <v>2021</v>
      </c>
      <c r="E36" s="237">
        <f t="shared" ref="E36" si="9">D36+1</f>
        <v>2022</v>
      </c>
      <c r="F36" s="237">
        <f t="shared" ref="F36" si="10">E36+1</f>
        <v>2023</v>
      </c>
      <c r="G36" s="237">
        <f t="shared" ref="G36" si="11">F36+1</f>
        <v>2024</v>
      </c>
      <c r="H36" s="237">
        <f t="shared" ref="H36" si="12">G36+1</f>
        <v>2025</v>
      </c>
    </row>
    <row r="37" spans="1:8">
      <c r="A37" s="244" t="s">
        <v>234</v>
      </c>
      <c r="B37" s="238">
        <v>5128</v>
      </c>
      <c r="C37" s="238">
        <v>5130</v>
      </c>
      <c r="D37" s="238">
        <v>5012</v>
      </c>
      <c r="E37" s="238">
        <v>4642</v>
      </c>
      <c r="F37" s="238">
        <v>4366</v>
      </c>
      <c r="G37" s="238">
        <v>4280</v>
      </c>
      <c r="H37" s="239">
        <v>4216</v>
      </c>
    </row>
    <row r="38" spans="1:8">
      <c r="A38" s="243" t="s">
        <v>235</v>
      </c>
      <c r="B38" s="240"/>
      <c r="C38" s="241">
        <f>(B37-C37)/B37</f>
        <v>-3.9001560062402497E-4</v>
      </c>
      <c r="D38" s="241">
        <f>(C37-D37)/C37</f>
        <v>2.3001949317738791E-2</v>
      </c>
      <c r="E38" s="241">
        <f t="shared" ref="E38" si="13">(D37-E37)/D37</f>
        <v>7.3822825219473268E-2</v>
      </c>
      <c r="F38" s="241">
        <f t="shared" ref="F38" si="14">(E37-F37)/E37</f>
        <v>5.9457130547177939E-2</v>
      </c>
      <c r="G38" s="241">
        <f t="shared" ref="G38" si="15">(F37-G37)/F37</f>
        <v>1.9697663765460376E-2</v>
      </c>
      <c r="H38" s="242">
        <f t="shared" ref="H38" si="16">(G37-H37)/G37</f>
        <v>1.4953271028037384E-2</v>
      </c>
    </row>
    <row r="64" spans="2:2" ht="19">
      <c r="B64" s="232"/>
    </row>
    <row r="65" spans="2:8">
      <c r="D65" s="2"/>
      <c r="E65" s="2"/>
      <c r="F65" s="2"/>
      <c r="G65" s="2"/>
      <c r="H65" s="2"/>
    </row>
    <row r="66" spans="2:8">
      <c r="B66" s="2"/>
      <c r="C66" s="2"/>
      <c r="D66" s="32"/>
      <c r="E66" s="32"/>
      <c r="F66" s="32"/>
      <c r="G66" s="32"/>
      <c r="H66" s="32"/>
    </row>
    <row r="67" spans="2:8">
      <c r="B67" s="2"/>
      <c r="C67" s="32"/>
    </row>
  </sheetData>
  <mergeCells count="8">
    <mergeCell ref="H24:I24"/>
    <mergeCell ref="H25:I25"/>
    <mergeCell ref="H26:I26"/>
    <mergeCell ref="H27:I27"/>
    <mergeCell ref="J27:K27"/>
    <mergeCell ref="J26:K26"/>
    <mergeCell ref="J25:K25"/>
    <mergeCell ref="J24:K2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7ACA-445A-F24D-8480-1758A4AD5E6B}">
  <dimension ref="A1:Z81"/>
  <sheetViews>
    <sheetView zoomScale="75" zoomScaleNormal="100" workbookViewId="0">
      <selection activeCell="N32" sqref="N32"/>
    </sheetView>
  </sheetViews>
  <sheetFormatPr baseColWidth="10" defaultColWidth="24.796875" defaultRowHeight="13"/>
  <cols>
    <col min="5" max="5" width="30" bestFit="1" customWidth="1"/>
    <col min="261" max="261" width="30" bestFit="1" customWidth="1"/>
    <col min="517" max="517" width="30" bestFit="1" customWidth="1"/>
    <col min="773" max="773" width="30" bestFit="1" customWidth="1"/>
    <col min="1029" max="1029" width="30" bestFit="1" customWidth="1"/>
    <col min="1285" max="1285" width="30" bestFit="1" customWidth="1"/>
    <col min="1541" max="1541" width="30" bestFit="1" customWidth="1"/>
    <col min="1797" max="1797" width="30" bestFit="1" customWidth="1"/>
    <col min="2053" max="2053" width="30" bestFit="1" customWidth="1"/>
    <col min="2309" max="2309" width="30" bestFit="1" customWidth="1"/>
    <col min="2565" max="2565" width="30" bestFit="1" customWidth="1"/>
    <col min="2821" max="2821" width="30" bestFit="1" customWidth="1"/>
    <col min="3077" max="3077" width="30" bestFit="1" customWidth="1"/>
    <col min="3333" max="3333" width="30" bestFit="1" customWidth="1"/>
    <col min="3589" max="3589" width="30" bestFit="1" customWidth="1"/>
    <col min="3845" max="3845" width="30" bestFit="1" customWidth="1"/>
    <col min="4101" max="4101" width="30" bestFit="1" customWidth="1"/>
    <col min="4357" max="4357" width="30" bestFit="1" customWidth="1"/>
    <col min="4613" max="4613" width="30" bestFit="1" customWidth="1"/>
    <col min="4869" max="4869" width="30" bestFit="1" customWidth="1"/>
    <col min="5125" max="5125" width="30" bestFit="1" customWidth="1"/>
    <col min="5381" max="5381" width="30" bestFit="1" customWidth="1"/>
    <col min="5637" max="5637" width="30" bestFit="1" customWidth="1"/>
    <col min="5893" max="5893" width="30" bestFit="1" customWidth="1"/>
    <col min="6149" max="6149" width="30" bestFit="1" customWidth="1"/>
    <col min="6405" max="6405" width="30" bestFit="1" customWidth="1"/>
    <col min="6661" max="6661" width="30" bestFit="1" customWidth="1"/>
    <col min="6917" max="6917" width="30" bestFit="1" customWidth="1"/>
    <col min="7173" max="7173" width="30" bestFit="1" customWidth="1"/>
    <col min="7429" max="7429" width="30" bestFit="1" customWidth="1"/>
    <col min="7685" max="7685" width="30" bestFit="1" customWidth="1"/>
    <col min="7941" max="7941" width="30" bestFit="1" customWidth="1"/>
    <col min="8197" max="8197" width="30" bestFit="1" customWidth="1"/>
    <col min="8453" max="8453" width="30" bestFit="1" customWidth="1"/>
    <col min="8709" max="8709" width="30" bestFit="1" customWidth="1"/>
    <col min="8965" max="8965" width="30" bestFit="1" customWidth="1"/>
    <col min="9221" max="9221" width="30" bestFit="1" customWidth="1"/>
    <col min="9477" max="9477" width="30" bestFit="1" customWidth="1"/>
    <col min="9733" max="9733" width="30" bestFit="1" customWidth="1"/>
    <col min="9989" max="9989" width="30" bestFit="1" customWidth="1"/>
    <col min="10245" max="10245" width="30" bestFit="1" customWidth="1"/>
    <col min="10501" max="10501" width="30" bestFit="1" customWidth="1"/>
    <col min="10757" max="10757" width="30" bestFit="1" customWidth="1"/>
    <col min="11013" max="11013" width="30" bestFit="1" customWidth="1"/>
    <col min="11269" max="11269" width="30" bestFit="1" customWidth="1"/>
    <col min="11525" max="11525" width="30" bestFit="1" customWidth="1"/>
    <col min="11781" max="11781" width="30" bestFit="1" customWidth="1"/>
    <col min="12037" max="12037" width="30" bestFit="1" customWidth="1"/>
    <col min="12293" max="12293" width="30" bestFit="1" customWidth="1"/>
    <col min="12549" max="12549" width="30" bestFit="1" customWidth="1"/>
    <col min="12805" max="12805" width="30" bestFit="1" customWidth="1"/>
    <col min="13061" max="13061" width="30" bestFit="1" customWidth="1"/>
    <col min="13317" max="13317" width="30" bestFit="1" customWidth="1"/>
    <col min="13573" max="13573" width="30" bestFit="1" customWidth="1"/>
    <col min="13829" max="13829" width="30" bestFit="1" customWidth="1"/>
    <col min="14085" max="14085" width="30" bestFit="1" customWidth="1"/>
    <col min="14341" max="14341" width="30" bestFit="1" customWidth="1"/>
    <col min="14597" max="14597" width="30" bestFit="1" customWidth="1"/>
    <col min="14853" max="14853" width="30" bestFit="1" customWidth="1"/>
    <col min="15109" max="15109" width="30" bestFit="1" customWidth="1"/>
    <col min="15365" max="15365" width="30" bestFit="1" customWidth="1"/>
    <col min="15621" max="15621" width="30" bestFit="1" customWidth="1"/>
    <col min="15877" max="15877" width="30" bestFit="1" customWidth="1"/>
    <col min="16133" max="16133" width="30" bestFit="1" customWidth="1"/>
  </cols>
  <sheetData>
    <row r="1" spans="1:2">
      <c r="A1" t="s">
        <v>291</v>
      </c>
    </row>
    <row r="2" spans="1:2">
      <c r="A2" t="s">
        <v>292</v>
      </c>
    </row>
    <row r="4" spans="1:2">
      <c r="A4" t="s">
        <v>293</v>
      </c>
      <c r="B4" t="s">
        <v>294</v>
      </c>
    </row>
    <row r="6" spans="1:2">
      <c r="A6" t="s">
        <v>295</v>
      </c>
    </row>
    <row r="7" spans="1:2">
      <c r="A7" t="s">
        <v>296</v>
      </c>
      <c r="B7" t="s">
        <v>293</v>
      </c>
    </row>
    <row r="8" spans="1:2">
      <c r="A8" s="269">
        <v>43101</v>
      </c>
      <c r="B8" s="270">
        <v>75.7826086956522</v>
      </c>
    </row>
    <row r="9" spans="1:2">
      <c r="A9" s="269">
        <v>43132</v>
      </c>
      <c r="B9" s="270">
        <v>77.650000000000006</v>
      </c>
    </row>
    <row r="10" spans="1:2">
      <c r="A10" s="269">
        <v>43160</v>
      </c>
      <c r="B10" s="270">
        <v>71.318181818181799</v>
      </c>
    </row>
    <row r="11" spans="1:2">
      <c r="A11" s="269">
        <v>43191</v>
      </c>
      <c r="B11" s="270">
        <v>66.3333333333333</v>
      </c>
    </row>
    <row r="12" spans="1:2">
      <c r="A12" s="269">
        <v>43221</v>
      </c>
      <c r="B12" s="270">
        <v>66.630434782608702</v>
      </c>
    </row>
    <row r="13" spans="1:2">
      <c r="A13" s="269">
        <v>43252</v>
      </c>
      <c r="B13" s="270">
        <v>66.857142857142904</v>
      </c>
    </row>
    <row r="14" spans="1:2">
      <c r="A14" s="269">
        <v>43282</v>
      </c>
      <c r="B14" s="270">
        <v>67.045454545454504</v>
      </c>
    </row>
    <row r="15" spans="1:2">
      <c r="A15" s="269">
        <v>43313</v>
      </c>
      <c r="B15" s="270">
        <v>68.021739130434796</v>
      </c>
    </row>
    <row r="16" spans="1:2">
      <c r="A16" s="269">
        <v>43344</v>
      </c>
      <c r="B16" s="270">
        <v>68.8</v>
      </c>
    </row>
    <row r="17" spans="1:21">
      <c r="A17" s="269">
        <v>43374</v>
      </c>
      <c r="B17" s="270">
        <v>72.021739130434796</v>
      </c>
    </row>
    <row r="18" spans="1:21">
      <c r="A18" s="269">
        <v>43405</v>
      </c>
      <c r="B18" s="270">
        <v>72.295454545454504</v>
      </c>
    </row>
    <row r="19" spans="1:21">
      <c r="A19" s="269">
        <v>43435</v>
      </c>
      <c r="B19" s="270">
        <v>68.904761904761898</v>
      </c>
    </row>
    <row r="20" spans="1:21">
      <c r="A20" s="269">
        <v>43466</v>
      </c>
      <c r="B20" s="270">
        <v>75.2</v>
      </c>
    </row>
    <row r="21" spans="1:21">
      <c r="A21" s="269">
        <v>43497</v>
      </c>
      <c r="B21" s="270">
        <v>87.59</v>
      </c>
    </row>
    <row r="22" spans="1:21">
      <c r="A22" s="269">
        <v>43525</v>
      </c>
      <c r="B22" s="270">
        <v>87.071428571428598</v>
      </c>
    </row>
    <row r="23" spans="1:21">
      <c r="A23" s="269">
        <v>43556</v>
      </c>
      <c r="B23" s="270">
        <v>94.5</v>
      </c>
    </row>
    <row r="24" spans="1:21">
      <c r="A24" s="269">
        <v>43586</v>
      </c>
      <c r="B24" s="270">
        <v>101.76086956521701</v>
      </c>
      <c r="Q24" s="271"/>
    </row>
    <row r="25" spans="1:21">
      <c r="A25" s="269">
        <v>43617</v>
      </c>
      <c r="B25" s="270">
        <v>109.55</v>
      </c>
      <c r="Q25" s="271"/>
    </row>
    <row r="26" spans="1:21">
      <c r="A26" s="269">
        <v>43647</v>
      </c>
      <c r="B26" s="270">
        <v>119.586956521739</v>
      </c>
      <c r="Q26" s="271"/>
    </row>
    <row r="27" spans="1:21">
      <c r="A27" s="269">
        <v>43678</v>
      </c>
      <c r="B27" s="270">
        <v>93.5</v>
      </c>
      <c r="Q27" s="271"/>
      <c r="U27" s="272"/>
    </row>
    <row r="28" spans="1:21">
      <c r="A28" s="269">
        <v>43709</v>
      </c>
      <c r="B28" s="270">
        <v>92.261904761904802</v>
      </c>
      <c r="Q28" s="440"/>
    </row>
    <row r="29" spans="1:21">
      <c r="A29" s="269">
        <v>43739</v>
      </c>
      <c r="B29" s="270">
        <v>88.586956521739097</v>
      </c>
      <c r="Q29" s="440"/>
    </row>
    <row r="30" spans="1:21">
      <c r="A30" s="269">
        <v>43770</v>
      </c>
      <c r="B30" s="270">
        <v>82.904761904761898</v>
      </c>
    </row>
    <row r="31" spans="1:21">
      <c r="A31" s="269">
        <v>43800</v>
      </c>
      <c r="B31" s="270">
        <v>90.977272727272705</v>
      </c>
    </row>
    <row r="32" spans="1:21">
      <c r="A32" s="269">
        <v>43831</v>
      </c>
      <c r="B32" s="270">
        <v>95.2173913043478</v>
      </c>
    </row>
    <row r="33" spans="1:24">
      <c r="A33" s="269">
        <v>43862</v>
      </c>
      <c r="B33" s="270">
        <v>87.625</v>
      </c>
    </row>
    <row r="34" spans="1:24">
      <c r="A34" s="269">
        <v>43891</v>
      </c>
      <c r="B34" s="270">
        <v>88.659090909090907</v>
      </c>
    </row>
    <row r="35" spans="1:24">
      <c r="A35" s="269">
        <v>43922</v>
      </c>
      <c r="B35" s="270">
        <v>83.75</v>
      </c>
    </row>
    <row r="36" spans="1:24" ht="20">
      <c r="A36" s="269">
        <v>43952</v>
      </c>
      <c r="B36" s="270">
        <v>91.3333333333333</v>
      </c>
      <c r="J36" s="395" t="s">
        <v>383</v>
      </c>
    </row>
    <row r="37" spans="1:24">
      <c r="A37" s="269">
        <v>43983</v>
      </c>
      <c r="B37" s="270">
        <v>103.34090909090899</v>
      </c>
    </row>
    <row r="38" spans="1:24">
      <c r="A38" s="269">
        <v>44013</v>
      </c>
      <c r="B38" s="270">
        <v>108.02173913043499</v>
      </c>
    </row>
    <row r="39" spans="1:24">
      <c r="A39" s="269">
        <v>44044</v>
      </c>
      <c r="B39" s="270">
        <v>120.071428571429</v>
      </c>
      <c r="E39" s="273" t="s">
        <v>297</v>
      </c>
      <c r="F39" s="265">
        <f>AVERAGE(B20:B81)</f>
        <v>120.53280315832451</v>
      </c>
      <c r="G39" s="273" t="s">
        <v>298</v>
      </c>
      <c r="H39" s="274" t="s">
        <v>256</v>
      </c>
      <c r="I39" s="274" t="s">
        <v>299</v>
      </c>
      <c r="J39" s="274" t="s">
        <v>300</v>
      </c>
      <c r="K39" s="274" t="s">
        <v>301</v>
      </c>
      <c r="L39" s="274" t="s">
        <v>302</v>
      </c>
      <c r="M39" s="274" t="s">
        <v>303</v>
      </c>
    </row>
    <row r="40" spans="1:24">
      <c r="A40" s="269">
        <v>44075</v>
      </c>
      <c r="B40" s="270">
        <v>123</v>
      </c>
      <c r="E40" s="275"/>
      <c r="F40" s="213"/>
      <c r="H40" s="276"/>
      <c r="M40" s="160"/>
      <c r="O40" s="271"/>
      <c r="P40" s="271"/>
      <c r="Q40" s="271"/>
    </row>
    <row r="41" spans="1:24">
      <c r="A41" s="269">
        <v>44105</v>
      </c>
      <c r="B41" s="270">
        <v>119.25</v>
      </c>
      <c r="E41" s="275" t="s">
        <v>304</v>
      </c>
      <c r="F41" s="213">
        <f>AVERAGE(B20:B31)</f>
        <v>93.624179214505261</v>
      </c>
      <c r="G41">
        <v>2019</v>
      </c>
      <c r="H41">
        <v>28927</v>
      </c>
      <c r="I41">
        <f>($F$39/F41)*H41</f>
        <v>37240.939533071643</v>
      </c>
      <c r="K41">
        <f>76437/5</f>
        <v>15287.4</v>
      </c>
      <c r="L41" s="277">
        <f>K41/I41</f>
        <v>0.41049984752463337</v>
      </c>
      <c r="M41" s="160">
        <v>2762.8</v>
      </c>
      <c r="N41" s="32"/>
      <c r="R41" s="439"/>
      <c r="S41" s="439"/>
      <c r="T41" s="438"/>
      <c r="U41" s="438"/>
      <c r="V41" s="438"/>
      <c r="W41" s="438"/>
      <c r="X41" s="438"/>
    </row>
    <row r="42" spans="1:24">
      <c r="A42" s="269">
        <v>44136</v>
      </c>
      <c r="B42" s="270">
        <v>123.52380952381</v>
      </c>
      <c r="E42" s="275" t="s">
        <v>305</v>
      </c>
      <c r="F42" s="213">
        <f>AVERAGE(B32:B43)</f>
        <v>108.07149327122158</v>
      </c>
      <c r="G42">
        <v>2020</v>
      </c>
      <c r="H42">
        <v>41219.599999999999</v>
      </c>
      <c r="I42">
        <f>($F$39/F42)*H42</f>
        <v>45972.474171298309</v>
      </c>
      <c r="J42" s="277">
        <f>I42/I41-1</f>
        <v>0.2344606432518348</v>
      </c>
      <c r="K42" s="279">
        <f>90948/5</f>
        <v>18189.599999999999</v>
      </c>
      <c r="L42" s="277">
        <f>K42/I42</f>
        <v>0.39566284669003504</v>
      </c>
      <c r="M42" s="160">
        <v>3319.4</v>
      </c>
      <c r="N42" s="32"/>
      <c r="R42" s="439"/>
      <c r="S42" s="439"/>
      <c r="T42" s="438"/>
      <c r="U42" s="438"/>
      <c r="V42" s="438"/>
      <c r="W42" s="438"/>
      <c r="X42" s="438"/>
    </row>
    <row r="43" spans="1:24">
      <c r="A43" s="269">
        <v>44166</v>
      </c>
      <c r="B43" s="270">
        <v>153.065217391304</v>
      </c>
      <c r="E43" s="275" t="s">
        <v>306</v>
      </c>
      <c r="F43" s="213">
        <f>AVERAGE(B44:B55)</f>
        <v>158.16166811235095</v>
      </c>
      <c r="G43">
        <v>2021</v>
      </c>
      <c r="H43">
        <v>58704.800000000003</v>
      </c>
      <c r="I43">
        <f>($F$39/F43)*H43</f>
        <v>44738.109981379559</v>
      </c>
      <c r="J43" s="277">
        <f>I43/I42-1</f>
        <v>-2.6850070877616372E-2</v>
      </c>
      <c r="K43" s="279">
        <f>117267/5</f>
        <v>23453.4</v>
      </c>
      <c r="L43" s="277">
        <f>K43/I43</f>
        <v>0.52423761329572338</v>
      </c>
      <c r="M43" s="160">
        <v>3275.8</v>
      </c>
      <c r="N43" s="32"/>
    </row>
    <row r="44" spans="1:24">
      <c r="A44" s="269">
        <v>44197</v>
      </c>
      <c r="B44" s="270">
        <v>166.73809523809501</v>
      </c>
      <c r="E44" s="275" t="s">
        <v>307</v>
      </c>
      <c r="F44" s="213">
        <f>AVERAGE(B56:B67)</f>
        <v>120.70386473429961</v>
      </c>
      <c r="G44">
        <v>2022</v>
      </c>
      <c r="H44">
        <v>45301.599999999999</v>
      </c>
      <c r="I44">
        <f>($F$39/F44)*H44</f>
        <v>45237.398550384016</v>
      </c>
      <c r="J44" s="277">
        <f>I44/I43-1</f>
        <v>1.1160251723022485E-2</v>
      </c>
      <c r="K44" s="279">
        <f>124195/5</f>
        <v>24839</v>
      </c>
      <c r="L44" s="277">
        <f>K44/I44</f>
        <v>0.54908108768312769</v>
      </c>
      <c r="M44" s="160">
        <v>3277.2</v>
      </c>
      <c r="N44" s="32"/>
    </row>
    <row r="45" spans="1:24" ht="13" customHeight="1">
      <c r="A45" s="269">
        <v>44228</v>
      </c>
      <c r="B45" s="270">
        <v>162.32499999999999</v>
      </c>
      <c r="E45" s="208" t="s">
        <v>308</v>
      </c>
      <c r="F45" s="280">
        <f>AVERAGE(B68:B79)</f>
        <v>120.31531698977342</v>
      </c>
      <c r="G45" s="281">
        <v>2023</v>
      </c>
      <c r="H45" s="281">
        <v>41613.199999999997</v>
      </c>
      <c r="I45" s="281">
        <f>($F$39/F45)*H45</f>
        <v>41688.421473504648</v>
      </c>
      <c r="J45" s="241">
        <f>I45/I44-1</f>
        <v>-7.8452280427368626E-2</v>
      </c>
      <c r="K45" s="281">
        <f>120016/5</f>
        <v>24003.200000000001</v>
      </c>
      <c r="L45" s="241">
        <f>K45/I45</f>
        <v>0.57577617841096218</v>
      </c>
      <c r="M45" s="214">
        <v>3060</v>
      </c>
      <c r="N45" s="32"/>
      <c r="O45" s="271"/>
      <c r="P45" s="439"/>
      <c r="Q45" s="439"/>
    </row>
    <row r="46" spans="1:24" ht="13" customHeight="1">
      <c r="A46" s="269">
        <v>44256</v>
      </c>
      <c r="B46" s="270">
        <v>166.73913043478299</v>
      </c>
      <c r="P46" s="439"/>
      <c r="Q46" s="439"/>
    </row>
    <row r="47" spans="1:24">
      <c r="A47" s="269">
        <v>44287</v>
      </c>
      <c r="B47" s="270">
        <v>178.25</v>
      </c>
    </row>
    <row r="48" spans="1:24">
      <c r="A48" s="269">
        <v>44317</v>
      </c>
      <c r="B48" s="270">
        <v>202.857142857143</v>
      </c>
      <c r="E48" s="282" t="s">
        <v>309</v>
      </c>
      <c r="F48" s="164"/>
      <c r="G48" s="164"/>
      <c r="H48" s="164"/>
      <c r="I48" s="283">
        <f>AVERAGE(I41:I45)</f>
        <v>42975.468741927631</v>
      </c>
      <c r="J48" s="284">
        <f>AVERAGE(J42:J45)</f>
        <v>3.5079635917468072E-2</v>
      </c>
      <c r="K48" s="164"/>
      <c r="L48" s="284">
        <f>AVERAGE(L41:L45)</f>
        <v>0.49105151472089636</v>
      </c>
      <c r="M48" s="285">
        <f>AVERAGE(M41:M45)</f>
        <v>3139.04</v>
      </c>
    </row>
    <row r="49" spans="1:26">
      <c r="A49" s="269">
        <v>44348</v>
      </c>
      <c r="B49" s="270">
        <v>215.81578947368399</v>
      </c>
      <c r="L49" s="201"/>
    </row>
    <row r="50" spans="1:26">
      <c r="A50" s="269">
        <v>44378</v>
      </c>
      <c r="B50" s="270">
        <v>214.34090909090901</v>
      </c>
    </row>
    <row r="51" spans="1:26">
      <c r="A51" s="269">
        <v>44409</v>
      </c>
      <c r="B51" s="270">
        <v>162.09090909090901</v>
      </c>
    </row>
    <row r="52" spans="1:26">
      <c r="A52" s="269">
        <v>44440</v>
      </c>
      <c r="B52" s="270">
        <v>113.71875</v>
      </c>
    </row>
    <row r="53" spans="1:26">
      <c r="A53" s="269">
        <v>44470</v>
      </c>
      <c r="B53" s="270">
        <v>114.47619047619</v>
      </c>
      <c r="Q53" s="439"/>
      <c r="R53" s="439"/>
      <c r="S53" s="438"/>
      <c r="T53" s="438"/>
      <c r="U53" s="438"/>
      <c r="V53" s="438"/>
      <c r="W53" s="438"/>
    </row>
    <row r="54" spans="1:26">
      <c r="A54" s="269">
        <v>44501</v>
      </c>
      <c r="B54" s="270">
        <v>90.131578947368396</v>
      </c>
      <c r="Q54" s="439"/>
      <c r="R54" s="439"/>
      <c r="S54" s="438"/>
      <c r="T54" s="438"/>
      <c r="U54" s="438"/>
      <c r="V54" s="438"/>
      <c r="W54" s="438"/>
    </row>
    <row r="55" spans="1:26" ht="16">
      <c r="A55" s="269">
        <v>44531</v>
      </c>
      <c r="B55" s="270">
        <v>110.45652173913</v>
      </c>
      <c r="H55" s="278"/>
      <c r="X55" s="438"/>
      <c r="Y55" s="438"/>
      <c r="Z55" s="438">
        <v>-29446</v>
      </c>
    </row>
    <row r="56" spans="1:26" ht="13" customHeight="1">
      <c r="A56" s="269">
        <v>44562</v>
      </c>
      <c r="B56" s="270">
        <v>133.04545454545499</v>
      </c>
      <c r="K56" s="439"/>
      <c r="L56" s="439"/>
      <c r="M56" s="438"/>
      <c r="N56" s="438"/>
      <c r="O56" s="438"/>
      <c r="P56" s="438"/>
      <c r="X56" s="438"/>
      <c r="Y56" s="438"/>
      <c r="Z56" s="438"/>
    </row>
    <row r="57" spans="1:26" ht="13" customHeight="1">
      <c r="A57" s="269">
        <v>44593</v>
      </c>
      <c r="B57" s="270">
        <v>139.69999999999999</v>
      </c>
      <c r="K57" s="439"/>
      <c r="L57" s="439"/>
      <c r="M57" s="438"/>
      <c r="N57" s="438"/>
      <c r="O57" s="438"/>
      <c r="P57" s="438"/>
    </row>
    <row r="58" spans="1:26">
      <c r="A58" s="269">
        <v>44621</v>
      </c>
      <c r="B58" s="270">
        <v>147.34782608695701</v>
      </c>
    </row>
    <row r="59" spans="1:26">
      <c r="A59" s="269">
        <v>44652</v>
      </c>
      <c r="B59" s="270">
        <v>146.666666666667</v>
      </c>
    </row>
    <row r="60" spans="1:26">
      <c r="A60" s="269">
        <v>44682</v>
      </c>
      <c r="B60" s="270">
        <v>131.09090909090901</v>
      </c>
    </row>
    <row r="61" spans="1:26">
      <c r="A61" s="269">
        <v>44713</v>
      </c>
      <c r="B61" s="270">
        <v>131.04545454545499</v>
      </c>
    </row>
    <row r="62" spans="1:26">
      <c r="A62" s="269">
        <v>44743</v>
      </c>
      <c r="B62" s="270">
        <v>109.04761904761899</v>
      </c>
    </row>
    <row r="63" spans="1:26">
      <c r="A63" s="269">
        <v>44774</v>
      </c>
      <c r="B63" s="270">
        <v>109.065217391304</v>
      </c>
    </row>
    <row r="64" spans="1:26">
      <c r="A64" s="269">
        <v>44805</v>
      </c>
      <c r="B64" s="270">
        <v>100.84090909090899</v>
      </c>
    </row>
    <row r="65" spans="1:2">
      <c r="A65" s="269">
        <v>44835</v>
      </c>
      <c r="B65" s="270">
        <v>94.619047619047606</v>
      </c>
    </row>
    <row r="66" spans="1:2">
      <c r="A66" s="269">
        <v>44866</v>
      </c>
      <c r="B66" s="270">
        <v>94.568181818181799</v>
      </c>
    </row>
    <row r="67" spans="1:2">
      <c r="A67" s="269">
        <v>44896</v>
      </c>
      <c r="B67" s="270">
        <v>111.40909090909101</v>
      </c>
    </row>
    <row r="68" spans="1:2">
      <c r="A68" s="269">
        <v>44927</v>
      </c>
      <c r="B68" s="270">
        <v>122.431818181818</v>
      </c>
    </row>
    <row r="69" spans="1:2">
      <c r="A69" s="269">
        <v>44958</v>
      </c>
      <c r="B69" s="270">
        <v>127.075</v>
      </c>
    </row>
    <row r="70" spans="1:2">
      <c r="A70" s="269">
        <v>44986</v>
      </c>
      <c r="B70" s="270">
        <v>127.97826086956501</v>
      </c>
    </row>
    <row r="71" spans="1:2">
      <c r="A71" s="269">
        <v>45017</v>
      </c>
      <c r="B71" s="270">
        <v>117.125</v>
      </c>
    </row>
    <row r="72" spans="1:2">
      <c r="A72" s="269">
        <v>45047</v>
      </c>
      <c r="B72" s="270">
        <v>104.52173913043499</v>
      </c>
    </row>
    <row r="73" spans="1:2">
      <c r="A73" s="269">
        <v>45078</v>
      </c>
      <c r="B73" s="270">
        <v>113.09090909090899</v>
      </c>
    </row>
    <row r="74" spans="1:2">
      <c r="A74" s="269">
        <v>45108</v>
      </c>
      <c r="B74" s="270">
        <v>113.97619047619</v>
      </c>
    </row>
    <row r="75" spans="1:2">
      <c r="A75" s="269">
        <v>45139</v>
      </c>
      <c r="B75" s="270">
        <v>109.60869565217401</v>
      </c>
    </row>
    <row r="76" spans="1:2">
      <c r="A76" s="269">
        <v>45170</v>
      </c>
      <c r="B76" s="270">
        <v>120.428571428571</v>
      </c>
    </row>
    <row r="77" spans="1:2">
      <c r="A77" s="269">
        <v>45200</v>
      </c>
      <c r="B77" s="270">
        <v>118.75</v>
      </c>
    </row>
    <row r="78" spans="1:2">
      <c r="A78" s="269">
        <v>45231</v>
      </c>
      <c r="B78" s="270">
        <v>131.25</v>
      </c>
    </row>
    <row r="79" spans="1:2">
      <c r="A79" s="269">
        <v>45261</v>
      </c>
      <c r="B79" s="270">
        <v>137.54761904761901</v>
      </c>
    </row>
    <row r="80" spans="1:2">
      <c r="A80" s="269">
        <v>45292</v>
      </c>
      <c r="B80" s="270">
        <v>136.58695652173901</v>
      </c>
    </row>
    <row r="81" spans="1:2">
      <c r="A81" s="269">
        <v>45323</v>
      </c>
      <c r="B81" s="270">
        <v>125.928571428571</v>
      </c>
    </row>
  </sheetData>
  <mergeCells count="26">
    <mergeCell ref="Q28:Q29"/>
    <mergeCell ref="R41:R42"/>
    <mergeCell ref="S41:S42"/>
    <mergeCell ref="T41:T42"/>
    <mergeCell ref="U41:U42"/>
    <mergeCell ref="W41:W42"/>
    <mergeCell ref="X41:X42"/>
    <mergeCell ref="P45:P46"/>
    <mergeCell ref="Q45:Q46"/>
    <mergeCell ref="Q53:Q54"/>
    <mergeCell ref="R53:R54"/>
    <mergeCell ref="S53:S54"/>
    <mergeCell ref="T53:T54"/>
    <mergeCell ref="U53:U54"/>
    <mergeCell ref="V53:V54"/>
    <mergeCell ref="V41:V42"/>
    <mergeCell ref="W53:W54"/>
    <mergeCell ref="X55:X56"/>
    <mergeCell ref="Y55:Y56"/>
    <mergeCell ref="Z55:Z56"/>
    <mergeCell ref="K56:K57"/>
    <mergeCell ref="L56:L57"/>
    <mergeCell ref="M56:M57"/>
    <mergeCell ref="N56:N57"/>
    <mergeCell ref="O56:O57"/>
    <mergeCell ref="P56:P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W369"/>
  <sheetViews>
    <sheetView showGridLines="0" zoomScaleNormal="100" workbookViewId="0">
      <selection activeCell="E252" sqref="E252"/>
    </sheetView>
  </sheetViews>
  <sheetFormatPr baseColWidth="10" defaultColWidth="9.3984375" defaultRowHeight="13"/>
  <cols>
    <col min="1" max="1" width="9.3984375" style="2"/>
    <col min="2" max="2" width="30.19921875" style="2" customWidth="1"/>
    <col min="3" max="3" width="12" style="2" customWidth="1"/>
    <col min="4" max="4" width="22.19921875" style="2" bestFit="1" customWidth="1"/>
    <col min="5" max="5" width="19.59765625" style="2" bestFit="1" customWidth="1"/>
    <col min="6" max="9" width="11.3984375" style="2" bestFit="1" customWidth="1"/>
    <col min="10" max="10" width="13" style="2" bestFit="1" customWidth="1"/>
    <col min="11" max="11" width="11.3984375" style="2" bestFit="1" customWidth="1"/>
    <col min="12" max="12" width="14.59765625" style="2" bestFit="1" customWidth="1"/>
    <col min="13" max="16384" width="9.3984375" style="2"/>
  </cols>
  <sheetData>
    <row r="2" spans="2:20" s="1" customFormat="1" ht="18">
      <c r="B2" s="7" t="s">
        <v>2</v>
      </c>
      <c r="C2" s="8"/>
      <c r="D2" s="8"/>
      <c r="E2" s="8"/>
      <c r="F2" s="8"/>
      <c r="G2" s="8"/>
      <c r="H2" s="8"/>
      <c r="I2" s="8"/>
      <c r="J2" s="8"/>
      <c r="K2"/>
    </row>
    <row r="4" spans="2:20" ht="16">
      <c r="B4"/>
      <c r="C4" s="5" t="s">
        <v>0</v>
      </c>
      <c r="D4" s="6"/>
      <c r="E4" s="6"/>
      <c r="F4" s="5" t="s">
        <v>1</v>
      </c>
      <c r="G4" s="5"/>
      <c r="H4" s="5"/>
      <c r="I4" s="5"/>
      <c r="J4" s="5"/>
      <c r="K4" s="5"/>
      <c r="L4" s="5"/>
    </row>
    <row r="5" spans="2:20">
      <c r="B5"/>
      <c r="C5" s="3">
        <v>2021</v>
      </c>
      <c r="D5" s="3">
        <v>2022</v>
      </c>
      <c r="E5" s="3">
        <v>2023</v>
      </c>
      <c r="F5" s="4">
        <v>2024</v>
      </c>
      <c r="G5" s="4">
        <f t="shared" ref="G5:L5" si="0">F5+1</f>
        <v>2025</v>
      </c>
      <c r="H5" s="4">
        <f t="shared" si="0"/>
        <v>2026</v>
      </c>
      <c r="I5" s="4">
        <f t="shared" si="0"/>
        <v>2027</v>
      </c>
      <c r="J5" s="4">
        <f t="shared" si="0"/>
        <v>2028</v>
      </c>
      <c r="K5" s="4">
        <f t="shared" si="0"/>
        <v>2029</v>
      </c>
      <c r="L5" s="4">
        <f t="shared" si="0"/>
        <v>2030</v>
      </c>
    </row>
    <row r="6" spans="2:20" ht="6" customHeight="1"/>
    <row r="7" spans="2:20" s="15" customFormat="1">
      <c r="B7" s="14" t="s">
        <v>3</v>
      </c>
      <c r="C7" s="383">
        <v>44737</v>
      </c>
      <c r="D7" s="383">
        <v>45302</v>
      </c>
      <c r="E7" s="383">
        <v>41613</v>
      </c>
      <c r="F7" s="384">
        <f>E7*(1+F8)</f>
        <v>43485.584999999999</v>
      </c>
      <c r="G7" s="384">
        <f t="shared" ref="G7:L7" si="1">F7+(F7*G8)</f>
        <v>45442.436325000002</v>
      </c>
      <c r="H7" s="384">
        <f t="shared" si="1"/>
        <v>47487.345959625003</v>
      </c>
      <c r="I7" s="384">
        <f t="shared" si="1"/>
        <v>49624.276527808128</v>
      </c>
      <c r="J7" s="384">
        <f t="shared" si="1"/>
        <v>51857.368971559496</v>
      </c>
      <c r="K7" s="384">
        <f t="shared" si="1"/>
        <v>54190.950575279676</v>
      </c>
      <c r="L7" s="384">
        <f t="shared" si="1"/>
        <v>56629.54335116726</v>
      </c>
    </row>
    <row r="8" spans="2:20" s="11" customFormat="1">
      <c r="B8" s="10" t="s">
        <v>4</v>
      </c>
      <c r="C8" s="16"/>
      <c r="D8" s="16">
        <f>(D7/C7)-1</f>
        <v>1.2629367190468699E-2</v>
      </c>
      <c r="E8" s="16">
        <f>(E7/D7)-1</f>
        <v>-8.1431283387046971E-2</v>
      </c>
      <c r="F8" s="10">
        <v>4.4999999999999998E-2</v>
      </c>
      <c r="G8" s="10">
        <v>4.4999999999999998E-2</v>
      </c>
      <c r="H8" s="10">
        <v>4.4999999999999998E-2</v>
      </c>
      <c r="I8" s="10">
        <v>4.4999999999999998E-2</v>
      </c>
      <c r="J8" s="10">
        <v>4.4999999999999998E-2</v>
      </c>
      <c r="K8" s="10">
        <v>4.4999999999999998E-2</v>
      </c>
      <c r="L8" s="10">
        <v>4.4999999999999998E-2</v>
      </c>
    </row>
    <row r="9" spans="2:20" ht="6" customHeight="1"/>
    <row r="10" spans="2:20">
      <c r="B10" s="12" t="s">
        <v>5</v>
      </c>
    </row>
    <row r="11" spans="2:20">
      <c r="B11" s="9" t="s">
        <v>6</v>
      </c>
      <c r="C11" s="9">
        <v>23453</v>
      </c>
      <c r="D11" s="9">
        <v>24839</v>
      </c>
      <c r="E11" s="9">
        <v>24003</v>
      </c>
      <c r="F11" s="2">
        <f>F7*F12</f>
        <v>23047.360049999999</v>
      </c>
      <c r="G11" s="2">
        <f t="shared" ref="G11:L11" si="2">G7*G12</f>
        <v>24084.491252250002</v>
      </c>
      <c r="H11" s="2">
        <f t="shared" si="2"/>
        <v>25168.293358601251</v>
      </c>
      <c r="I11" s="2">
        <f t="shared" si="2"/>
        <v>26300.866559738308</v>
      </c>
      <c r="J11" s="2">
        <f t="shared" si="2"/>
        <v>27484.405554926532</v>
      </c>
      <c r="K11" s="2">
        <f t="shared" si="2"/>
        <v>28721.203804898229</v>
      </c>
      <c r="L11" s="2">
        <f t="shared" si="2"/>
        <v>30013.657976118648</v>
      </c>
    </row>
    <row r="12" spans="2:20" s="17" customFormat="1">
      <c r="B12" s="10" t="s">
        <v>7</v>
      </c>
      <c r="C12" s="16">
        <f>C11/C7</f>
        <v>0.52424167914701481</v>
      </c>
      <c r="D12" s="16">
        <f>D11/D7</f>
        <v>0.5482980883846188</v>
      </c>
      <c r="E12" s="16">
        <f>E11/E7</f>
        <v>0.57681493763967995</v>
      </c>
      <c r="F12" s="10">
        <v>0.53</v>
      </c>
      <c r="G12" s="10">
        <v>0.53</v>
      </c>
      <c r="H12" s="10">
        <v>0.53</v>
      </c>
      <c r="I12" s="10">
        <v>0.53</v>
      </c>
      <c r="J12" s="10">
        <v>0.53</v>
      </c>
      <c r="K12" s="10">
        <v>0.53</v>
      </c>
      <c r="L12" s="10">
        <v>0.53</v>
      </c>
      <c r="T12" s="17" t="s">
        <v>172</v>
      </c>
    </row>
    <row r="13" spans="2:20" ht="6" customHeight="1">
      <c r="B13" s="13"/>
    </row>
    <row r="14" spans="2:20">
      <c r="B14" s="9" t="s">
        <v>8</v>
      </c>
      <c r="C14" s="9">
        <v>3275.8</v>
      </c>
      <c r="D14" s="20">
        <v>3277.2</v>
      </c>
      <c r="E14" s="20">
        <v>3060</v>
      </c>
      <c r="F14" s="2">
        <f>F7*F15</f>
        <v>3174.4477049999996</v>
      </c>
      <c r="G14" s="2">
        <f t="shared" ref="G14:L14" si="3">G7*G15</f>
        <v>3317.2978517249999</v>
      </c>
      <c r="H14" s="2">
        <f t="shared" si="3"/>
        <v>3466.5762550526251</v>
      </c>
      <c r="I14" s="2">
        <f t="shared" si="3"/>
        <v>3622.5721865299929</v>
      </c>
      <c r="J14" s="2">
        <f t="shared" si="3"/>
        <v>3785.587934923843</v>
      </c>
      <c r="K14" s="2">
        <f t="shared" si="3"/>
        <v>3955.9393919954159</v>
      </c>
      <c r="L14" s="2">
        <f t="shared" si="3"/>
        <v>4133.9566646352096</v>
      </c>
      <c r="R14" s="155" t="s">
        <v>171</v>
      </c>
      <c r="T14" s="155" t="s">
        <v>173</v>
      </c>
    </row>
    <row r="15" spans="2:20" s="17" customFormat="1">
      <c r="B15" s="10" t="s">
        <v>7</v>
      </c>
      <c r="C15" s="16">
        <f>C14/C7</f>
        <v>7.3223506269977881E-2</v>
      </c>
      <c r="D15" s="16">
        <f>D14/D7</f>
        <v>7.234117698997837E-2</v>
      </c>
      <c r="E15" s="16">
        <f>E14/E7</f>
        <v>7.3534712709970446E-2</v>
      </c>
      <c r="F15" s="10">
        <v>7.2999999999999995E-2</v>
      </c>
      <c r="G15" s="10">
        <v>7.2999999999999995E-2</v>
      </c>
      <c r="H15" s="10">
        <v>7.2999999999999995E-2</v>
      </c>
      <c r="I15" s="10">
        <v>7.2999999999999995E-2</v>
      </c>
      <c r="J15" s="10">
        <v>7.2999999999999995E-2</v>
      </c>
      <c r="K15" s="10">
        <v>7.2999999999999995E-2</v>
      </c>
      <c r="L15" s="10">
        <v>7.2999999999999995E-2</v>
      </c>
      <c r="T15" s="17" t="s">
        <v>174</v>
      </c>
    </row>
    <row r="16" spans="2:20" ht="4.5" customHeight="1">
      <c r="B16" s="13"/>
      <c r="C16" s="19" t="s">
        <v>17</v>
      </c>
      <c r="D16" s="19" t="s">
        <v>17</v>
      </c>
      <c r="E16" s="19" t="s">
        <v>17</v>
      </c>
      <c r="F16" s="19" t="s">
        <v>17</v>
      </c>
      <c r="G16" s="19" t="s">
        <v>17</v>
      </c>
      <c r="H16" s="19" t="s">
        <v>17</v>
      </c>
      <c r="I16" s="19" t="s">
        <v>17</v>
      </c>
      <c r="J16" s="19" t="s">
        <v>17</v>
      </c>
      <c r="K16" s="19" t="s">
        <v>17</v>
      </c>
      <c r="L16" s="19" t="s">
        <v>17</v>
      </c>
    </row>
    <row r="17" spans="2:20">
      <c r="B17" s="9" t="s">
        <v>9</v>
      </c>
      <c r="C17" s="21">
        <f>SUM(C14,C11)</f>
        <v>26728.799999999999</v>
      </c>
      <c r="D17" s="21">
        <f>SUM(D14,D11)</f>
        <v>28116.2</v>
      </c>
      <c r="E17" s="21">
        <f>SUM(E14,E11)</f>
        <v>27063</v>
      </c>
      <c r="F17" s="21">
        <f t="shared" ref="F17:L17" si="4">SUM(F14,F11)</f>
        <v>26221.807754999998</v>
      </c>
      <c r="G17" s="21">
        <f t="shared" si="4"/>
        <v>27401.789103975003</v>
      </c>
      <c r="H17" s="21">
        <f t="shared" si="4"/>
        <v>28634.869613653878</v>
      </c>
      <c r="I17" s="21">
        <f t="shared" si="4"/>
        <v>29923.438746268301</v>
      </c>
      <c r="J17" s="21">
        <f t="shared" si="4"/>
        <v>31269.993489850374</v>
      </c>
      <c r="K17" s="21">
        <f t="shared" si="4"/>
        <v>32677.143196893645</v>
      </c>
      <c r="L17" s="21">
        <f t="shared" si="4"/>
        <v>34147.614640753854</v>
      </c>
      <c r="T17" s="155" t="s">
        <v>175</v>
      </c>
    </row>
    <row r="18" spans="2:20" s="17" customFormat="1">
      <c r="B18" s="10" t="s">
        <v>7</v>
      </c>
      <c r="C18" s="16">
        <f>C17/C7</f>
        <v>0.59746518541699267</v>
      </c>
      <c r="D18" s="16">
        <f>D17/D7</f>
        <v>0.62063926537459713</v>
      </c>
      <c r="E18" s="16">
        <f>E17/E7</f>
        <v>0.65034965034965031</v>
      </c>
      <c r="F18" s="16">
        <f t="shared" ref="F18:L18" si="5">F17/F7</f>
        <v>0.60299999999999998</v>
      </c>
      <c r="G18" s="16">
        <f t="shared" si="5"/>
        <v>0.60299999999999998</v>
      </c>
      <c r="H18" s="16">
        <f t="shared" si="5"/>
        <v>0.60299999999999998</v>
      </c>
      <c r="I18" s="16">
        <f t="shared" si="5"/>
        <v>0.60299999999999998</v>
      </c>
      <c r="J18" s="16">
        <f t="shared" si="5"/>
        <v>0.60299999999999998</v>
      </c>
      <c r="K18" s="16">
        <f t="shared" si="5"/>
        <v>0.60299999999999998</v>
      </c>
      <c r="L18" s="16">
        <f t="shared" si="5"/>
        <v>0.60299999999999998</v>
      </c>
      <c r="T18" s="17" t="s">
        <v>176</v>
      </c>
    </row>
    <row r="19" spans="2:20" ht="6" customHeight="1">
      <c r="B19" s="13"/>
    </row>
    <row r="20" spans="2:20">
      <c r="B20" s="12" t="s">
        <v>16</v>
      </c>
      <c r="T20" s="155" t="s">
        <v>177</v>
      </c>
    </row>
    <row r="21" spans="2:20">
      <c r="B21" s="9" t="s">
        <v>15</v>
      </c>
      <c r="C21" s="9">
        <v>474.8</v>
      </c>
      <c r="D21" s="9">
        <v>489.4</v>
      </c>
      <c r="E21" s="9">
        <v>504.6</v>
      </c>
      <c r="F21" s="2">
        <f>F7*F22</f>
        <v>521.82701999999995</v>
      </c>
      <c r="G21" s="2">
        <f t="shared" ref="G21:L21" si="6">G7*G22</f>
        <v>545.30923590000009</v>
      </c>
      <c r="H21" s="2">
        <f t="shared" si="6"/>
        <v>569.84815151550004</v>
      </c>
      <c r="I21" s="2">
        <f t="shared" si="6"/>
        <v>595.49131833369756</v>
      </c>
      <c r="J21" s="2">
        <f t="shared" si="6"/>
        <v>622.288427658714</v>
      </c>
      <c r="K21" s="2">
        <f t="shared" si="6"/>
        <v>650.29140690335612</v>
      </c>
      <c r="L21" s="2">
        <f t="shared" si="6"/>
        <v>679.55452021400708</v>
      </c>
    </row>
    <row r="22" spans="2:20" s="17" customFormat="1">
      <c r="B22" s="10" t="s">
        <v>7</v>
      </c>
      <c r="C22" s="16">
        <f>C21/C7</f>
        <v>1.0613139012450545E-2</v>
      </c>
      <c r="D22" s="16">
        <f>D21/D7</f>
        <v>1.0803055052757053E-2</v>
      </c>
      <c r="E22" s="16">
        <f>E21/E7</f>
        <v>1.2126018311585322E-2</v>
      </c>
      <c r="F22" s="10">
        <v>1.2E-2</v>
      </c>
      <c r="G22" s="10">
        <v>1.2E-2</v>
      </c>
      <c r="H22" s="10">
        <v>1.2E-2</v>
      </c>
      <c r="I22" s="10">
        <v>1.2E-2</v>
      </c>
      <c r="J22" s="10">
        <v>1.2E-2</v>
      </c>
      <c r="K22" s="10">
        <v>1.2E-2</v>
      </c>
      <c r="L22" s="10">
        <v>1.2E-2</v>
      </c>
      <c r="Q22" s="22"/>
      <c r="R22" s="22"/>
      <c r="S22" s="22"/>
    </row>
    <row r="23" spans="2:20" ht="6" customHeight="1">
      <c r="B23" s="13"/>
    </row>
    <row r="24" spans="2:20">
      <c r="B24" s="18" t="s">
        <v>19</v>
      </c>
      <c r="C24" s="9">
        <v>1748</v>
      </c>
      <c r="D24" s="9">
        <v>1762</v>
      </c>
      <c r="E24" s="9">
        <v>1500</v>
      </c>
      <c r="F24" s="2">
        <f>F7*F25</f>
        <v>1565.4810599999998</v>
      </c>
      <c r="G24" s="2">
        <f t="shared" ref="G24:L24" si="7">G7*G25</f>
        <v>1635.9277076999999</v>
      </c>
      <c r="H24" s="2">
        <f t="shared" si="7"/>
        <v>1709.5444545465</v>
      </c>
      <c r="I24" s="2">
        <f t="shared" si="7"/>
        <v>1786.4739550010925</v>
      </c>
      <c r="J24" s="2">
        <f t="shared" si="7"/>
        <v>1866.8652829761418</v>
      </c>
      <c r="K24" s="2">
        <f t="shared" si="7"/>
        <v>1950.8742207100681</v>
      </c>
      <c r="L24" s="2">
        <f t="shared" si="7"/>
        <v>2038.6635606420211</v>
      </c>
    </row>
    <row r="25" spans="2:20" s="17" customFormat="1">
      <c r="B25" s="10" t="s">
        <v>7</v>
      </c>
      <c r="C25" s="16">
        <f>C24/C7</f>
        <v>3.9072803272459038E-2</v>
      </c>
      <c r="D25" s="16">
        <f>D24/D7</f>
        <v>3.8894530042823713E-2</v>
      </c>
      <c r="E25" s="16">
        <f>E24/E7</f>
        <v>3.6046427799005118E-2</v>
      </c>
      <c r="F25" s="10">
        <v>3.5999999999999997E-2</v>
      </c>
      <c r="G25" s="10">
        <v>3.5999999999999997E-2</v>
      </c>
      <c r="H25" s="10">
        <v>3.5999999999999997E-2</v>
      </c>
      <c r="I25" s="10">
        <v>3.5999999999999997E-2</v>
      </c>
      <c r="J25" s="10">
        <v>3.5999999999999997E-2</v>
      </c>
      <c r="K25" s="10">
        <v>3.5999999999999997E-2</v>
      </c>
      <c r="L25" s="10">
        <v>3.5999999999999997E-2</v>
      </c>
    </row>
    <row r="26" spans="2:20" ht="6" customHeight="1">
      <c r="B26" s="13"/>
      <c r="C26" s="19" t="s">
        <v>17</v>
      </c>
      <c r="D26" s="19" t="s">
        <v>17</v>
      </c>
      <c r="E26" s="19" t="s">
        <v>17</v>
      </c>
      <c r="F26" s="19" t="s">
        <v>17</v>
      </c>
      <c r="G26" s="19" t="s">
        <v>17</v>
      </c>
      <c r="H26" s="19" t="s">
        <v>17</v>
      </c>
      <c r="I26" s="19" t="s">
        <v>17</v>
      </c>
      <c r="J26" s="19" t="s">
        <v>17</v>
      </c>
      <c r="K26" s="19" t="s">
        <v>17</v>
      </c>
      <c r="L26" s="19" t="s">
        <v>17</v>
      </c>
    </row>
    <row r="27" spans="2:20">
      <c r="B27" s="9" t="s">
        <v>14</v>
      </c>
      <c r="C27" s="21">
        <f>SUM(C24,C21)</f>
        <v>2222.8000000000002</v>
      </c>
      <c r="D27" s="21">
        <f>SUM(D24,D21)</f>
        <v>2251.4</v>
      </c>
      <c r="E27" s="21">
        <f>SUM(E24,E21)</f>
        <v>2004.6</v>
      </c>
      <c r="F27" s="2">
        <f>SUM(F21,F24)</f>
        <v>2087.3080799999998</v>
      </c>
      <c r="G27" s="2">
        <f t="shared" ref="G27:L27" si="8">SUM(G21,G24)</f>
        <v>2181.2369435999999</v>
      </c>
      <c r="H27" s="2">
        <f t="shared" si="8"/>
        <v>2279.3926060620001</v>
      </c>
      <c r="I27" s="2">
        <f t="shared" si="8"/>
        <v>2381.9652733347903</v>
      </c>
      <c r="J27" s="2">
        <f t="shared" si="8"/>
        <v>2489.153710634856</v>
      </c>
      <c r="K27" s="2">
        <f t="shared" si="8"/>
        <v>2601.1656276134245</v>
      </c>
      <c r="L27" s="2">
        <f t="shared" si="8"/>
        <v>2718.2180808560283</v>
      </c>
    </row>
    <row r="28" spans="2:20" s="17" customFormat="1">
      <c r="B28" s="10" t="s">
        <v>7</v>
      </c>
      <c r="C28" s="16">
        <f>C27/C7</f>
        <v>4.9685942284909586E-2</v>
      </c>
      <c r="D28" s="16">
        <f>D27/D7</f>
        <v>4.9697585095580768E-2</v>
      </c>
      <c r="E28" s="16">
        <f>E27/E7</f>
        <v>4.817244611059044E-2</v>
      </c>
      <c r="F28" s="22">
        <f>F27/F7</f>
        <v>4.7999999999999994E-2</v>
      </c>
      <c r="G28" s="22">
        <f t="shared" ref="G28:L28" si="9">G27/G7</f>
        <v>4.7999999999999994E-2</v>
      </c>
      <c r="H28" s="22">
        <f t="shared" si="9"/>
        <v>4.8000000000000001E-2</v>
      </c>
      <c r="I28" s="22">
        <f t="shared" si="9"/>
        <v>4.8000000000000001E-2</v>
      </c>
      <c r="J28" s="22">
        <f t="shared" si="9"/>
        <v>4.8000000000000001E-2</v>
      </c>
      <c r="K28" s="22">
        <f t="shared" si="9"/>
        <v>4.8000000000000001E-2</v>
      </c>
      <c r="L28" s="22">
        <f t="shared" si="9"/>
        <v>4.7999999999999994E-2</v>
      </c>
    </row>
    <row r="29" spans="2:20" ht="6" customHeight="1">
      <c r="B29" s="13"/>
    </row>
    <row r="30" spans="2:20" ht="6" customHeight="1">
      <c r="B30" s="13"/>
    </row>
    <row r="31" spans="2:20">
      <c r="B31" s="9" t="s">
        <v>10</v>
      </c>
      <c r="C31" s="21">
        <f>C7-SUM(C11,C27)</f>
        <v>19061.2</v>
      </c>
      <c r="D31" s="21">
        <f t="shared" ref="D31:L31" si="10">D7-SUM(D11,D27)</f>
        <v>18211.599999999999</v>
      </c>
      <c r="E31" s="21">
        <f t="shared" si="10"/>
        <v>15605.400000000001</v>
      </c>
      <c r="F31" s="21">
        <f t="shared" si="10"/>
        <v>18350.916870000001</v>
      </c>
      <c r="G31" s="21">
        <f t="shared" si="10"/>
        <v>19176.70812915</v>
      </c>
      <c r="H31" s="21">
        <f t="shared" si="10"/>
        <v>20039.659994961752</v>
      </c>
      <c r="I31" s="21">
        <f t="shared" si="10"/>
        <v>20941.44469473503</v>
      </c>
      <c r="J31" s="21">
        <f t="shared" si="10"/>
        <v>21883.809705998108</v>
      </c>
      <c r="K31" s="21">
        <f t="shared" si="10"/>
        <v>22868.581142768024</v>
      </c>
      <c r="L31" s="21">
        <f t="shared" si="10"/>
        <v>23897.667294192583</v>
      </c>
    </row>
    <row r="32" spans="2:20" s="17" customFormat="1">
      <c r="B32" s="10" t="s">
        <v>11</v>
      </c>
      <c r="C32" s="16">
        <f>C31/C7</f>
        <v>0.42607237856807567</v>
      </c>
      <c r="D32" s="16">
        <f>D31/D7</f>
        <v>0.40200432651980039</v>
      </c>
      <c r="E32" s="16">
        <f>E31/E7</f>
        <v>0.3750126162497297</v>
      </c>
      <c r="F32" s="16">
        <f t="shared" ref="F32:L32" si="11">F31/F7</f>
        <v>0.42200000000000004</v>
      </c>
      <c r="G32" s="16">
        <f t="shared" si="11"/>
        <v>0.42199999999999999</v>
      </c>
      <c r="H32" s="16">
        <f t="shared" si="11"/>
        <v>0.42200000000000004</v>
      </c>
      <c r="I32" s="16">
        <f t="shared" si="11"/>
        <v>0.42199999999999999</v>
      </c>
      <c r="J32" s="16">
        <f t="shared" si="11"/>
        <v>0.42200000000000004</v>
      </c>
      <c r="K32" s="16">
        <f t="shared" si="11"/>
        <v>0.42199999999999999</v>
      </c>
      <c r="L32" s="16">
        <f t="shared" si="11"/>
        <v>0.42199999999999999</v>
      </c>
    </row>
    <row r="33" spans="2:12" s="17" customFormat="1">
      <c r="B33" s="10" t="s">
        <v>4</v>
      </c>
      <c r="C33" s="16"/>
      <c r="D33" s="16">
        <f>D31/C31-1</f>
        <v>-4.4572220007135011E-2</v>
      </c>
      <c r="E33" s="16">
        <f>E31/D31-1</f>
        <v>-0.1431065914032813</v>
      </c>
      <c r="F33" s="16">
        <f t="shared" ref="F33:L33" si="12">F31/E31-1</f>
        <v>0.1759337710023452</v>
      </c>
      <c r="G33" s="16">
        <f t="shared" si="12"/>
        <v>4.4999999999999929E-2</v>
      </c>
      <c r="H33" s="16">
        <f t="shared" si="12"/>
        <v>4.5000000000000151E-2</v>
      </c>
      <c r="I33" s="16">
        <f t="shared" si="12"/>
        <v>4.4999999999999929E-2</v>
      </c>
      <c r="J33" s="16">
        <f t="shared" si="12"/>
        <v>4.5000000000000151E-2</v>
      </c>
      <c r="K33" s="16">
        <f t="shared" si="12"/>
        <v>4.4999999999999929E-2</v>
      </c>
      <c r="L33" s="16">
        <f t="shared" si="12"/>
        <v>4.4999999999999929E-2</v>
      </c>
    </row>
    <row r="34" spans="2:12" ht="6" customHeight="1">
      <c r="B34" s="9"/>
    </row>
    <row r="35" spans="2:12">
      <c r="B35" s="9" t="s">
        <v>12</v>
      </c>
      <c r="C35" s="21">
        <f>C31-C14</f>
        <v>15785.400000000001</v>
      </c>
      <c r="D35" s="21">
        <f>D31-D14</f>
        <v>14934.399999999998</v>
      </c>
      <c r="E35" s="21">
        <f>E31-E14</f>
        <v>12545.400000000001</v>
      </c>
      <c r="F35" s="21">
        <f t="shared" ref="F35:L35" si="13">F31-F14</f>
        <v>15176.469165000002</v>
      </c>
      <c r="G35" s="21">
        <f t="shared" si="13"/>
        <v>15859.410277425</v>
      </c>
      <c r="H35" s="21">
        <f t="shared" si="13"/>
        <v>16573.083739909125</v>
      </c>
      <c r="I35" s="21">
        <f t="shared" si="13"/>
        <v>17318.872508205037</v>
      </c>
      <c r="J35" s="21">
        <f t="shared" si="13"/>
        <v>18098.221771074266</v>
      </c>
      <c r="K35" s="21">
        <f t="shared" si="13"/>
        <v>18912.641750772607</v>
      </c>
      <c r="L35" s="21">
        <f t="shared" si="13"/>
        <v>19763.710629557372</v>
      </c>
    </row>
    <row r="36" spans="2:12" s="17" customFormat="1">
      <c r="B36" s="10" t="s">
        <v>11</v>
      </c>
      <c r="C36" s="16">
        <f>C35/C7</f>
        <v>0.3528488722980978</v>
      </c>
      <c r="D36" s="16">
        <f>D35/D7</f>
        <v>0.32966314952982201</v>
      </c>
      <c r="E36" s="16">
        <f>E35/E7</f>
        <v>0.30147790353975923</v>
      </c>
      <c r="F36" s="16">
        <f t="shared" ref="F36:L36" si="14">F35/F7</f>
        <v>0.34900000000000003</v>
      </c>
      <c r="G36" s="16">
        <f t="shared" si="14"/>
        <v>0.34899999999999998</v>
      </c>
      <c r="H36" s="16">
        <f t="shared" si="14"/>
        <v>0.34899999999999998</v>
      </c>
      <c r="I36" s="16">
        <f t="shared" si="14"/>
        <v>0.34900000000000003</v>
      </c>
      <c r="J36" s="16">
        <f t="shared" si="14"/>
        <v>0.34900000000000003</v>
      </c>
      <c r="K36" s="16">
        <f t="shared" si="14"/>
        <v>0.34900000000000003</v>
      </c>
      <c r="L36" s="16">
        <f t="shared" si="14"/>
        <v>0.34899999999999998</v>
      </c>
    </row>
    <row r="37" spans="2:12" ht="6" customHeight="1">
      <c r="B37" s="9"/>
    </row>
    <row r="38" spans="2:12">
      <c r="B38" s="9" t="s">
        <v>18</v>
      </c>
      <c r="C38" s="9">
        <v>5460.2</v>
      </c>
      <c r="D38" s="9">
        <v>5636.8</v>
      </c>
      <c r="E38" s="9">
        <v>5889.2</v>
      </c>
      <c r="F38" s="2">
        <v>6500</v>
      </c>
      <c r="G38" s="2">
        <f t="shared" ref="G38:L38" si="15">G7*G39</f>
        <v>6816.3654487499998</v>
      </c>
      <c r="H38" s="2">
        <f t="shared" si="15"/>
        <v>7123.1018939437499</v>
      </c>
      <c r="I38" s="2">
        <f t="shared" si="15"/>
        <v>7443.6414791712186</v>
      </c>
      <c r="J38" s="2">
        <f t="shared" si="15"/>
        <v>7778.605345733924</v>
      </c>
      <c r="K38" s="2">
        <f t="shared" si="15"/>
        <v>8128.6425862919514</v>
      </c>
      <c r="L38" s="2">
        <f t="shared" si="15"/>
        <v>8494.4315026750883</v>
      </c>
    </row>
    <row r="39" spans="2:12" s="17" customFormat="1">
      <c r="B39" s="10" t="s">
        <v>13</v>
      </c>
      <c r="C39" s="16">
        <f>C38/C7</f>
        <v>0.12205109864318126</v>
      </c>
      <c r="D39" s="16">
        <f>D38/D7</f>
        <v>0.12442717760805262</v>
      </c>
      <c r="E39" s="16">
        <f>E38/E7</f>
        <v>0.14152308172926728</v>
      </c>
      <c r="F39" s="10">
        <v>0.15</v>
      </c>
      <c r="G39" s="10">
        <v>0.15</v>
      </c>
      <c r="H39" s="10">
        <v>0.15</v>
      </c>
      <c r="I39" s="10">
        <v>0.15</v>
      </c>
      <c r="J39" s="10">
        <v>0.15</v>
      </c>
      <c r="K39" s="10">
        <v>0.15</v>
      </c>
      <c r="L39" s="10">
        <v>0.15</v>
      </c>
    </row>
    <row r="40" spans="2:12" s="17" customFormat="1">
      <c r="B40" s="10"/>
      <c r="C40" s="16"/>
      <c r="D40" s="16"/>
      <c r="E40" s="16"/>
    </row>
    <row r="41" spans="2:12" s="17" customFormat="1">
      <c r="B41" s="10"/>
      <c r="C41" s="16"/>
      <c r="D41" s="16"/>
      <c r="E41" s="16"/>
    </row>
    <row r="42" spans="2:12" s="17" customFormat="1">
      <c r="B42" s="10"/>
      <c r="C42" s="16"/>
      <c r="D42" s="16"/>
      <c r="E42" s="16"/>
    </row>
    <row r="43" spans="2:12" ht="18">
      <c r="B43" s="7" t="s">
        <v>20</v>
      </c>
      <c r="C43" s="8"/>
      <c r="D43" s="8"/>
      <c r="E43" s="8"/>
      <c r="F43" s="8"/>
      <c r="G43" s="8"/>
      <c r="H43" s="8"/>
      <c r="I43" s="8"/>
      <c r="J43" s="8"/>
    </row>
    <row r="45" spans="2:12" ht="16">
      <c r="B45"/>
      <c r="C45"/>
      <c r="D45"/>
      <c r="E45" s="5" t="s">
        <v>0</v>
      </c>
      <c r="F45" s="5" t="s">
        <v>1</v>
      </c>
      <c r="G45" s="5"/>
      <c r="H45" s="5"/>
      <c r="I45" s="5"/>
      <c r="J45" s="5"/>
      <c r="K45" s="5"/>
      <c r="L45" s="5"/>
    </row>
    <row r="46" spans="2:12">
      <c r="B46"/>
      <c r="C46"/>
      <c r="D46"/>
      <c r="E46" s="3">
        <f t="shared" ref="E46:L46" si="16">E5</f>
        <v>2023</v>
      </c>
      <c r="F46" s="4">
        <f t="shared" si="16"/>
        <v>2024</v>
      </c>
      <c r="G46" s="4">
        <f t="shared" si="16"/>
        <v>2025</v>
      </c>
      <c r="H46" s="4">
        <f t="shared" si="16"/>
        <v>2026</v>
      </c>
      <c r="I46" s="4">
        <f t="shared" si="16"/>
        <v>2027</v>
      </c>
      <c r="J46" s="4">
        <f t="shared" si="16"/>
        <v>2028</v>
      </c>
      <c r="K46" s="4">
        <f t="shared" si="16"/>
        <v>2029</v>
      </c>
      <c r="L46" s="4">
        <f t="shared" si="16"/>
        <v>2030</v>
      </c>
    </row>
    <row r="48" spans="2:12">
      <c r="B48" s="9" t="s">
        <v>3</v>
      </c>
      <c r="E48" s="385">
        <f t="shared" ref="E48:J48" si="17">E7</f>
        <v>41613</v>
      </c>
      <c r="F48" s="385">
        <f t="shared" si="17"/>
        <v>43485.584999999999</v>
      </c>
      <c r="G48" s="385">
        <f t="shared" si="17"/>
        <v>45442.436325000002</v>
      </c>
      <c r="H48" s="385">
        <f t="shared" si="17"/>
        <v>47487.345959625003</v>
      </c>
      <c r="I48" s="385">
        <f t="shared" si="17"/>
        <v>49624.276527808128</v>
      </c>
      <c r="J48" s="385">
        <f t="shared" si="17"/>
        <v>51857.368971559496</v>
      </c>
      <c r="K48" s="385">
        <f>K7</f>
        <v>54190.950575279676</v>
      </c>
      <c r="L48" s="385">
        <f>L7</f>
        <v>56629.54335116726</v>
      </c>
    </row>
    <row r="49" spans="2:22">
      <c r="B49" s="9" t="s">
        <v>21</v>
      </c>
      <c r="E49" s="385">
        <f t="shared" ref="E49:J49" si="18">-E17</f>
        <v>-27063</v>
      </c>
      <c r="F49" s="385">
        <f t="shared" si="18"/>
        <v>-26221.807754999998</v>
      </c>
      <c r="G49" s="385">
        <f t="shared" si="18"/>
        <v>-27401.789103975003</v>
      </c>
      <c r="H49" s="385">
        <f t="shared" si="18"/>
        <v>-28634.869613653878</v>
      </c>
      <c r="I49" s="385">
        <f t="shared" si="18"/>
        <v>-29923.438746268301</v>
      </c>
      <c r="J49" s="385">
        <f t="shared" si="18"/>
        <v>-31269.993489850374</v>
      </c>
      <c r="K49" s="385">
        <f>-K17</f>
        <v>-32677.143196893645</v>
      </c>
      <c r="L49" s="385">
        <f>-L17</f>
        <v>-34147.614640753854</v>
      </c>
    </row>
    <row r="50" spans="2:22" ht="16">
      <c r="B50" s="9"/>
      <c r="E50" s="24" t="s">
        <v>17</v>
      </c>
      <c r="F50" s="24" t="s">
        <v>17</v>
      </c>
      <c r="G50" s="24" t="s">
        <v>17</v>
      </c>
      <c r="H50" s="24" t="s">
        <v>17</v>
      </c>
      <c r="I50" s="24" t="s">
        <v>17</v>
      </c>
      <c r="J50" s="24" t="s">
        <v>17</v>
      </c>
      <c r="K50" s="24" t="s">
        <v>17</v>
      </c>
      <c r="L50" s="24" t="s">
        <v>17</v>
      </c>
    </row>
    <row r="51" spans="2:22">
      <c r="B51" s="9" t="s">
        <v>22</v>
      </c>
      <c r="E51" s="21">
        <f t="shared" ref="E51:J51" si="19">SUM(E48:E50)</f>
        <v>14550</v>
      </c>
      <c r="F51" s="21">
        <f t="shared" si="19"/>
        <v>17263.777245000001</v>
      </c>
      <c r="G51" s="21">
        <f t="shared" si="19"/>
        <v>18040.647221024999</v>
      </c>
      <c r="H51" s="21">
        <f t="shared" si="19"/>
        <v>18852.476345971125</v>
      </c>
      <c r="I51" s="21">
        <f t="shared" si="19"/>
        <v>19700.837781539827</v>
      </c>
      <c r="J51" s="21">
        <f t="shared" si="19"/>
        <v>20587.375481709121</v>
      </c>
      <c r="K51" s="21">
        <f>SUM(K48:K50)</f>
        <v>21513.807378386031</v>
      </c>
      <c r="L51" s="21">
        <f>SUM(L48:L50)</f>
        <v>22481.928710413405</v>
      </c>
    </row>
    <row r="52" spans="2:22">
      <c r="B52" s="9"/>
      <c r="F52" s="13"/>
      <c r="G52" s="13"/>
      <c r="H52" s="13"/>
      <c r="I52" s="13"/>
      <c r="J52" s="13"/>
      <c r="K52" s="13"/>
      <c r="L52" s="13"/>
    </row>
    <row r="53" spans="2:22">
      <c r="B53" s="9" t="s">
        <v>23</v>
      </c>
      <c r="E53" s="385">
        <f t="shared" ref="E53:J53" si="20">-E27</f>
        <v>-2004.6</v>
      </c>
      <c r="F53" s="385">
        <f t="shared" si="20"/>
        <v>-2087.3080799999998</v>
      </c>
      <c r="G53" s="385">
        <f t="shared" si="20"/>
        <v>-2181.2369435999999</v>
      </c>
      <c r="H53" s="385">
        <f t="shared" si="20"/>
        <v>-2279.3926060620001</v>
      </c>
      <c r="I53" s="385">
        <f t="shared" si="20"/>
        <v>-2381.9652733347903</v>
      </c>
      <c r="J53" s="385">
        <f t="shared" si="20"/>
        <v>-2489.153710634856</v>
      </c>
      <c r="K53" s="385">
        <f>-K27</f>
        <v>-2601.1656276134245</v>
      </c>
      <c r="L53" s="385">
        <f>-L27</f>
        <v>-2718.2180808560283</v>
      </c>
    </row>
    <row r="54" spans="2:22" ht="16">
      <c r="B54" s="9"/>
      <c r="E54" s="24" t="s">
        <v>17</v>
      </c>
      <c r="F54" s="24" t="s">
        <v>17</v>
      </c>
      <c r="G54" s="24" t="s">
        <v>17</v>
      </c>
      <c r="H54" s="24" t="s">
        <v>17</v>
      </c>
      <c r="I54" s="24" t="s">
        <v>17</v>
      </c>
      <c r="J54" s="24" t="s">
        <v>17</v>
      </c>
      <c r="K54" s="24" t="s">
        <v>17</v>
      </c>
      <c r="L54" s="24" t="s">
        <v>17</v>
      </c>
    </row>
    <row r="55" spans="2:22">
      <c r="B55" s="9" t="s">
        <v>24</v>
      </c>
      <c r="E55" s="21">
        <f t="shared" ref="E55:J55" si="21">SUM(E51:E53)</f>
        <v>12545.4</v>
      </c>
      <c r="F55" s="21">
        <f t="shared" si="21"/>
        <v>15176.469165000002</v>
      </c>
      <c r="G55" s="21">
        <f t="shared" si="21"/>
        <v>15859.410277424999</v>
      </c>
      <c r="H55" s="21">
        <f t="shared" si="21"/>
        <v>16573.083739909125</v>
      </c>
      <c r="I55" s="21">
        <f t="shared" si="21"/>
        <v>17318.872508205037</v>
      </c>
      <c r="J55" s="21">
        <f t="shared" si="21"/>
        <v>18098.221771074266</v>
      </c>
      <c r="K55" s="21">
        <f>SUM(K51:K53)</f>
        <v>18912.641750772607</v>
      </c>
      <c r="L55" s="21">
        <f>SUM(L51:L53)</f>
        <v>19763.710629557376</v>
      </c>
      <c r="Q55" s="32"/>
      <c r="R55" s="32"/>
      <c r="S55" s="32"/>
      <c r="T55" s="32"/>
      <c r="U55" s="32"/>
      <c r="V55" s="32"/>
    </row>
    <row r="56" spans="2:22">
      <c r="B56" s="9"/>
      <c r="Q56" s="32"/>
      <c r="R56" s="32"/>
      <c r="S56" s="32"/>
      <c r="T56" s="32"/>
      <c r="U56" s="32"/>
      <c r="V56" s="32"/>
    </row>
    <row r="57" spans="2:22">
      <c r="B57" s="12" t="s">
        <v>25</v>
      </c>
      <c r="D57" s="25" t="s">
        <v>26</v>
      </c>
    </row>
    <row r="58" spans="2:22">
      <c r="B58" s="9" t="s">
        <v>27</v>
      </c>
      <c r="D58" s="28">
        <v>5.8000000000000003E-2</v>
      </c>
      <c r="F58" s="21">
        <f>6963/5</f>
        <v>1392.6</v>
      </c>
      <c r="G58" s="21">
        <f>5825/5</f>
        <v>1165</v>
      </c>
      <c r="H58" s="21">
        <f>6276/5</f>
        <v>1255.2</v>
      </c>
      <c r="I58" s="21">
        <f>11256/5</f>
        <v>2251.1999999999998</v>
      </c>
      <c r="J58" s="21">
        <f>7767/5</f>
        <v>1553.4</v>
      </c>
      <c r="K58" s="21">
        <f>7767/5</f>
        <v>1553.4</v>
      </c>
      <c r="L58" s="21">
        <f>7767/5</f>
        <v>1553.4</v>
      </c>
    </row>
    <row r="59" spans="2:22">
      <c r="B59" s="9"/>
    </row>
    <row r="60" spans="2:22">
      <c r="B60" s="9" t="s">
        <v>28</v>
      </c>
      <c r="D60" s="28">
        <v>0.04</v>
      </c>
      <c r="F60" s="21">
        <f>-$D60*E89</f>
        <v>-93.9696</v>
      </c>
      <c r="G60" s="21">
        <f t="shared" ref="G60:L60" si="22">-$D60*F89</f>
        <v>-91.04876717341935</v>
      </c>
      <c r="H60" s="21">
        <f t="shared" si="22"/>
        <v>-95.145961696223239</v>
      </c>
      <c r="I60" s="21">
        <f t="shared" si="22"/>
        <v>-99.427529972553273</v>
      </c>
      <c r="J60" s="21">
        <f t="shared" si="22"/>
        <v>-103.90176882131817</v>
      </c>
      <c r="K60" s="21">
        <f t="shared" si="22"/>
        <v>-108.5773484182775</v>
      </c>
      <c r="L60" s="21">
        <f t="shared" si="22"/>
        <v>-113.46332909709997</v>
      </c>
    </row>
    <row r="61" spans="2:22">
      <c r="B61" s="9" t="s">
        <v>322</v>
      </c>
      <c r="D61" s="341">
        <v>7</v>
      </c>
      <c r="F61" s="21">
        <f>$E$144 /$D$61</f>
        <v>17.09714285714286</v>
      </c>
      <c r="G61" s="21">
        <f t="shared" ref="G61:L61" si="23">$E$144 /$D$61</f>
        <v>17.09714285714286</v>
      </c>
      <c r="H61" s="21">
        <f t="shared" si="23"/>
        <v>17.09714285714286</v>
      </c>
      <c r="I61" s="21">
        <f t="shared" si="23"/>
        <v>17.09714285714286</v>
      </c>
      <c r="J61" s="21">
        <f t="shared" si="23"/>
        <v>17.09714285714286</v>
      </c>
      <c r="K61" s="21">
        <f t="shared" si="23"/>
        <v>17.09714285714286</v>
      </c>
      <c r="L61" s="21">
        <f t="shared" si="23"/>
        <v>17.09714285714286</v>
      </c>
    </row>
    <row r="62" spans="2:22" ht="16">
      <c r="B62" s="9"/>
      <c r="D62" s="341"/>
      <c r="F62" s="24"/>
      <c r="G62" s="24" t="s">
        <v>17</v>
      </c>
      <c r="H62" s="24" t="s">
        <v>17</v>
      </c>
      <c r="I62" s="24" t="s">
        <v>17</v>
      </c>
      <c r="J62" s="24" t="s">
        <v>17</v>
      </c>
      <c r="K62" s="24" t="s">
        <v>17</v>
      </c>
      <c r="L62" s="24" t="s">
        <v>17</v>
      </c>
    </row>
    <row r="63" spans="2:22" ht="16">
      <c r="B63" s="9"/>
      <c r="D63" s="341"/>
      <c r="F63" s="24"/>
      <c r="G63" s="24"/>
      <c r="H63" s="24"/>
      <c r="I63" s="24"/>
      <c r="J63" s="24"/>
      <c r="K63" s="24"/>
      <c r="L63" s="24"/>
    </row>
    <row r="64" spans="2:22">
      <c r="B64" s="9" t="s">
        <v>29</v>
      </c>
      <c r="F64" s="21">
        <f t="shared" ref="F64:L64" si="24">F55-SUM(F58:F62)</f>
        <v>13860.741622142859</v>
      </c>
      <c r="G64" s="21">
        <f t="shared" si="24"/>
        <v>14768.361901741275</v>
      </c>
      <c r="H64" s="21">
        <f t="shared" si="24"/>
        <v>15395.932558748205</v>
      </c>
      <c r="I64" s="21">
        <f t="shared" si="24"/>
        <v>15150.002895320447</v>
      </c>
      <c r="J64" s="21">
        <f t="shared" si="24"/>
        <v>16631.626397038443</v>
      </c>
      <c r="K64" s="21">
        <f t="shared" si="24"/>
        <v>17450.721956333742</v>
      </c>
      <c r="L64" s="21">
        <f t="shared" si="24"/>
        <v>18306.676815797335</v>
      </c>
    </row>
    <row r="65" spans="2:14">
      <c r="B65" s="9" t="s">
        <v>30</v>
      </c>
      <c r="D65" s="26">
        <v>0.34</v>
      </c>
      <c r="F65" s="21">
        <f t="shared" ref="F65:L65" si="25">-F64*$D$65</f>
        <v>-4712.6521515285722</v>
      </c>
      <c r="G65" s="21">
        <f t="shared" si="25"/>
        <v>-5021.2430465920334</v>
      </c>
      <c r="H65" s="21">
        <f t="shared" si="25"/>
        <v>-5234.6170699743898</v>
      </c>
      <c r="I65" s="21">
        <f t="shared" si="25"/>
        <v>-5151.0009844089527</v>
      </c>
      <c r="J65" s="21">
        <f t="shared" si="25"/>
        <v>-5654.7529749930709</v>
      </c>
      <c r="K65" s="21">
        <f t="shared" si="25"/>
        <v>-5933.2454651534727</v>
      </c>
      <c r="L65" s="21">
        <f t="shared" si="25"/>
        <v>-6224.2701173710939</v>
      </c>
    </row>
    <row r="66" spans="2:14" ht="16">
      <c r="B66" s="13"/>
      <c r="F66" s="24" t="s">
        <v>17</v>
      </c>
      <c r="G66" s="24" t="s">
        <v>17</v>
      </c>
      <c r="H66" s="24" t="s">
        <v>17</v>
      </c>
      <c r="I66" s="24" t="s">
        <v>17</v>
      </c>
      <c r="J66" s="24" t="s">
        <v>17</v>
      </c>
      <c r="K66" s="24" t="s">
        <v>17</v>
      </c>
      <c r="L66" s="24" t="s">
        <v>17</v>
      </c>
    </row>
    <row r="67" spans="2:14">
      <c r="B67" s="9" t="s">
        <v>31</v>
      </c>
      <c r="F67" s="21">
        <f t="shared" ref="F67:L67" si="26">SUM(F64:F66)</f>
        <v>9148.0894706142863</v>
      </c>
      <c r="G67" s="21">
        <f t="shared" si="26"/>
        <v>9747.1188551492414</v>
      </c>
      <c r="H67" s="21">
        <f t="shared" si="26"/>
        <v>10161.315488773816</v>
      </c>
      <c r="I67" s="21">
        <f t="shared" si="26"/>
        <v>9999.0019109114946</v>
      </c>
      <c r="J67" s="21">
        <f t="shared" si="26"/>
        <v>10976.873422045372</v>
      </c>
      <c r="K67" s="21">
        <f t="shared" si="26"/>
        <v>11517.47649118027</v>
      </c>
      <c r="L67" s="21">
        <f t="shared" si="26"/>
        <v>12082.406698426241</v>
      </c>
    </row>
    <row r="68" spans="2:14">
      <c r="B68" s="9" t="s">
        <v>32</v>
      </c>
      <c r="F68" s="56">
        <v>4300</v>
      </c>
      <c r="G68" s="56">
        <v>4300</v>
      </c>
      <c r="H68" s="56">
        <v>4300</v>
      </c>
      <c r="I68" s="56">
        <v>4300</v>
      </c>
      <c r="J68" s="56">
        <v>4300</v>
      </c>
      <c r="K68" s="56">
        <v>4300</v>
      </c>
      <c r="L68" s="56">
        <v>4300</v>
      </c>
    </row>
    <row r="69" spans="2:14">
      <c r="B69" s="9" t="s">
        <v>33</v>
      </c>
      <c r="F69" s="29">
        <f t="shared" ref="F69:L69" si="27">F67/F68</f>
        <v>2.1274626675847177</v>
      </c>
      <c r="G69" s="29">
        <f t="shared" si="27"/>
        <v>2.2667718267788932</v>
      </c>
      <c r="H69" s="29">
        <f t="shared" si="27"/>
        <v>2.3630966252962362</v>
      </c>
      <c r="I69" s="29">
        <f t="shared" si="27"/>
        <v>2.3253492816073242</v>
      </c>
      <c r="J69" s="29">
        <f t="shared" si="27"/>
        <v>2.5527612609407839</v>
      </c>
      <c r="K69" s="29">
        <f t="shared" si="27"/>
        <v>2.6784829049256444</v>
      </c>
      <c r="L69" s="29">
        <f t="shared" si="27"/>
        <v>2.8098620228898232</v>
      </c>
    </row>
    <row r="70" spans="2:14">
      <c r="B70" s="13"/>
      <c r="F70" s="31"/>
    </row>
    <row r="71" spans="2:14">
      <c r="B71" s="30" t="s">
        <v>34</v>
      </c>
    </row>
    <row r="72" spans="2:14">
      <c r="B72" s="21" t="str">
        <f>"  "&amp;B55</f>
        <v xml:space="preserve">  EBIT</v>
      </c>
      <c r="F72" s="385">
        <f t="shared" ref="F72:L72" si="28">F55</f>
        <v>15176.469165000002</v>
      </c>
      <c r="G72" s="385">
        <f t="shared" si="28"/>
        <v>15859.410277424999</v>
      </c>
      <c r="H72" s="385">
        <f t="shared" si="28"/>
        <v>16573.083739909125</v>
      </c>
      <c r="I72" s="385">
        <f t="shared" si="28"/>
        <v>17318.872508205037</v>
      </c>
      <c r="J72" s="385">
        <f t="shared" si="28"/>
        <v>18098.221771074266</v>
      </c>
      <c r="K72" s="385">
        <f t="shared" si="28"/>
        <v>18912.641750772607</v>
      </c>
      <c r="L72" s="385">
        <f t="shared" si="28"/>
        <v>19763.710629557376</v>
      </c>
    </row>
    <row r="73" spans="2:14">
      <c r="B73" s="9" t="s">
        <v>36</v>
      </c>
      <c r="F73" s="385">
        <f t="shared" ref="F73:L73" si="29">F14</f>
        <v>3174.4477049999996</v>
      </c>
      <c r="G73" s="385">
        <f t="shared" si="29"/>
        <v>3317.2978517249999</v>
      </c>
      <c r="H73" s="385">
        <f t="shared" si="29"/>
        <v>3466.5762550526251</v>
      </c>
      <c r="I73" s="385">
        <f t="shared" si="29"/>
        <v>3622.5721865299929</v>
      </c>
      <c r="J73" s="385">
        <f t="shared" si="29"/>
        <v>3785.587934923843</v>
      </c>
      <c r="K73" s="385">
        <f t="shared" si="29"/>
        <v>3955.9393919954159</v>
      </c>
      <c r="L73" s="385">
        <f t="shared" si="29"/>
        <v>4133.9566646352096</v>
      </c>
    </row>
    <row r="74" spans="2:14" ht="16">
      <c r="B74" s="13"/>
      <c r="E74" s="24"/>
      <c r="F74" s="24" t="s">
        <v>17</v>
      </c>
      <c r="G74" s="24" t="s">
        <v>17</v>
      </c>
      <c r="H74" s="24" t="s">
        <v>17</v>
      </c>
      <c r="I74" s="24" t="s">
        <v>17</v>
      </c>
      <c r="J74" s="24" t="s">
        <v>17</v>
      </c>
      <c r="K74" s="24" t="s">
        <v>17</v>
      </c>
      <c r="L74" s="24" t="s">
        <v>17</v>
      </c>
    </row>
    <row r="75" spans="2:14">
      <c r="B75" s="9" t="s">
        <v>35</v>
      </c>
      <c r="F75" s="21">
        <f t="shared" ref="F75:L75" si="30">SUM(F72:F74)</f>
        <v>18350.916870000001</v>
      </c>
      <c r="G75" s="21">
        <f t="shared" si="30"/>
        <v>19176.70812915</v>
      </c>
      <c r="H75" s="21">
        <f t="shared" si="30"/>
        <v>20039.659994961752</v>
      </c>
      <c r="I75" s="21">
        <f t="shared" si="30"/>
        <v>20941.44469473503</v>
      </c>
      <c r="J75" s="21">
        <f t="shared" si="30"/>
        <v>21883.809705998108</v>
      </c>
      <c r="K75" s="21">
        <f t="shared" si="30"/>
        <v>22868.581142768024</v>
      </c>
      <c r="L75" s="21">
        <f t="shared" si="30"/>
        <v>23897.667294192586</v>
      </c>
    </row>
    <row r="78" spans="2:14">
      <c r="G78" s="55"/>
      <c r="H78" s="55"/>
      <c r="I78" s="55"/>
      <c r="J78" s="55"/>
      <c r="K78" s="55"/>
      <c r="L78" s="55"/>
      <c r="N78" s="172"/>
    </row>
    <row r="80" spans="2:14" ht="18">
      <c r="B80" s="7" t="s">
        <v>37</v>
      </c>
      <c r="C80" s="8"/>
      <c r="D80" s="8"/>
      <c r="E80" s="8"/>
      <c r="F80" s="8"/>
      <c r="G80" s="16"/>
      <c r="H80" s="16"/>
      <c r="I80" s="16"/>
      <c r="J80" s="16"/>
    </row>
    <row r="81" spans="2:12">
      <c r="G81" s="16"/>
      <c r="H81" s="16"/>
      <c r="I81" s="16"/>
      <c r="J81" s="16"/>
    </row>
    <row r="82" spans="2:12" ht="16">
      <c r="B82"/>
      <c r="C82" s="5"/>
      <c r="D82" s="6"/>
      <c r="E82" s="5" t="s">
        <v>38</v>
      </c>
      <c r="F82" s="5" t="s">
        <v>1</v>
      </c>
      <c r="G82" s="33"/>
      <c r="H82" s="33"/>
      <c r="I82" s="33"/>
      <c r="J82" s="33"/>
      <c r="K82" s="33"/>
      <c r="L82" s="33"/>
    </row>
    <row r="83" spans="2:12">
      <c r="B83" s="10"/>
      <c r="C83" s="16"/>
      <c r="D83" s="16"/>
      <c r="E83" s="4">
        <f t="shared" ref="E83:L83" si="31">E46</f>
        <v>2023</v>
      </c>
      <c r="F83" s="4">
        <f t="shared" si="31"/>
        <v>2024</v>
      </c>
      <c r="G83" s="4">
        <f t="shared" si="31"/>
        <v>2025</v>
      </c>
      <c r="H83" s="4">
        <f t="shared" si="31"/>
        <v>2026</v>
      </c>
      <c r="I83" s="4">
        <f t="shared" si="31"/>
        <v>2027</v>
      </c>
      <c r="J83" s="4">
        <f t="shared" si="31"/>
        <v>2028</v>
      </c>
      <c r="K83" s="4">
        <f t="shared" si="31"/>
        <v>2029</v>
      </c>
      <c r="L83" s="4">
        <f t="shared" si="31"/>
        <v>2030</v>
      </c>
    </row>
    <row r="84" spans="2:12">
      <c r="B84" s="10"/>
      <c r="C84" s="16"/>
      <c r="D84" s="16"/>
      <c r="E84" s="16"/>
      <c r="F84" s="16"/>
      <c r="G84" s="16"/>
      <c r="H84" s="16"/>
      <c r="I84" s="16"/>
      <c r="J84" s="16"/>
    </row>
    <row r="85" spans="2:12">
      <c r="B85" s="34" t="s">
        <v>39</v>
      </c>
      <c r="C85" s="16"/>
      <c r="D85" s="16"/>
      <c r="E85" s="385">
        <f>E48</f>
        <v>41613</v>
      </c>
      <c r="F85" s="385">
        <f t="shared" ref="F85:L85" si="32">F48</f>
        <v>43485.584999999999</v>
      </c>
      <c r="G85" s="385">
        <f t="shared" si="32"/>
        <v>45442.436325000002</v>
      </c>
      <c r="H85" s="385">
        <f t="shared" si="32"/>
        <v>47487.345959625003</v>
      </c>
      <c r="I85" s="385">
        <f t="shared" si="32"/>
        <v>49624.276527808128</v>
      </c>
      <c r="J85" s="385">
        <f t="shared" si="32"/>
        <v>51857.368971559496</v>
      </c>
      <c r="K85" s="385">
        <f t="shared" si="32"/>
        <v>54190.950575279676</v>
      </c>
      <c r="L85" s="385">
        <f t="shared" si="32"/>
        <v>56629.54335116726</v>
      </c>
    </row>
    <row r="86" spans="2:12">
      <c r="B86" s="34" t="s">
        <v>40</v>
      </c>
      <c r="C86" s="16"/>
      <c r="D86" s="16"/>
      <c r="E86" s="385">
        <f>E49</f>
        <v>-27063</v>
      </c>
      <c r="F86" s="385">
        <f t="shared" ref="F86:L86" si="33">F49</f>
        <v>-26221.807754999998</v>
      </c>
      <c r="G86" s="385">
        <f t="shared" si="33"/>
        <v>-27401.789103975003</v>
      </c>
      <c r="H86" s="385">
        <f t="shared" si="33"/>
        <v>-28634.869613653878</v>
      </c>
      <c r="I86" s="385">
        <f t="shared" si="33"/>
        <v>-29923.438746268301</v>
      </c>
      <c r="J86" s="385">
        <f t="shared" si="33"/>
        <v>-31269.993489850374</v>
      </c>
      <c r="K86" s="385">
        <f t="shared" si="33"/>
        <v>-32677.143196893645</v>
      </c>
      <c r="L86" s="385">
        <f t="shared" si="33"/>
        <v>-34147.614640753854</v>
      </c>
    </row>
    <row r="87" spans="2:12">
      <c r="B87" s="34"/>
      <c r="C87" s="16"/>
      <c r="D87" s="16"/>
      <c r="E87" s="35"/>
      <c r="F87" s="35"/>
      <c r="G87" s="35"/>
      <c r="H87" s="35"/>
      <c r="I87" s="35"/>
      <c r="J87" s="35"/>
    </row>
    <row r="88" spans="2:12">
      <c r="B88" s="34" t="s">
        <v>41</v>
      </c>
      <c r="C88" s="16"/>
      <c r="D88" s="16"/>
      <c r="E88" s="35"/>
      <c r="F88" s="35"/>
      <c r="G88" s="35"/>
      <c r="H88" s="35"/>
      <c r="I88" s="35"/>
      <c r="J88" s="35"/>
    </row>
    <row r="89" spans="2:12">
      <c r="B89" s="36" t="s">
        <v>42</v>
      </c>
      <c r="C89" s="37"/>
      <c r="D89" s="37"/>
      <c r="E89" s="385">
        <f>E125</f>
        <v>2349.2399999999998</v>
      </c>
      <c r="F89" s="35">
        <f>-F109*F86</f>
        <v>2276.2191793354837</v>
      </c>
      <c r="G89" s="35">
        <f t="shared" ref="G89:L89" si="34">-G109*G86</f>
        <v>2378.649042405581</v>
      </c>
      <c r="H89" s="35">
        <f t="shared" si="34"/>
        <v>2485.6882493138319</v>
      </c>
      <c r="I89" s="35">
        <f t="shared" si="34"/>
        <v>2597.5442205329541</v>
      </c>
      <c r="J89" s="35">
        <f t="shared" si="34"/>
        <v>2714.4337104569372</v>
      </c>
      <c r="K89" s="35">
        <f t="shared" si="34"/>
        <v>2836.5832274274994</v>
      </c>
      <c r="L89" s="35">
        <f t="shared" si="34"/>
        <v>2964.2294726617365</v>
      </c>
    </row>
    <row r="90" spans="2:12">
      <c r="B90" s="34" t="s">
        <v>43</v>
      </c>
      <c r="C90" s="16"/>
      <c r="D90" s="16"/>
      <c r="E90" s="385">
        <f>E130</f>
        <v>4063</v>
      </c>
      <c r="F90" s="35">
        <f>F110*F85</f>
        <v>4245.835</v>
      </c>
      <c r="G90" s="35">
        <f t="shared" ref="G90:L90" si="35">G110*G85</f>
        <v>4436.897575</v>
      </c>
      <c r="H90" s="35">
        <f t="shared" si="35"/>
        <v>4636.5579658750003</v>
      </c>
      <c r="I90" s="35">
        <f t="shared" si="35"/>
        <v>4845.2030743393752</v>
      </c>
      <c r="J90" s="35">
        <f t="shared" si="35"/>
        <v>5063.2372126846476</v>
      </c>
      <c r="K90" s="35">
        <f t="shared" si="35"/>
        <v>5291.0828872554566</v>
      </c>
      <c r="L90" s="35">
        <f t="shared" si="35"/>
        <v>5529.1816171819528</v>
      </c>
    </row>
    <row r="91" spans="2:12">
      <c r="B91" s="34" t="s">
        <v>44</v>
      </c>
      <c r="C91" s="16"/>
      <c r="D91" s="16"/>
      <c r="E91" s="9">
        <v>4536</v>
      </c>
      <c r="F91" s="35">
        <f>-F112*F86</f>
        <v>4395.0086825806447</v>
      </c>
      <c r="G91" s="35">
        <f t="shared" ref="G91:L91" si="36">-G112*G86</f>
        <v>4592.7840732967743</v>
      </c>
      <c r="H91" s="35">
        <f t="shared" si="36"/>
        <v>4799.4593565951291</v>
      </c>
      <c r="I91" s="35">
        <f t="shared" si="36"/>
        <v>5015.43502764191</v>
      </c>
      <c r="J91" s="35">
        <f t="shared" si="36"/>
        <v>5241.1296038857954</v>
      </c>
      <c r="K91" s="35">
        <f t="shared" si="36"/>
        <v>5476.9804360606577</v>
      </c>
      <c r="L91" s="35">
        <f t="shared" si="36"/>
        <v>5723.4445556833862</v>
      </c>
    </row>
    <row r="92" spans="2:12">
      <c r="B92" s="34" t="s">
        <v>45</v>
      </c>
      <c r="C92" s="16"/>
      <c r="D92" s="16"/>
      <c r="E92" s="385">
        <f>E132</f>
        <v>429</v>
      </c>
      <c r="F92" s="35">
        <f>-F114*F86</f>
        <v>415.66550370967741</v>
      </c>
      <c r="G92" s="35">
        <f t="shared" ref="G92:L92" si="37">-G114*G86</f>
        <v>434.37045137661295</v>
      </c>
      <c r="H92" s="35">
        <f t="shared" si="37"/>
        <v>453.91712168856054</v>
      </c>
      <c r="I92" s="35">
        <f t="shared" si="37"/>
        <v>474.34339216454572</v>
      </c>
      <c r="J92" s="35">
        <f t="shared" si="37"/>
        <v>495.68884481195028</v>
      </c>
      <c r="K92" s="35">
        <f t="shared" si="37"/>
        <v>517.99484282848812</v>
      </c>
      <c r="L92" s="35">
        <f t="shared" si="37"/>
        <v>541.30461075577</v>
      </c>
    </row>
    <row r="93" spans="2:12">
      <c r="B93" s="34" t="s">
        <v>90</v>
      </c>
      <c r="C93" s="16"/>
      <c r="D93" s="16"/>
      <c r="E93" s="9">
        <v>7577</v>
      </c>
      <c r="F93" s="35">
        <f>-F117*F86</f>
        <v>7341.4860643548382</v>
      </c>
      <c r="G93" s="35">
        <f t="shared" ref="G93:L93" si="38">-G117*G86</f>
        <v>7671.8529372508074</v>
      </c>
      <c r="H93" s="35">
        <f t="shared" si="38"/>
        <v>8017.0863194270942</v>
      </c>
      <c r="I93" s="35">
        <f t="shared" si="38"/>
        <v>8377.8552038013131</v>
      </c>
      <c r="J93" s="35">
        <f t="shared" si="38"/>
        <v>8754.8586879723716</v>
      </c>
      <c r="K93" s="35">
        <f t="shared" si="38"/>
        <v>9148.8273289311292</v>
      </c>
      <c r="L93" s="35">
        <f t="shared" si="38"/>
        <v>9560.5245587330301</v>
      </c>
    </row>
    <row r="94" spans="2:12" ht="16">
      <c r="B94" s="34"/>
      <c r="C94" s="16"/>
      <c r="D94" s="16"/>
      <c r="E94" s="38" t="s">
        <v>17</v>
      </c>
      <c r="F94" s="38" t="s">
        <v>17</v>
      </c>
      <c r="G94" s="38" t="s">
        <v>17</v>
      </c>
      <c r="H94" s="38" t="s">
        <v>17</v>
      </c>
      <c r="I94" s="38" t="s">
        <v>17</v>
      </c>
      <c r="J94" s="38" t="s">
        <v>17</v>
      </c>
      <c r="K94" s="38" t="s">
        <v>17</v>
      </c>
      <c r="L94" s="38" t="s">
        <v>17</v>
      </c>
    </row>
    <row r="95" spans="2:12">
      <c r="B95" s="34" t="s">
        <v>46</v>
      </c>
      <c r="C95" s="16"/>
      <c r="D95" s="16"/>
      <c r="E95" s="385">
        <f>E135</f>
        <v>18105</v>
      </c>
      <c r="F95" s="35">
        <f>SUM(F89:F93)</f>
        <v>18674.214429980646</v>
      </c>
      <c r="G95" s="35">
        <f t="shared" ref="G95:L95" si="39">SUM(G89:G93)</f>
        <v>19514.554079329777</v>
      </c>
      <c r="H95" s="35">
        <f t="shared" si="39"/>
        <v>20392.709012899617</v>
      </c>
      <c r="I95" s="35">
        <f t="shared" si="39"/>
        <v>21310.380918480099</v>
      </c>
      <c r="J95" s="35">
        <f t="shared" si="39"/>
        <v>22269.348059811702</v>
      </c>
      <c r="K95" s="35">
        <f t="shared" si="39"/>
        <v>23271.468722503232</v>
      </c>
      <c r="L95" s="35">
        <f t="shared" si="39"/>
        <v>24318.684815015873</v>
      </c>
    </row>
    <row r="96" spans="2:12">
      <c r="B96" s="34"/>
      <c r="C96" s="16"/>
      <c r="D96" s="16"/>
      <c r="E96" s="35"/>
      <c r="F96" s="35"/>
      <c r="G96" s="35"/>
      <c r="H96" s="35"/>
      <c r="I96" s="35"/>
      <c r="J96" s="35"/>
      <c r="K96" s="35"/>
      <c r="L96" s="35"/>
    </row>
    <row r="97" spans="2:12">
      <c r="B97" s="34" t="s">
        <v>47</v>
      </c>
      <c r="C97" s="16"/>
      <c r="D97" s="16"/>
      <c r="E97" s="35"/>
      <c r="F97" s="35"/>
      <c r="G97" s="35"/>
      <c r="H97" s="35"/>
      <c r="I97" s="35"/>
      <c r="J97" s="35"/>
      <c r="K97" s="35"/>
      <c r="L97" s="35"/>
    </row>
    <row r="98" spans="2:12">
      <c r="B98" s="34" t="s">
        <v>48</v>
      </c>
      <c r="C98" s="16"/>
      <c r="D98" s="16"/>
      <c r="E98" s="385">
        <f>E149</f>
        <v>4101</v>
      </c>
      <c r="F98" s="35">
        <f>-F115*F86</f>
        <v>3973.5296753225807</v>
      </c>
      <c r="G98" s="35">
        <f t="shared" ref="G98:L98" si="40">-G115*G86</f>
        <v>4152.3385107120976</v>
      </c>
      <c r="H98" s="35">
        <f t="shared" si="40"/>
        <v>4339.1937436941416</v>
      </c>
      <c r="I98" s="35">
        <f t="shared" si="40"/>
        <v>4534.4574621603779</v>
      </c>
      <c r="J98" s="35">
        <f t="shared" si="40"/>
        <v>4738.5080479575954</v>
      </c>
      <c r="K98" s="35">
        <f t="shared" si="40"/>
        <v>4951.7409101156873</v>
      </c>
      <c r="L98" s="35">
        <f t="shared" si="40"/>
        <v>5174.5692510708923</v>
      </c>
    </row>
    <row r="99" spans="2:12">
      <c r="B99" s="34" t="s">
        <v>49</v>
      </c>
      <c r="C99" s="16"/>
      <c r="D99" s="16"/>
      <c r="E99" s="385">
        <f>E150</f>
        <v>637</v>
      </c>
      <c r="F99" s="35">
        <f>-F116*F86</f>
        <v>617.20029338709674</v>
      </c>
      <c r="G99" s="35">
        <f t="shared" ref="G99:L99" si="41">-G116*G86</f>
        <v>644.97430658951623</v>
      </c>
      <c r="H99" s="35">
        <f t="shared" si="41"/>
        <v>673.99815038604447</v>
      </c>
      <c r="I99" s="35">
        <f t="shared" si="41"/>
        <v>704.32806715341633</v>
      </c>
      <c r="J99" s="35">
        <f t="shared" si="41"/>
        <v>736.02283017532011</v>
      </c>
      <c r="K99" s="35">
        <f t="shared" si="41"/>
        <v>769.1438575332096</v>
      </c>
      <c r="L99" s="35">
        <f t="shared" si="41"/>
        <v>803.75533112220398</v>
      </c>
    </row>
    <row r="100" spans="2:12">
      <c r="B100" s="34" t="s">
        <v>90</v>
      </c>
      <c r="C100" s="16"/>
      <c r="D100" s="16"/>
      <c r="E100" s="385">
        <f>E151</f>
        <v>9451.6</v>
      </c>
      <c r="F100" s="35">
        <f>-F118*F86</f>
        <v>9157.8183563225793</v>
      </c>
      <c r="G100" s="35">
        <f t="shared" ref="G100:L100" si="42">-G118*G86</f>
        <v>9569.9201823570984</v>
      </c>
      <c r="H100" s="35">
        <f t="shared" si="42"/>
        <v>10000.566590563167</v>
      </c>
      <c r="I100" s="35">
        <f t="shared" si="42"/>
        <v>10450.59208713851</v>
      </c>
      <c r="J100" s="35">
        <f t="shared" si="42"/>
        <v>10920.868731059742</v>
      </c>
      <c r="K100" s="35">
        <f t="shared" si="42"/>
        <v>11412.307823957432</v>
      </c>
      <c r="L100" s="35">
        <f t="shared" si="42"/>
        <v>11925.861676035514</v>
      </c>
    </row>
    <row r="101" spans="2:12" ht="16">
      <c r="C101" s="16"/>
      <c r="D101" s="16"/>
      <c r="E101" s="38" t="s">
        <v>17</v>
      </c>
      <c r="F101" s="38" t="s">
        <v>17</v>
      </c>
      <c r="G101" s="38" t="s">
        <v>17</v>
      </c>
      <c r="H101" s="38" t="s">
        <v>17</v>
      </c>
      <c r="I101" s="38" t="s">
        <v>17</v>
      </c>
      <c r="J101" s="38" t="s">
        <v>17</v>
      </c>
      <c r="K101" s="38" t="s">
        <v>17</v>
      </c>
      <c r="L101" s="38" t="s">
        <v>17</v>
      </c>
    </row>
    <row r="102" spans="2:12">
      <c r="B102" s="34" t="s">
        <v>50</v>
      </c>
      <c r="C102" s="16"/>
      <c r="D102" s="16"/>
      <c r="E102" s="385">
        <f>E153</f>
        <v>14189.6</v>
      </c>
      <c r="F102" s="35">
        <f>SUM(F98:F100)</f>
        <v>13748.548325032258</v>
      </c>
      <c r="G102" s="35">
        <f t="shared" ref="G102:L102" si="43">SUM(G98:G100)</f>
        <v>14367.232999658712</v>
      </c>
      <c r="H102" s="35">
        <f t="shared" si="43"/>
        <v>15013.758484643353</v>
      </c>
      <c r="I102" s="35">
        <f t="shared" si="43"/>
        <v>15689.377616452304</v>
      </c>
      <c r="J102" s="35">
        <f t="shared" si="43"/>
        <v>16395.399609192656</v>
      </c>
      <c r="K102" s="35">
        <f t="shared" si="43"/>
        <v>17133.192591606326</v>
      </c>
      <c r="L102" s="35">
        <f t="shared" si="43"/>
        <v>17904.186258228612</v>
      </c>
    </row>
    <row r="103" spans="2:12">
      <c r="B103" s="34"/>
      <c r="C103" s="16"/>
      <c r="D103" s="16"/>
      <c r="E103" s="39"/>
      <c r="F103" s="39"/>
      <c r="G103" s="39"/>
      <c r="H103" s="39"/>
      <c r="I103" s="39"/>
      <c r="J103" s="39"/>
    </row>
    <row r="104" spans="2:12">
      <c r="B104" s="34" t="s">
        <v>51</v>
      </c>
      <c r="C104" s="16"/>
      <c r="D104" s="16"/>
      <c r="E104" s="39"/>
      <c r="F104" s="39"/>
      <c r="G104" s="39"/>
      <c r="H104" s="39"/>
      <c r="I104" s="39"/>
      <c r="J104" s="39"/>
    </row>
    <row r="105" spans="2:12">
      <c r="B105" s="34" t="s">
        <v>52</v>
      </c>
      <c r="C105" s="16"/>
      <c r="D105" s="16"/>
      <c r="E105" s="39">
        <f>E95-E102</f>
        <v>3915.3999999999996</v>
      </c>
      <c r="F105" s="39">
        <f t="shared" ref="F105:L105" si="44">F95-F102</f>
        <v>4925.6661049483882</v>
      </c>
      <c r="G105" s="39">
        <f t="shared" si="44"/>
        <v>5147.3210796710646</v>
      </c>
      <c r="H105" s="39">
        <f t="shared" si="44"/>
        <v>5378.9505282562641</v>
      </c>
      <c r="I105" s="39">
        <f t="shared" si="44"/>
        <v>5621.0033020277951</v>
      </c>
      <c r="J105" s="39">
        <f t="shared" si="44"/>
        <v>5873.9484506190456</v>
      </c>
      <c r="K105" s="39">
        <f t="shared" si="44"/>
        <v>6138.2761308969057</v>
      </c>
      <c r="L105" s="39">
        <f t="shared" si="44"/>
        <v>6414.4985567872609</v>
      </c>
    </row>
    <row r="106" spans="2:12">
      <c r="B106" s="34" t="s">
        <v>53</v>
      </c>
      <c r="C106" s="16"/>
      <c r="D106" s="16"/>
      <c r="E106" s="39"/>
      <c r="F106" s="39">
        <f>E105-F105</f>
        <v>-1010.2661049483886</v>
      </c>
      <c r="G106" s="39">
        <f t="shared" ref="G106:L106" si="45">F105-G105</f>
        <v>-221.65497472267634</v>
      </c>
      <c r="H106" s="39">
        <f t="shared" si="45"/>
        <v>-231.6294485851995</v>
      </c>
      <c r="I106" s="39">
        <f t="shared" si="45"/>
        <v>-242.05277377153106</v>
      </c>
      <c r="J106" s="39">
        <f t="shared" si="45"/>
        <v>-252.94514859125047</v>
      </c>
      <c r="K106" s="39">
        <f t="shared" si="45"/>
        <v>-264.32768027786005</v>
      </c>
      <c r="L106" s="39">
        <f t="shared" si="45"/>
        <v>-276.22242589035523</v>
      </c>
    </row>
    <row r="107" spans="2:12">
      <c r="B107" s="10"/>
      <c r="C107" s="16"/>
      <c r="D107" s="16"/>
      <c r="E107" s="16"/>
      <c r="F107" s="16"/>
      <c r="G107" s="16"/>
      <c r="H107" s="16"/>
      <c r="I107" s="16"/>
      <c r="J107" s="16"/>
    </row>
    <row r="108" spans="2:12">
      <c r="B108" s="10" t="s">
        <v>54</v>
      </c>
      <c r="C108" s="16"/>
      <c r="D108" s="16"/>
      <c r="E108" s="16"/>
      <c r="F108" s="16"/>
      <c r="G108" s="16"/>
      <c r="H108" s="16"/>
      <c r="I108" s="16"/>
      <c r="J108" s="16"/>
    </row>
    <row r="109" spans="2:12">
      <c r="B109" s="40" t="s">
        <v>55</v>
      </c>
      <c r="C109" s="37"/>
      <c r="D109" s="37"/>
      <c r="E109" s="16">
        <f>-E89/E86</f>
        <v>8.6806340760447839E-2</v>
      </c>
      <c r="F109" s="16">
        <f t="shared" ref="F109:F118" si="46">E109</f>
        <v>8.6806340760447839E-2</v>
      </c>
      <c r="G109" s="16">
        <f t="shared" ref="G109:L109" si="47">F109</f>
        <v>8.6806340760447839E-2</v>
      </c>
      <c r="H109" s="16">
        <f t="shared" si="47"/>
        <v>8.6806340760447839E-2</v>
      </c>
      <c r="I109" s="16">
        <f t="shared" si="47"/>
        <v>8.6806340760447839E-2</v>
      </c>
      <c r="J109" s="16">
        <f t="shared" si="47"/>
        <v>8.6806340760447839E-2</v>
      </c>
      <c r="K109" s="16">
        <f t="shared" si="47"/>
        <v>8.6806340760447839E-2</v>
      </c>
      <c r="L109" s="16">
        <f t="shared" si="47"/>
        <v>8.6806340760447839E-2</v>
      </c>
    </row>
    <row r="110" spans="2:12">
      <c r="B110" s="10" t="s">
        <v>56</v>
      </c>
      <c r="C110" s="16"/>
      <c r="D110" s="16"/>
      <c r="E110" s="16">
        <f>E90/E85</f>
        <v>9.7637757431571867E-2</v>
      </c>
      <c r="F110" s="16">
        <f t="shared" si="46"/>
        <v>9.7637757431571867E-2</v>
      </c>
      <c r="G110" s="16">
        <f t="shared" ref="G110:L110" si="48">F110</f>
        <v>9.7637757431571867E-2</v>
      </c>
      <c r="H110" s="16">
        <f t="shared" si="48"/>
        <v>9.7637757431571867E-2</v>
      </c>
      <c r="I110" s="16">
        <f t="shared" si="48"/>
        <v>9.7637757431571867E-2</v>
      </c>
      <c r="J110" s="16">
        <f t="shared" si="48"/>
        <v>9.7637757431571867E-2</v>
      </c>
      <c r="K110" s="16">
        <f t="shared" si="48"/>
        <v>9.7637757431571867E-2</v>
      </c>
      <c r="L110" s="16">
        <f t="shared" si="48"/>
        <v>9.7637757431571867E-2</v>
      </c>
    </row>
    <row r="111" spans="2:12">
      <c r="B111" s="10" t="s">
        <v>57</v>
      </c>
      <c r="C111" s="16"/>
      <c r="D111" s="16"/>
      <c r="E111" s="41">
        <f>E110*365</f>
        <v>35.637781462523733</v>
      </c>
      <c r="F111" s="41">
        <f t="shared" si="46"/>
        <v>35.637781462523733</v>
      </c>
      <c r="G111" s="41">
        <f t="shared" ref="G111:L111" si="49">F111</f>
        <v>35.637781462523733</v>
      </c>
      <c r="H111" s="41">
        <f t="shared" si="49"/>
        <v>35.637781462523733</v>
      </c>
      <c r="I111" s="41">
        <f t="shared" si="49"/>
        <v>35.637781462523733</v>
      </c>
      <c r="J111" s="41">
        <f t="shared" si="49"/>
        <v>35.637781462523733</v>
      </c>
      <c r="K111" s="41">
        <f t="shared" si="49"/>
        <v>35.637781462523733</v>
      </c>
      <c r="L111" s="41">
        <f t="shared" si="49"/>
        <v>35.637781462523733</v>
      </c>
    </row>
    <row r="112" spans="2:12">
      <c r="B112" s="10" t="s">
        <v>58</v>
      </c>
      <c r="C112" s="16"/>
      <c r="D112" s="16"/>
      <c r="E112" s="16">
        <f>-E91/E86</f>
        <v>0.1676089125374127</v>
      </c>
      <c r="F112" s="16">
        <f t="shared" si="46"/>
        <v>0.1676089125374127</v>
      </c>
      <c r="G112" s="16">
        <f t="shared" ref="G112:L112" si="50">F112</f>
        <v>0.1676089125374127</v>
      </c>
      <c r="H112" s="16">
        <f t="shared" si="50"/>
        <v>0.1676089125374127</v>
      </c>
      <c r="I112" s="16">
        <f t="shared" si="50"/>
        <v>0.1676089125374127</v>
      </c>
      <c r="J112" s="16">
        <f t="shared" si="50"/>
        <v>0.1676089125374127</v>
      </c>
      <c r="K112" s="16">
        <f t="shared" si="50"/>
        <v>0.1676089125374127</v>
      </c>
      <c r="L112" s="16">
        <f t="shared" si="50"/>
        <v>0.1676089125374127</v>
      </c>
    </row>
    <row r="113" spans="2:14">
      <c r="B113" s="10" t="s">
        <v>59</v>
      </c>
      <c r="C113" s="16"/>
      <c r="D113" s="16"/>
      <c r="E113" s="42">
        <f>365*E112</f>
        <v>61.177253076155637</v>
      </c>
      <c r="F113" s="42">
        <f t="shared" si="46"/>
        <v>61.177253076155637</v>
      </c>
      <c r="G113" s="42">
        <f t="shared" ref="G113:L113" si="51">F113</f>
        <v>61.177253076155637</v>
      </c>
      <c r="H113" s="42">
        <f t="shared" si="51"/>
        <v>61.177253076155637</v>
      </c>
      <c r="I113" s="42">
        <f t="shared" si="51"/>
        <v>61.177253076155637</v>
      </c>
      <c r="J113" s="42">
        <f t="shared" si="51"/>
        <v>61.177253076155637</v>
      </c>
      <c r="K113" s="42">
        <f t="shared" si="51"/>
        <v>61.177253076155637</v>
      </c>
      <c r="L113" s="42">
        <f t="shared" si="51"/>
        <v>61.177253076155637</v>
      </c>
    </row>
    <row r="114" spans="2:14">
      <c r="B114" s="10" t="s">
        <v>60</v>
      </c>
      <c r="C114" s="16"/>
      <c r="D114" s="16"/>
      <c r="E114" s="16">
        <f>-E92/E86</f>
        <v>1.5851901119609799E-2</v>
      </c>
      <c r="F114" s="16">
        <f t="shared" si="46"/>
        <v>1.5851901119609799E-2</v>
      </c>
      <c r="G114" s="16">
        <f t="shared" ref="G114:L114" si="52">F114</f>
        <v>1.5851901119609799E-2</v>
      </c>
      <c r="H114" s="16">
        <f t="shared" si="52"/>
        <v>1.5851901119609799E-2</v>
      </c>
      <c r="I114" s="16">
        <f t="shared" si="52"/>
        <v>1.5851901119609799E-2</v>
      </c>
      <c r="J114" s="16">
        <f t="shared" si="52"/>
        <v>1.5851901119609799E-2</v>
      </c>
      <c r="K114" s="16">
        <f t="shared" si="52"/>
        <v>1.5851901119609799E-2</v>
      </c>
      <c r="L114" s="16">
        <f t="shared" si="52"/>
        <v>1.5851901119609799E-2</v>
      </c>
    </row>
    <row r="115" spans="2:14">
      <c r="B115" s="10" t="s">
        <v>61</v>
      </c>
      <c r="C115" s="16"/>
      <c r="D115" s="16"/>
      <c r="E115" s="16">
        <f>-E98/E86</f>
        <v>0.15153530650703914</v>
      </c>
      <c r="F115" s="16">
        <f t="shared" si="46"/>
        <v>0.15153530650703914</v>
      </c>
      <c r="G115" s="16">
        <f t="shared" ref="G115:L115" si="53">F115</f>
        <v>0.15153530650703914</v>
      </c>
      <c r="H115" s="16">
        <f t="shared" si="53"/>
        <v>0.15153530650703914</v>
      </c>
      <c r="I115" s="16">
        <f t="shared" si="53"/>
        <v>0.15153530650703914</v>
      </c>
      <c r="J115" s="16">
        <f t="shared" si="53"/>
        <v>0.15153530650703914</v>
      </c>
      <c r="K115" s="16">
        <f t="shared" si="53"/>
        <v>0.15153530650703914</v>
      </c>
      <c r="L115" s="16">
        <f t="shared" si="53"/>
        <v>0.15153530650703914</v>
      </c>
    </row>
    <row r="116" spans="2:14">
      <c r="B116" s="10" t="s">
        <v>62</v>
      </c>
      <c r="C116" s="16"/>
      <c r="D116" s="16"/>
      <c r="E116" s="16">
        <f>-E99/E86</f>
        <v>2.3537671359420611E-2</v>
      </c>
      <c r="F116" s="16">
        <f t="shared" si="46"/>
        <v>2.3537671359420611E-2</v>
      </c>
      <c r="G116" s="16">
        <f t="shared" ref="G116:L118" si="54">F116</f>
        <v>2.3537671359420611E-2</v>
      </c>
      <c r="H116" s="16">
        <f t="shared" si="54"/>
        <v>2.3537671359420611E-2</v>
      </c>
      <c r="I116" s="16">
        <f t="shared" si="54"/>
        <v>2.3537671359420611E-2</v>
      </c>
      <c r="J116" s="16">
        <f t="shared" si="54"/>
        <v>2.3537671359420611E-2</v>
      </c>
      <c r="K116" s="16">
        <f t="shared" si="54"/>
        <v>2.3537671359420611E-2</v>
      </c>
      <c r="L116" s="16">
        <f t="shared" si="54"/>
        <v>2.3537671359420611E-2</v>
      </c>
    </row>
    <row r="117" spans="2:14">
      <c r="B117" s="10" t="s">
        <v>94</v>
      </c>
      <c r="C117" s="16"/>
      <c r="D117" s="16"/>
      <c r="E117" s="16">
        <f>-E93/E86</f>
        <v>0.27997635147618521</v>
      </c>
      <c r="F117" s="16">
        <f t="shared" si="46"/>
        <v>0.27997635147618521</v>
      </c>
      <c r="G117" s="16">
        <f t="shared" si="54"/>
        <v>0.27997635147618521</v>
      </c>
      <c r="H117" s="16">
        <f t="shared" si="54"/>
        <v>0.27997635147618521</v>
      </c>
      <c r="I117" s="16">
        <f t="shared" si="54"/>
        <v>0.27997635147618521</v>
      </c>
      <c r="J117" s="16">
        <f t="shared" si="54"/>
        <v>0.27997635147618521</v>
      </c>
      <c r="K117" s="16">
        <f t="shared" si="54"/>
        <v>0.27997635147618521</v>
      </c>
      <c r="L117" s="16">
        <f t="shared" si="54"/>
        <v>0.27997635147618521</v>
      </c>
    </row>
    <row r="118" spans="2:14">
      <c r="B118" s="10" t="s">
        <v>95</v>
      </c>
      <c r="E118" s="55">
        <f>-E100/E86</f>
        <v>0.34924435576248014</v>
      </c>
      <c r="F118" s="55">
        <f t="shared" si="46"/>
        <v>0.34924435576248014</v>
      </c>
      <c r="G118" s="55">
        <f t="shared" si="54"/>
        <v>0.34924435576248014</v>
      </c>
      <c r="H118" s="55">
        <f t="shared" si="54"/>
        <v>0.34924435576248014</v>
      </c>
      <c r="I118" s="55">
        <f t="shared" si="54"/>
        <v>0.34924435576248014</v>
      </c>
      <c r="J118" s="55">
        <f t="shared" si="54"/>
        <v>0.34924435576248014</v>
      </c>
      <c r="K118" s="55">
        <f t="shared" si="54"/>
        <v>0.34924435576248014</v>
      </c>
      <c r="L118" s="55">
        <f t="shared" si="54"/>
        <v>0.34924435576248014</v>
      </c>
    </row>
    <row r="120" spans="2:14" ht="18">
      <c r="B120" s="7" t="s">
        <v>63</v>
      </c>
      <c r="C120" s="7"/>
      <c r="D120" s="7"/>
      <c r="E120" s="7"/>
      <c r="F120" s="7"/>
      <c r="G120" s="7"/>
      <c r="H120" s="7"/>
      <c r="I120" s="7"/>
      <c r="J120" s="7"/>
    </row>
    <row r="121" spans="2:14"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2:14" ht="16">
      <c r="B122"/>
      <c r="C122" s="13"/>
      <c r="D122"/>
      <c r="E122" s="5" t="s">
        <v>0</v>
      </c>
      <c r="F122" s="43" t="s">
        <v>1</v>
      </c>
      <c r="G122" s="43"/>
      <c r="H122" s="43"/>
      <c r="I122" s="43"/>
      <c r="J122" s="43"/>
      <c r="K122" s="43"/>
      <c r="L122" s="43"/>
    </row>
    <row r="123" spans="2:14">
      <c r="B123"/>
      <c r="C123" s="44"/>
      <c r="D123"/>
      <c r="E123" s="45">
        <v>45291</v>
      </c>
      <c r="F123" s="46">
        <f t="shared" ref="F123:L123" si="55">EOMONTH(E123,12)</f>
        <v>45657</v>
      </c>
      <c r="G123" s="46">
        <f t="shared" si="55"/>
        <v>46022</v>
      </c>
      <c r="H123" s="46">
        <f t="shared" si="55"/>
        <v>46387</v>
      </c>
      <c r="I123" s="46">
        <f t="shared" si="55"/>
        <v>46752</v>
      </c>
      <c r="J123" s="46">
        <f t="shared" si="55"/>
        <v>47118</v>
      </c>
      <c r="K123" s="46">
        <f t="shared" si="55"/>
        <v>47483</v>
      </c>
      <c r="L123" s="46">
        <f t="shared" si="55"/>
        <v>47848</v>
      </c>
    </row>
    <row r="124" spans="2:14">
      <c r="B124" s="47" t="s">
        <v>64</v>
      </c>
      <c r="C124" s="13"/>
      <c r="D124" s="13"/>
      <c r="E124" s="13"/>
      <c r="F124" s="48"/>
      <c r="G124" s="48"/>
      <c r="H124" s="48"/>
      <c r="I124" s="48"/>
      <c r="J124" s="48"/>
    </row>
    <row r="125" spans="2:14">
      <c r="B125" s="9" t="s">
        <v>42</v>
      </c>
      <c r="C125" s="13"/>
      <c r="D125" s="13"/>
      <c r="E125" s="49">
        <f>0.6*E105</f>
        <v>2349.2399999999998</v>
      </c>
      <c r="F125" s="352">
        <f t="shared" ref="F125:L125" si="56">0.6*F105</f>
        <v>2955.3996629690328</v>
      </c>
      <c r="G125" s="352">
        <f t="shared" si="56"/>
        <v>3088.3926478026387</v>
      </c>
      <c r="H125" s="352">
        <f t="shared" si="56"/>
        <v>3227.3703169537584</v>
      </c>
      <c r="I125" s="352">
        <f t="shared" si="56"/>
        <v>3372.6019812166769</v>
      </c>
      <c r="J125" s="352">
        <f t="shared" si="56"/>
        <v>3524.3690703714274</v>
      </c>
      <c r="K125" s="352">
        <f t="shared" si="56"/>
        <v>3682.9656785381435</v>
      </c>
      <c r="L125" s="352">
        <f t="shared" si="56"/>
        <v>3848.6991340723562</v>
      </c>
      <c r="N125" s="155"/>
    </row>
    <row r="126" spans="2:14">
      <c r="B126" s="9" t="s">
        <v>65</v>
      </c>
      <c r="E126" s="49">
        <f>E128-E125</f>
        <v>1195.7600000000002</v>
      </c>
      <c r="F126" s="352">
        <f t="shared" ref="F126:L126" si="57">F128-F125</f>
        <v>479.40033703096742</v>
      </c>
      <c r="G126" s="352">
        <f t="shared" si="57"/>
        <v>501.00735219736134</v>
      </c>
      <c r="H126" s="352">
        <f t="shared" si="57"/>
        <v>523.52968304624164</v>
      </c>
      <c r="I126" s="352">
        <f t="shared" si="57"/>
        <v>547.09801878332291</v>
      </c>
      <c r="J126" s="352">
        <f t="shared" si="57"/>
        <v>571.73092962857299</v>
      </c>
      <c r="K126" s="352">
        <f t="shared" si="57"/>
        <v>597.43432146185614</v>
      </c>
      <c r="L126" s="352">
        <f t="shared" si="57"/>
        <v>624.30086592764383</v>
      </c>
      <c r="N126" s="155"/>
    </row>
    <row r="127" spans="2:14" ht="16">
      <c r="B127" s="9"/>
      <c r="E127" s="50" t="s">
        <v>17</v>
      </c>
      <c r="F127" s="50" t="s">
        <v>17</v>
      </c>
      <c r="G127" s="50" t="s">
        <v>17</v>
      </c>
      <c r="H127" s="50" t="s">
        <v>17</v>
      </c>
      <c r="I127" s="50" t="s">
        <v>17</v>
      </c>
      <c r="J127" s="50" t="s">
        <v>17</v>
      </c>
      <c r="K127" s="50" t="s">
        <v>17</v>
      </c>
      <c r="L127" s="50" t="s">
        <v>17</v>
      </c>
    </row>
    <row r="128" spans="2:14">
      <c r="B128" s="18" t="s">
        <v>66</v>
      </c>
      <c r="C128" s="51"/>
      <c r="D128" s="51"/>
      <c r="E128" s="52">
        <v>3545</v>
      </c>
      <c r="F128" s="51">
        <v>3434.8</v>
      </c>
      <c r="G128" s="51">
        <v>3589.4</v>
      </c>
      <c r="H128" s="51">
        <v>3750.9</v>
      </c>
      <c r="I128" s="51">
        <v>3919.7</v>
      </c>
      <c r="J128" s="51">
        <v>4096.1000000000004</v>
      </c>
      <c r="K128" s="51">
        <v>4280.3999999999996</v>
      </c>
      <c r="L128" s="51">
        <v>4473</v>
      </c>
    </row>
    <row r="129" spans="2:17">
      <c r="B129" s="18"/>
      <c r="C129" s="51"/>
      <c r="D129" s="51"/>
      <c r="E129" s="53"/>
      <c r="F129" s="51"/>
      <c r="G129" s="51"/>
      <c r="H129" s="51"/>
      <c r="I129" s="51"/>
      <c r="J129" s="51"/>
    </row>
    <row r="130" spans="2:17">
      <c r="B130" s="9" t="s">
        <v>67</v>
      </c>
      <c r="E130" s="9">
        <v>4063</v>
      </c>
      <c r="F130" s="385">
        <f>F90</f>
        <v>4245.835</v>
      </c>
      <c r="G130" s="385">
        <f t="shared" ref="G130:L130" si="58">G90</f>
        <v>4436.897575</v>
      </c>
      <c r="H130" s="385">
        <f t="shared" si="58"/>
        <v>4636.5579658750003</v>
      </c>
      <c r="I130" s="385">
        <f t="shared" si="58"/>
        <v>4845.2030743393752</v>
      </c>
      <c r="J130" s="385">
        <f t="shared" si="58"/>
        <v>5063.2372126846476</v>
      </c>
      <c r="K130" s="385">
        <f t="shared" si="58"/>
        <v>5291.0828872554566</v>
      </c>
      <c r="L130" s="385">
        <f t="shared" si="58"/>
        <v>5529.1816171819528</v>
      </c>
    </row>
    <row r="131" spans="2:17">
      <c r="B131" s="9" t="s">
        <v>68</v>
      </c>
      <c r="E131" s="9">
        <v>4536</v>
      </c>
      <c r="F131" s="385">
        <f>F91</f>
        <v>4395.0086825806447</v>
      </c>
      <c r="G131" s="385">
        <f t="shared" ref="G131:L131" si="59">G91</f>
        <v>4592.7840732967743</v>
      </c>
      <c r="H131" s="385">
        <f t="shared" si="59"/>
        <v>4799.4593565951291</v>
      </c>
      <c r="I131" s="385">
        <f t="shared" si="59"/>
        <v>5015.43502764191</v>
      </c>
      <c r="J131" s="385">
        <f t="shared" si="59"/>
        <v>5241.1296038857954</v>
      </c>
      <c r="K131" s="385">
        <f t="shared" si="59"/>
        <v>5476.9804360606577</v>
      </c>
      <c r="L131" s="385">
        <f t="shared" si="59"/>
        <v>5723.4445556833862</v>
      </c>
      <c r="P131" s="55"/>
      <c r="Q131" s="55"/>
    </row>
    <row r="132" spans="2:17">
      <c r="B132" s="9" t="s">
        <v>69</v>
      </c>
      <c r="E132" s="9">
        <v>429</v>
      </c>
      <c r="F132" s="385">
        <f>F92</f>
        <v>415.66550370967741</v>
      </c>
      <c r="G132" s="385">
        <f t="shared" ref="G132:L132" si="60">G92</f>
        <v>434.37045137661295</v>
      </c>
      <c r="H132" s="385">
        <f t="shared" si="60"/>
        <v>453.91712168856054</v>
      </c>
      <c r="I132" s="385">
        <f t="shared" si="60"/>
        <v>474.34339216454572</v>
      </c>
      <c r="J132" s="385">
        <f t="shared" si="60"/>
        <v>495.68884481195028</v>
      </c>
      <c r="K132" s="385">
        <f t="shared" si="60"/>
        <v>517.99484282848812</v>
      </c>
      <c r="L132" s="385">
        <f t="shared" si="60"/>
        <v>541.30461075577</v>
      </c>
    </row>
    <row r="133" spans="2:17">
      <c r="B133" s="9" t="s">
        <v>89</v>
      </c>
      <c r="E133" s="9">
        <v>5532</v>
      </c>
      <c r="F133" s="385">
        <f>F93</f>
        <v>7341.4860643548382</v>
      </c>
      <c r="G133" s="385">
        <f t="shared" ref="G133:L133" si="61">G93</f>
        <v>7671.8529372508074</v>
      </c>
      <c r="H133" s="385">
        <f t="shared" si="61"/>
        <v>8017.0863194270942</v>
      </c>
      <c r="I133" s="385">
        <f t="shared" si="61"/>
        <v>8377.8552038013131</v>
      </c>
      <c r="J133" s="385">
        <f t="shared" si="61"/>
        <v>8754.8586879723716</v>
      </c>
      <c r="K133" s="385">
        <f t="shared" si="61"/>
        <v>9148.8273289311292</v>
      </c>
      <c r="L133" s="385">
        <f t="shared" si="61"/>
        <v>9560.5245587330301</v>
      </c>
    </row>
    <row r="134" spans="2:17" ht="16">
      <c r="B134" s="9"/>
      <c r="E134" s="19" t="s">
        <v>17</v>
      </c>
    </row>
    <row r="135" spans="2:17">
      <c r="B135" s="9" t="s">
        <v>70</v>
      </c>
      <c r="E135" s="21">
        <f>SUM(E130:E133,E128)</f>
        <v>18105</v>
      </c>
      <c r="F135" s="21">
        <f>SUM(F130:F133,F128)</f>
        <v>19832.795250645158</v>
      </c>
      <c r="G135" s="21">
        <f t="shared" ref="G135:L135" si="62">SUM(G130:G133,G128)</f>
        <v>20725.305036924197</v>
      </c>
      <c r="H135" s="21">
        <f t="shared" si="62"/>
        <v>21657.920763585786</v>
      </c>
      <c r="I135" s="21">
        <f t="shared" si="62"/>
        <v>22632.536697947147</v>
      </c>
      <c r="J135" s="21">
        <f t="shared" si="62"/>
        <v>23651.014349354766</v>
      </c>
      <c r="K135" s="21">
        <f t="shared" si="62"/>
        <v>24715.285495075732</v>
      </c>
      <c r="L135" s="21">
        <f t="shared" si="62"/>
        <v>25827.455342354137</v>
      </c>
    </row>
    <row r="136" spans="2:17">
      <c r="B136" s="9"/>
    </row>
    <row r="137" spans="2:17">
      <c r="B137" s="9" t="s">
        <v>71</v>
      </c>
      <c r="E137" s="9">
        <f>394424/5</f>
        <v>78884.800000000003</v>
      </c>
      <c r="F137" s="2">
        <f>E137+F38</f>
        <v>85384.8</v>
      </c>
      <c r="G137" s="2">
        <f t="shared" ref="G137:L137" si="63">F137+G38</f>
        <v>92201.165448750005</v>
      </c>
      <c r="H137" s="2">
        <f t="shared" si="63"/>
        <v>99324.267342693754</v>
      </c>
      <c r="I137">
        <f t="shared" si="63"/>
        <v>106767.90882186497</v>
      </c>
      <c r="J137">
        <f t="shared" si="63"/>
        <v>114546.5141675989</v>
      </c>
      <c r="K137">
        <f t="shared" si="63"/>
        <v>122675.15675389086</v>
      </c>
      <c r="L137">
        <f t="shared" si="63"/>
        <v>131169.58825656594</v>
      </c>
    </row>
    <row r="138" spans="2:17">
      <c r="B138" s="9" t="s">
        <v>72</v>
      </c>
      <c r="E138" s="9">
        <f>-160122/5</f>
        <v>-32024.400000000001</v>
      </c>
      <c r="F138" s="2">
        <f>E138-F14</f>
        <v>-35198.847705</v>
      </c>
      <c r="G138" s="2">
        <f t="shared" ref="G138:L138" si="64">F138-G14</f>
        <v>-38516.145556725001</v>
      </c>
      <c r="H138" s="2">
        <f t="shared" si="64"/>
        <v>-41982.721811777628</v>
      </c>
      <c r="I138" s="2">
        <f t="shared" si="64"/>
        <v>-45605.293998307621</v>
      </c>
      <c r="J138" s="2">
        <f t="shared" si="64"/>
        <v>-49390.881933231467</v>
      </c>
      <c r="K138" s="2">
        <f t="shared" si="64"/>
        <v>-53346.821325226883</v>
      </c>
      <c r="L138" s="2">
        <f t="shared" si="64"/>
        <v>-57480.777989862094</v>
      </c>
    </row>
    <row r="139" spans="2:17" ht="16">
      <c r="B139" s="9"/>
      <c r="E139" s="19" t="s">
        <v>17</v>
      </c>
    </row>
    <row r="140" spans="2:17">
      <c r="B140" s="9" t="s">
        <v>73</v>
      </c>
      <c r="E140" s="21">
        <f>E137+E138</f>
        <v>46860.4</v>
      </c>
      <c r="F140" s="21">
        <f t="shared" ref="F140:L140" si="65">F137+F138</f>
        <v>50185.952295000003</v>
      </c>
      <c r="G140" s="21">
        <f t="shared" si="65"/>
        <v>53685.019892025004</v>
      </c>
      <c r="H140" s="21">
        <f t="shared" si="65"/>
        <v>57341.545530916126</v>
      </c>
      <c r="I140" s="21">
        <f t="shared" si="65"/>
        <v>61162.614823557349</v>
      </c>
      <c r="J140" s="21">
        <f t="shared" si="65"/>
        <v>65155.632234367433</v>
      </c>
      <c r="K140" s="21">
        <f t="shared" si="65"/>
        <v>69328.335428663966</v>
      </c>
      <c r="L140" s="21">
        <f t="shared" si="65"/>
        <v>73688.810266703847</v>
      </c>
    </row>
    <row r="141" spans="2:17">
      <c r="B141" s="9"/>
    </row>
    <row r="142" spans="2:17">
      <c r="B142" s="9" t="s">
        <v>74</v>
      </c>
      <c r="E142" s="9">
        <f>11261.8</f>
        <v>11261.8</v>
      </c>
      <c r="F142" s="2">
        <v>12318</v>
      </c>
      <c r="G142" s="2">
        <v>11793.6</v>
      </c>
      <c r="H142" s="2">
        <v>15576.2</v>
      </c>
      <c r="I142" s="2">
        <v>17217.2</v>
      </c>
      <c r="J142" s="2">
        <v>19014.599999999999</v>
      </c>
      <c r="K142" s="2">
        <v>20899.900000000001</v>
      </c>
      <c r="L142" s="2">
        <v>22877.3</v>
      </c>
      <c r="N142" s="55"/>
    </row>
    <row r="143" spans="2:17">
      <c r="B143" s="9" t="s">
        <v>91</v>
      </c>
      <c r="E143" s="9">
        <v>14850.32</v>
      </c>
      <c r="F143" s="2">
        <v>20199.433000000001</v>
      </c>
      <c r="G143" s="2">
        <v>29631.02</v>
      </c>
      <c r="H143" s="2">
        <v>35157.9</v>
      </c>
      <c r="I143" s="2">
        <v>42413.3</v>
      </c>
      <c r="J143" s="2">
        <v>50599.6</v>
      </c>
      <c r="K143" s="2">
        <v>59205.4</v>
      </c>
      <c r="L143" s="2">
        <v>68250.399999999994</v>
      </c>
    </row>
    <row r="144" spans="2:17">
      <c r="B144" s="9" t="s">
        <v>323</v>
      </c>
      <c r="E144" s="9">
        <f>0.01*E158</f>
        <v>119.68</v>
      </c>
      <c r="F144" s="342">
        <f>E144-F61</f>
        <v>102.58285714285715</v>
      </c>
      <c r="G144" s="342">
        <f>F144-G61</f>
        <v>85.485714285714295</v>
      </c>
      <c r="H144" s="342">
        <f t="shared" ref="H144:L144" si="66">G144-H61</f>
        <v>68.388571428571439</v>
      </c>
      <c r="I144" s="342">
        <f t="shared" si="66"/>
        <v>51.291428571428582</v>
      </c>
      <c r="J144" s="342">
        <f t="shared" si="66"/>
        <v>34.194285714285726</v>
      </c>
      <c r="K144" s="342">
        <f t="shared" si="66"/>
        <v>17.097142857142867</v>
      </c>
      <c r="L144" s="342">
        <f t="shared" si="66"/>
        <v>0</v>
      </c>
    </row>
    <row r="145" spans="2:23" ht="16">
      <c r="E145" s="19" t="s">
        <v>17</v>
      </c>
      <c r="F145" s="19" t="s">
        <v>17</v>
      </c>
      <c r="G145" s="19" t="s">
        <v>17</v>
      </c>
      <c r="H145" s="19" t="s">
        <v>17</v>
      </c>
      <c r="I145" s="19" t="s">
        <v>17</v>
      </c>
      <c r="J145" s="19" t="s">
        <v>17</v>
      </c>
      <c r="K145" s="19" t="s">
        <v>17</v>
      </c>
      <c r="L145" s="19" t="s">
        <v>17</v>
      </c>
      <c r="P145" s="155"/>
    </row>
    <row r="146" spans="2:23" ht="16">
      <c r="B146" s="9" t="s">
        <v>75</v>
      </c>
      <c r="E146" s="57">
        <f>SUM(E140:E145,E135)</f>
        <v>91197.199999999983</v>
      </c>
      <c r="F146" s="57">
        <f t="shared" ref="F146:L146" si="67">SUM(F140:F145,F135)</f>
        <v>102638.76340278801</v>
      </c>
      <c r="G146" s="57">
        <f t="shared" si="67"/>
        <v>115920.43064323491</v>
      </c>
      <c r="H146" s="57">
        <f t="shared" si="67"/>
        <v>129801.9548659305</v>
      </c>
      <c r="I146" s="57">
        <f t="shared" si="67"/>
        <v>143476.94295007593</v>
      </c>
      <c r="J146" s="57">
        <f t="shared" si="67"/>
        <v>158455.04086943646</v>
      </c>
      <c r="K146" s="57">
        <f t="shared" si="67"/>
        <v>174166.01806659682</v>
      </c>
      <c r="L146" s="57">
        <f t="shared" si="67"/>
        <v>190643.96560905798</v>
      </c>
    </row>
    <row r="147" spans="2:23">
      <c r="B147" s="9"/>
    </row>
    <row r="148" spans="2:23">
      <c r="B148" s="47" t="s">
        <v>76</v>
      </c>
    </row>
    <row r="149" spans="2:23">
      <c r="B149" s="9" t="s">
        <v>77</v>
      </c>
      <c r="E149" s="9">
        <v>4101</v>
      </c>
      <c r="F149" s="385">
        <f t="shared" ref="F149:L151" si="68">F98</f>
        <v>3973.5296753225807</v>
      </c>
      <c r="G149" s="385">
        <f t="shared" si="68"/>
        <v>4152.3385107120976</v>
      </c>
      <c r="H149" s="385">
        <f t="shared" si="68"/>
        <v>4339.1937436941416</v>
      </c>
      <c r="I149" s="385">
        <f t="shared" si="68"/>
        <v>4534.4574621603779</v>
      </c>
      <c r="J149" s="385">
        <f t="shared" si="68"/>
        <v>4738.5080479575954</v>
      </c>
      <c r="K149" s="385">
        <f t="shared" si="68"/>
        <v>4951.7409101156873</v>
      </c>
      <c r="L149" s="385">
        <f t="shared" si="68"/>
        <v>5174.5692510708923</v>
      </c>
      <c r="P149"/>
      <c r="Q149"/>
      <c r="R149"/>
      <c r="S149"/>
      <c r="T149"/>
      <c r="U149"/>
      <c r="V149"/>
      <c r="W149"/>
    </row>
    <row r="150" spans="2:23">
      <c r="B150" s="9" t="s">
        <v>78</v>
      </c>
      <c r="E150" s="9">
        <v>637</v>
      </c>
      <c r="F150" s="385">
        <f t="shared" si="68"/>
        <v>617.20029338709674</v>
      </c>
      <c r="G150" s="385">
        <f t="shared" si="68"/>
        <v>644.97430658951623</v>
      </c>
      <c r="H150" s="385">
        <f t="shared" si="68"/>
        <v>673.99815038604447</v>
      </c>
      <c r="I150" s="385">
        <f t="shared" si="68"/>
        <v>704.32806715341633</v>
      </c>
      <c r="J150" s="385">
        <f t="shared" si="68"/>
        <v>736.02283017532011</v>
      </c>
      <c r="K150" s="385">
        <f t="shared" si="68"/>
        <v>769.1438575332096</v>
      </c>
      <c r="L150" s="385">
        <f t="shared" si="68"/>
        <v>803.75533112220398</v>
      </c>
    </row>
    <row r="151" spans="2:23">
      <c r="B151" s="9" t="s">
        <v>89</v>
      </c>
      <c r="E151" s="9">
        <v>9451.6</v>
      </c>
      <c r="F151" s="385">
        <f t="shared" si="68"/>
        <v>9157.8183563225793</v>
      </c>
      <c r="G151" s="385">
        <f t="shared" si="68"/>
        <v>9569.9201823570984</v>
      </c>
      <c r="H151" s="385">
        <f t="shared" si="68"/>
        <v>10000.566590563167</v>
      </c>
      <c r="I151" s="385">
        <f t="shared" si="68"/>
        <v>10450.59208713851</v>
      </c>
      <c r="J151" s="385">
        <f t="shared" si="68"/>
        <v>10920.868731059742</v>
      </c>
      <c r="K151" s="385">
        <f t="shared" si="68"/>
        <v>11412.307823957432</v>
      </c>
      <c r="L151" s="385">
        <f t="shared" si="68"/>
        <v>11925.861676035514</v>
      </c>
    </row>
    <row r="152" spans="2:23" ht="16">
      <c r="B152" s="9"/>
      <c r="E152" s="19" t="s">
        <v>17</v>
      </c>
      <c r="F152" s="19" t="s">
        <v>17</v>
      </c>
      <c r="G152" s="19" t="s">
        <v>17</v>
      </c>
      <c r="H152" s="19" t="s">
        <v>17</v>
      </c>
      <c r="I152" s="19" t="s">
        <v>17</v>
      </c>
      <c r="J152" s="19" t="s">
        <v>17</v>
      </c>
      <c r="K152" s="19" t="s">
        <v>17</v>
      </c>
      <c r="L152" s="19" t="s">
        <v>17</v>
      </c>
    </row>
    <row r="153" spans="2:23">
      <c r="B153" s="9" t="s">
        <v>79</v>
      </c>
      <c r="E153" s="21">
        <f>SUM(E149:E151)</f>
        <v>14189.6</v>
      </c>
      <c r="F153" s="21">
        <f>SUM(F149:F151)</f>
        <v>13748.548325032258</v>
      </c>
      <c r="G153" s="21">
        <f t="shared" ref="G153:L153" si="69">SUM(G149:G151)</f>
        <v>14367.232999658712</v>
      </c>
      <c r="H153" s="21">
        <f t="shared" si="69"/>
        <v>15013.758484643353</v>
      </c>
      <c r="I153" s="21">
        <f t="shared" si="69"/>
        <v>15689.377616452304</v>
      </c>
      <c r="J153" s="21">
        <f t="shared" si="69"/>
        <v>16395.399609192656</v>
      </c>
      <c r="K153" s="21">
        <f t="shared" si="69"/>
        <v>17133.192591606326</v>
      </c>
      <c r="L153" s="21">
        <f t="shared" si="69"/>
        <v>17904.186258228612</v>
      </c>
    </row>
    <row r="154" spans="2:23">
      <c r="B154" s="9"/>
    </row>
    <row r="155" spans="2:23">
      <c r="B155" s="9" t="s">
        <v>93</v>
      </c>
      <c r="E155" s="9">
        <v>1160.96</v>
      </c>
      <c r="F155" s="2">
        <f>F158-F156</f>
        <v>1427.7999999999993</v>
      </c>
      <c r="G155" s="2">
        <f t="shared" ref="G155:L155" si="70">G158-G156</f>
        <v>1712.6999999999989</v>
      </c>
      <c r="H155" s="2">
        <f t="shared" si="70"/>
        <v>2009.5999999999985</v>
      </c>
      <c r="I155" s="2">
        <f t="shared" si="70"/>
        <v>2301.7999999999993</v>
      </c>
      <c r="J155" s="2">
        <f t="shared" si="70"/>
        <v>2622.6000000000022</v>
      </c>
      <c r="K155" s="2">
        <f t="shared" si="70"/>
        <v>2959.1000000000022</v>
      </c>
      <c r="L155" s="2">
        <f t="shared" si="70"/>
        <v>3312.1999999999971</v>
      </c>
    </row>
    <row r="156" spans="2:23">
      <c r="B156" s="9" t="s">
        <v>92</v>
      </c>
      <c r="E156" s="9">
        <v>10807.5</v>
      </c>
      <c r="F156" s="9">
        <v>13297</v>
      </c>
      <c r="G156" s="9">
        <v>15949.9</v>
      </c>
      <c r="H156" s="9">
        <v>18715.5</v>
      </c>
      <c r="I156" s="9">
        <v>21436.5</v>
      </c>
      <c r="J156" s="9">
        <v>24423.599999999999</v>
      </c>
      <c r="K156" s="9">
        <v>27557.8</v>
      </c>
      <c r="L156" s="9">
        <v>30845.5</v>
      </c>
      <c r="N156" s="55"/>
    </row>
    <row r="157" spans="2:23" ht="16">
      <c r="B157" s="9"/>
      <c r="E157" s="19" t="s">
        <v>17</v>
      </c>
      <c r="F157" s="19" t="s">
        <v>17</v>
      </c>
      <c r="G157" s="19" t="s">
        <v>17</v>
      </c>
      <c r="H157" s="19" t="s">
        <v>17</v>
      </c>
      <c r="I157" s="19" t="s">
        <v>17</v>
      </c>
      <c r="J157" s="19" t="s">
        <v>17</v>
      </c>
      <c r="K157" s="19" t="s">
        <v>17</v>
      </c>
      <c r="L157" s="19" t="s">
        <v>17</v>
      </c>
      <c r="Q157" s="155"/>
    </row>
    <row r="158" spans="2:23">
      <c r="B158" s="9" t="s">
        <v>83</v>
      </c>
      <c r="E158" s="21">
        <v>11968</v>
      </c>
      <c r="F158" s="2">
        <v>14724.8</v>
      </c>
      <c r="G158" s="13">
        <v>17662.599999999999</v>
      </c>
      <c r="H158" s="2">
        <v>20725.099999999999</v>
      </c>
      <c r="I158" s="2">
        <v>23738.3</v>
      </c>
      <c r="J158" s="2">
        <v>27046.2</v>
      </c>
      <c r="K158" s="2">
        <v>30516.9</v>
      </c>
      <c r="L158" s="2">
        <v>34157.699999999997</v>
      </c>
    </row>
    <row r="159" spans="2:23">
      <c r="B159" s="9"/>
    </row>
    <row r="160" spans="2:23">
      <c r="B160" s="9" t="s">
        <v>84</v>
      </c>
      <c r="E160" s="9">
        <v>25374.2</v>
      </c>
      <c r="F160" s="2">
        <f>E160 -22.274</f>
        <v>25351.925999999999</v>
      </c>
      <c r="G160" s="2">
        <f>F160 - 21.932555</f>
        <v>25329.993445</v>
      </c>
      <c r="H160" s="2">
        <f>G160 +  11.179</f>
        <v>25341.172445</v>
      </c>
      <c r="I160" s="2">
        <f>H160 -12.833</f>
        <v>25328.339445000001</v>
      </c>
      <c r="J160" s="2">
        <f>I160 -12.697</f>
        <v>25315.642445000001</v>
      </c>
      <c r="K160" s="2">
        <f>J160 - 14.993</f>
        <v>25300.649445000003</v>
      </c>
      <c r="L160" s="2">
        <f>K160 -16.252</f>
        <v>25284.397445000002</v>
      </c>
    </row>
    <row r="161" spans="2:19" ht="16">
      <c r="B161" s="9"/>
      <c r="E161" s="19" t="s">
        <v>17</v>
      </c>
      <c r="F161" s="19" t="s">
        <v>17</v>
      </c>
      <c r="G161" s="19" t="s">
        <v>17</v>
      </c>
      <c r="H161" s="19" t="s">
        <v>17</v>
      </c>
      <c r="I161" s="19" t="s">
        <v>17</v>
      </c>
      <c r="J161" s="19" t="s">
        <v>17</v>
      </c>
      <c r="K161" s="19" t="s">
        <v>17</v>
      </c>
      <c r="L161" s="19" t="s">
        <v>17</v>
      </c>
      <c r="S161" s="55"/>
    </row>
    <row r="162" spans="2:19">
      <c r="B162" s="9" t="s">
        <v>85</v>
      </c>
      <c r="E162" s="21">
        <f>SUM(E160,E158,E153)</f>
        <v>51531.799999999996</v>
      </c>
      <c r="F162" s="21">
        <f t="shared" ref="F162:L162" si="71">SUM(F160,F158,F153)</f>
        <v>53825.274325032253</v>
      </c>
      <c r="G162" s="21">
        <f t="shared" si="71"/>
        <v>57359.826444658713</v>
      </c>
      <c r="H162" s="21">
        <f t="shared" si="71"/>
        <v>61080.030929643348</v>
      </c>
      <c r="I162" s="21">
        <f t="shared" si="71"/>
        <v>64756.017061452309</v>
      </c>
      <c r="J162" s="21">
        <f t="shared" si="71"/>
        <v>68757.242054192655</v>
      </c>
      <c r="K162" s="21">
        <f t="shared" si="71"/>
        <v>72950.742036606331</v>
      </c>
      <c r="L162" s="21">
        <f t="shared" si="71"/>
        <v>77346.283703228604</v>
      </c>
    </row>
    <row r="163" spans="2:19">
      <c r="B163" s="9"/>
      <c r="Q163"/>
    </row>
    <row r="164" spans="2:19">
      <c r="B164" s="9" t="s">
        <v>86</v>
      </c>
      <c r="E164" s="9">
        <v>39665.4</v>
      </c>
      <c r="F164" s="2">
        <f t="shared" ref="F164:L164" si="72">E164+F67</f>
        <v>48813.489470614288</v>
      </c>
      <c r="G164" s="2">
        <f t="shared" si="72"/>
        <v>58560.608325763533</v>
      </c>
      <c r="H164" s="2">
        <f t="shared" si="72"/>
        <v>68721.923814537353</v>
      </c>
      <c r="I164" s="2">
        <f t="shared" si="72"/>
        <v>78720.925725448848</v>
      </c>
      <c r="J164" s="2">
        <f t="shared" si="72"/>
        <v>89697.799147494225</v>
      </c>
      <c r="K164">
        <f t="shared" si="72"/>
        <v>101215.2756386745</v>
      </c>
      <c r="L164">
        <f t="shared" si="72"/>
        <v>113297.68233710075</v>
      </c>
    </row>
    <row r="165" spans="2:19" ht="16">
      <c r="B165" s="9"/>
      <c r="E165" s="19" t="s">
        <v>17</v>
      </c>
      <c r="F165" s="19" t="s">
        <v>17</v>
      </c>
      <c r="G165" s="19" t="s">
        <v>17</v>
      </c>
      <c r="H165" s="19" t="s">
        <v>17</v>
      </c>
      <c r="I165" s="19" t="s">
        <v>17</v>
      </c>
      <c r="J165" s="19" t="s">
        <v>17</v>
      </c>
      <c r="K165" s="19" t="s">
        <v>17</v>
      </c>
      <c r="L165" s="19" t="s">
        <v>17</v>
      </c>
    </row>
    <row r="166" spans="2:19" ht="16">
      <c r="B166" s="9" t="s">
        <v>87</v>
      </c>
      <c r="E166" s="57">
        <f>SUM(E162:E165)</f>
        <v>91197.2</v>
      </c>
      <c r="F166" s="57">
        <f t="shared" ref="F166:L166" si="73">SUM(F162:F165)</f>
        <v>102638.76379564655</v>
      </c>
      <c r="G166" s="57">
        <f t="shared" si="73"/>
        <v>115920.43477042225</v>
      </c>
      <c r="H166" s="57">
        <f t="shared" si="73"/>
        <v>129801.95474418069</v>
      </c>
      <c r="I166" s="57">
        <f t="shared" si="73"/>
        <v>143476.94278690114</v>
      </c>
      <c r="J166" s="57">
        <f t="shared" si="73"/>
        <v>158455.04120168689</v>
      </c>
      <c r="K166" s="57">
        <f t="shared" si="73"/>
        <v>174166.01767528083</v>
      </c>
      <c r="L166" s="57">
        <f t="shared" si="73"/>
        <v>190643.96604032937</v>
      </c>
    </row>
    <row r="167" spans="2:19">
      <c r="B167" s="9"/>
    </row>
    <row r="168" spans="2:19">
      <c r="B168" s="9" t="s">
        <v>88</v>
      </c>
      <c r="E168" s="54">
        <f>ABS(E166-E146)</f>
        <v>1.4551915228366852E-11</v>
      </c>
      <c r="F168" s="54">
        <f t="shared" ref="F168:L168" si="74">ABS(F166-F146)</f>
        <v>3.9285853563342243E-4</v>
      </c>
      <c r="G168" s="58">
        <f t="shared" si="74"/>
        <v>4.1271873342338949E-3</v>
      </c>
      <c r="H168" s="54">
        <f t="shared" si="74"/>
        <v>1.2174980656709522E-4</v>
      </c>
      <c r="I168" s="54">
        <f t="shared" si="74"/>
        <v>1.6317478730343282E-4</v>
      </c>
      <c r="J168" s="54">
        <f t="shared" si="74"/>
        <v>3.3225043443962932E-4</v>
      </c>
      <c r="K168" s="54">
        <f t="shared" si="74"/>
        <v>3.9131598896346986E-4</v>
      </c>
      <c r="L168" s="54">
        <f t="shared" si="74"/>
        <v>4.3127138633280993E-4</v>
      </c>
    </row>
    <row r="172" spans="2:19" ht="18">
      <c r="B172" s="7" t="s">
        <v>96</v>
      </c>
      <c r="C172" s="7"/>
      <c r="D172" s="7"/>
      <c r="E172" s="7"/>
      <c r="F172" s="7"/>
      <c r="G172" s="7"/>
      <c r="H172" s="7"/>
      <c r="I172" s="7"/>
      <c r="J172" s="7"/>
    </row>
    <row r="173" spans="2:19"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2:19" ht="16">
      <c r="B174"/>
      <c r="C174" s="13"/>
      <c r="D174"/>
      <c r="E174" s="23"/>
      <c r="F174" s="43" t="s">
        <v>1</v>
      </c>
      <c r="G174" s="43"/>
      <c r="H174" s="43"/>
      <c r="I174" s="43"/>
      <c r="J174" s="43"/>
      <c r="K174" s="43"/>
      <c r="L174" s="43"/>
    </row>
    <row r="175" spans="2:19">
      <c r="B175"/>
      <c r="C175" s="44"/>
      <c r="D175"/>
      <c r="E175" s="45"/>
      <c r="F175" s="46">
        <f t="shared" ref="F175:L175" si="75">F123</f>
        <v>45657</v>
      </c>
      <c r="G175" s="46">
        <f t="shared" si="75"/>
        <v>46022</v>
      </c>
      <c r="H175" s="46">
        <f t="shared" si="75"/>
        <v>46387</v>
      </c>
      <c r="I175" s="46">
        <f t="shared" si="75"/>
        <v>46752</v>
      </c>
      <c r="J175" s="46">
        <f t="shared" si="75"/>
        <v>47118</v>
      </c>
      <c r="K175" s="46">
        <f t="shared" si="75"/>
        <v>47483</v>
      </c>
      <c r="L175" s="46">
        <f t="shared" si="75"/>
        <v>47848</v>
      </c>
    </row>
    <row r="176" spans="2:19">
      <c r="B176"/>
    </row>
    <row r="177" spans="2:12">
      <c r="B177" s="47" t="s">
        <v>97</v>
      </c>
    </row>
    <row r="179" spans="2:12">
      <c r="B179" s="14" t="s">
        <v>31</v>
      </c>
      <c r="F179" s="385">
        <f t="shared" ref="F179:L179" si="76">F67</f>
        <v>9148.0894706142863</v>
      </c>
      <c r="G179" s="385">
        <f t="shared" si="76"/>
        <v>9747.1188551492414</v>
      </c>
      <c r="H179" s="385">
        <f t="shared" si="76"/>
        <v>10161.315488773816</v>
      </c>
      <c r="I179" s="385">
        <f t="shared" si="76"/>
        <v>9999.0019109114946</v>
      </c>
      <c r="J179" s="385">
        <f t="shared" si="76"/>
        <v>10976.873422045372</v>
      </c>
      <c r="K179" s="385">
        <f t="shared" si="76"/>
        <v>11517.47649118027</v>
      </c>
      <c r="L179" s="385">
        <f t="shared" si="76"/>
        <v>12082.406698426241</v>
      </c>
    </row>
    <row r="180" spans="2:12">
      <c r="B180" s="9" t="s">
        <v>8</v>
      </c>
      <c r="F180" s="385">
        <f t="shared" ref="F180:L180" si="77">F14</f>
        <v>3174.4477049999996</v>
      </c>
      <c r="G180" s="385">
        <f t="shared" si="77"/>
        <v>3317.2978517249999</v>
      </c>
      <c r="H180" s="385">
        <f t="shared" si="77"/>
        <v>3466.5762550526251</v>
      </c>
      <c r="I180" s="385">
        <f t="shared" si="77"/>
        <v>3622.5721865299929</v>
      </c>
      <c r="J180" s="385">
        <f t="shared" si="77"/>
        <v>3785.587934923843</v>
      </c>
      <c r="K180" s="385">
        <f t="shared" si="77"/>
        <v>3955.9393919954159</v>
      </c>
      <c r="L180" s="385">
        <f t="shared" si="77"/>
        <v>4133.9566646352096</v>
      </c>
    </row>
    <row r="181" spans="2:12">
      <c r="B181" s="9" t="s">
        <v>109</v>
      </c>
      <c r="F181" s="21">
        <v>950</v>
      </c>
      <c r="G181" s="21">
        <f t="shared" ref="G181:L181" si="78">F181*1.05</f>
        <v>997.5</v>
      </c>
      <c r="H181" s="21">
        <f t="shared" si="78"/>
        <v>1047.375</v>
      </c>
      <c r="I181" s="21">
        <f t="shared" si="78"/>
        <v>1099.7437500000001</v>
      </c>
      <c r="J181" s="21">
        <f t="shared" si="78"/>
        <v>1154.7309375000002</v>
      </c>
      <c r="K181" s="21">
        <f t="shared" si="78"/>
        <v>1212.4674843750004</v>
      </c>
      <c r="L181" s="21">
        <f t="shared" si="78"/>
        <v>1273.0908585937505</v>
      </c>
    </row>
    <row r="182" spans="2:12" ht="16">
      <c r="B182" s="9"/>
      <c r="F182" s="59" t="s">
        <v>17</v>
      </c>
      <c r="G182" s="59" t="s">
        <v>17</v>
      </c>
      <c r="H182" s="59" t="s">
        <v>17</v>
      </c>
      <c r="I182" s="59" t="s">
        <v>17</v>
      </c>
      <c r="J182" s="59" t="s">
        <v>17</v>
      </c>
      <c r="K182" s="59" t="s">
        <v>17</v>
      </c>
      <c r="L182" s="59" t="s">
        <v>17</v>
      </c>
    </row>
    <row r="183" spans="2:12">
      <c r="B183" s="9" t="s">
        <v>98</v>
      </c>
      <c r="F183" s="21">
        <f t="shared" ref="F183:L183" si="79">SUM(F179:F182)</f>
        <v>13272.537175614285</v>
      </c>
      <c r="G183" s="21">
        <f t="shared" si="79"/>
        <v>14061.916706874241</v>
      </c>
      <c r="H183" s="21">
        <f t="shared" si="79"/>
        <v>14675.266743826442</v>
      </c>
      <c r="I183" s="21">
        <f t="shared" si="79"/>
        <v>14721.317847441487</v>
      </c>
      <c r="J183" s="21">
        <f t="shared" si="79"/>
        <v>15917.192294469216</v>
      </c>
      <c r="K183" s="21">
        <f t="shared" si="79"/>
        <v>16685.883367550687</v>
      </c>
      <c r="L183" s="21">
        <f t="shared" si="79"/>
        <v>17489.4542216552</v>
      </c>
    </row>
    <row r="184" spans="2:12">
      <c r="B184" s="18" t="s">
        <v>99</v>
      </c>
      <c r="F184" s="385">
        <f t="shared" ref="F184:L184" si="80">F106</f>
        <v>-1010.2661049483886</v>
      </c>
      <c r="G184" s="385">
        <f t="shared" si="80"/>
        <v>-221.65497472267634</v>
      </c>
      <c r="H184" s="385">
        <f t="shared" si="80"/>
        <v>-231.6294485851995</v>
      </c>
      <c r="I184" s="385">
        <f t="shared" si="80"/>
        <v>-242.05277377153106</v>
      </c>
      <c r="J184" s="385">
        <f t="shared" si="80"/>
        <v>-252.94514859125047</v>
      </c>
      <c r="K184" s="385">
        <f t="shared" si="80"/>
        <v>-264.32768027786005</v>
      </c>
      <c r="L184" s="385">
        <f t="shared" si="80"/>
        <v>-276.22242589035523</v>
      </c>
    </row>
    <row r="185" spans="2:12" ht="16">
      <c r="B185" s="9"/>
      <c r="F185" s="59" t="s">
        <v>17</v>
      </c>
      <c r="G185" s="59" t="s">
        <v>17</v>
      </c>
      <c r="H185" s="59" t="s">
        <v>17</v>
      </c>
      <c r="I185" s="59" t="s">
        <v>17</v>
      </c>
      <c r="J185" s="59" t="s">
        <v>17</v>
      </c>
      <c r="K185" s="59" t="s">
        <v>17</v>
      </c>
      <c r="L185" s="59" t="s">
        <v>17</v>
      </c>
    </row>
    <row r="186" spans="2:12">
      <c r="B186" s="9" t="s">
        <v>100</v>
      </c>
      <c r="F186" s="21">
        <f t="shared" ref="F186:L186" si="81">SUM(F183:F185)</f>
        <v>12262.271070665896</v>
      </c>
      <c r="G186" s="21">
        <f t="shared" si="81"/>
        <v>13840.261732151565</v>
      </c>
      <c r="H186" s="21">
        <f t="shared" si="81"/>
        <v>14443.637295241242</v>
      </c>
      <c r="I186" s="21">
        <f t="shared" si="81"/>
        <v>14479.265073669956</v>
      </c>
      <c r="J186" s="21">
        <f t="shared" si="81"/>
        <v>15664.247145877966</v>
      </c>
      <c r="K186" s="21">
        <f t="shared" si="81"/>
        <v>16421.555687272827</v>
      </c>
      <c r="L186" s="21">
        <f t="shared" si="81"/>
        <v>17213.231795764845</v>
      </c>
    </row>
    <row r="187" spans="2:12">
      <c r="B187" s="9"/>
      <c r="G187" s="13"/>
      <c r="H187" s="13"/>
      <c r="I187" s="13"/>
      <c r="J187" s="13"/>
    </row>
    <row r="188" spans="2:12">
      <c r="B188" s="47" t="s">
        <v>101</v>
      </c>
      <c r="G188" s="13"/>
      <c r="H188" s="13"/>
      <c r="I188" s="13"/>
      <c r="J188" s="13"/>
    </row>
    <row r="189" spans="2:12">
      <c r="B189" s="9"/>
      <c r="G189" s="13"/>
      <c r="H189" s="13"/>
      <c r="I189" s="13"/>
      <c r="J189" s="13"/>
    </row>
    <row r="190" spans="2:12">
      <c r="B190" s="60" t="s">
        <v>102</v>
      </c>
      <c r="F190" s="385">
        <f t="shared" ref="F190:L190" si="82">-F38</f>
        <v>-6500</v>
      </c>
      <c r="G190" s="385">
        <f t="shared" si="82"/>
        <v>-6816.3654487499998</v>
      </c>
      <c r="H190" s="385">
        <f t="shared" si="82"/>
        <v>-7123.1018939437499</v>
      </c>
      <c r="I190" s="385">
        <f t="shared" si="82"/>
        <v>-7443.6414791712186</v>
      </c>
      <c r="J190" s="385">
        <f t="shared" si="82"/>
        <v>-7778.605345733924</v>
      </c>
      <c r="K190" s="385">
        <f t="shared" si="82"/>
        <v>-8128.6425862919514</v>
      </c>
      <c r="L190" s="385">
        <f t="shared" si="82"/>
        <v>-8494.4315026750883</v>
      </c>
    </row>
    <row r="191" spans="2:12">
      <c r="B191" s="60" t="s">
        <v>103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</row>
    <row r="192" spans="2:12" ht="16">
      <c r="B192" s="56"/>
      <c r="F192" s="59" t="s">
        <v>17</v>
      </c>
      <c r="G192" s="59" t="s">
        <v>17</v>
      </c>
      <c r="H192" s="59" t="s">
        <v>17</v>
      </c>
      <c r="I192" s="59" t="s">
        <v>17</v>
      </c>
      <c r="J192" s="59" t="s">
        <v>17</v>
      </c>
      <c r="K192" s="59" t="s">
        <v>17</v>
      </c>
      <c r="L192" s="59" t="s">
        <v>17</v>
      </c>
    </row>
    <row r="193" spans="2:13">
      <c r="B193" s="56" t="s">
        <v>104</v>
      </c>
      <c r="F193" s="21">
        <f t="shared" ref="F193:L193" si="83">SUM(F190:F192)</f>
        <v>-6500</v>
      </c>
      <c r="G193" s="21">
        <f t="shared" si="83"/>
        <v>-6816.3654487499998</v>
      </c>
      <c r="H193" s="21">
        <f t="shared" si="83"/>
        <v>-7123.1018939437499</v>
      </c>
      <c r="I193" s="21">
        <f t="shared" si="83"/>
        <v>-7443.6414791712186</v>
      </c>
      <c r="J193" s="21">
        <f t="shared" si="83"/>
        <v>-7778.605345733924</v>
      </c>
      <c r="K193" s="21">
        <f t="shared" si="83"/>
        <v>-8128.6425862919514</v>
      </c>
      <c r="L193" s="21">
        <f t="shared" si="83"/>
        <v>-8494.4315026750883</v>
      </c>
    </row>
    <row r="194" spans="2:13">
      <c r="B194" s="9"/>
      <c r="F194" s="21"/>
      <c r="G194" s="21"/>
      <c r="H194" s="21"/>
      <c r="I194" s="21"/>
      <c r="J194" s="21"/>
    </row>
    <row r="195" spans="2:13">
      <c r="B195" s="9"/>
      <c r="G195" s="13"/>
      <c r="H195" s="13"/>
      <c r="I195" s="13"/>
      <c r="J195" s="13"/>
    </row>
    <row r="196" spans="2:13">
      <c r="B196" s="9" t="s">
        <v>105</v>
      </c>
      <c r="F196" s="21">
        <f>SUM(F186,F193)</f>
        <v>5762.2710706658963</v>
      </c>
      <c r="G196" s="21">
        <f t="shared" ref="G196:L196" si="84">SUM(G186,G193)</f>
        <v>7023.8962834015647</v>
      </c>
      <c r="H196" s="21">
        <f t="shared" si="84"/>
        <v>7320.5354012974922</v>
      </c>
      <c r="I196" s="21">
        <f t="shared" si="84"/>
        <v>7035.6235944987375</v>
      </c>
      <c r="J196" s="21">
        <f t="shared" si="84"/>
        <v>7885.6418001440416</v>
      </c>
      <c r="K196" s="21">
        <f t="shared" si="84"/>
        <v>8292.9131009808752</v>
      </c>
      <c r="L196" s="21">
        <f t="shared" si="84"/>
        <v>8718.8002930897565</v>
      </c>
    </row>
    <row r="197" spans="2:13">
      <c r="B197" s="9"/>
    </row>
    <row r="198" spans="2:13">
      <c r="B198" s="47" t="s">
        <v>106</v>
      </c>
    </row>
    <row r="199" spans="2:13">
      <c r="B199" s="9"/>
    </row>
    <row r="200" spans="2:13">
      <c r="B200" s="9" t="s">
        <v>80</v>
      </c>
      <c r="F200" s="385">
        <f>F222</f>
        <v>0</v>
      </c>
      <c r="G200" s="385">
        <f t="shared" ref="G200:L200" si="85">G222</f>
        <v>0</v>
      </c>
      <c r="H200" s="385">
        <f t="shared" si="85"/>
        <v>0</v>
      </c>
      <c r="I200" s="385">
        <f t="shared" si="85"/>
        <v>0</v>
      </c>
      <c r="J200" s="385">
        <f t="shared" si="85"/>
        <v>0</v>
      </c>
      <c r="K200" s="385">
        <f t="shared" si="85"/>
        <v>0</v>
      </c>
      <c r="L200" s="385">
        <f t="shared" si="85"/>
        <v>0</v>
      </c>
      <c r="M200" s="155"/>
    </row>
    <row r="201" spans="2:13">
      <c r="B201" s="9" t="s">
        <v>81</v>
      </c>
      <c r="F201" s="385">
        <f>-F223</f>
        <v>-1709.7142857142858</v>
      </c>
      <c r="G201" s="385">
        <f t="shared" ref="G201:L201" si="86">-G223</f>
        <v>-1709.7142857142858</v>
      </c>
      <c r="H201" s="385">
        <f t="shared" si="86"/>
        <v>-1709.7142857142858</v>
      </c>
      <c r="I201" s="385">
        <f t="shared" si="86"/>
        <v>-1709.7142857142858</v>
      </c>
      <c r="J201" s="385">
        <f t="shared" si="86"/>
        <v>-1709.7142857142858</v>
      </c>
      <c r="K201" s="385">
        <f t="shared" si="86"/>
        <v>-1709.7142857142858</v>
      </c>
      <c r="L201" s="385">
        <f t="shared" si="86"/>
        <v>-1709.7142857142858</v>
      </c>
    </row>
    <row r="202" spans="2:13">
      <c r="B202" s="9" t="s">
        <v>82</v>
      </c>
      <c r="F202" s="385">
        <f t="shared" ref="F202:L202" si="87">F224</f>
        <v>0</v>
      </c>
      <c r="G202" s="385">
        <f t="shared" si="87"/>
        <v>0</v>
      </c>
      <c r="H202" s="385">
        <f t="shared" si="87"/>
        <v>0</v>
      </c>
      <c r="I202" s="385">
        <f t="shared" si="87"/>
        <v>0</v>
      </c>
      <c r="J202" s="385">
        <f t="shared" si="87"/>
        <v>0</v>
      </c>
      <c r="K202" s="385">
        <f t="shared" si="87"/>
        <v>0</v>
      </c>
      <c r="L202" s="385">
        <f t="shared" si="87"/>
        <v>0</v>
      </c>
    </row>
    <row r="203" spans="2:13" ht="16">
      <c r="B203" s="9"/>
      <c r="F203" s="59" t="s">
        <v>17</v>
      </c>
      <c r="G203" s="59" t="s">
        <v>17</v>
      </c>
      <c r="H203" s="59" t="s">
        <v>17</v>
      </c>
      <c r="I203" s="59" t="s">
        <v>17</v>
      </c>
      <c r="J203" s="59" t="s">
        <v>17</v>
      </c>
      <c r="K203" s="59" t="s">
        <v>17</v>
      </c>
      <c r="L203" s="59" t="s">
        <v>17</v>
      </c>
    </row>
    <row r="204" spans="2:13">
      <c r="B204" s="9" t="s">
        <v>107</v>
      </c>
      <c r="F204" s="342">
        <f>SUM(F202,F201,F200)</f>
        <v>-1709.7142857142858</v>
      </c>
      <c r="G204" s="342">
        <f t="shared" ref="G204:L204" si="88">SUM(G202,G201,G200)</f>
        <v>-1709.7142857142858</v>
      </c>
      <c r="H204" s="342">
        <f t="shared" si="88"/>
        <v>-1709.7142857142858</v>
      </c>
      <c r="I204" s="342">
        <f t="shared" si="88"/>
        <v>-1709.7142857142858</v>
      </c>
      <c r="J204" s="342">
        <f t="shared" si="88"/>
        <v>-1709.7142857142858</v>
      </c>
      <c r="K204" s="342">
        <f t="shared" si="88"/>
        <v>-1709.7142857142858</v>
      </c>
      <c r="L204" s="342">
        <f t="shared" si="88"/>
        <v>-1709.7142857142858</v>
      </c>
    </row>
    <row r="205" spans="2:13" ht="16">
      <c r="B205" s="9"/>
      <c r="F205" s="59"/>
      <c r="G205" s="342"/>
      <c r="H205" s="342"/>
      <c r="I205" s="342"/>
      <c r="J205" s="342"/>
      <c r="K205" s="342"/>
      <c r="L205" s="342"/>
    </row>
    <row r="206" spans="2:13">
      <c r="B206" s="9" t="s">
        <v>108</v>
      </c>
      <c r="F206" s="353">
        <f>SUM(F196,F204)</f>
        <v>4052.5567849516106</v>
      </c>
      <c r="G206" s="353">
        <f t="shared" ref="G206:L206" si="89">SUM(G196,G204)</f>
        <v>5314.1819976872794</v>
      </c>
      <c r="H206" s="353">
        <f t="shared" si="89"/>
        <v>5610.8211155832068</v>
      </c>
      <c r="I206" s="353">
        <f t="shared" si="89"/>
        <v>5325.9093087844522</v>
      </c>
      <c r="J206" s="353">
        <f t="shared" si="89"/>
        <v>6175.9275144297553</v>
      </c>
      <c r="K206" s="353">
        <f t="shared" si="89"/>
        <v>6583.198815266589</v>
      </c>
      <c r="L206" s="353">
        <f t="shared" si="89"/>
        <v>7009.0860073754702</v>
      </c>
    </row>
    <row r="207" spans="2:13">
      <c r="B207" s="9"/>
      <c r="F207" s="61"/>
    </row>
    <row r="209" spans="2:12" ht="18">
      <c r="C209" s="343"/>
      <c r="D209" s="7"/>
      <c r="E209" s="396" t="s">
        <v>384</v>
      </c>
      <c r="F209" s="7"/>
      <c r="G209" s="7"/>
      <c r="H209" s="7"/>
      <c r="I209" s="7"/>
      <c r="J209" s="343"/>
    </row>
    <row r="210" spans="2:12">
      <c r="B210" s="9"/>
    </row>
    <row r="211" spans="2:12" ht="16">
      <c r="B211"/>
      <c r="E211"/>
      <c r="F211" s="43" t="s">
        <v>1</v>
      </c>
      <c r="G211" s="43"/>
      <c r="H211" s="43"/>
      <c r="I211" s="43"/>
      <c r="J211" s="43"/>
      <c r="K211" s="43"/>
      <c r="L211" s="43"/>
    </row>
    <row r="212" spans="2:12">
      <c r="B212"/>
      <c r="E212"/>
      <c r="F212" s="350">
        <f>F175</f>
        <v>45657</v>
      </c>
      <c r="G212" s="350">
        <f t="shared" ref="G212:L212" si="90">G175</f>
        <v>46022</v>
      </c>
      <c r="H212" s="350">
        <f t="shared" si="90"/>
        <v>46387</v>
      </c>
      <c r="I212" s="350">
        <f t="shared" si="90"/>
        <v>46752</v>
      </c>
      <c r="J212" s="350">
        <f t="shared" si="90"/>
        <v>47118</v>
      </c>
      <c r="K212" s="350">
        <f t="shared" si="90"/>
        <v>47483</v>
      </c>
      <c r="L212" s="350">
        <f t="shared" si="90"/>
        <v>47848</v>
      </c>
    </row>
    <row r="213" spans="2:12">
      <c r="B213" s="299"/>
    </row>
    <row r="214" spans="2:12">
      <c r="B214" s="344" t="s">
        <v>324</v>
      </c>
      <c r="F214" s="9"/>
    </row>
    <row r="215" spans="2:12">
      <c r="B215" s="60" t="s">
        <v>80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</row>
    <row r="216" spans="2:12">
      <c r="B216" s="53" t="s">
        <v>81</v>
      </c>
      <c r="C216" s="345" t="s">
        <v>325</v>
      </c>
      <c r="D216" s="346"/>
      <c r="E216" s="347">
        <v>7</v>
      </c>
      <c r="F216" s="348">
        <f>IF(ISERROR(E158/E216),"NA", E158/E216)</f>
        <v>1709.7142857142858</v>
      </c>
      <c r="G216" s="348">
        <f>F216</f>
        <v>1709.7142857142858</v>
      </c>
      <c r="H216" s="348">
        <f>G216</f>
        <v>1709.7142857142858</v>
      </c>
      <c r="I216" s="348">
        <f>H216</f>
        <v>1709.7142857142858</v>
      </c>
      <c r="J216" s="348">
        <f>I216</f>
        <v>1709.7142857142858</v>
      </c>
      <c r="K216" s="348">
        <f t="shared" ref="K216:L216" si="91">J216</f>
        <v>1709.7142857142858</v>
      </c>
      <c r="L216" s="348">
        <f t="shared" si="91"/>
        <v>1709.7142857142858</v>
      </c>
    </row>
    <row r="217" spans="2:12">
      <c r="B217" s="53" t="s">
        <v>82</v>
      </c>
      <c r="C217" s="155"/>
      <c r="D217" s="155"/>
      <c r="E217" s="155"/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</row>
    <row r="218" spans="2:12">
      <c r="B218" s="9"/>
      <c r="C218" s="155"/>
      <c r="D218" s="155"/>
      <c r="E218" s="155"/>
      <c r="F218"/>
      <c r="G218" s="299"/>
      <c r="H218" s="299"/>
      <c r="I218" s="299"/>
      <c r="J218" s="299"/>
    </row>
    <row r="219" spans="2:12">
      <c r="B219" s="47" t="s">
        <v>326</v>
      </c>
      <c r="C219" s="155"/>
      <c r="D219" s="155"/>
      <c r="E219" s="155"/>
      <c r="F219"/>
      <c r="G219" s="299"/>
      <c r="H219" s="299"/>
      <c r="I219" s="299"/>
      <c r="J219" s="299"/>
    </row>
    <row r="220" spans="2:12">
      <c r="B220" s="47"/>
      <c r="C220" s="155"/>
      <c r="D220" s="155"/>
      <c r="E220" s="155"/>
      <c r="F220"/>
      <c r="G220" s="299"/>
      <c r="H220" s="299"/>
      <c r="I220" s="299"/>
      <c r="J220" s="299"/>
    </row>
    <row r="221" spans="2:12">
      <c r="B221" s="344" t="s">
        <v>327</v>
      </c>
      <c r="C221" s="299"/>
      <c r="D221" s="299"/>
      <c r="E221" s="4"/>
      <c r="F221"/>
      <c r="G221" s="299"/>
      <c r="H221" s="299"/>
      <c r="I221" s="299"/>
      <c r="J221" s="299"/>
    </row>
    <row r="222" spans="2:12">
      <c r="B222" s="53" t="s">
        <v>80</v>
      </c>
      <c r="C222" s="299"/>
      <c r="D222" s="299"/>
      <c r="E222" s="4"/>
      <c r="F222" s="21">
        <f t="shared" ref="F222:J224" si="92">MIN(F215,E155)</f>
        <v>0</v>
      </c>
      <c r="G222" s="21">
        <f t="shared" si="92"/>
        <v>0</v>
      </c>
      <c r="H222" s="21">
        <f t="shared" si="92"/>
        <v>0</v>
      </c>
      <c r="I222" s="21">
        <f t="shared" si="92"/>
        <v>0</v>
      </c>
      <c r="J222" s="21">
        <f t="shared" si="92"/>
        <v>0</v>
      </c>
      <c r="K222" s="21">
        <f t="shared" ref="K222:K224" si="93">MIN(K215,J155)</f>
        <v>0</v>
      </c>
      <c r="L222" s="21">
        <f t="shared" ref="L222:L224" si="94">MIN(L215,K155)</f>
        <v>0</v>
      </c>
    </row>
    <row r="223" spans="2:12">
      <c r="B223" s="53" t="s">
        <v>81</v>
      </c>
      <c r="C223"/>
      <c r="D223"/>
      <c r="E223"/>
      <c r="F223" s="21">
        <f>MIN(F216,E158)</f>
        <v>1709.7142857142858</v>
      </c>
      <c r="G223" s="21">
        <f t="shared" si="92"/>
        <v>1709.7142857142858</v>
      </c>
      <c r="H223" s="21">
        <f t="shared" si="92"/>
        <v>1709.7142857142858</v>
      </c>
      <c r="I223" s="21">
        <f t="shared" si="92"/>
        <v>1709.7142857142858</v>
      </c>
      <c r="J223" s="21">
        <f t="shared" si="92"/>
        <v>1709.7142857142858</v>
      </c>
      <c r="K223" s="21">
        <f t="shared" si="93"/>
        <v>1709.7142857142858</v>
      </c>
      <c r="L223" s="21">
        <f t="shared" si="94"/>
        <v>1709.7142857142858</v>
      </c>
    </row>
    <row r="224" spans="2:12">
      <c r="B224" s="53" t="s">
        <v>82</v>
      </c>
      <c r="C224" s="155"/>
      <c r="D224" s="155"/>
      <c r="E224" s="155"/>
      <c r="F224" s="21">
        <f t="shared" si="92"/>
        <v>0</v>
      </c>
      <c r="G224" s="21">
        <f t="shared" si="92"/>
        <v>0</v>
      </c>
      <c r="H224" s="21">
        <f t="shared" si="92"/>
        <v>0</v>
      </c>
      <c r="I224" s="21">
        <f t="shared" si="92"/>
        <v>0</v>
      </c>
      <c r="J224" s="21">
        <f t="shared" si="92"/>
        <v>0</v>
      </c>
      <c r="K224" s="21">
        <f t="shared" si="93"/>
        <v>0</v>
      </c>
      <c r="L224" s="21">
        <f t="shared" si="94"/>
        <v>0</v>
      </c>
    </row>
    <row r="225" spans="2:12" ht="16">
      <c r="B225" s="9"/>
      <c r="C225" s="155"/>
      <c r="D225" s="155"/>
      <c r="E225" s="155"/>
      <c r="F225" s="19" t="s">
        <v>17</v>
      </c>
      <c r="G225" s="19" t="s">
        <v>17</v>
      </c>
      <c r="H225" s="19" t="s">
        <v>17</v>
      </c>
      <c r="I225" s="19" t="s">
        <v>17</v>
      </c>
      <c r="J225" s="19" t="s">
        <v>17</v>
      </c>
      <c r="K225" s="19" t="s">
        <v>17</v>
      </c>
      <c r="L225" s="19" t="s">
        <v>17</v>
      </c>
    </row>
    <row r="226" spans="2:12">
      <c r="B226" s="9" t="s">
        <v>327</v>
      </c>
      <c r="C226" s="155"/>
      <c r="D226" s="155"/>
      <c r="E226" s="155"/>
      <c r="F226" s="21">
        <f>SUM(F222:F225)</f>
        <v>1709.7142857142858</v>
      </c>
      <c r="G226" s="21">
        <f>SUM(G222:G225)</f>
        <v>1709.7142857142858</v>
      </c>
      <c r="H226" s="21">
        <f>SUM(H222:H225)</f>
        <v>1709.7142857142858</v>
      </c>
      <c r="I226" s="21">
        <f>SUM(I222:I225)</f>
        <v>1709.7142857142858</v>
      </c>
      <c r="J226" s="21">
        <f>SUM(J222:J225)</f>
        <v>1709.7142857142858</v>
      </c>
      <c r="K226" s="21">
        <f t="shared" ref="K226:L226" si="95">SUM(K222:K225)</f>
        <v>1709.7142857142858</v>
      </c>
      <c r="L226" s="21">
        <f t="shared" si="95"/>
        <v>1709.7142857142858</v>
      </c>
    </row>
    <row r="227" spans="2:12">
      <c r="B227" s="9"/>
      <c r="C227" s="155"/>
      <c r="D227" s="155"/>
      <c r="E227" s="155"/>
      <c r="G227" s="155"/>
      <c r="H227" s="155"/>
      <c r="I227" s="155"/>
      <c r="J227" s="155"/>
    </row>
    <row r="228" spans="2:12" ht="16">
      <c r="B228" s="9"/>
      <c r="F228" s="19" t="s">
        <v>17</v>
      </c>
      <c r="G228" s="19" t="s">
        <v>17</v>
      </c>
      <c r="H228" s="19" t="s">
        <v>17</v>
      </c>
      <c r="I228" s="19" t="s">
        <v>17</v>
      </c>
      <c r="J228" s="19" t="s">
        <v>17</v>
      </c>
      <c r="K228" s="19" t="s">
        <v>17</v>
      </c>
      <c r="L228" s="19" t="s">
        <v>17</v>
      </c>
    </row>
    <row r="229" spans="2:12">
      <c r="B229" s="9" t="s">
        <v>328</v>
      </c>
      <c r="F229" s="21">
        <f t="shared" ref="F229:L229" si="96">SUM(F228:F228,F226)</f>
        <v>1709.7142857142858</v>
      </c>
      <c r="G229" s="21">
        <f t="shared" si="96"/>
        <v>1709.7142857142858</v>
      </c>
      <c r="H229" s="21">
        <f t="shared" si="96"/>
        <v>1709.7142857142858</v>
      </c>
      <c r="I229" s="21">
        <f t="shared" si="96"/>
        <v>1709.7142857142858</v>
      </c>
      <c r="J229" s="21">
        <f t="shared" si="96"/>
        <v>1709.7142857142858</v>
      </c>
      <c r="K229" s="21">
        <f t="shared" si="96"/>
        <v>1709.7142857142858</v>
      </c>
      <c r="L229" s="21">
        <f t="shared" si="96"/>
        <v>1709.7142857142858</v>
      </c>
    </row>
    <row r="230" spans="2:12">
      <c r="B230" s="9" t="s">
        <v>329</v>
      </c>
      <c r="F230" s="21">
        <f>MAX(F239-F229,0)</f>
        <v>5248.3167849516103</v>
      </c>
      <c r="G230" s="21">
        <f>MAX(G239-G229,0)</f>
        <v>5793.5823347182468</v>
      </c>
      <c r="H230" s="21">
        <f>MAX(H239-H229,0)</f>
        <v>6111.8284677805677</v>
      </c>
      <c r="I230" s="21">
        <f>MAX(I239-I229,0)</f>
        <v>5849.4389918306933</v>
      </c>
      <c r="J230" s="21">
        <f>MAX(J239-J229,0)</f>
        <v>6723.0255332130782</v>
      </c>
      <c r="K230" s="21">
        <f t="shared" ref="K230:L230" si="97">MAX(K239-K229,0)</f>
        <v>7154.929744895162</v>
      </c>
      <c r="L230" s="21">
        <f t="shared" si="97"/>
        <v>7606.5203288373268</v>
      </c>
    </row>
    <row r="231" spans="2:12" ht="16">
      <c r="B231" s="9"/>
      <c r="F231" s="19" t="s">
        <v>17</v>
      </c>
      <c r="G231" s="19" t="s">
        <v>17</v>
      </c>
      <c r="H231" s="19" t="s">
        <v>17</v>
      </c>
      <c r="I231" s="19" t="s">
        <v>17</v>
      </c>
      <c r="J231" s="19" t="s">
        <v>17</v>
      </c>
      <c r="K231" s="19" t="s">
        <v>17</v>
      </c>
      <c r="L231" s="19" t="s">
        <v>17</v>
      </c>
    </row>
    <row r="232" spans="2:12">
      <c r="B232" s="349" t="s">
        <v>330</v>
      </c>
      <c r="F232" s="27">
        <f>SUM(F229:F230)</f>
        <v>6958.0310706658966</v>
      </c>
      <c r="G232" s="27">
        <f>SUM(G229:G230)</f>
        <v>7503.296620432533</v>
      </c>
      <c r="H232" s="27">
        <f>SUM(H229:H230)</f>
        <v>7821.542753494854</v>
      </c>
      <c r="I232" s="27">
        <f>SUM(I229:I230)</f>
        <v>7559.1532775449796</v>
      </c>
      <c r="J232" s="27">
        <f>SUM(J229:J230)</f>
        <v>8432.7398189273645</v>
      </c>
      <c r="K232" s="27">
        <f t="shared" ref="K232:L232" si="98">SUM(K229:K230)</f>
        <v>8864.6440306094482</v>
      </c>
      <c r="L232" s="27">
        <f t="shared" si="98"/>
        <v>9316.234614551613</v>
      </c>
    </row>
    <row r="233" spans="2:12">
      <c r="B233" s="9"/>
      <c r="G233" s="155"/>
      <c r="H233" s="155"/>
      <c r="I233" s="155"/>
      <c r="J233" s="155"/>
      <c r="K233" s="155"/>
      <c r="L233" s="155"/>
    </row>
    <row r="234" spans="2:12">
      <c r="B234" s="47" t="s">
        <v>331</v>
      </c>
      <c r="G234" s="155"/>
      <c r="H234" s="155"/>
      <c r="I234" s="155"/>
      <c r="J234" s="155"/>
      <c r="K234" s="155"/>
      <c r="L234" s="155"/>
    </row>
    <row r="235" spans="2:12">
      <c r="B235" s="9"/>
      <c r="G235" s="155"/>
      <c r="H235" s="155"/>
      <c r="I235" s="155"/>
      <c r="J235" s="155"/>
      <c r="K235" s="155"/>
      <c r="L235" s="155"/>
    </row>
    <row r="236" spans="2:12">
      <c r="B236" s="9" t="s">
        <v>332</v>
      </c>
      <c r="F236" s="385">
        <f t="shared" ref="F236:L236" si="99">E126</f>
        <v>1195.7600000000002</v>
      </c>
      <c r="G236" s="385">
        <f t="shared" si="99"/>
        <v>479.40033703096742</v>
      </c>
      <c r="H236" s="385">
        <f t="shared" si="99"/>
        <v>501.00735219736134</v>
      </c>
      <c r="I236" s="385">
        <f t="shared" si="99"/>
        <v>523.52968304624164</v>
      </c>
      <c r="J236" s="385">
        <f t="shared" si="99"/>
        <v>547.09801878332291</v>
      </c>
      <c r="K236" s="385">
        <f t="shared" si="99"/>
        <v>571.73092962857299</v>
      </c>
      <c r="L236" s="385">
        <f t="shared" si="99"/>
        <v>597.43432146185614</v>
      </c>
    </row>
    <row r="237" spans="2:12">
      <c r="B237" s="9" t="s">
        <v>333</v>
      </c>
      <c r="F237" s="385">
        <f t="shared" ref="F237:L237" si="100">F196</f>
        <v>5762.2710706658963</v>
      </c>
      <c r="G237" s="385">
        <f t="shared" si="100"/>
        <v>7023.8962834015647</v>
      </c>
      <c r="H237" s="385">
        <f t="shared" si="100"/>
        <v>7320.5354012974922</v>
      </c>
      <c r="I237" s="385">
        <f t="shared" si="100"/>
        <v>7035.6235944987375</v>
      </c>
      <c r="J237" s="385">
        <f t="shared" si="100"/>
        <v>7885.6418001440416</v>
      </c>
      <c r="K237" s="385">
        <f t="shared" si="100"/>
        <v>8292.9131009808752</v>
      </c>
      <c r="L237" s="385">
        <f t="shared" si="100"/>
        <v>8718.8002930897565</v>
      </c>
    </row>
    <row r="238" spans="2:12" ht="16">
      <c r="B238" s="9"/>
      <c r="F238" s="19" t="s">
        <v>17</v>
      </c>
      <c r="G238" s="19" t="s">
        <v>17</v>
      </c>
      <c r="H238" s="19" t="s">
        <v>17</v>
      </c>
      <c r="I238" s="19" t="s">
        <v>17</v>
      </c>
      <c r="J238" s="19" t="s">
        <v>17</v>
      </c>
      <c r="K238" s="19" t="s">
        <v>17</v>
      </c>
      <c r="L238" s="19" t="s">
        <v>17</v>
      </c>
    </row>
    <row r="239" spans="2:12">
      <c r="B239" s="9" t="s">
        <v>334</v>
      </c>
      <c r="F239" s="21">
        <f>SUM(F236:F238)</f>
        <v>6958.0310706658966</v>
      </c>
      <c r="G239" s="21">
        <f>SUM(G236:G238)</f>
        <v>7503.2966204325321</v>
      </c>
      <c r="H239" s="21">
        <f>SUM(H236:H238)</f>
        <v>7821.542753494854</v>
      </c>
      <c r="I239" s="21">
        <f>SUM(I236:I238)</f>
        <v>7559.1532775449796</v>
      </c>
      <c r="J239" s="21">
        <f>SUM(J236:J238)</f>
        <v>8432.7398189273645</v>
      </c>
      <c r="K239" s="21">
        <f t="shared" ref="K239:L239" si="101">SUM(K236:K238)</f>
        <v>8864.6440306094482</v>
      </c>
      <c r="L239" s="21">
        <f t="shared" si="101"/>
        <v>9316.234614551613</v>
      </c>
    </row>
    <row r="240" spans="2:12">
      <c r="B240" s="9" t="s">
        <v>335</v>
      </c>
      <c r="F240" s="21">
        <f>MAX(F232-F239,0)</f>
        <v>0</v>
      </c>
      <c r="G240" s="21">
        <f t="shared" ref="G240:L240" si="102">MAX(G232-G239,0)</f>
        <v>9.0949470177292824E-13</v>
      </c>
      <c r="H240" s="21">
        <f t="shared" si="102"/>
        <v>0</v>
      </c>
      <c r="I240" s="21">
        <f t="shared" si="102"/>
        <v>0</v>
      </c>
      <c r="J240" s="21">
        <f t="shared" si="102"/>
        <v>0</v>
      </c>
      <c r="K240" s="21">
        <f t="shared" si="102"/>
        <v>0</v>
      </c>
      <c r="L240" s="21">
        <f t="shared" si="102"/>
        <v>0</v>
      </c>
    </row>
    <row r="241" spans="2:12" ht="16">
      <c r="B241" s="9"/>
      <c r="F241" s="19" t="s">
        <v>17</v>
      </c>
      <c r="G241" s="19" t="s">
        <v>17</v>
      </c>
      <c r="H241" s="19" t="s">
        <v>17</v>
      </c>
      <c r="I241" s="19" t="s">
        <v>17</v>
      </c>
      <c r="J241" s="19" t="s">
        <v>17</v>
      </c>
      <c r="K241" s="19" t="s">
        <v>17</v>
      </c>
      <c r="L241" s="19" t="s">
        <v>17</v>
      </c>
    </row>
    <row r="242" spans="2:12">
      <c r="B242" s="349" t="s">
        <v>336</v>
      </c>
      <c r="F242" s="2">
        <f>SUM(F239:F240)</f>
        <v>6958.0310706658966</v>
      </c>
      <c r="G242" s="2">
        <f t="shared" ref="G242:L242" si="103">SUM(G239:G240)</f>
        <v>7503.296620432533</v>
      </c>
      <c r="H242" s="2">
        <f t="shared" si="103"/>
        <v>7821.542753494854</v>
      </c>
      <c r="I242" s="2">
        <f t="shared" si="103"/>
        <v>7559.1532775449796</v>
      </c>
      <c r="J242" s="2">
        <f t="shared" si="103"/>
        <v>8432.7398189273645</v>
      </c>
      <c r="K242" s="2">
        <f t="shared" si="103"/>
        <v>8864.6440306094482</v>
      </c>
      <c r="L242" s="2">
        <f t="shared" si="103"/>
        <v>9316.234614551613</v>
      </c>
    </row>
    <row r="243" spans="2:12">
      <c r="B243" s="9"/>
      <c r="G243" s="155"/>
      <c r="H243" s="155"/>
      <c r="I243" s="155"/>
      <c r="J243" s="155"/>
      <c r="K243" s="155"/>
      <c r="L243" s="155"/>
    </row>
    <row r="244" spans="2:12">
      <c r="B244" s="9" t="s">
        <v>337</v>
      </c>
      <c r="F244" s="54">
        <f>ABS(F242-F232)</f>
        <v>0</v>
      </c>
      <c r="G244" s="54">
        <f>ABS(G242-G232)</f>
        <v>0</v>
      </c>
      <c r="H244" s="54">
        <f>ABS(H242-H232)</f>
        <v>0</v>
      </c>
      <c r="I244" s="54">
        <f>ABS(I242-I232)</f>
        <v>0</v>
      </c>
      <c r="J244" s="54">
        <f>ABS(J242-J232)</f>
        <v>0</v>
      </c>
      <c r="K244" s="54">
        <f t="shared" ref="K244:L244" si="104">ABS(K242-K232)</f>
        <v>0</v>
      </c>
      <c r="L244" s="54">
        <f t="shared" si="104"/>
        <v>0</v>
      </c>
    </row>
    <row r="245" spans="2:12">
      <c r="B245" s="9"/>
    </row>
    <row r="246" spans="2:12">
      <c r="B246" s="9"/>
    </row>
    <row r="247" spans="2:12">
      <c r="B247" s="9"/>
    </row>
    <row r="248" spans="2:12">
      <c r="B248" s="9"/>
      <c r="F248" s="61"/>
    </row>
    <row r="249" spans="2:12">
      <c r="B249" s="9"/>
      <c r="F249" s="61"/>
    </row>
    <row r="250" spans="2:12">
      <c r="B250" s="9"/>
      <c r="F250" s="61"/>
    </row>
    <row r="251" spans="2:12">
      <c r="B251" s="9"/>
      <c r="F251" s="61"/>
    </row>
    <row r="252" spans="2:12">
      <c r="B252" s="9"/>
      <c r="F252" s="61"/>
    </row>
    <row r="254" spans="2:12">
      <c r="B254" s="211" t="s">
        <v>186</v>
      </c>
      <c r="C254"/>
      <c r="D254"/>
      <c r="E254"/>
      <c r="F254"/>
      <c r="G254"/>
      <c r="H254"/>
      <c r="I254"/>
      <c r="J254"/>
      <c r="K254"/>
    </row>
    <row r="255" spans="2:12">
      <c r="B255"/>
      <c r="C255"/>
      <c r="D255"/>
      <c r="E255"/>
      <c r="F255"/>
      <c r="G255" s="198" t="s">
        <v>187</v>
      </c>
      <c r="H255" s="199"/>
      <c r="I255" s="200">
        <v>5.7000000000000002E-2</v>
      </c>
      <c r="J255" s="201"/>
      <c r="K255"/>
    </row>
    <row r="256" spans="2:12">
      <c r="B256" s="202" t="s">
        <v>188</v>
      </c>
      <c r="C256" s="203" t="s">
        <v>189</v>
      </c>
      <c r="D256"/>
      <c r="E256"/>
      <c r="F256"/>
      <c r="G256" s="235" t="s">
        <v>245</v>
      </c>
      <c r="H256" s="160"/>
      <c r="I256" s="255">
        <v>5.5E-2</v>
      </c>
      <c r="J256" s="201"/>
    </row>
    <row r="257" spans="2:14">
      <c r="B257" s="204" t="s">
        <v>190</v>
      </c>
      <c r="C257" s="206">
        <v>0.93</v>
      </c>
      <c r="D257"/>
      <c r="E257"/>
      <c r="F257"/>
      <c r="G257" s="235" t="s">
        <v>246</v>
      </c>
      <c r="H257" s="160"/>
      <c r="I257" s="205">
        <v>0.02</v>
      </c>
      <c r="J257"/>
    </row>
    <row r="258" spans="2:14">
      <c r="B258" s="204" t="s">
        <v>191</v>
      </c>
      <c r="C258" s="206">
        <v>1.2</v>
      </c>
      <c r="D258"/>
      <c r="E258"/>
      <c r="F258"/>
      <c r="G258" s="235" t="s">
        <v>244</v>
      </c>
      <c r="H258" s="160"/>
      <c r="I258" s="262">
        <f>I255+(I256*C262)</f>
        <v>0.1179125</v>
      </c>
      <c r="J258"/>
    </row>
    <row r="259" spans="2:14">
      <c r="B259" s="204" t="s">
        <v>192</v>
      </c>
      <c r="C259" s="206">
        <v>1.24</v>
      </c>
      <c r="D259"/>
      <c r="E259"/>
      <c r="F259"/>
      <c r="G259" s="204" t="s">
        <v>193</v>
      </c>
      <c r="H259" s="160"/>
      <c r="I259" s="253">
        <v>0.12</v>
      </c>
      <c r="J259" s="201"/>
    </row>
    <row r="260" spans="2:14">
      <c r="B260" s="208" t="s">
        <v>194</v>
      </c>
      <c r="C260" s="209">
        <v>1.06</v>
      </c>
      <c r="D260"/>
      <c r="E260"/>
      <c r="F260"/>
      <c r="G260" s="204" t="s">
        <v>195</v>
      </c>
      <c r="H260" s="160"/>
      <c r="I260" s="205">
        <v>5.8000000000000003E-2</v>
      </c>
      <c r="J260"/>
      <c r="K260"/>
    </row>
    <row r="261" spans="2:14">
      <c r="B261"/>
      <c r="C261"/>
      <c r="D261"/>
      <c r="E261"/>
      <c r="F261"/>
      <c r="G261" s="204" t="s">
        <v>196</v>
      </c>
      <c r="H261" s="160"/>
      <c r="I261" s="210">
        <v>0.34</v>
      </c>
      <c r="J261"/>
      <c r="K261"/>
    </row>
    <row r="262" spans="2:14" ht="16">
      <c r="B262" s="211" t="s">
        <v>197</v>
      </c>
      <c r="C262" s="212">
        <f>AVERAGE(C257:C260)</f>
        <v>1.1074999999999999</v>
      </c>
      <c r="D262" s="213"/>
      <c r="E262"/>
      <c r="F262"/>
      <c r="G262" s="204" t="s">
        <v>198</v>
      </c>
      <c r="H262" s="160"/>
      <c r="I262" s="160">
        <v>0.26</v>
      </c>
      <c r="J262"/>
      <c r="K262"/>
    </row>
    <row r="263" spans="2:14">
      <c r="B263"/>
      <c r="C263"/>
      <c r="D263"/>
      <c r="E263"/>
      <c r="F263"/>
      <c r="G263" s="208" t="s">
        <v>199</v>
      </c>
      <c r="H263" s="214"/>
      <c r="I263" s="214">
        <v>0.74</v>
      </c>
      <c r="J263"/>
      <c r="K263"/>
    </row>
    <row r="264" spans="2:14">
      <c r="B264" s="156"/>
      <c r="G264"/>
      <c r="H264"/>
      <c r="I264"/>
      <c r="J264"/>
      <c r="K264"/>
    </row>
    <row r="265" spans="2:14" ht="16">
      <c r="C265" s="259" t="s">
        <v>218</v>
      </c>
      <c r="D265" s="166" t="s">
        <v>222</v>
      </c>
      <c r="E265" s="166" t="s">
        <v>241</v>
      </c>
      <c r="F265" s="260"/>
      <c r="G265" s="215" t="s">
        <v>133</v>
      </c>
      <c r="H265" s="216"/>
      <c r="I265" s="254">
        <f>(I259*I263)+(I262*I260*(1-I261)) +I257</f>
        <v>0.11875279999999999</v>
      </c>
      <c r="J265"/>
      <c r="K265"/>
      <c r="L265" s="339"/>
      <c r="M265" s="340"/>
      <c r="N265" s="155"/>
    </row>
    <row r="266" spans="2:14">
      <c r="B266" s="166" t="s">
        <v>239</v>
      </c>
      <c r="C266" s="256">
        <v>0.1</v>
      </c>
      <c r="D266" s="257">
        <v>4.2999999999999997E-2</v>
      </c>
      <c r="E266" s="445">
        <f>0.25*C266 +(0.75*D266)</f>
        <v>5.7250000000000002E-2</v>
      </c>
      <c r="F266" s="446"/>
      <c r="L266" s="156"/>
    </row>
    <row r="267" spans="2:14">
      <c r="B267" s="259" t="s">
        <v>240</v>
      </c>
      <c r="C267" s="261">
        <v>0.08</v>
      </c>
      <c r="D267" s="258">
        <v>4.5999999999999999E-2</v>
      </c>
      <c r="E267" s="447">
        <f>0.25*C267 +(0.75*D267)</f>
        <v>5.4500000000000007E-2</v>
      </c>
      <c r="F267" s="448"/>
      <c r="L267" s="351"/>
    </row>
    <row r="270" spans="2:14" ht="18">
      <c r="B270" s="62" t="s">
        <v>110</v>
      </c>
      <c r="C270" s="63"/>
      <c r="D270" s="63"/>
      <c r="E270" s="63"/>
      <c r="F270" s="63"/>
      <c r="G270" s="63"/>
      <c r="H270" s="63"/>
      <c r="I270" s="63"/>
      <c r="J270" s="62"/>
      <c r="K270" s="63"/>
      <c r="L270" s="64"/>
    </row>
    <row r="271" spans="2:14" ht="20">
      <c r="B271" s="65"/>
      <c r="C271" s="66"/>
      <c r="D271" s="66"/>
      <c r="E271" s="67"/>
      <c r="F271" s="68" t="s">
        <v>1</v>
      </c>
      <c r="G271" s="68"/>
      <c r="H271" s="68"/>
      <c r="I271" s="68"/>
      <c r="J271" s="109"/>
      <c r="K271" s="108"/>
      <c r="L271" s="110"/>
    </row>
    <row r="272" spans="2:14">
      <c r="B272" s="69"/>
      <c r="C272" s="66"/>
      <c r="D272" s="66"/>
      <c r="E272" s="70" t="s">
        <v>139</v>
      </c>
      <c r="F272" s="111">
        <f t="shared" ref="F272:L272" si="105">F175</f>
        <v>45657</v>
      </c>
      <c r="G272" s="111">
        <f t="shared" si="105"/>
        <v>46022</v>
      </c>
      <c r="H272" s="111">
        <f t="shared" si="105"/>
        <v>46387</v>
      </c>
      <c r="I272" s="111">
        <f t="shared" si="105"/>
        <v>46752</v>
      </c>
      <c r="J272" s="111">
        <f t="shared" si="105"/>
        <v>47118</v>
      </c>
      <c r="K272" s="111">
        <f t="shared" si="105"/>
        <v>47483</v>
      </c>
      <c r="L272" s="245">
        <f t="shared" si="105"/>
        <v>47848</v>
      </c>
    </row>
    <row r="273" spans="2:12">
      <c r="B273" s="71"/>
      <c r="C273" s="72"/>
      <c r="D273" s="72"/>
      <c r="E273" s="73">
        <v>0</v>
      </c>
      <c r="F273" s="74">
        <f>E273+1</f>
        <v>1</v>
      </c>
      <c r="G273" s="74">
        <f>F273+1</f>
        <v>2</v>
      </c>
      <c r="H273" s="74">
        <f>G273+1</f>
        <v>3</v>
      </c>
      <c r="I273" s="74">
        <f>H273+1</f>
        <v>4</v>
      </c>
      <c r="J273" s="74">
        <f t="shared" ref="J273:L273" si="106">I273+1</f>
        <v>5</v>
      </c>
      <c r="K273" s="74">
        <f t="shared" si="106"/>
        <v>6</v>
      </c>
      <c r="L273" s="246">
        <f t="shared" si="106"/>
        <v>7</v>
      </c>
    </row>
    <row r="274" spans="2:12" ht="18">
      <c r="B274" s="75" t="s">
        <v>111</v>
      </c>
      <c r="C274" s="66"/>
      <c r="D274" s="66"/>
      <c r="E274" s="70"/>
      <c r="F274" s="70"/>
      <c r="G274" s="70"/>
      <c r="H274" s="70"/>
      <c r="I274" s="70"/>
      <c r="J274" s="108"/>
      <c r="K274" s="108"/>
      <c r="L274" s="110"/>
    </row>
    <row r="275" spans="2:12" ht="18">
      <c r="B275" s="76"/>
      <c r="C275" s="66"/>
      <c r="D275" s="66"/>
      <c r="E275" s="70"/>
      <c r="F275" s="70"/>
      <c r="G275" s="70"/>
      <c r="H275" s="70"/>
      <c r="I275" s="70"/>
      <c r="J275" s="108"/>
      <c r="K275" s="108"/>
      <c r="L275" s="110"/>
    </row>
    <row r="276" spans="2:12">
      <c r="B276" s="77" t="s">
        <v>112</v>
      </c>
      <c r="C276" s="78"/>
      <c r="D276" s="78"/>
      <c r="E276" s="78"/>
      <c r="F276" s="115">
        <f t="shared" ref="F276:L277" si="107">F72</f>
        <v>15176.469165000002</v>
      </c>
      <c r="G276" s="115">
        <f t="shared" si="107"/>
        <v>15859.410277424999</v>
      </c>
      <c r="H276" s="115">
        <f t="shared" si="107"/>
        <v>16573.083739909125</v>
      </c>
      <c r="I276" s="115">
        <f t="shared" si="107"/>
        <v>17318.872508205037</v>
      </c>
      <c r="J276" s="115">
        <f t="shared" si="107"/>
        <v>18098.221771074266</v>
      </c>
      <c r="K276" s="115">
        <f t="shared" si="107"/>
        <v>18912.641750772607</v>
      </c>
      <c r="L276" s="247">
        <f t="shared" si="107"/>
        <v>19763.710629557376</v>
      </c>
    </row>
    <row r="277" spans="2:12">
      <c r="B277" s="77" t="s">
        <v>113</v>
      </c>
      <c r="C277" s="78"/>
      <c r="D277" s="78"/>
      <c r="E277" s="78"/>
      <c r="F277" s="80">
        <f t="shared" si="107"/>
        <v>3174.4477049999996</v>
      </c>
      <c r="G277" s="80">
        <f t="shared" si="107"/>
        <v>3317.2978517249999</v>
      </c>
      <c r="H277" s="80">
        <f t="shared" si="107"/>
        <v>3466.5762550526251</v>
      </c>
      <c r="I277" s="80">
        <f t="shared" si="107"/>
        <v>3622.5721865299929</v>
      </c>
      <c r="J277" s="80">
        <f t="shared" si="107"/>
        <v>3785.587934923843</v>
      </c>
      <c r="K277" s="80">
        <f t="shared" si="107"/>
        <v>3955.9393919954159</v>
      </c>
      <c r="L277" s="248">
        <f t="shared" si="107"/>
        <v>4133.9566646352096</v>
      </c>
    </row>
    <row r="278" spans="2:12" ht="16">
      <c r="B278" s="77"/>
      <c r="C278" s="78"/>
      <c r="D278" s="78"/>
      <c r="E278" s="78"/>
      <c r="F278" s="81" t="s">
        <v>17</v>
      </c>
      <c r="G278" s="81" t="s">
        <v>17</v>
      </c>
      <c r="H278" s="81" t="s">
        <v>17</v>
      </c>
      <c r="I278" s="81" t="s">
        <v>17</v>
      </c>
      <c r="J278" s="81" t="s">
        <v>17</v>
      </c>
      <c r="K278" s="81" t="s">
        <v>17</v>
      </c>
      <c r="L278" s="249" t="s">
        <v>17</v>
      </c>
    </row>
    <row r="279" spans="2:12">
      <c r="B279" s="82" t="s">
        <v>114</v>
      </c>
      <c r="C279" s="83"/>
      <c r="D279" s="83"/>
      <c r="E279" s="83"/>
      <c r="F279" s="84">
        <f t="shared" ref="F279:L279" si="108">F75</f>
        <v>18350.916870000001</v>
      </c>
      <c r="G279" s="84">
        <f t="shared" si="108"/>
        <v>19176.70812915</v>
      </c>
      <c r="H279" s="84">
        <f t="shared" si="108"/>
        <v>20039.659994961752</v>
      </c>
      <c r="I279" s="84">
        <f t="shared" si="108"/>
        <v>20941.44469473503</v>
      </c>
      <c r="J279" s="84">
        <f t="shared" si="108"/>
        <v>21883.809705998108</v>
      </c>
      <c r="K279" s="84">
        <f t="shared" si="108"/>
        <v>22868.581142768024</v>
      </c>
      <c r="L279" s="250">
        <f t="shared" si="108"/>
        <v>23897.667294192586</v>
      </c>
    </row>
    <row r="280" spans="2:12">
      <c r="B280" s="77" t="s">
        <v>115</v>
      </c>
      <c r="C280" s="78"/>
      <c r="D280" s="78"/>
      <c r="E280" s="78"/>
      <c r="F280" s="80">
        <f t="shared" ref="F280:L280" si="109">-F38</f>
        <v>-6500</v>
      </c>
      <c r="G280" s="80">
        <f t="shared" si="109"/>
        <v>-6816.3654487499998</v>
      </c>
      <c r="H280" s="80">
        <f t="shared" si="109"/>
        <v>-7123.1018939437499</v>
      </c>
      <c r="I280" s="80">
        <f t="shared" si="109"/>
        <v>-7443.6414791712186</v>
      </c>
      <c r="J280" s="80">
        <f t="shared" si="109"/>
        <v>-7778.605345733924</v>
      </c>
      <c r="K280" s="80">
        <f t="shared" si="109"/>
        <v>-8128.6425862919514</v>
      </c>
      <c r="L280" s="248">
        <f t="shared" si="109"/>
        <v>-8494.4315026750883</v>
      </c>
    </row>
    <row r="281" spans="2:12" ht="16">
      <c r="B281" s="77"/>
      <c r="C281" s="78"/>
      <c r="D281" s="78"/>
      <c r="E281" s="78"/>
      <c r="F281" s="81" t="s">
        <v>17</v>
      </c>
      <c r="G281" s="81" t="s">
        <v>17</v>
      </c>
      <c r="H281" s="81" t="s">
        <v>17</v>
      </c>
      <c r="I281" s="81" t="s">
        <v>17</v>
      </c>
      <c r="J281" s="81" t="s">
        <v>17</v>
      </c>
      <c r="K281" s="81" t="s">
        <v>17</v>
      </c>
      <c r="L281" s="249" t="s">
        <v>17</v>
      </c>
    </row>
    <row r="282" spans="2:12">
      <c r="B282" s="82" t="s">
        <v>116</v>
      </c>
      <c r="C282" s="83"/>
      <c r="D282" s="83"/>
      <c r="E282" s="83"/>
      <c r="F282" s="84">
        <f t="shared" ref="F282:L282" si="110">SUM(F279:F281)</f>
        <v>11850.916870000001</v>
      </c>
      <c r="G282" s="84">
        <f t="shared" si="110"/>
        <v>12360.342680400001</v>
      </c>
      <c r="H282" s="84">
        <f t="shared" si="110"/>
        <v>12916.558101018003</v>
      </c>
      <c r="I282" s="84">
        <f t="shared" si="110"/>
        <v>13497.80321556381</v>
      </c>
      <c r="J282" s="84">
        <f t="shared" si="110"/>
        <v>14105.204360264184</v>
      </c>
      <c r="K282" s="84">
        <f t="shared" si="110"/>
        <v>14739.938556476072</v>
      </c>
      <c r="L282" s="250">
        <f t="shared" si="110"/>
        <v>15403.235791517498</v>
      </c>
    </row>
    <row r="283" spans="2:12">
      <c r="B283" s="77" t="s">
        <v>117</v>
      </c>
      <c r="C283" s="78"/>
      <c r="D283" s="85">
        <v>0.34</v>
      </c>
      <c r="E283" s="78"/>
      <c r="F283" s="80">
        <f t="shared" ref="F283:L283" si="111">F65</f>
        <v>-4712.6521515285722</v>
      </c>
      <c r="G283" s="80">
        <f t="shared" si="111"/>
        <v>-5021.2430465920334</v>
      </c>
      <c r="H283" s="80">
        <f t="shared" si="111"/>
        <v>-5234.6170699743898</v>
      </c>
      <c r="I283" s="80">
        <f t="shared" si="111"/>
        <v>-5151.0009844089527</v>
      </c>
      <c r="J283" s="80">
        <f t="shared" si="111"/>
        <v>-5654.7529749930709</v>
      </c>
      <c r="K283" s="80">
        <f t="shared" si="111"/>
        <v>-5933.2454651534727</v>
      </c>
      <c r="L283" s="248">
        <f t="shared" si="111"/>
        <v>-6224.2701173710939</v>
      </c>
    </row>
    <row r="284" spans="2:12">
      <c r="B284" s="77" t="s">
        <v>118</v>
      </c>
      <c r="C284" s="78"/>
      <c r="D284" s="78"/>
      <c r="E284" s="78"/>
      <c r="F284" s="80">
        <f t="shared" ref="F284:L284" si="112">F106</f>
        <v>-1010.2661049483886</v>
      </c>
      <c r="G284" s="80">
        <f t="shared" si="112"/>
        <v>-221.65497472267634</v>
      </c>
      <c r="H284" s="80">
        <f t="shared" si="112"/>
        <v>-231.6294485851995</v>
      </c>
      <c r="I284" s="80">
        <f t="shared" si="112"/>
        <v>-242.05277377153106</v>
      </c>
      <c r="J284" s="80">
        <f t="shared" si="112"/>
        <v>-252.94514859125047</v>
      </c>
      <c r="K284" s="80">
        <f t="shared" si="112"/>
        <v>-264.32768027786005</v>
      </c>
      <c r="L284" s="248">
        <f t="shared" si="112"/>
        <v>-276.22242589035523</v>
      </c>
    </row>
    <row r="285" spans="2:12" ht="16">
      <c r="B285" s="77"/>
      <c r="C285" s="78"/>
      <c r="D285" s="78"/>
      <c r="E285" s="78"/>
      <c r="F285" s="81" t="s">
        <v>17</v>
      </c>
      <c r="G285" s="81" t="s">
        <v>17</v>
      </c>
      <c r="H285" s="81" t="s">
        <v>17</v>
      </c>
      <c r="I285" s="81" t="s">
        <v>17</v>
      </c>
      <c r="J285" s="81" t="s">
        <v>17</v>
      </c>
      <c r="K285" s="81" t="s">
        <v>17</v>
      </c>
      <c r="L285" s="249" t="s">
        <v>17</v>
      </c>
    </row>
    <row r="286" spans="2:12">
      <c r="B286" s="82" t="s">
        <v>119</v>
      </c>
      <c r="C286" s="83"/>
      <c r="D286" s="83"/>
      <c r="E286" s="83"/>
      <c r="F286" s="84">
        <f>SUM(F282:F285)</f>
        <v>6127.9986135230401</v>
      </c>
      <c r="G286" s="84">
        <f t="shared" ref="G286:L286" si="113">SUM(G282:G285)</f>
        <v>7117.4446590852913</v>
      </c>
      <c r="H286" s="84">
        <f t="shared" si="113"/>
        <v>7450.3115824584138</v>
      </c>
      <c r="I286" s="84">
        <f t="shared" si="113"/>
        <v>8104.7494573833264</v>
      </c>
      <c r="J286" s="84">
        <f t="shared" si="113"/>
        <v>8197.5062366798629</v>
      </c>
      <c r="K286" s="84">
        <f t="shared" si="113"/>
        <v>8542.3654110447387</v>
      </c>
      <c r="L286" s="250">
        <f t="shared" si="113"/>
        <v>8902.7432482560489</v>
      </c>
    </row>
    <row r="287" spans="2:12" ht="18">
      <c r="B287" s="86"/>
      <c r="C287" s="78"/>
      <c r="D287" s="78"/>
      <c r="E287" s="78"/>
      <c r="F287" s="78"/>
      <c r="G287" s="78"/>
      <c r="H287" s="78"/>
      <c r="I287" s="78"/>
      <c r="J287" s="108"/>
      <c r="K287" s="108"/>
      <c r="L287" s="110"/>
    </row>
    <row r="288" spans="2:12" ht="18">
      <c r="B288" s="76" t="s">
        <v>120</v>
      </c>
      <c r="C288" s="66"/>
      <c r="D288" s="66"/>
      <c r="E288" s="70"/>
      <c r="F288" s="70"/>
      <c r="G288" s="70"/>
      <c r="H288" s="70"/>
      <c r="I288" s="70"/>
      <c r="J288" s="108"/>
      <c r="K288" s="108"/>
      <c r="L288" s="110"/>
    </row>
    <row r="289" spans="2:12" ht="18">
      <c r="B289" s="76"/>
      <c r="C289" s="66"/>
      <c r="D289" s="66"/>
      <c r="E289" s="70"/>
      <c r="F289" s="70"/>
      <c r="G289" s="70"/>
      <c r="H289" s="70"/>
      <c r="I289" s="70"/>
      <c r="J289" s="108"/>
      <c r="K289" s="108"/>
      <c r="L289" s="110"/>
    </row>
    <row r="290" spans="2:12" ht="18">
      <c r="B290" s="88" t="s">
        <v>121</v>
      </c>
      <c r="C290" s="66"/>
      <c r="D290" s="66"/>
      <c r="E290" s="70"/>
      <c r="F290" s="70"/>
      <c r="G290" s="70"/>
      <c r="H290" s="70"/>
      <c r="I290" s="70"/>
      <c r="J290" s="108"/>
      <c r="K290" s="108"/>
      <c r="L290" s="110"/>
    </row>
    <row r="291" spans="2:12" ht="18">
      <c r="B291" s="77" t="s">
        <v>122</v>
      </c>
      <c r="C291" s="78"/>
      <c r="D291" s="78"/>
      <c r="E291" s="78"/>
      <c r="F291" s="78"/>
      <c r="G291" s="78"/>
      <c r="H291" s="78"/>
      <c r="I291" s="78"/>
      <c r="J291" s="108"/>
      <c r="K291" s="108"/>
      <c r="L291" s="128">
        <v>0.03</v>
      </c>
    </row>
    <row r="292" spans="2:12" ht="18">
      <c r="B292" s="77" t="s">
        <v>123</v>
      </c>
      <c r="C292" s="78"/>
      <c r="D292" s="78"/>
      <c r="E292" s="78"/>
      <c r="F292" s="78"/>
      <c r="G292" s="78"/>
      <c r="H292" s="78"/>
      <c r="I292" s="78"/>
      <c r="J292" s="108"/>
      <c r="K292" s="108"/>
      <c r="L292" s="110">
        <f>L286*(1+L291)</f>
        <v>9169.8255457037303</v>
      </c>
    </row>
    <row r="293" spans="2:12" ht="18">
      <c r="B293" s="77" t="s">
        <v>124</v>
      </c>
      <c r="C293" s="78"/>
      <c r="D293" s="78"/>
      <c r="E293" s="78"/>
      <c r="F293" s="78"/>
      <c r="G293" s="78"/>
      <c r="H293" s="78"/>
      <c r="I293" s="78"/>
      <c r="J293" s="108"/>
      <c r="K293" s="108"/>
      <c r="L293" s="386">
        <f>I265</f>
        <v>0.11875279999999999</v>
      </c>
    </row>
    <row r="294" spans="2:12" ht="18">
      <c r="B294" s="77" t="s">
        <v>125</v>
      </c>
      <c r="C294" s="78"/>
      <c r="D294" s="78"/>
      <c r="E294" s="78"/>
      <c r="F294" s="78"/>
      <c r="G294" s="78"/>
      <c r="H294" s="78"/>
      <c r="I294" s="78"/>
      <c r="J294" s="108"/>
      <c r="K294" s="108"/>
      <c r="L294" s="110">
        <f>L292/(L293-L291)</f>
        <v>103318.71834695617</v>
      </c>
    </row>
    <row r="295" spans="2:12" ht="18">
      <c r="B295" s="77" t="s">
        <v>126</v>
      </c>
      <c r="C295" s="78"/>
      <c r="D295" s="78"/>
      <c r="E295" s="78"/>
      <c r="F295" s="78"/>
      <c r="G295" s="78"/>
      <c r="H295" s="78"/>
      <c r="I295" s="78"/>
      <c r="J295" s="108"/>
      <c r="K295" s="108"/>
      <c r="L295" s="110">
        <f>L294/L286</f>
        <v>11.605267664794802</v>
      </c>
    </row>
    <row r="296" spans="2:12" ht="18">
      <c r="B296" s="86"/>
      <c r="C296" s="78"/>
      <c r="D296" s="78"/>
      <c r="E296" s="78"/>
      <c r="F296" s="78"/>
      <c r="G296" s="78"/>
      <c r="H296" s="78"/>
      <c r="I296" s="78"/>
      <c r="J296" s="108"/>
      <c r="K296" s="108"/>
      <c r="L296" s="110"/>
    </row>
    <row r="297" spans="2:12" ht="18">
      <c r="B297" s="89" t="s">
        <v>127</v>
      </c>
      <c r="C297" s="78"/>
      <c r="D297" s="78"/>
      <c r="E297" s="78"/>
      <c r="F297" s="78"/>
      <c r="G297" s="78"/>
      <c r="H297" s="78"/>
      <c r="I297" s="78"/>
      <c r="J297" s="108"/>
      <c r="K297" s="108"/>
      <c r="L297" s="110"/>
    </row>
    <row r="298" spans="2:12" ht="18">
      <c r="B298" s="77" t="s">
        <v>119</v>
      </c>
      <c r="C298" s="78"/>
      <c r="D298" s="78"/>
      <c r="E298" s="78"/>
      <c r="F298" s="80"/>
      <c r="G298" s="80"/>
      <c r="H298" s="80"/>
      <c r="I298" s="80"/>
      <c r="J298" s="108"/>
      <c r="K298" s="108"/>
      <c r="L298" s="110"/>
    </row>
    <row r="299" spans="2:12">
      <c r="B299" s="77" t="s">
        <v>128</v>
      </c>
      <c r="C299" s="78"/>
      <c r="D299" s="78"/>
      <c r="E299" s="78"/>
      <c r="F299" s="80">
        <f t="shared" ref="F299:L299" si="114">F286/(1+$L$293)^F273</f>
        <v>5477.5269510145945</v>
      </c>
      <c r="G299" s="80">
        <f t="shared" si="114"/>
        <v>5686.6412167278559</v>
      </c>
      <c r="H299" s="80">
        <f t="shared" si="114"/>
        <v>5320.7399098118021</v>
      </c>
      <c r="I299" s="80">
        <f t="shared" si="114"/>
        <v>5173.7215699854642</v>
      </c>
      <c r="J299" s="80">
        <f t="shared" si="114"/>
        <v>4677.4707394639372</v>
      </c>
      <c r="K299" s="80">
        <f t="shared" si="114"/>
        <v>4356.8572763708171</v>
      </c>
      <c r="L299" s="248">
        <f t="shared" si="114"/>
        <v>4058.6808442440283</v>
      </c>
    </row>
    <row r="300" spans="2:12" ht="16">
      <c r="B300" s="86"/>
      <c r="C300" s="78"/>
      <c r="D300" s="78"/>
      <c r="E300" s="78"/>
      <c r="F300" s="81" t="s">
        <v>17</v>
      </c>
      <c r="G300" s="81" t="s">
        <v>17</v>
      </c>
      <c r="H300" s="81" t="s">
        <v>17</v>
      </c>
      <c r="I300" s="81" t="s">
        <v>17</v>
      </c>
      <c r="J300" s="81" t="s">
        <v>17</v>
      </c>
      <c r="K300" s="81" t="s">
        <v>17</v>
      </c>
      <c r="L300" s="248">
        <f>L294/(1+$L$293)^L273</f>
        <v>47102.077563427294</v>
      </c>
    </row>
    <row r="301" spans="2:12">
      <c r="B301" s="90" t="s">
        <v>129</v>
      </c>
      <c r="C301" s="91"/>
      <c r="D301" s="91"/>
      <c r="E301" s="92">
        <f>SUM(F301:L301)</f>
        <v>81853.716071045797</v>
      </c>
      <c r="F301" s="93">
        <f>F299</f>
        <v>5477.5269510145945</v>
      </c>
      <c r="G301" s="93">
        <f t="shared" ref="G301:K301" si="115">G299</f>
        <v>5686.6412167278559</v>
      </c>
      <c r="H301" s="93">
        <f t="shared" si="115"/>
        <v>5320.7399098118021</v>
      </c>
      <c r="I301" s="93">
        <f t="shared" si="115"/>
        <v>5173.7215699854642</v>
      </c>
      <c r="J301" s="93">
        <f t="shared" si="115"/>
        <v>4677.4707394639372</v>
      </c>
      <c r="K301" s="93">
        <f t="shared" si="115"/>
        <v>4356.8572763708171</v>
      </c>
      <c r="L301" s="251">
        <f>SUM(L299:L300)</f>
        <v>51160.758407671325</v>
      </c>
    </row>
    <row r="302" spans="2:12">
      <c r="B302" s="9"/>
      <c r="C302" s="13"/>
      <c r="D302" s="13"/>
      <c r="E302" s="13"/>
      <c r="F302" s="21"/>
      <c r="G302" s="21"/>
      <c r="H302" s="21"/>
      <c r="I302" s="21"/>
      <c r="J302" s="21"/>
      <c r="K302" s="13"/>
    </row>
    <row r="303" spans="2:12" ht="16">
      <c r="B303" s="94" t="s">
        <v>130</v>
      </c>
      <c r="C303" s="95"/>
      <c r="D303" s="95"/>
      <c r="E303" s="96"/>
      <c r="F303" s="13"/>
      <c r="G303" s="97" t="s">
        <v>131</v>
      </c>
      <c r="H303" s="98"/>
      <c r="I303" s="98"/>
      <c r="J303" s="99"/>
      <c r="K303" s="99"/>
      <c r="L303" s="99"/>
    </row>
    <row r="304" spans="2:12" ht="16">
      <c r="B304" s="77" t="s">
        <v>132</v>
      </c>
      <c r="C304" s="79">
        <f>E301</f>
        <v>81853.716071045797</v>
      </c>
      <c r="D304" s="100"/>
      <c r="E304" s="127"/>
      <c r="F304" s="101"/>
      <c r="G304" s="117" t="s">
        <v>141</v>
      </c>
      <c r="H304" s="97" t="s">
        <v>133</v>
      </c>
      <c r="I304" s="126"/>
      <c r="J304" s="99"/>
      <c r="K304" s="99"/>
      <c r="L304" s="99"/>
    </row>
    <row r="305" spans="2:12" ht="16">
      <c r="B305" s="77" t="s">
        <v>134</v>
      </c>
      <c r="C305" s="80">
        <f>-F158</f>
        <v>-14724.8</v>
      </c>
      <c r="D305" s="78"/>
      <c r="E305" s="87"/>
      <c r="F305" s="13"/>
      <c r="G305" s="119">
        <f>C309</f>
        <v>15.722864280948084</v>
      </c>
      <c r="H305" s="387">
        <f>I305-1%</f>
        <v>0.1</v>
      </c>
      <c r="I305" s="388">
        <f>J305-1%</f>
        <v>0.11</v>
      </c>
      <c r="J305" s="388">
        <v>0.12</v>
      </c>
      <c r="K305" s="388">
        <f>L293+1%</f>
        <v>0.1287528</v>
      </c>
      <c r="L305" s="394">
        <f>K305+1%</f>
        <v>0.13875280000000001</v>
      </c>
    </row>
    <row r="306" spans="2:12">
      <c r="B306" s="77" t="s">
        <v>140</v>
      </c>
      <c r="C306" s="102">
        <f>F126</f>
        <v>479.40033703096742</v>
      </c>
      <c r="D306" s="78"/>
      <c r="E306" s="87"/>
      <c r="F306" s="13"/>
      <c r="G306" s="116">
        <f>G307+1%</f>
        <v>0.04</v>
      </c>
      <c r="H306" s="118">
        <f t="dataTable" ref="H306:L309" dt2D="1" dtr="1" r1="L293" r2="L291"/>
        <v>23.723007663177555</v>
      </c>
      <c r="I306" s="103">
        <v>19.829554571377113</v>
      </c>
      <c r="J306" s="120">
        <v>16.910025273060935</v>
      </c>
      <c r="K306" s="120">
        <v>14.639764094732307</v>
      </c>
      <c r="L306" s="121">
        <v>11.33870865182724</v>
      </c>
    </row>
    <row r="307" spans="2:12">
      <c r="B307" s="77" t="s">
        <v>135</v>
      </c>
      <c r="C307" s="80">
        <f>SUM(C304:C306)</f>
        <v>67608.31640807676</v>
      </c>
      <c r="D307" s="78"/>
      <c r="E307" s="87"/>
      <c r="F307" s="13"/>
      <c r="G307" s="116">
        <f>3%</f>
        <v>0.03</v>
      </c>
      <c r="H307" s="103">
        <v>20.940412718768467</v>
      </c>
      <c r="I307" s="393">
        <v>17.85290586135574</v>
      </c>
      <c r="J307" s="392">
        <v>15.453175533584906</v>
      </c>
      <c r="K307" s="120">
        <v>13.534815121316885</v>
      </c>
      <c r="L307" s="121">
        <v>10.660607597292993</v>
      </c>
    </row>
    <row r="308" spans="2:12">
      <c r="B308" s="77" t="s">
        <v>136</v>
      </c>
      <c r="C308" s="104">
        <v>4300</v>
      </c>
      <c r="D308" s="78"/>
      <c r="E308" s="87"/>
      <c r="F308" s="13"/>
      <c r="G308" s="116">
        <f>G307-1%</f>
        <v>1.9999999999999997E-2</v>
      </c>
      <c r="H308" s="103">
        <v>18.853466510461644</v>
      </c>
      <c r="I308" s="103">
        <v>16.315512420228011</v>
      </c>
      <c r="J308" s="120">
        <v>14.287695742004082</v>
      </c>
      <c r="K308" s="120">
        <v>12.630765961249722</v>
      </c>
      <c r="L308" s="121">
        <v>10.086829781917862</v>
      </c>
    </row>
    <row r="309" spans="2:12">
      <c r="B309" s="185" t="s">
        <v>137</v>
      </c>
      <c r="C309" s="186">
        <f>C307/C308</f>
        <v>15.722864280948084</v>
      </c>
      <c r="D309" s="106">
        <f>C309/F69</f>
        <v>7.3904301685340776</v>
      </c>
      <c r="E309" s="107" t="s">
        <v>138</v>
      </c>
      <c r="F309" s="101"/>
      <c r="G309" s="112">
        <f>G307-2%</f>
        <v>9.9999999999999985E-3</v>
      </c>
      <c r="H309" s="122">
        <v>17.230286126223007</v>
      </c>
      <c r="I309" s="125">
        <v>15.085597667325823</v>
      </c>
      <c r="J309" s="124">
        <v>13.334121367074319</v>
      </c>
      <c r="K309" s="124">
        <v>11.877391661193752</v>
      </c>
      <c r="L309" s="123">
        <v>9.5950202258820347</v>
      </c>
    </row>
    <row r="311" spans="2:12">
      <c r="B311" s="166" t="s">
        <v>158</v>
      </c>
      <c r="C311" s="164">
        <v>2020</v>
      </c>
      <c r="D311" s="164">
        <f>C311+1</f>
        <v>2021</v>
      </c>
      <c r="E311" s="164">
        <f>D311+1</f>
        <v>2022</v>
      </c>
      <c r="F311" s="165">
        <f>E311+1</f>
        <v>2023</v>
      </c>
    </row>
    <row r="312" spans="2:12">
      <c r="B312" s="167" t="s">
        <v>163</v>
      </c>
      <c r="C312" s="2">
        <f>38405/5</f>
        <v>7681</v>
      </c>
      <c r="D312" s="2">
        <f>159147/5</f>
        <v>31829.4</v>
      </c>
      <c r="E312" s="2">
        <f>101704/5</f>
        <v>20340.8</v>
      </c>
      <c r="F312" s="157">
        <f>55554/5</f>
        <v>11110.8</v>
      </c>
    </row>
    <row r="313" spans="2:12">
      <c r="B313" s="167" t="s">
        <v>164</v>
      </c>
      <c r="C313" s="2">
        <f>26713/5</f>
        <v>5342.6</v>
      </c>
      <c r="D313" s="155">
        <f>121228/5</f>
        <v>24245.599999999999</v>
      </c>
      <c r="E313" s="155">
        <f>95924/5</f>
        <v>19184.8</v>
      </c>
      <c r="F313" s="157">
        <f>39940/5</f>
        <v>7988</v>
      </c>
      <c r="H313" s="156"/>
      <c r="I313" s="156"/>
      <c r="J313" s="156"/>
      <c r="K313" s="156"/>
    </row>
    <row r="314" spans="2:12">
      <c r="B314" s="167" t="s">
        <v>165</v>
      </c>
      <c r="C314" s="156">
        <f>18709/5</f>
        <v>3741.8</v>
      </c>
      <c r="D314" s="156">
        <f>73287/5</f>
        <v>14657.4</v>
      </c>
      <c r="E314" s="158">
        <f>34157/5</f>
        <v>6831.4</v>
      </c>
      <c r="F314" s="159">
        <f>27967/5</f>
        <v>5593.4</v>
      </c>
    </row>
    <row r="315" spans="2:12">
      <c r="B315" s="167" t="s">
        <v>161</v>
      </c>
      <c r="C315">
        <f>12.93/5</f>
        <v>2.5859999999999999</v>
      </c>
      <c r="D315">
        <f>29.6/5</f>
        <v>5.92</v>
      </c>
      <c r="E315">
        <f>19.08/5</f>
        <v>3.8159999999999998</v>
      </c>
      <c r="F315" s="160">
        <f>10.45/5</f>
        <v>2.09</v>
      </c>
    </row>
    <row r="316" spans="2:12">
      <c r="B316" s="167" t="s">
        <v>160</v>
      </c>
      <c r="C316" s="31">
        <f>2.41/5</f>
        <v>0.48200000000000004</v>
      </c>
      <c r="D316" s="31">
        <f>14.65/5</f>
        <v>2.93</v>
      </c>
      <c r="E316" s="31">
        <f>7.58/5</f>
        <v>1.516</v>
      </c>
      <c r="F316" s="161">
        <f>6.08/5</f>
        <v>1.216</v>
      </c>
    </row>
    <row r="317" spans="2:12">
      <c r="B317" s="167" t="s">
        <v>159</v>
      </c>
      <c r="C317" s="156">
        <v>6.77</v>
      </c>
      <c r="D317" s="156">
        <v>19.04</v>
      </c>
      <c r="E317" s="156">
        <v>6.11</v>
      </c>
      <c r="F317" s="159">
        <v>8.43</v>
      </c>
      <c r="G317" s="197" t="s">
        <v>185</v>
      </c>
      <c r="H317" s="55"/>
      <c r="I317" s="55"/>
    </row>
    <row r="318" spans="2:12">
      <c r="B318" s="167" t="s">
        <v>182</v>
      </c>
      <c r="C318" s="192">
        <f>C314/C313</f>
        <v>0.70037060607195001</v>
      </c>
      <c r="D318" s="192">
        <f t="shared" ref="D318:F318" si="116">D314/D313</f>
        <v>0.60453855544923618</v>
      </c>
      <c r="E318" s="192">
        <f t="shared" si="116"/>
        <v>0.35608398315332973</v>
      </c>
      <c r="F318" s="193">
        <f t="shared" si="116"/>
        <v>0.70022533800701048</v>
      </c>
      <c r="G318" s="196">
        <f>AVERAGE(C318:F318)</f>
        <v>0.59030462067038159</v>
      </c>
    </row>
    <row r="319" spans="2:12">
      <c r="B319" s="194" t="s">
        <v>183</v>
      </c>
      <c r="C319" s="195">
        <f>C314/C312</f>
        <v>0.48715011066267416</v>
      </c>
      <c r="D319" s="162">
        <f t="shared" ref="D319:F319" si="117">D314/D312</f>
        <v>0.46049878414296214</v>
      </c>
      <c r="E319" s="162">
        <f t="shared" si="117"/>
        <v>0.3358471643199874</v>
      </c>
      <c r="F319" s="163">
        <f t="shared" si="117"/>
        <v>0.50342009576268132</v>
      </c>
      <c r="G319" s="196">
        <f>AVERAGE(C319:F319)</f>
        <v>0.44672903872207625</v>
      </c>
    </row>
    <row r="320" spans="2:12">
      <c r="F320" s="156"/>
    </row>
    <row r="321" spans="2:20" ht="27" thickBot="1">
      <c r="B321" s="129" t="s">
        <v>166</v>
      </c>
      <c r="C321" s="130"/>
      <c r="D321" s="131"/>
      <c r="E321" s="131"/>
      <c r="F321" s="132"/>
      <c r="G321" s="131"/>
      <c r="H321" s="131"/>
      <c r="I321" s="131"/>
      <c r="J321" s="131"/>
      <c r="K321" s="131"/>
      <c r="L321" s="131"/>
    </row>
    <row r="322" spans="2:20" ht="14" thickTop="1"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</row>
    <row r="323" spans="2:20">
      <c r="B323" s="134" t="s">
        <v>142</v>
      </c>
      <c r="C323" s="135"/>
      <c r="D323" s="135"/>
      <c r="E323" s="133"/>
      <c r="F323" s="133"/>
      <c r="G323" s="133"/>
      <c r="H323" s="133"/>
      <c r="I323" s="133"/>
      <c r="J323" s="133"/>
      <c r="K323" s="133"/>
      <c r="L323" s="133"/>
    </row>
    <row r="324" spans="2:20">
      <c r="B324" s="135" t="s">
        <v>162</v>
      </c>
      <c r="C324" s="135"/>
      <c r="D324" s="136">
        <v>5593</v>
      </c>
      <c r="E324" s="133"/>
      <c r="F324" s="133" t="s">
        <v>237</v>
      </c>
      <c r="G324" s="133"/>
      <c r="H324" s="133"/>
      <c r="I324" s="133"/>
      <c r="J324" s="173">
        <v>0.06</v>
      </c>
      <c r="K324" s="133"/>
      <c r="L324" s="133"/>
    </row>
    <row r="325" spans="2:20">
      <c r="B325" s="135" t="s">
        <v>143</v>
      </c>
      <c r="C325" s="135"/>
      <c r="D325" s="170">
        <v>0.05</v>
      </c>
      <c r="E325" s="133"/>
      <c r="F325" s="133" t="s">
        <v>238</v>
      </c>
      <c r="G325" s="133"/>
      <c r="H325" s="133"/>
      <c r="I325" s="133"/>
      <c r="J325" s="252">
        <v>4.4999999999999998E-2</v>
      </c>
      <c r="K325" s="133"/>
      <c r="L325" s="133"/>
    </row>
    <row r="326" spans="2:20">
      <c r="B326" s="135" t="s">
        <v>144</v>
      </c>
      <c r="C326" s="135"/>
      <c r="D326" s="169">
        <f>I259+I257</f>
        <v>0.13999999999999999</v>
      </c>
      <c r="E326" s="133"/>
      <c r="F326" s="133" t="s">
        <v>242</v>
      </c>
      <c r="G326" s="133"/>
      <c r="H326" s="133"/>
      <c r="I326" s="133"/>
      <c r="J326" s="173">
        <v>0.05</v>
      </c>
      <c r="K326" s="133"/>
      <c r="L326" s="133"/>
    </row>
    <row r="327" spans="2:20">
      <c r="B327" s="135" t="s">
        <v>145</v>
      </c>
      <c r="C327" s="135"/>
      <c r="D327" s="135">
        <v>4300</v>
      </c>
      <c r="E327" s="133"/>
      <c r="F327" s="133" t="s">
        <v>236</v>
      </c>
      <c r="G327" s="133"/>
      <c r="H327" s="133"/>
      <c r="I327" s="133"/>
      <c r="J327" s="133"/>
      <c r="K327" s="133"/>
      <c r="L327" s="133"/>
    </row>
    <row r="328" spans="2:20">
      <c r="B328" s="135" t="s">
        <v>180</v>
      </c>
      <c r="C328" s="135"/>
      <c r="D328" s="137">
        <v>0.6</v>
      </c>
      <c r="E328" s="133"/>
      <c r="F328" s="133"/>
      <c r="G328" s="133"/>
      <c r="H328" s="133"/>
      <c r="J328" s="133"/>
      <c r="K328" s="133"/>
      <c r="L328" s="133"/>
    </row>
    <row r="329" spans="2:20">
      <c r="B329" s="133"/>
      <c r="C329" s="133"/>
      <c r="D329" s="133"/>
      <c r="E329" s="133"/>
      <c r="F329" s="155" t="s">
        <v>184</v>
      </c>
      <c r="J329" s="172">
        <v>0.05</v>
      </c>
      <c r="K329" s="133"/>
      <c r="L329" s="133"/>
      <c r="P329" s="155"/>
      <c r="T329" s="172"/>
    </row>
    <row r="330" spans="2:20">
      <c r="B330" s="133"/>
      <c r="C330" s="133"/>
      <c r="D330" s="133"/>
      <c r="E330" s="133"/>
      <c r="F330" s="155" t="s">
        <v>243</v>
      </c>
      <c r="J330" s="172">
        <v>2.1999999999999999E-2</v>
      </c>
      <c r="K330" s="133"/>
      <c r="L330" s="133"/>
      <c r="P330" s="155"/>
      <c r="T330" s="172"/>
    </row>
    <row r="331" spans="2:20" ht="14" thickBot="1">
      <c r="B331" s="129" t="s">
        <v>146</v>
      </c>
      <c r="C331" s="130"/>
      <c r="D331" s="131"/>
      <c r="E331" s="131"/>
      <c r="F331" s="132"/>
      <c r="G331" s="132"/>
      <c r="H331" s="132"/>
      <c r="I331" s="132"/>
      <c r="J331" s="132"/>
      <c r="K331" s="132"/>
      <c r="L331" s="132"/>
      <c r="S331" s="31"/>
    </row>
    <row r="332" spans="2:20" ht="14" thickTop="1"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</row>
    <row r="333" spans="2:20"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</row>
    <row r="334" spans="2:20"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</row>
    <row r="335" spans="2:20">
      <c r="B335" s="133"/>
      <c r="C335" s="133"/>
      <c r="D335" s="443" t="s">
        <v>179</v>
      </c>
      <c r="E335" s="443"/>
      <c r="F335" s="443"/>
      <c r="G335" s="443"/>
      <c r="H335" s="443"/>
      <c r="I335" s="443"/>
      <c r="J335" s="443"/>
      <c r="K335" s="443"/>
      <c r="L335" s="441"/>
    </row>
    <row r="336" spans="2:20">
      <c r="B336" s="133"/>
      <c r="C336" s="133"/>
      <c r="D336" s="443"/>
      <c r="E336" s="443"/>
      <c r="F336" s="443"/>
      <c r="G336" s="443"/>
      <c r="H336" s="443"/>
      <c r="I336" s="443"/>
      <c r="J336" s="443"/>
      <c r="K336" s="443"/>
      <c r="L336" s="442"/>
    </row>
    <row r="337" spans="2:16" ht="26">
      <c r="B337" s="138" t="s">
        <v>147</v>
      </c>
      <c r="C337" s="139" t="s">
        <v>167</v>
      </c>
      <c r="D337" s="140" t="s">
        <v>148</v>
      </c>
      <c r="E337" s="140" t="s">
        <v>149</v>
      </c>
      <c r="F337" s="140" t="s">
        <v>150</v>
      </c>
      <c r="G337" s="140" t="s">
        <v>151</v>
      </c>
      <c r="H337" s="140" t="s">
        <v>152</v>
      </c>
      <c r="I337" s="140" t="s">
        <v>168</v>
      </c>
      <c r="J337" s="140" t="s">
        <v>169</v>
      </c>
      <c r="K337" s="140" t="s">
        <v>170</v>
      </c>
      <c r="L337" s="171"/>
    </row>
    <row r="338" spans="2:16">
      <c r="B338" s="141" t="s">
        <v>153</v>
      </c>
      <c r="C338" s="142">
        <v>5593</v>
      </c>
      <c r="D338" s="143">
        <f t="shared" ref="D338:J338" si="118">$D$328*F67</f>
        <v>5488.8536823685718</v>
      </c>
      <c r="E338" s="143">
        <f t="shared" si="118"/>
        <v>5848.2713130895445</v>
      </c>
      <c r="F338" s="143">
        <f t="shared" si="118"/>
        <v>6096.7892932642899</v>
      </c>
      <c r="G338" s="143">
        <f t="shared" si="118"/>
        <v>5999.4011465468966</v>
      </c>
      <c r="H338" s="143">
        <f t="shared" si="118"/>
        <v>6586.1240532272232</v>
      </c>
      <c r="I338" s="143">
        <f t="shared" si="118"/>
        <v>6910.485894708162</v>
      </c>
      <c r="J338" s="143">
        <f t="shared" si="118"/>
        <v>7249.4440190557443</v>
      </c>
      <c r="K338" s="143">
        <f>J338*(1+D325)</f>
        <v>7611.916220008532</v>
      </c>
      <c r="L338" s="143"/>
      <c r="P338" s="32"/>
    </row>
    <row r="339" spans="2:16">
      <c r="B339" s="144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</row>
    <row r="340" spans="2:16">
      <c r="B340" s="145" t="s">
        <v>154</v>
      </c>
      <c r="C340" s="146"/>
      <c r="D340" s="146"/>
      <c r="E340" s="146"/>
      <c r="F340" s="146"/>
      <c r="G340" s="146"/>
      <c r="H340" s="133"/>
      <c r="I340" s="143"/>
      <c r="J340" s="188">
        <f>K338/(D326-D325)</f>
        <v>84576.84688898371</v>
      </c>
      <c r="K340" s="146"/>
      <c r="L340" s="133"/>
    </row>
    <row r="341" spans="2:16" ht="14" thickBot="1">
      <c r="B341" s="147" t="s">
        <v>155</v>
      </c>
      <c r="C341" s="148"/>
      <c r="D341" s="189">
        <f t="shared" ref="D341:G341" si="119">SUM(D338:D340)</f>
        <v>5488.8536823685718</v>
      </c>
      <c r="E341" s="189">
        <f t="shared" si="119"/>
        <v>5848.2713130895445</v>
      </c>
      <c r="F341" s="189">
        <f t="shared" si="119"/>
        <v>6096.7892932642899</v>
      </c>
      <c r="G341" s="189">
        <f t="shared" si="119"/>
        <v>5999.4011465468966</v>
      </c>
      <c r="H341" s="189">
        <f>SUM(H338:H340)</f>
        <v>6586.1240532272232</v>
      </c>
      <c r="I341" s="189">
        <f t="shared" ref="I341:J341" si="120">SUM(I338:I340)</f>
        <v>6910.485894708162</v>
      </c>
      <c r="J341" s="189">
        <f t="shared" si="120"/>
        <v>91826.29090803946</v>
      </c>
      <c r="K341" s="168">
        <v>0</v>
      </c>
      <c r="L341" s="151"/>
    </row>
    <row r="342" spans="2:16" ht="14" thickTop="1">
      <c r="B342" s="149" t="s">
        <v>156</v>
      </c>
      <c r="C342" s="150">
        <f>NPV(D326,D341:K341)</f>
        <v>60248.288913910052</v>
      </c>
      <c r="D342" s="151"/>
      <c r="E342" s="151"/>
      <c r="F342" s="151"/>
      <c r="G342" s="151"/>
      <c r="H342" s="151"/>
      <c r="I342" s="151"/>
      <c r="J342" s="151"/>
      <c r="K342" s="151"/>
      <c r="L342" s="151"/>
    </row>
    <row r="343" spans="2:16" ht="16">
      <c r="B343" s="151"/>
      <c r="C343" s="152"/>
      <c r="D343" s="151"/>
      <c r="E343" s="151"/>
      <c r="F343" s="180"/>
      <c r="G343" s="183" t="s">
        <v>178</v>
      </c>
      <c r="H343" s="181"/>
      <c r="I343" s="181"/>
      <c r="J343" s="181"/>
      <c r="K343" s="182"/>
      <c r="L343" s="151"/>
    </row>
    <row r="344" spans="2:16" ht="16">
      <c r="B344" s="143"/>
      <c r="C344" s="143"/>
      <c r="D344" s="151"/>
      <c r="E344" s="151"/>
      <c r="F344" s="176" t="s">
        <v>141</v>
      </c>
      <c r="G344" s="177" t="s">
        <v>144</v>
      </c>
      <c r="H344" s="178"/>
      <c r="I344" s="179"/>
      <c r="J344" s="179"/>
      <c r="K344" s="179"/>
      <c r="L344" s="151"/>
    </row>
    <row r="345" spans="2:16" ht="13" customHeight="1">
      <c r="B345" s="133"/>
      <c r="C345" s="174"/>
      <c r="D345" s="133"/>
      <c r="E345" s="133"/>
      <c r="F345" s="119">
        <f>C347</f>
        <v>14.011229979979081</v>
      </c>
      <c r="G345" s="105">
        <f>I345-2%</f>
        <v>0.12000000000000001</v>
      </c>
      <c r="H345" s="113">
        <f>I345-1%</f>
        <v>0.13</v>
      </c>
      <c r="I345" s="113">
        <v>0.14000000000000001</v>
      </c>
      <c r="J345" s="113">
        <f>I345+1%</f>
        <v>0.15000000000000002</v>
      </c>
      <c r="K345" s="114">
        <f>I345+2%</f>
        <v>0.16</v>
      </c>
      <c r="L345" s="133"/>
    </row>
    <row r="346" spans="2:16">
      <c r="B346" s="143"/>
      <c r="C346" s="175"/>
      <c r="D346" s="133"/>
      <c r="E346" s="133"/>
      <c r="F346" s="116">
        <f>F347+1%</f>
        <v>6.0000000000000005E-2</v>
      </c>
      <c r="G346" s="118">
        <f t="dataTable" ref="G346:K349" dt2D="1" dtr="1" r1="D326" r2="D325"/>
        <v>20.038770647619476</v>
      </c>
      <c r="H346" s="103">
        <v>17.204593621390629</v>
      </c>
      <c r="I346" s="120">
        <v>15.078009428709809</v>
      </c>
      <c r="J346" s="120">
        <v>13.423196491540441</v>
      </c>
      <c r="K346" s="121">
        <v>12.098659455828599</v>
      </c>
      <c r="L346" s="133"/>
    </row>
    <row r="347" spans="2:16">
      <c r="B347" s="184" t="s">
        <v>157</v>
      </c>
      <c r="C347" s="153">
        <f>C342/D327</f>
        <v>14.011229979979081</v>
      </c>
      <c r="D347" s="133"/>
      <c r="E347" s="154"/>
      <c r="F347" s="116">
        <f>5%</f>
        <v>0.05</v>
      </c>
      <c r="G347" s="103">
        <v>18.005108437604843</v>
      </c>
      <c r="H347" s="103">
        <v>15.758562775899829</v>
      </c>
      <c r="I347" s="392">
        <v>14.011229979979065</v>
      </c>
      <c r="J347" s="120">
        <v>12.613342562741012</v>
      </c>
      <c r="K347" s="121">
        <v>11.469594308203556</v>
      </c>
      <c r="L347" s="133"/>
    </row>
    <row r="348" spans="2:16">
      <c r="F348" s="116">
        <f>F347-1%</f>
        <v>0.04</v>
      </c>
      <c r="G348" s="103">
        <v>16.479861780093859</v>
      </c>
      <c r="H348" s="103">
        <v>14.633872118295876</v>
      </c>
      <c r="I348" s="120">
        <v>13.157806420994472</v>
      </c>
      <c r="J348" s="120">
        <v>11.95073480281421</v>
      </c>
      <c r="K348" s="121">
        <v>10.945373351849355</v>
      </c>
    </row>
    <row r="349" spans="2:16">
      <c r="F349" s="112">
        <f>F347-2%</f>
        <v>3.0000000000000002E-2</v>
      </c>
      <c r="G349" s="122">
        <v>15.293558824251992</v>
      </c>
      <c r="H349" s="125">
        <v>13.734119592212712</v>
      </c>
      <c r="I349" s="124">
        <v>12.459550781825259</v>
      </c>
      <c r="J349" s="124">
        <v>11.398561669541873</v>
      </c>
      <c r="K349" s="123">
        <v>10.501801773395798</v>
      </c>
    </row>
    <row r="350" spans="2:16">
      <c r="C350" s="444" t="s">
        <v>181</v>
      </c>
      <c r="D350" s="444"/>
      <c r="E350" s="155"/>
    </row>
    <row r="351" spans="2:16" ht="26">
      <c r="B351" s="138" t="s">
        <v>147</v>
      </c>
      <c r="C351" s="139" t="s">
        <v>167</v>
      </c>
      <c r="D351" s="140" t="s">
        <v>148</v>
      </c>
      <c r="E351" s="171"/>
    </row>
    <row r="352" spans="2:16">
      <c r="B352" s="141" t="s">
        <v>153</v>
      </c>
      <c r="C352" s="142">
        <v>5593</v>
      </c>
      <c r="D352" s="143">
        <f>C352*(1+3%)</f>
        <v>5760.79</v>
      </c>
      <c r="E352" s="190"/>
    </row>
    <row r="353" spans="2:9">
      <c r="B353" s="144"/>
      <c r="C353" s="143"/>
      <c r="D353" s="143"/>
      <c r="E353" s="190"/>
    </row>
    <row r="354" spans="2:9">
      <c r="B354" s="145" t="s">
        <v>154</v>
      </c>
      <c r="C354" s="146"/>
      <c r="D354" s="188">
        <f>D352/(D326-D325)</f>
        <v>64008.777777777788</v>
      </c>
      <c r="E354" s="146"/>
    </row>
    <row r="355" spans="2:9" ht="14" thickBot="1">
      <c r="B355" s="147" t="s">
        <v>155</v>
      </c>
      <c r="C355" s="148"/>
      <c r="D355" s="189">
        <f>D354</f>
        <v>64008.777777777788</v>
      </c>
      <c r="E355" s="191"/>
      <c r="H355" s="187"/>
    </row>
    <row r="356" spans="2:9" ht="14" thickTop="1">
      <c r="B356" s="149" t="s">
        <v>156</v>
      </c>
      <c r="C356" s="150">
        <f>NPV(D340,D355:K355)</f>
        <v>64008.777777777788</v>
      </c>
      <c r="D356" s="151"/>
      <c r="E356" s="151"/>
    </row>
    <row r="357" spans="2:9">
      <c r="H357" s="187"/>
    </row>
    <row r="361" spans="2:9">
      <c r="B361" s="184" t="s">
        <v>157</v>
      </c>
      <c r="C361" s="153">
        <f>C356/D327</f>
        <v>14.885762273901811</v>
      </c>
      <c r="D361" s="133"/>
      <c r="E361" s="154"/>
    </row>
    <row r="366" spans="2:9">
      <c r="B366" s="155"/>
      <c r="C366" s="155"/>
      <c r="D366" s="155"/>
      <c r="E366" s="155"/>
      <c r="F366" s="155"/>
      <c r="G366" s="155"/>
      <c r="H366" s="155"/>
      <c r="I366" s="155"/>
    </row>
    <row r="368" spans="2:9">
      <c r="B368" s="155"/>
      <c r="E368" s="155"/>
    </row>
    <row r="369" spans="2:2">
      <c r="B369" s="155"/>
    </row>
  </sheetData>
  <mergeCells count="5">
    <mergeCell ref="L335:L336"/>
    <mergeCell ref="D335:K336"/>
    <mergeCell ref="C350:D350"/>
    <mergeCell ref="E266:F266"/>
    <mergeCell ref="E267:F267"/>
  </mergeCells>
  <phoneticPr fontId="0" type="noConversion"/>
  <pageMargins left="0.75" right="0.75" top="1" bottom="1" header="0.5" footer="0.5"/>
  <pageSetup orientation="portrait"/>
  <headerFooter alignWithMargins="0"/>
  <ignoredErrors>
    <ignoredError sqref="F201:L201 F223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DD6E-98B2-2541-9BF1-D74915E84623}">
  <dimension ref="B1:X97"/>
  <sheetViews>
    <sheetView topLeftCell="A13" zoomScaleNormal="100" workbookViewId="0">
      <selection activeCell="B67" sqref="B67:E73"/>
    </sheetView>
  </sheetViews>
  <sheetFormatPr baseColWidth="10" defaultRowHeight="13"/>
  <cols>
    <col min="3" max="3" width="30.3984375" customWidth="1"/>
    <col min="4" max="5" width="12.796875" customWidth="1"/>
    <col min="6" max="7" width="14.19921875" customWidth="1"/>
    <col min="8" max="8" width="16" customWidth="1"/>
    <col min="9" max="10" width="12.3984375" customWidth="1"/>
    <col min="11" max="11" width="12.796875" customWidth="1"/>
    <col min="24" max="24" width="20.796875" bestFit="1" customWidth="1"/>
  </cols>
  <sheetData>
    <row r="1" spans="3:11" ht="14" thickBot="1"/>
    <row r="2" spans="3:11" ht="14" thickBot="1">
      <c r="C2" s="335" t="s">
        <v>250</v>
      </c>
      <c r="D2" s="336" t="s">
        <v>254</v>
      </c>
      <c r="E2" s="336" t="s">
        <v>253</v>
      </c>
      <c r="F2" s="337" t="s">
        <v>248</v>
      </c>
      <c r="G2" s="155"/>
      <c r="H2" s="155"/>
      <c r="I2" s="155"/>
      <c r="J2" s="155"/>
      <c r="K2" s="155"/>
    </row>
    <row r="3" spans="3:11">
      <c r="C3" s="328"/>
      <c r="D3" s="329"/>
      <c r="E3" s="329"/>
      <c r="F3" s="330"/>
      <c r="G3" s="2"/>
      <c r="H3" s="2"/>
      <c r="I3" s="2"/>
      <c r="J3" s="2"/>
      <c r="K3" s="2"/>
    </row>
    <row r="4" spans="3:11" ht="28">
      <c r="C4" s="333" t="s">
        <v>255</v>
      </c>
      <c r="D4" s="333" t="s">
        <v>247</v>
      </c>
      <c r="E4" s="334" t="s">
        <v>252</v>
      </c>
      <c r="F4" s="334" t="s">
        <v>251</v>
      </c>
      <c r="G4" s="263"/>
      <c r="H4" s="263"/>
      <c r="I4" s="263"/>
      <c r="J4" s="263"/>
      <c r="K4" s="263"/>
    </row>
    <row r="5" spans="3:11">
      <c r="C5" s="315"/>
      <c r="D5" s="316"/>
      <c r="E5" s="316"/>
      <c r="F5" s="317"/>
    </row>
    <row r="6" spans="3:11">
      <c r="C6" s="318" t="s">
        <v>256</v>
      </c>
      <c r="D6">
        <v>41.66</v>
      </c>
      <c r="E6">
        <v>54.04</v>
      </c>
      <c r="F6" s="319">
        <v>53.82</v>
      </c>
    </row>
    <row r="7" spans="3:11">
      <c r="C7" s="320" t="s">
        <v>257</v>
      </c>
      <c r="D7">
        <v>67000</v>
      </c>
      <c r="E7">
        <v>57000</v>
      </c>
      <c r="F7" s="319">
        <v>80000</v>
      </c>
    </row>
    <row r="8" spans="3:11">
      <c r="C8" s="321"/>
      <c r="F8" s="319"/>
    </row>
    <row r="9" spans="3:11" ht="14" thickBot="1">
      <c r="C9" s="331" t="s">
        <v>321</v>
      </c>
      <c r="D9" s="332"/>
      <c r="E9" s="332"/>
      <c r="F9" s="338"/>
    </row>
    <row r="10" spans="3:11">
      <c r="C10" s="318" t="s">
        <v>281</v>
      </c>
      <c r="D10">
        <v>7.11</v>
      </c>
      <c r="E10">
        <v>9.32</v>
      </c>
      <c r="F10" s="319">
        <v>11.7</v>
      </c>
    </row>
    <row r="11" spans="3:11">
      <c r="C11" s="318" t="s">
        <v>249</v>
      </c>
      <c r="D11">
        <v>1.33</v>
      </c>
      <c r="E11">
        <v>1.87</v>
      </c>
      <c r="F11" s="319">
        <v>3.49</v>
      </c>
    </row>
    <row r="12" spans="3:11">
      <c r="C12" s="318" t="s">
        <v>282</v>
      </c>
      <c r="D12">
        <v>3.65</v>
      </c>
      <c r="E12">
        <v>5.46</v>
      </c>
      <c r="F12" s="319">
        <v>6.74</v>
      </c>
    </row>
    <row r="13" spans="3:11">
      <c r="C13" s="321"/>
      <c r="F13" s="319"/>
    </row>
    <row r="14" spans="3:11" ht="14" thickBot="1">
      <c r="C14" s="331" t="s">
        <v>258</v>
      </c>
      <c r="D14" s="332"/>
      <c r="E14" s="332"/>
      <c r="F14" s="332"/>
    </row>
    <row r="15" spans="3:11">
      <c r="C15" s="318" t="s">
        <v>259</v>
      </c>
      <c r="D15">
        <v>1.28</v>
      </c>
      <c r="E15">
        <v>1.69</v>
      </c>
      <c r="F15" s="319">
        <v>1.57</v>
      </c>
    </row>
    <row r="16" spans="3:11">
      <c r="C16" s="318" t="s">
        <v>265</v>
      </c>
      <c r="D16">
        <v>0.96</v>
      </c>
      <c r="E16">
        <v>1.17</v>
      </c>
      <c r="F16" s="319">
        <v>1.22</v>
      </c>
    </row>
    <row r="17" spans="3:6">
      <c r="C17" s="321"/>
      <c r="F17" s="319"/>
    </row>
    <row r="18" spans="3:6" ht="14" thickBot="1">
      <c r="C18" s="331" t="s">
        <v>260</v>
      </c>
      <c r="D18" s="332"/>
      <c r="E18" s="332"/>
      <c r="F18" s="332"/>
    </row>
    <row r="19" spans="3:6">
      <c r="C19" s="318" t="s">
        <v>261</v>
      </c>
      <c r="D19" s="201">
        <v>0.39779999999999999</v>
      </c>
      <c r="E19" s="201">
        <v>0.25430000000000003</v>
      </c>
      <c r="F19" s="322">
        <v>0.26819999999999999</v>
      </c>
    </row>
    <row r="20" spans="3:6">
      <c r="C20" s="318" t="s">
        <v>262</v>
      </c>
      <c r="D20" s="201">
        <v>0.18579999999999999</v>
      </c>
      <c r="E20" s="201">
        <v>0.18049999999999999</v>
      </c>
      <c r="F20" s="322">
        <v>3.4000000000000002E-2</v>
      </c>
    </row>
    <row r="21" spans="3:6">
      <c r="C21" s="318" t="s">
        <v>263</v>
      </c>
      <c r="D21">
        <v>21.44</v>
      </c>
      <c r="E21" s="323">
        <v>0.1913</v>
      </c>
      <c r="F21" s="322">
        <v>0.17530000000000001</v>
      </c>
    </row>
    <row r="22" spans="3:6">
      <c r="C22" s="318" t="s">
        <v>264</v>
      </c>
      <c r="D22">
        <v>8.92</v>
      </c>
      <c r="E22" s="324">
        <v>0.1</v>
      </c>
      <c r="F22" s="322">
        <v>7.8399999999999997E-2</v>
      </c>
    </row>
    <row r="23" spans="3:6">
      <c r="C23" s="321"/>
      <c r="F23" s="319"/>
    </row>
    <row r="24" spans="3:6" ht="14" thickBot="1">
      <c r="C24" s="331" t="s">
        <v>266</v>
      </c>
      <c r="D24" s="332"/>
      <c r="E24" s="332"/>
      <c r="F24" s="332"/>
    </row>
    <row r="25" spans="3:6">
      <c r="C25" s="318" t="s">
        <v>320</v>
      </c>
      <c r="D25">
        <v>0.14000000000000001</v>
      </c>
      <c r="E25">
        <v>0.13</v>
      </c>
      <c r="F25" s="319">
        <v>0.2</v>
      </c>
    </row>
    <row r="26" spans="3:6">
      <c r="C26" s="318" t="s">
        <v>267</v>
      </c>
      <c r="D26">
        <v>0.35</v>
      </c>
      <c r="E26">
        <v>0.24</v>
      </c>
      <c r="F26" s="319">
        <v>0.54</v>
      </c>
    </row>
    <row r="27" spans="3:6">
      <c r="C27" s="321"/>
      <c r="F27" s="319"/>
    </row>
    <row r="28" spans="3:6" ht="14" thickBot="1">
      <c r="C28" s="331" t="s">
        <v>268</v>
      </c>
      <c r="D28" s="332"/>
      <c r="E28" s="332"/>
      <c r="F28" s="338"/>
    </row>
    <row r="29" spans="3:6">
      <c r="C29" s="318" t="s">
        <v>270</v>
      </c>
      <c r="D29">
        <v>5.34</v>
      </c>
      <c r="E29">
        <v>6.07</v>
      </c>
      <c r="F29" s="319">
        <v>7.09</v>
      </c>
    </row>
    <row r="30" spans="3:6">
      <c r="C30" s="325" t="s">
        <v>269</v>
      </c>
      <c r="D30" s="326">
        <v>0.46</v>
      </c>
      <c r="E30" s="326">
        <v>0.54</v>
      </c>
      <c r="F30" s="327">
        <v>0.59</v>
      </c>
    </row>
    <row r="34" spans="2:24">
      <c r="C34" s="306" t="s">
        <v>271</v>
      </c>
      <c r="D34" s="287"/>
      <c r="E34" s="450" t="s">
        <v>279</v>
      </c>
      <c r="F34" s="450"/>
      <c r="G34" s="450"/>
      <c r="H34" s="450"/>
      <c r="I34" s="450"/>
      <c r="J34" s="234"/>
      <c r="K34" s="287"/>
      <c r="L34" s="450" t="s">
        <v>313</v>
      </c>
      <c r="M34" s="450"/>
      <c r="N34" s="450"/>
      <c r="O34" s="450"/>
      <c r="P34" s="288"/>
      <c r="Q34" s="287"/>
    </row>
    <row r="35" spans="2:24">
      <c r="F35" s="451" t="s">
        <v>315</v>
      </c>
      <c r="G35" s="451"/>
      <c r="H35" s="451"/>
      <c r="I35" s="451"/>
      <c r="J35" s="451"/>
      <c r="K35" s="451"/>
      <c r="L35" s="451"/>
      <c r="M35" s="451"/>
      <c r="N35" s="451"/>
    </row>
    <row r="36" spans="2:24" ht="42">
      <c r="C36" s="294" t="s">
        <v>272</v>
      </c>
      <c r="D36" s="233" t="s">
        <v>273</v>
      </c>
      <c r="E36" s="295" t="s">
        <v>274</v>
      </c>
      <c r="F36" s="289" t="s">
        <v>275</v>
      </c>
      <c r="G36" s="233" t="s">
        <v>276</v>
      </c>
      <c r="H36" s="233" t="s">
        <v>277</v>
      </c>
      <c r="I36" s="289" t="s">
        <v>278</v>
      </c>
      <c r="K36" s="290" t="s">
        <v>312</v>
      </c>
      <c r="L36" s="233" t="s">
        <v>3</v>
      </c>
      <c r="M36" s="233" t="s">
        <v>10</v>
      </c>
      <c r="N36" s="233" t="s">
        <v>280</v>
      </c>
      <c r="O36" s="290" t="s">
        <v>310</v>
      </c>
      <c r="P36" s="290" t="s">
        <v>311</v>
      </c>
      <c r="Q36" s="289" t="s">
        <v>285</v>
      </c>
      <c r="R36" s="264"/>
    </row>
    <row r="37" spans="2:24">
      <c r="B37" s="449" t="s">
        <v>289</v>
      </c>
      <c r="C37" s="204"/>
      <c r="D37" s="206"/>
      <c r="I37" s="160"/>
      <c r="K37" s="198"/>
      <c r="L37" s="297"/>
      <c r="M37" s="297"/>
      <c r="N37" s="297"/>
      <c r="O37" s="297"/>
      <c r="P37" s="297"/>
      <c r="Q37" s="199"/>
    </row>
    <row r="38" spans="2:24" ht="13" customHeight="1">
      <c r="B38" s="449"/>
      <c r="C38" s="291" t="s">
        <v>247</v>
      </c>
      <c r="D38" s="167" t="s">
        <v>254</v>
      </c>
      <c r="E38">
        <v>12.18</v>
      </c>
      <c r="F38">
        <v>4.3</v>
      </c>
      <c r="G38" s="213">
        <f>E38*F38</f>
        <v>52.373999999999995</v>
      </c>
      <c r="H38">
        <v>16.2</v>
      </c>
      <c r="I38" s="160">
        <v>64.3</v>
      </c>
      <c r="K38" s="204">
        <v>3.544</v>
      </c>
      <c r="L38">
        <v>41.66</v>
      </c>
      <c r="M38">
        <v>17.440000000000001</v>
      </c>
      <c r="N38" s="213">
        <v>8</v>
      </c>
      <c r="O38" s="298">
        <f>7.36/4.3</f>
        <v>1.7116279069767444</v>
      </c>
      <c r="P38">
        <v>9.02</v>
      </c>
      <c r="Q38" s="205">
        <v>9.8599999999999993E-2</v>
      </c>
      <c r="R38" s="201"/>
      <c r="X38" s="201"/>
    </row>
    <row r="39" spans="2:24" ht="14">
      <c r="B39" s="449"/>
      <c r="C39" s="292" t="s">
        <v>252</v>
      </c>
      <c r="D39" s="167" t="s">
        <v>253</v>
      </c>
      <c r="E39">
        <v>63</v>
      </c>
      <c r="F39">
        <v>1.25</v>
      </c>
      <c r="G39" s="213">
        <f t="shared" ref="G39:G40" si="0">E39*F39</f>
        <v>78.75</v>
      </c>
      <c r="H39">
        <v>14.35</v>
      </c>
      <c r="I39" s="160">
        <v>114.78</v>
      </c>
      <c r="K39" s="204">
        <v>10.79</v>
      </c>
      <c r="L39">
        <v>54.04</v>
      </c>
      <c r="M39">
        <v>15.98</v>
      </c>
      <c r="N39">
        <v>10.06</v>
      </c>
      <c r="O39" s="299">
        <f>8.54/F39</f>
        <v>6.831999999999999</v>
      </c>
      <c r="P39" s="299">
        <v>32</v>
      </c>
      <c r="Q39" s="205">
        <v>7.1900000000000006E-2</v>
      </c>
      <c r="R39" s="201"/>
    </row>
    <row r="40" spans="2:24" ht="14">
      <c r="B40" s="449"/>
      <c r="C40" s="293" t="s">
        <v>251</v>
      </c>
      <c r="D40" s="296" t="s">
        <v>248</v>
      </c>
      <c r="E40" s="281">
        <v>57.04</v>
      </c>
      <c r="F40" s="281">
        <v>2.5299999999999998</v>
      </c>
      <c r="G40" s="280">
        <f t="shared" si="0"/>
        <v>144.31119999999999</v>
      </c>
      <c r="H40" s="281">
        <v>22.4</v>
      </c>
      <c r="I40" s="214">
        <v>163.16999999999999</v>
      </c>
      <c r="K40" s="208">
        <v>10.35</v>
      </c>
      <c r="L40" s="281">
        <v>53.82</v>
      </c>
      <c r="M40" s="281">
        <v>27.67</v>
      </c>
      <c r="N40" s="281">
        <v>12.92</v>
      </c>
      <c r="O40" s="281">
        <v>4.8849999999999998</v>
      </c>
      <c r="P40" s="281">
        <v>16.11</v>
      </c>
      <c r="Q40" s="300">
        <v>5.7500000000000002E-2</v>
      </c>
      <c r="R40" s="201"/>
    </row>
    <row r="41" spans="2:24">
      <c r="B41" s="268"/>
      <c r="C41" s="263"/>
      <c r="D41" s="155"/>
      <c r="G41" s="213"/>
      <c r="Q41" s="201"/>
      <c r="R41" s="201"/>
      <c r="V41" s="32"/>
    </row>
    <row r="42" spans="2:24">
      <c r="B42" s="268"/>
      <c r="C42" s="263"/>
      <c r="Q42" s="201"/>
      <c r="R42" s="201"/>
      <c r="V42" s="32"/>
    </row>
    <row r="43" spans="2:24">
      <c r="B43" s="268"/>
      <c r="C43" s="263"/>
      <c r="E43" s="450" t="s">
        <v>283</v>
      </c>
      <c r="F43" s="450"/>
      <c r="G43" s="450"/>
      <c r="H43" s="450"/>
      <c r="Q43" s="201"/>
      <c r="R43" s="201"/>
      <c r="V43" s="32"/>
    </row>
    <row r="44" spans="2:24">
      <c r="B44" s="268"/>
      <c r="C44" s="263"/>
      <c r="Q44" s="201"/>
      <c r="R44" s="201"/>
      <c r="V44" s="32"/>
    </row>
    <row r="45" spans="2:24" ht="14">
      <c r="B45" s="268"/>
      <c r="C45" s="294" t="s">
        <v>272</v>
      </c>
      <c r="D45" s="233" t="s">
        <v>273</v>
      </c>
      <c r="E45" s="233" t="s">
        <v>281</v>
      </c>
      <c r="F45" s="233" t="s">
        <v>249</v>
      </c>
      <c r="G45" s="233" t="s">
        <v>282</v>
      </c>
      <c r="H45" s="289" t="s">
        <v>284</v>
      </c>
      <c r="Q45" s="201"/>
      <c r="R45" s="201"/>
      <c r="V45" s="32"/>
    </row>
    <row r="46" spans="2:24">
      <c r="B46" s="268"/>
      <c r="C46" s="204"/>
      <c r="D46" s="206"/>
      <c r="E46" s="204"/>
      <c r="H46" s="160"/>
      <c r="Q46" s="201"/>
      <c r="R46" s="201"/>
      <c r="V46" s="32"/>
    </row>
    <row r="47" spans="2:24">
      <c r="B47" s="268"/>
      <c r="C47" s="291" t="s">
        <v>247</v>
      </c>
      <c r="D47" s="167" t="s">
        <v>254</v>
      </c>
      <c r="E47" s="204">
        <v>7.11</v>
      </c>
      <c r="F47">
        <v>1.33</v>
      </c>
      <c r="G47">
        <v>3.65</v>
      </c>
      <c r="H47" s="207">
        <f>(Q38/$H$57)</f>
        <v>1.2973684210526315</v>
      </c>
      <c r="Q47" s="201"/>
      <c r="R47" s="201"/>
      <c r="V47" s="32"/>
    </row>
    <row r="48" spans="2:24" ht="14">
      <c r="B48" s="268"/>
      <c r="C48" s="292" t="s">
        <v>252</v>
      </c>
      <c r="D48" s="167" t="s">
        <v>253</v>
      </c>
      <c r="E48" s="204">
        <v>9.32</v>
      </c>
      <c r="F48">
        <v>1.87</v>
      </c>
      <c r="G48">
        <v>5.46</v>
      </c>
      <c r="H48" s="207">
        <f>(Q39/$H$57)</f>
        <v>0.94605263157894748</v>
      </c>
      <c r="Q48" s="201"/>
      <c r="R48" s="201"/>
      <c r="V48" s="32"/>
    </row>
    <row r="49" spans="2:22" ht="14">
      <c r="B49" s="268"/>
      <c r="C49" s="293" t="s">
        <v>251</v>
      </c>
      <c r="D49" s="296" t="s">
        <v>248</v>
      </c>
      <c r="E49" s="208">
        <v>11.7</v>
      </c>
      <c r="F49" s="281">
        <v>3.49</v>
      </c>
      <c r="G49" s="281">
        <v>6.74</v>
      </c>
      <c r="H49" s="242">
        <f>(Q40/$H$57)</f>
        <v>0.75657894736842113</v>
      </c>
      <c r="Q49" s="201"/>
      <c r="R49" s="201"/>
      <c r="V49" s="32"/>
    </row>
    <row r="50" spans="2:22">
      <c r="B50" s="268"/>
      <c r="C50" s="263"/>
      <c r="D50" s="155"/>
      <c r="G50" s="213"/>
      <c r="Q50" s="201"/>
      <c r="R50" s="201"/>
      <c r="V50" s="32"/>
    </row>
    <row r="51" spans="2:22">
      <c r="B51" s="268"/>
      <c r="C51" s="263"/>
      <c r="D51" s="155"/>
      <c r="G51" s="213"/>
      <c r="Q51" s="201"/>
      <c r="R51" s="201"/>
      <c r="V51" s="32"/>
    </row>
    <row r="52" spans="2:22">
      <c r="B52" s="268"/>
      <c r="C52" s="263"/>
      <c r="D52" s="155"/>
      <c r="G52" s="213"/>
      <c r="Q52" s="201"/>
      <c r="R52" s="201"/>
      <c r="V52" s="32"/>
    </row>
    <row r="53" spans="2:22">
      <c r="B53" s="268"/>
      <c r="C53" s="263"/>
      <c r="D53" s="155"/>
      <c r="G53" s="213"/>
      <c r="Q53" s="201"/>
      <c r="R53" s="201"/>
      <c r="V53" s="32"/>
    </row>
    <row r="54" spans="2:22" ht="14">
      <c r="C54" s="307" t="s">
        <v>290</v>
      </c>
      <c r="D54" s="301"/>
      <c r="E54" s="309">
        <f>MIN(E47:E49)</f>
        <v>7.11</v>
      </c>
      <c r="F54" s="311">
        <f>MIN(F47:F49)</f>
        <v>1.33</v>
      </c>
      <c r="G54" s="301">
        <f>MIN(G47:G49)</f>
        <v>3.65</v>
      </c>
      <c r="H54" s="400">
        <f>MIN(Q38:Q40)</f>
        <v>5.7500000000000002E-2</v>
      </c>
      <c r="I54" s="235"/>
      <c r="K54" s="201"/>
      <c r="L54" s="201"/>
      <c r="M54" s="201"/>
      <c r="N54" s="201"/>
      <c r="O54" s="201"/>
      <c r="P54" s="201"/>
      <c r="R54" s="201"/>
      <c r="V54" s="313"/>
    </row>
    <row r="55" spans="2:22" ht="14">
      <c r="C55" s="308" t="s">
        <v>286</v>
      </c>
      <c r="D55" s="302"/>
      <c r="E55" s="310">
        <f>MAX(E47:E49)</f>
        <v>11.7</v>
      </c>
      <c r="F55" s="312">
        <f>MAX(F47:F49)</f>
        <v>3.49</v>
      </c>
      <c r="G55" s="302">
        <f>MAX(G47:G49)</f>
        <v>6.74</v>
      </c>
      <c r="H55" s="401">
        <f>MAX(Q38:Q40)</f>
        <v>9.8599999999999993E-2</v>
      </c>
      <c r="I55" s="204"/>
      <c r="K55" s="201"/>
      <c r="L55" s="201"/>
      <c r="M55" s="201"/>
      <c r="N55" s="201"/>
      <c r="O55" s="201"/>
      <c r="P55" s="201"/>
      <c r="R55" s="201"/>
      <c r="V55" s="313"/>
    </row>
    <row r="56" spans="2:22" ht="14">
      <c r="C56" s="308" t="s">
        <v>287</v>
      </c>
      <c r="D56" s="302"/>
      <c r="E56" s="310">
        <f>MEDIAN(E47:E49)</f>
        <v>9.32</v>
      </c>
      <c r="F56" s="312">
        <f>MEDIAN(F47:F49)</f>
        <v>1.87</v>
      </c>
      <c r="G56" s="302">
        <f>MEDIAN(G47:G49)</f>
        <v>5.46</v>
      </c>
      <c r="H56" s="401">
        <f>MEDIAN(Q38:Q40)</f>
        <v>7.1900000000000006E-2</v>
      </c>
      <c r="I56" s="204"/>
      <c r="K56" s="201"/>
      <c r="L56" s="201"/>
      <c r="M56" s="201"/>
      <c r="N56" s="201"/>
      <c r="O56" s="201"/>
      <c r="P56" s="201"/>
      <c r="R56" s="201"/>
      <c r="V56" s="313"/>
    </row>
    <row r="57" spans="2:22" ht="14">
      <c r="C57" s="361" t="s">
        <v>288</v>
      </c>
      <c r="D57" s="362"/>
      <c r="E57" s="397">
        <f>AVERAGE(E47:E49)</f>
        <v>9.3766666666666669</v>
      </c>
      <c r="F57" s="363">
        <f>AVERAGE(F47:F49)</f>
        <v>2.23</v>
      </c>
      <c r="G57" s="364">
        <f>AVERAGE(G47:G49)</f>
        <v>5.2833333333333332</v>
      </c>
      <c r="H57" s="402">
        <f>AVERAGE(Q38:Q40)</f>
        <v>7.5999999999999998E-2</v>
      </c>
      <c r="I57" s="204"/>
      <c r="K57" s="201"/>
      <c r="L57" s="201"/>
      <c r="M57" s="201"/>
      <c r="N57" s="201"/>
      <c r="O57" s="201"/>
      <c r="P57" s="201"/>
      <c r="R57" s="398"/>
      <c r="V57" s="314"/>
    </row>
    <row r="58" spans="2:22" ht="14">
      <c r="C58" s="360" t="s">
        <v>340</v>
      </c>
      <c r="D58" s="303"/>
      <c r="E58" s="365">
        <f>(1.05125* E57) - 1.508</f>
        <v>8.3492208333333338</v>
      </c>
      <c r="F58" s="366">
        <f>(0.6555 * F57) + 0.2944</f>
        <v>1.756165</v>
      </c>
      <c r="G58" s="367">
        <f xml:space="preserve"> ( 1.2332 * G57) - 2.1</f>
        <v>4.4154066666666676</v>
      </c>
      <c r="H58" s="403"/>
      <c r="I58" s="204"/>
      <c r="J58" s="399"/>
    </row>
    <row r="59" spans="2:22">
      <c r="E59" s="155"/>
      <c r="F59" s="155"/>
      <c r="G59" s="155"/>
      <c r="H59" s="155"/>
    </row>
    <row r="61" spans="2:22" ht="14">
      <c r="C61" s="304" t="s">
        <v>316</v>
      </c>
      <c r="D61" s="305" t="s">
        <v>157</v>
      </c>
      <c r="F61" s="299"/>
    </row>
    <row r="62" spans="2:22">
      <c r="C62" s="305" t="s">
        <v>281</v>
      </c>
      <c r="D62" s="354">
        <f>O38*E58</f>
        <v>14.290759379844964</v>
      </c>
    </row>
    <row r="63" spans="2:22">
      <c r="C63" s="305" t="s">
        <v>249</v>
      </c>
      <c r="D63" s="354">
        <f>P38*F58</f>
        <v>15.8406083</v>
      </c>
    </row>
    <row r="64" spans="2:22">
      <c r="C64" s="305" t="s">
        <v>282</v>
      </c>
      <c r="D64" s="354">
        <f>((M38*G58)-H38+K38)/F38</f>
        <v>14.964812155038766</v>
      </c>
    </row>
    <row r="65" spans="3:18">
      <c r="C65" s="305" t="s">
        <v>314</v>
      </c>
      <c r="D65" s="354">
        <f>E38*H47</f>
        <v>15.801947368421052</v>
      </c>
    </row>
    <row r="66" spans="3:18">
      <c r="D66" s="213"/>
    </row>
    <row r="67" spans="3:18" ht="16">
      <c r="C67" s="299" t="s">
        <v>317</v>
      </c>
      <c r="D67" s="213">
        <f>'modelling and valuation'!C309</f>
        <v>15.722864280948084</v>
      </c>
      <c r="F67" s="5"/>
      <c r="G67" s="404"/>
      <c r="H67" s="404"/>
      <c r="I67" s="404"/>
      <c r="J67" s="404"/>
      <c r="K67" s="404"/>
      <c r="M67" s="405"/>
      <c r="N67" s="406"/>
      <c r="O67" s="404"/>
      <c r="P67" s="404"/>
      <c r="Q67" s="404"/>
      <c r="R67" s="404"/>
    </row>
    <row r="68" spans="3:18" ht="16">
      <c r="C68" s="299" t="s">
        <v>319</v>
      </c>
      <c r="D68" s="213">
        <f>'modelling and valuation'!C347</f>
        <v>14.011229979979081</v>
      </c>
      <c r="F68" s="5"/>
      <c r="G68" s="5"/>
      <c r="H68" s="6"/>
      <c r="I68" s="404"/>
      <c r="J68" s="404"/>
      <c r="K68" s="404"/>
      <c r="M68" s="5"/>
      <c r="N68" s="5"/>
      <c r="O68" s="6"/>
      <c r="P68" s="404"/>
      <c r="Q68" s="404"/>
      <c r="R68" s="404"/>
    </row>
    <row r="69" spans="3:18" ht="16">
      <c r="C69" s="299" t="s">
        <v>318</v>
      </c>
      <c r="D69" s="213">
        <f>'modelling and valuation'!C361</f>
        <v>14.885762273901811</v>
      </c>
      <c r="F69" s="407"/>
      <c r="G69" s="408"/>
      <c r="H69" s="408"/>
      <c r="I69" s="408"/>
      <c r="J69" s="408"/>
      <c r="K69" s="408"/>
      <c r="M69" s="407"/>
      <c r="N69" s="408"/>
      <c r="O69" s="408"/>
      <c r="P69" s="408"/>
      <c r="Q69" s="408"/>
      <c r="R69" s="408"/>
    </row>
    <row r="70" spans="3:18">
      <c r="F70" s="408"/>
      <c r="G70" s="409"/>
      <c r="H70" s="213"/>
      <c r="I70" s="410"/>
      <c r="J70" s="410"/>
      <c r="K70" s="410"/>
      <c r="M70" s="408"/>
      <c r="N70" s="409"/>
      <c r="O70" s="213"/>
      <c r="P70" s="410"/>
      <c r="Q70" s="410"/>
      <c r="R70" s="410"/>
    </row>
    <row r="71" spans="3:18">
      <c r="C71" s="299" t="s">
        <v>338</v>
      </c>
      <c r="D71" s="213" t="e">
        <f>AVERAGE(I79:I81)</f>
        <v>#DIV/0!</v>
      </c>
      <c r="F71" s="408"/>
      <c r="G71" s="213"/>
      <c r="H71" s="411"/>
      <c r="I71" s="410"/>
      <c r="J71" s="410"/>
      <c r="K71" s="410"/>
      <c r="M71" s="408"/>
      <c r="N71" s="213"/>
      <c r="O71" s="213"/>
      <c r="P71" s="410"/>
      <c r="Q71" s="410"/>
      <c r="R71" s="410"/>
    </row>
    <row r="72" spans="3:18">
      <c r="C72" s="299" t="s">
        <v>339</v>
      </c>
      <c r="D72" s="213" t="e">
        <f>AVERAGE(I85:I87)</f>
        <v>#DIV/0!</v>
      </c>
      <c r="F72" s="408"/>
      <c r="G72" s="213"/>
      <c r="H72" s="213"/>
      <c r="I72" s="410"/>
      <c r="J72" s="410"/>
      <c r="K72" s="410"/>
      <c r="M72" s="408"/>
      <c r="N72" s="213"/>
      <c r="O72" s="213"/>
      <c r="P72" s="410"/>
      <c r="Q72" s="410"/>
      <c r="R72" s="410"/>
    </row>
    <row r="73" spans="3:18">
      <c r="F73" s="408"/>
      <c r="G73" s="389"/>
      <c r="H73" s="390"/>
      <c r="I73" s="391"/>
      <c r="J73" s="391"/>
      <c r="K73" s="391"/>
      <c r="M73" s="408"/>
      <c r="N73" s="389"/>
      <c r="O73" s="390"/>
      <c r="P73" s="391"/>
      <c r="Q73" s="391"/>
      <c r="R73" s="391"/>
    </row>
    <row r="75" spans="3:18">
      <c r="G75" s="213"/>
    </row>
    <row r="76" spans="3:18">
      <c r="G76" s="437"/>
      <c r="H76" s="437"/>
      <c r="I76" s="437"/>
      <c r="J76" s="437"/>
      <c r="K76" s="437"/>
      <c r="L76" s="234"/>
    </row>
    <row r="77" spans="3:18">
      <c r="C77" s="299"/>
      <c r="G77" s="437"/>
      <c r="H77" s="437"/>
      <c r="I77" s="437"/>
      <c r="J77" s="437"/>
      <c r="K77" s="437"/>
    </row>
    <row r="78" spans="3:18">
      <c r="C78" s="299"/>
      <c r="G78" s="299"/>
      <c r="H78" s="299"/>
      <c r="I78" s="299"/>
      <c r="J78" s="299"/>
      <c r="K78" s="299"/>
      <c r="L78" s="299"/>
    </row>
    <row r="79" spans="3:18">
      <c r="G79" s="412"/>
      <c r="H79" s="412"/>
    </row>
    <row r="80" spans="3:18">
      <c r="G80" s="412"/>
      <c r="H80" s="412"/>
    </row>
    <row r="81" spans="7:11">
      <c r="G81" s="412"/>
      <c r="H81" s="412"/>
      <c r="J81" s="413"/>
      <c r="K81" s="299"/>
    </row>
    <row r="82" spans="7:11">
      <c r="G82" s="412"/>
      <c r="H82" s="412"/>
    </row>
    <row r="83" spans="7:11">
      <c r="G83" s="437"/>
      <c r="H83" s="437"/>
      <c r="I83" s="437"/>
      <c r="J83" s="437"/>
      <c r="K83" s="437"/>
    </row>
    <row r="84" spans="7:11">
      <c r="G84" s="299"/>
      <c r="H84" s="299"/>
      <c r="I84" s="299"/>
      <c r="J84" s="299"/>
      <c r="K84" s="299"/>
    </row>
    <row r="85" spans="7:11">
      <c r="G85" s="412"/>
      <c r="H85" s="412"/>
    </row>
    <row r="86" spans="7:11">
      <c r="G86" s="412"/>
      <c r="H86" s="412"/>
    </row>
    <row r="87" spans="7:11">
      <c r="G87" s="412"/>
      <c r="H87" s="412"/>
    </row>
    <row r="89" spans="7:11">
      <c r="H89" s="299"/>
      <c r="I89" s="299"/>
      <c r="J89" s="299"/>
      <c r="K89" s="299"/>
    </row>
    <row r="90" spans="7:11">
      <c r="G90" s="414"/>
      <c r="J90" s="213"/>
    </row>
    <row r="92" spans="7:11">
      <c r="H92" s="299"/>
      <c r="J92" s="299"/>
      <c r="K92" s="299"/>
    </row>
    <row r="93" spans="7:11">
      <c r="H93" s="437"/>
      <c r="I93" s="437"/>
      <c r="J93" s="299"/>
      <c r="K93" s="213"/>
    </row>
    <row r="94" spans="7:11">
      <c r="H94" s="437"/>
      <c r="I94" s="437"/>
      <c r="J94" s="299"/>
    </row>
    <row r="97" spans="6:8">
      <c r="F97" s="437"/>
      <c r="G97" s="452"/>
      <c r="H97" s="213"/>
    </row>
  </sheetData>
  <mergeCells count="11">
    <mergeCell ref="G76:K76"/>
    <mergeCell ref="G77:K77"/>
    <mergeCell ref="G83:K83"/>
    <mergeCell ref="F97:G97"/>
    <mergeCell ref="H93:I93"/>
    <mergeCell ref="H94:I94"/>
    <mergeCell ref="B37:B40"/>
    <mergeCell ref="E34:I34"/>
    <mergeCell ref="L34:O34"/>
    <mergeCell ref="E43:H43"/>
    <mergeCell ref="F35:N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6DB-CC90-854D-8BC8-5D0F0C8C5279}">
  <dimension ref="B3:G36"/>
  <sheetViews>
    <sheetView topLeftCell="E4" zoomScaleNormal="100" workbookViewId="0">
      <selection activeCell="Y31" sqref="Y31"/>
    </sheetView>
  </sheetViews>
  <sheetFormatPr baseColWidth="10" defaultRowHeight="13"/>
  <cols>
    <col min="2" max="2" width="11.19921875" customWidth="1"/>
    <col min="3" max="3" width="10.59765625" bestFit="1" customWidth="1"/>
    <col min="6" max="6" width="11.59765625" customWidth="1"/>
  </cols>
  <sheetData>
    <row r="3" spans="2:7" ht="16">
      <c r="B3" s="369" t="s">
        <v>341</v>
      </c>
      <c r="C3" s="369" t="s">
        <v>372</v>
      </c>
      <c r="D3" s="369" t="s">
        <v>373</v>
      </c>
      <c r="E3" s="355"/>
      <c r="F3" s="369" t="s">
        <v>344</v>
      </c>
      <c r="G3" s="380" t="s">
        <v>345</v>
      </c>
    </row>
    <row r="4" spans="2:7" ht="16">
      <c r="B4" s="370">
        <v>4.9800000000000004</v>
      </c>
      <c r="C4" s="355">
        <v>5.65</v>
      </c>
      <c r="D4" s="371">
        <v>6.67</v>
      </c>
      <c r="E4" s="355"/>
      <c r="F4" s="370">
        <v>4.9800000000000004</v>
      </c>
      <c r="G4" s="378">
        <v>5.7666666666666666</v>
      </c>
    </row>
    <row r="5" spans="2:7" ht="16">
      <c r="B5" s="370">
        <v>5.12</v>
      </c>
      <c r="C5" s="355">
        <v>7.23</v>
      </c>
      <c r="D5" s="371">
        <v>6.86</v>
      </c>
      <c r="E5" s="355"/>
      <c r="F5" s="370">
        <v>5.12</v>
      </c>
      <c r="G5" s="378">
        <v>6.4033333333333333</v>
      </c>
    </row>
    <row r="6" spans="2:7" ht="16">
      <c r="B6" s="370">
        <v>5.48</v>
      </c>
      <c r="C6" s="355">
        <v>8.44</v>
      </c>
      <c r="D6" s="371">
        <v>6.38</v>
      </c>
      <c r="E6" s="355"/>
      <c r="F6" s="370">
        <v>5.48</v>
      </c>
      <c r="G6" s="378">
        <v>6.7666666666666666</v>
      </c>
    </row>
    <row r="7" spans="2:7" ht="16">
      <c r="B7" s="370">
        <v>5.83</v>
      </c>
      <c r="C7" s="355">
        <v>8.0299999999999994</v>
      </c>
      <c r="D7" s="371">
        <v>7.4</v>
      </c>
      <c r="E7" s="355"/>
      <c r="F7" s="370">
        <v>5.83</v>
      </c>
      <c r="G7" s="378">
        <v>7.086666666666666</v>
      </c>
    </row>
    <row r="8" spans="2:7" ht="16">
      <c r="B8" s="370">
        <v>2.75</v>
      </c>
      <c r="C8" s="355">
        <v>6.78</v>
      </c>
      <c r="D8" s="371">
        <v>4.12</v>
      </c>
      <c r="E8" s="355"/>
      <c r="F8" s="370">
        <v>2.75</v>
      </c>
      <c r="G8" s="378">
        <v>4.5500000000000007</v>
      </c>
    </row>
    <row r="9" spans="2:7" ht="16">
      <c r="B9" s="370">
        <v>6.85</v>
      </c>
      <c r="C9" s="355">
        <v>4.43</v>
      </c>
      <c r="D9" s="371">
        <v>7.01</v>
      </c>
      <c r="E9" s="355"/>
      <c r="F9" s="370">
        <v>6.85</v>
      </c>
      <c r="G9" s="378">
        <v>6.0966666666666667</v>
      </c>
    </row>
    <row r="10" spans="2:7" ht="16">
      <c r="B10" s="370">
        <v>5.17</v>
      </c>
      <c r="C10" s="355">
        <v>8.09</v>
      </c>
      <c r="D10" s="371">
        <v>7.78</v>
      </c>
      <c r="E10" s="355"/>
      <c r="F10" s="370">
        <v>5.17</v>
      </c>
      <c r="G10" s="378">
        <v>7.0133333333333328</v>
      </c>
    </row>
    <row r="11" spans="2:7" ht="16">
      <c r="B11" s="372">
        <v>3.84</v>
      </c>
      <c r="C11" s="373">
        <v>7.07</v>
      </c>
      <c r="D11" s="374">
        <v>6.67</v>
      </c>
      <c r="E11" s="355"/>
      <c r="F11" s="372">
        <v>3.84</v>
      </c>
      <c r="G11" s="379">
        <v>5.8599999999999994</v>
      </c>
    </row>
    <row r="12" spans="2:7" ht="16">
      <c r="B12" s="355"/>
      <c r="C12" s="355"/>
      <c r="D12" s="355"/>
      <c r="E12" s="355"/>
      <c r="F12" s="355"/>
      <c r="G12" s="356"/>
    </row>
    <row r="13" spans="2:7" ht="16">
      <c r="B13" s="355"/>
      <c r="C13" s="355"/>
      <c r="D13" s="355"/>
      <c r="E13" s="355"/>
      <c r="F13" s="355"/>
      <c r="G13" s="356"/>
    </row>
    <row r="14" spans="2:7" ht="16">
      <c r="B14" s="355"/>
      <c r="C14" s="355"/>
      <c r="D14" s="355"/>
      <c r="E14" s="355"/>
      <c r="F14" s="355"/>
      <c r="G14" s="356"/>
    </row>
    <row r="15" spans="2:7" ht="16">
      <c r="B15" s="355"/>
      <c r="C15" s="355"/>
      <c r="D15" s="355"/>
      <c r="E15" s="355"/>
      <c r="F15" s="355"/>
      <c r="G15" s="356"/>
    </row>
    <row r="16" spans="2:7" ht="16">
      <c r="B16" s="355"/>
      <c r="C16" s="355"/>
      <c r="D16" s="355"/>
      <c r="E16" s="355"/>
      <c r="F16" s="355"/>
      <c r="G16" s="356"/>
    </row>
    <row r="17" spans="2:7" ht="16">
      <c r="B17" s="369" t="s">
        <v>342</v>
      </c>
      <c r="C17" s="369" t="s">
        <v>374</v>
      </c>
      <c r="D17" s="369" t="s">
        <v>375</v>
      </c>
      <c r="E17" s="355"/>
      <c r="F17" s="369" t="s">
        <v>344</v>
      </c>
      <c r="G17" s="380" t="s">
        <v>347</v>
      </c>
    </row>
    <row r="18" spans="2:7" ht="16">
      <c r="B18" s="370">
        <v>1.47</v>
      </c>
      <c r="C18" s="376">
        <v>1</v>
      </c>
      <c r="D18" s="371">
        <v>2.08</v>
      </c>
      <c r="E18" s="355"/>
      <c r="F18" s="370">
        <v>1.47</v>
      </c>
      <c r="G18" s="378">
        <v>1.5166666666666666</v>
      </c>
    </row>
    <row r="19" spans="2:7" ht="16">
      <c r="B19" s="370">
        <v>1.54</v>
      </c>
      <c r="C19" s="376">
        <v>2.39</v>
      </c>
      <c r="D19" s="371">
        <v>1.83</v>
      </c>
      <c r="E19" s="355"/>
      <c r="F19" s="370">
        <v>1.54</v>
      </c>
      <c r="G19" s="378">
        <v>1.92</v>
      </c>
    </row>
    <row r="20" spans="2:7" ht="16">
      <c r="B20" s="370">
        <v>1.69</v>
      </c>
      <c r="C20" s="376">
        <v>3.11</v>
      </c>
      <c r="D20" s="371">
        <v>2.37</v>
      </c>
      <c r="E20" s="355"/>
      <c r="F20" s="370">
        <v>1.69</v>
      </c>
      <c r="G20" s="378">
        <v>2.39</v>
      </c>
    </row>
    <row r="21" spans="2:7" ht="16">
      <c r="B21" s="370">
        <v>2.4</v>
      </c>
      <c r="C21" s="376">
        <v>2.63</v>
      </c>
      <c r="D21" s="371">
        <v>2.58</v>
      </c>
      <c r="E21" s="355"/>
      <c r="F21" s="370">
        <v>2.4</v>
      </c>
      <c r="G21" s="378">
        <v>2.5366666666666666</v>
      </c>
    </row>
    <row r="22" spans="2:7" ht="16">
      <c r="B22" s="370">
        <v>1.96</v>
      </c>
      <c r="C22" s="376">
        <v>3.59</v>
      </c>
      <c r="D22" s="371">
        <v>2.11</v>
      </c>
      <c r="E22" s="355"/>
      <c r="F22" s="370">
        <v>1.96</v>
      </c>
      <c r="G22" s="378">
        <v>2.5533333333333332</v>
      </c>
    </row>
    <row r="23" spans="2:7" ht="16">
      <c r="B23" s="370">
        <v>2.15</v>
      </c>
      <c r="C23" s="376">
        <v>3.16</v>
      </c>
      <c r="D23" s="371">
        <v>2.2799999999999998</v>
      </c>
      <c r="E23" s="355"/>
      <c r="F23" s="370">
        <v>2.15</v>
      </c>
      <c r="G23" s="378">
        <v>2.5299999999999998</v>
      </c>
    </row>
    <row r="24" spans="2:7" ht="16">
      <c r="B24" s="370">
        <v>1.73</v>
      </c>
      <c r="C24" s="376">
        <v>3.4</v>
      </c>
      <c r="D24" s="371">
        <v>2.21</v>
      </c>
      <c r="E24" s="355"/>
      <c r="F24" s="370">
        <v>1.73</v>
      </c>
      <c r="G24" s="378">
        <v>2.4466666666666668</v>
      </c>
    </row>
    <row r="25" spans="2:7" ht="16">
      <c r="B25" s="372">
        <v>1.3</v>
      </c>
      <c r="C25" s="377">
        <v>3.53</v>
      </c>
      <c r="D25" s="374">
        <v>1.88</v>
      </c>
      <c r="E25" s="355"/>
      <c r="F25" s="372">
        <v>1.3</v>
      </c>
      <c r="G25" s="379">
        <v>2.2366666666666668</v>
      </c>
    </row>
    <row r="26" spans="2:7" ht="16">
      <c r="B26" s="355"/>
      <c r="C26" s="355"/>
      <c r="D26" s="355"/>
      <c r="E26" s="355"/>
      <c r="F26" s="355"/>
      <c r="G26" s="356"/>
    </row>
    <row r="27" spans="2:7" ht="16" customHeight="1">
      <c r="B27" s="453" t="s">
        <v>343</v>
      </c>
      <c r="C27" s="375"/>
      <c r="D27" s="382"/>
      <c r="E27" s="355"/>
      <c r="F27" s="454" t="s">
        <v>343</v>
      </c>
      <c r="G27" s="455" t="s">
        <v>346</v>
      </c>
    </row>
    <row r="28" spans="2:7" ht="34" customHeight="1">
      <c r="B28" s="454"/>
      <c r="C28" s="381" t="s">
        <v>248</v>
      </c>
      <c r="D28" s="381" t="s">
        <v>253</v>
      </c>
      <c r="E28" s="355"/>
      <c r="F28" s="454"/>
      <c r="G28" s="455"/>
    </row>
    <row r="29" spans="2:7" ht="16">
      <c r="B29" s="370">
        <v>5.5</v>
      </c>
      <c r="C29" s="376">
        <v>6.42</v>
      </c>
      <c r="D29" s="371">
        <v>6.56</v>
      </c>
      <c r="E29" s="355"/>
      <c r="F29" s="370">
        <v>5.5</v>
      </c>
      <c r="G29" s="378">
        <v>6.16</v>
      </c>
    </row>
    <row r="30" spans="2:7" ht="16">
      <c r="B30" s="370">
        <v>4.83</v>
      </c>
      <c r="C30" s="376">
        <v>6.74</v>
      </c>
      <c r="D30" s="371">
        <v>5.83</v>
      </c>
      <c r="E30" s="355"/>
      <c r="F30" s="370">
        <v>4.83</v>
      </c>
      <c r="G30" s="378">
        <v>5.8</v>
      </c>
    </row>
    <row r="31" spans="2:7" ht="16">
      <c r="B31" s="370">
        <v>6.85</v>
      </c>
      <c r="C31" s="376">
        <v>7.39</v>
      </c>
      <c r="D31" s="371">
        <v>5.61</v>
      </c>
      <c r="E31" s="355"/>
      <c r="F31" s="370">
        <v>6.85</v>
      </c>
      <c r="G31" s="378">
        <v>6.6166666666666663</v>
      </c>
    </row>
    <row r="32" spans="2:7" ht="16">
      <c r="B32" s="370">
        <v>4.63</v>
      </c>
      <c r="C32" s="376">
        <v>6.61</v>
      </c>
      <c r="D32" s="371">
        <v>5.92</v>
      </c>
      <c r="E32" s="355"/>
      <c r="F32" s="370">
        <v>4.63</v>
      </c>
      <c r="G32" s="378">
        <v>5.72</v>
      </c>
    </row>
    <row r="33" spans="2:7" ht="16">
      <c r="B33" s="370">
        <v>2.37</v>
      </c>
      <c r="C33" s="376">
        <v>5.2</v>
      </c>
      <c r="D33" s="371">
        <v>3.35</v>
      </c>
      <c r="E33" s="355"/>
      <c r="F33" s="370">
        <v>2.37</v>
      </c>
      <c r="G33" s="378">
        <v>3.64</v>
      </c>
    </row>
    <row r="34" spans="2:7" ht="16">
      <c r="B34" s="370">
        <v>4.17</v>
      </c>
      <c r="C34" s="376">
        <v>3.76</v>
      </c>
      <c r="D34" s="371">
        <v>5.22</v>
      </c>
      <c r="E34" s="355"/>
      <c r="F34" s="370">
        <v>4.17</v>
      </c>
      <c r="G34" s="378">
        <v>4.3833333333333329</v>
      </c>
    </row>
    <row r="35" spans="2:7" ht="16">
      <c r="B35" s="370">
        <v>4.58</v>
      </c>
      <c r="C35" s="376">
        <v>6.09</v>
      </c>
      <c r="D35" s="371">
        <v>6.27</v>
      </c>
      <c r="E35" s="355"/>
      <c r="F35" s="370">
        <v>4.58</v>
      </c>
      <c r="G35" s="378">
        <v>5.6466666666666656</v>
      </c>
    </row>
    <row r="36" spans="2:7" ht="16">
      <c r="B36" s="372">
        <v>3.5</v>
      </c>
      <c r="C36" s="377">
        <v>6.79</v>
      </c>
      <c r="D36" s="374">
        <v>5.4</v>
      </c>
      <c r="E36" s="355"/>
      <c r="F36" s="372">
        <v>3.5</v>
      </c>
      <c r="G36" s="379">
        <v>5.2299999999999995</v>
      </c>
    </row>
  </sheetData>
  <mergeCells count="3">
    <mergeCell ref="B27:B28"/>
    <mergeCell ref="G27:G28"/>
    <mergeCell ref="F27:F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CF78-F180-C54B-9170-E3C11EEC1C89}">
  <dimension ref="B2:U40"/>
  <sheetViews>
    <sheetView showGridLines="0" zoomScaleNormal="100" workbookViewId="0">
      <selection activeCell="Q14" sqref="Q14"/>
    </sheetView>
  </sheetViews>
  <sheetFormatPr baseColWidth="10" defaultRowHeight="13"/>
  <cols>
    <col min="13" max="13" width="13.59765625" customWidth="1"/>
    <col min="14" max="14" width="13.796875" bestFit="1" customWidth="1"/>
  </cols>
  <sheetData>
    <row r="2" spans="2:18">
      <c r="B2" t="s">
        <v>348</v>
      </c>
      <c r="M2" t="s">
        <v>348</v>
      </c>
    </row>
    <row r="3" spans="2:18" ht="14" thickBot="1"/>
    <row r="4" spans="2:18" ht="16">
      <c r="B4" s="357" t="s">
        <v>349</v>
      </c>
      <c r="C4" s="357"/>
      <c r="M4" s="357" t="s">
        <v>349</v>
      </c>
      <c r="N4" s="357"/>
    </row>
    <row r="5" spans="2:18">
      <c r="B5" t="s">
        <v>350</v>
      </c>
      <c r="C5">
        <v>0.70448057854855484</v>
      </c>
      <c r="M5" t="s">
        <v>350</v>
      </c>
      <c r="N5">
        <v>0.90017755327435378</v>
      </c>
    </row>
    <row r="6" spans="2:18">
      <c r="B6" t="s">
        <v>351</v>
      </c>
      <c r="C6">
        <v>0.49629288555210654</v>
      </c>
      <c r="M6" t="s">
        <v>351</v>
      </c>
      <c r="N6">
        <v>0.8103196274190021</v>
      </c>
    </row>
    <row r="7" spans="2:18">
      <c r="B7" t="s">
        <v>352</v>
      </c>
      <c r="C7">
        <v>0.41234169981079094</v>
      </c>
      <c r="M7" t="s">
        <v>352</v>
      </c>
      <c r="N7">
        <v>0.77870623198883582</v>
      </c>
    </row>
    <row r="8" spans="2:18">
      <c r="B8" t="s">
        <v>353</v>
      </c>
      <c r="C8">
        <v>0.95190930285304842</v>
      </c>
      <c r="M8" t="s">
        <v>353</v>
      </c>
      <c r="N8">
        <v>0.62300072703559572</v>
      </c>
    </row>
    <row r="9" spans="2:18" ht="14" thickBot="1">
      <c r="B9" s="358" t="s">
        <v>354</v>
      </c>
      <c r="C9" s="358">
        <v>8</v>
      </c>
      <c r="M9" s="358" t="s">
        <v>354</v>
      </c>
      <c r="N9" s="358">
        <v>8</v>
      </c>
    </row>
    <row r="11" spans="2:18" ht="14" thickBot="1">
      <c r="B11" t="s">
        <v>355</v>
      </c>
      <c r="M11" t="s">
        <v>355</v>
      </c>
    </row>
    <row r="12" spans="2:18" ht="16">
      <c r="B12" s="359"/>
      <c r="C12" s="359" t="s">
        <v>356</v>
      </c>
      <c r="D12" s="359" t="s">
        <v>357</v>
      </c>
      <c r="E12" s="359" t="s">
        <v>358</v>
      </c>
      <c r="F12" s="359" t="s">
        <v>359</v>
      </c>
      <c r="G12" s="359" t="s">
        <v>360</v>
      </c>
      <c r="M12" s="359"/>
      <c r="N12" s="359" t="s">
        <v>356</v>
      </c>
      <c r="O12" s="359" t="s">
        <v>357</v>
      </c>
      <c r="P12" s="359" t="s">
        <v>358</v>
      </c>
      <c r="Q12" s="359" t="s">
        <v>359</v>
      </c>
      <c r="R12" s="359" t="s">
        <v>360</v>
      </c>
    </row>
    <row r="13" spans="2:18">
      <c r="B13" t="s">
        <v>361</v>
      </c>
      <c r="C13">
        <v>1</v>
      </c>
      <c r="D13">
        <v>5.3567620748509395</v>
      </c>
      <c r="E13">
        <v>5.3567620748509395</v>
      </c>
      <c r="F13">
        <v>5.9116840479343216</v>
      </c>
      <c r="G13">
        <v>5.1065450661941486E-2</v>
      </c>
      <c r="M13" t="s">
        <v>361</v>
      </c>
      <c r="N13">
        <v>1</v>
      </c>
      <c r="O13">
        <v>9.9486080646787105</v>
      </c>
      <c r="P13">
        <v>9.9486080646787105</v>
      </c>
      <c r="Q13">
        <v>25.632160557033188</v>
      </c>
      <c r="R13">
        <v>2.3042520682473584E-3</v>
      </c>
    </row>
    <row r="14" spans="2:18">
      <c r="B14" t="s">
        <v>362</v>
      </c>
      <c r="C14">
        <v>6</v>
      </c>
      <c r="D14">
        <v>5.4367879251490603</v>
      </c>
      <c r="E14">
        <v>0.90613132085817671</v>
      </c>
      <c r="M14" t="s">
        <v>362</v>
      </c>
      <c r="N14">
        <v>6</v>
      </c>
      <c r="O14">
        <v>2.3287794353212852</v>
      </c>
      <c r="P14">
        <v>0.38812990588688084</v>
      </c>
    </row>
    <row r="15" spans="2:18" ht="14" thickBot="1">
      <c r="B15" s="358" t="s">
        <v>363</v>
      </c>
      <c r="C15" s="358">
        <v>7</v>
      </c>
      <c r="D15" s="358">
        <v>10.79355</v>
      </c>
      <c r="E15" s="358"/>
      <c r="F15" s="358"/>
      <c r="G15" s="358"/>
      <c r="M15" s="358" t="s">
        <v>363</v>
      </c>
      <c r="N15" s="358">
        <v>7</v>
      </c>
      <c r="O15" s="358">
        <v>12.277387499999996</v>
      </c>
      <c r="P15" s="358"/>
      <c r="Q15" s="358"/>
      <c r="R15" s="358"/>
    </row>
    <row r="16" spans="2:18" ht="14" thickBot="1"/>
    <row r="17" spans="2:21" ht="16">
      <c r="B17" s="359"/>
      <c r="C17" s="359" t="s">
        <v>364</v>
      </c>
      <c r="D17" s="359" t="s">
        <v>353</v>
      </c>
      <c r="E17" s="359" t="s">
        <v>365</v>
      </c>
      <c r="F17" s="359" t="s">
        <v>366</v>
      </c>
      <c r="G17" s="359" t="s">
        <v>367</v>
      </c>
      <c r="H17" s="359" t="s">
        <v>368</v>
      </c>
      <c r="I17" s="359" t="s">
        <v>369</v>
      </c>
      <c r="J17" s="359" t="s">
        <v>370</v>
      </c>
      <c r="M17" s="359"/>
      <c r="N17" s="359" t="s">
        <v>364</v>
      </c>
      <c r="O17" s="359" t="s">
        <v>353</v>
      </c>
      <c r="P17" s="359" t="s">
        <v>365</v>
      </c>
      <c r="Q17" s="359" t="s">
        <v>366</v>
      </c>
      <c r="R17" s="359" t="s">
        <v>367</v>
      </c>
      <c r="S17" s="359" t="s">
        <v>368</v>
      </c>
      <c r="T17" s="359" t="s">
        <v>369</v>
      </c>
      <c r="U17" s="359" t="s">
        <v>370</v>
      </c>
    </row>
    <row r="18" spans="2:21">
      <c r="B18" t="s">
        <v>371</v>
      </c>
      <c r="C18">
        <v>-1.5084045641934658</v>
      </c>
      <c r="D18">
        <v>2.6989126932618639</v>
      </c>
      <c r="E18">
        <v>-0.55889342695647981</v>
      </c>
      <c r="F18">
        <v>0.59646106825655376</v>
      </c>
      <c r="G18">
        <v>-8.1124060185415097</v>
      </c>
      <c r="H18">
        <v>5.0955968901545772</v>
      </c>
      <c r="I18">
        <v>-8.1124060185415097</v>
      </c>
      <c r="J18">
        <v>5.0955968901545772</v>
      </c>
      <c r="M18" t="s">
        <v>371</v>
      </c>
      <c r="N18">
        <v>-2.105290166841236</v>
      </c>
      <c r="O18">
        <v>1.3335982064206369</v>
      </c>
      <c r="P18">
        <v>-1.5786540179082964</v>
      </c>
      <c r="Q18">
        <v>0.16549330069435617</v>
      </c>
      <c r="R18">
        <v>-5.3684874227975676</v>
      </c>
      <c r="S18">
        <v>1.157907089115096</v>
      </c>
      <c r="T18">
        <v>-5.3684874227975676</v>
      </c>
      <c r="U18">
        <v>1.157907089115096</v>
      </c>
    </row>
    <row r="19" spans="2:21" ht="14" thickBot="1">
      <c r="B19" s="358" t="s">
        <v>345</v>
      </c>
      <c r="C19" s="358">
        <v>1.0513470331739434</v>
      </c>
      <c r="D19" s="358">
        <v>0.43240477980479314</v>
      </c>
      <c r="E19" s="358">
        <v>2.4313954939364186</v>
      </c>
      <c r="F19" s="358">
        <v>5.1065450661941521E-2</v>
      </c>
      <c r="G19" s="358">
        <v>-6.7093470221359745E-3</v>
      </c>
      <c r="H19" s="358">
        <v>2.1094034133700226</v>
      </c>
      <c r="I19" s="358">
        <v>-6.7093470221359745E-3</v>
      </c>
      <c r="J19" s="358">
        <v>2.1094034133700226</v>
      </c>
      <c r="M19" s="358" t="s">
        <v>346</v>
      </c>
      <c r="N19" s="358">
        <v>1.2332507446885537</v>
      </c>
      <c r="O19" s="358">
        <v>0.24358962060112938</v>
      </c>
      <c r="P19" s="358">
        <v>5.0628214028378675</v>
      </c>
      <c r="Q19" s="358">
        <v>2.3042520682473584E-3</v>
      </c>
      <c r="R19" s="358">
        <v>0.63720841522374339</v>
      </c>
      <c r="S19" s="358">
        <v>1.829293074153364</v>
      </c>
      <c r="T19" s="358">
        <v>0.63720841522374339</v>
      </c>
      <c r="U19" s="358">
        <v>1.829293074153364</v>
      </c>
    </row>
    <row r="23" spans="2:21">
      <c r="B23" t="s">
        <v>348</v>
      </c>
      <c r="M23" s="368" t="s">
        <v>377</v>
      </c>
      <c r="N23" s="368" t="s">
        <v>282</v>
      </c>
      <c r="O23" s="437" t="s">
        <v>380</v>
      </c>
      <c r="P23" s="437"/>
      <c r="Q23" s="437"/>
      <c r="R23" s="437"/>
    </row>
    <row r="24" spans="2:21" ht="14" thickBot="1">
      <c r="M24" s="368" t="s">
        <v>377</v>
      </c>
      <c r="N24" s="368" t="s">
        <v>249</v>
      </c>
      <c r="O24" s="437" t="s">
        <v>378</v>
      </c>
      <c r="P24" s="437"/>
      <c r="Q24" s="437"/>
      <c r="R24" s="437"/>
    </row>
    <row r="25" spans="2:21" ht="16">
      <c r="B25" s="357" t="s">
        <v>349</v>
      </c>
      <c r="C25" s="357"/>
      <c r="M25" s="368" t="s">
        <v>377</v>
      </c>
      <c r="N25" s="368" t="s">
        <v>376</v>
      </c>
      <c r="O25" s="437" t="s">
        <v>379</v>
      </c>
      <c r="P25" s="437"/>
      <c r="Q25" s="437"/>
      <c r="R25" s="437"/>
    </row>
    <row r="26" spans="2:21">
      <c r="B26" t="s">
        <v>350</v>
      </c>
      <c r="C26">
        <v>0.65801956479106949</v>
      </c>
      <c r="N26" s="299"/>
    </row>
    <row r="27" spans="2:21">
      <c r="B27" t="s">
        <v>351</v>
      </c>
      <c r="C27">
        <v>0.43298974764782844</v>
      </c>
    </row>
    <row r="28" spans="2:21">
      <c r="B28" t="s">
        <v>352</v>
      </c>
      <c r="C28">
        <v>0.33848803892246648</v>
      </c>
    </row>
    <row r="29" spans="2:21">
      <c r="B29" t="s">
        <v>353</v>
      </c>
      <c r="C29">
        <v>0.29937504998769227</v>
      </c>
    </row>
    <row r="30" spans="2:21" ht="14" thickBot="1">
      <c r="B30" s="358" t="s">
        <v>354</v>
      </c>
      <c r="C30" s="358">
        <v>8</v>
      </c>
    </row>
    <row r="32" spans="2:21" ht="14" thickBot="1">
      <c r="B32" t="s">
        <v>355</v>
      </c>
    </row>
    <row r="33" spans="2:10" ht="16">
      <c r="B33" s="359"/>
      <c r="C33" s="359" t="s">
        <v>356</v>
      </c>
      <c r="D33" s="359" t="s">
        <v>357</v>
      </c>
      <c r="E33" s="359" t="s">
        <v>358</v>
      </c>
      <c r="F33" s="359" t="s">
        <v>359</v>
      </c>
      <c r="G33" s="359" t="s">
        <v>360</v>
      </c>
    </row>
    <row r="34" spans="2:10">
      <c r="B34" t="s">
        <v>361</v>
      </c>
      <c r="C34">
        <v>1</v>
      </c>
      <c r="D34">
        <v>0.41064747666920043</v>
      </c>
      <c r="E34">
        <v>0.41064747666920043</v>
      </c>
      <c r="F34">
        <v>4.5818192442019265</v>
      </c>
      <c r="G34">
        <v>7.6095877149054483E-2</v>
      </c>
    </row>
    <row r="35" spans="2:10">
      <c r="B35" t="s">
        <v>362</v>
      </c>
      <c r="C35">
        <v>6</v>
      </c>
      <c r="D35">
        <v>0.53775252333079948</v>
      </c>
      <c r="E35">
        <v>8.9625420555133242E-2</v>
      </c>
    </row>
    <row r="36" spans="2:10" ht="14" thickBot="1">
      <c r="B36" s="358" t="s">
        <v>363</v>
      </c>
      <c r="C36" s="358">
        <v>7</v>
      </c>
      <c r="D36" s="358">
        <v>0.94839999999999991</v>
      </c>
      <c r="E36" s="358"/>
      <c r="F36" s="358"/>
      <c r="G36" s="358"/>
    </row>
    <row r="37" spans="2:10" ht="14" thickBot="1"/>
    <row r="38" spans="2:10" ht="16">
      <c r="B38" s="359"/>
      <c r="C38" s="359" t="s">
        <v>364</v>
      </c>
      <c r="D38" s="359" t="s">
        <v>353</v>
      </c>
      <c r="E38" s="359" t="s">
        <v>365</v>
      </c>
      <c r="F38" s="359" t="s">
        <v>366</v>
      </c>
      <c r="G38" s="359" t="s">
        <v>367</v>
      </c>
      <c r="H38" s="359" t="s">
        <v>368</v>
      </c>
      <c r="I38" s="359" t="s">
        <v>369</v>
      </c>
      <c r="J38" s="359" t="s">
        <v>370</v>
      </c>
    </row>
    <row r="39" spans="2:10">
      <c r="B39" t="s">
        <v>371</v>
      </c>
      <c r="C39">
        <v>0.2943992273693794</v>
      </c>
      <c r="D39">
        <v>0.70206244821877573</v>
      </c>
      <c r="E39">
        <v>0.419334815750805</v>
      </c>
      <c r="F39">
        <v>0.68957048247713693</v>
      </c>
      <c r="G39">
        <v>-1.4234856974209946</v>
      </c>
      <c r="H39">
        <v>2.0122841521597534</v>
      </c>
      <c r="I39">
        <v>-1.4234856974209946</v>
      </c>
      <c r="J39">
        <v>2.0122841521597534</v>
      </c>
    </row>
    <row r="40" spans="2:10" ht="14" thickBot="1">
      <c r="B40" s="358" t="s">
        <v>347</v>
      </c>
      <c r="C40" s="358">
        <v>0.65553260788995948</v>
      </c>
      <c r="D40" s="358">
        <v>0.30624945429304495</v>
      </c>
      <c r="E40" s="358">
        <v>2.1405184521984206</v>
      </c>
      <c r="F40" s="358">
        <v>7.6095877149054567E-2</v>
      </c>
      <c r="G40" s="358">
        <v>-9.3832811226371923E-2</v>
      </c>
      <c r="H40" s="358">
        <v>1.404898027006291</v>
      </c>
      <c r="I40" s="358">
        <v>-9.3832811226371923E-2</v>
      </c>
      <c r="J40" s="358">
        <v>1.404898027006291</v>
      </c>
    </row>
  </sheetData>
  <mergeCells count="3">
    <mergeCell ref="O23:R23"/>
    <mergeCell ref="O24:R24"/>
    <mergeCell ref="O25:R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632-3A3D-6148-85B4-DC6A2113965E}">
  <dimension ref="C11:F40"/>
  <sheetViews>
    <sheetView showGridLines="0" zoomScaleNormal="100" workbookViewId="0">
      <selection activeCell="X25" sqref="X25"/>
    </sheetView>
  </sheetViews>
  <sheetFormatPr baseColWidth="10" defaultRowHeight="13"/>
  <cols>
    <col min="1" max="2" width="11" style="415"/>
    <col min="3" max="3" width="29.796875" style="415" bestFit="1" customWidth="1"/>
    <col min="4" max="16384" width="11" style="415"/>
  </cols>
  <sheetData>
    <row r="11" spans="3:6">
      <c r="D11" s="416" t="s">
        <v>385</v>
      </c>
      <c r="E11" s="417" t="s">
        <v>386</v>
      </c>
      <c r="F11" s="418" t="s">
        <v>387</v>
      </c>
    </row>
    <row r="12" spans="3:6">
      <c r="C12" s="419" t="s">
        <v>388</v>
      </c>
      <c r="D12" s="420">
        <v>9.66</v>
      </c>
      <c r="E12" s="419">
        <f t="shared" ref="E12:E17" si="0">F12-D12</f>
        <v>6.3999999999999986</v>
      </c>
      <c r="F12" s="421">
        <v>16.059999999999999</v>
      </c>
    </row>
    <row r="13" spans="3:6">
      <c r="C13" s="422" t="s">
        <v>389</v>
      </c>
      <c r="D13" s="415">
        <v>11.1</v>
      </c>
      <c r="E13" s="422">
        <f t="shared" si="0"/>
        <v>6.9</v>
      </c>
      <c r="F13" s="423">
        <v>18</v>
      </c>
    </row>
    <row r="14" spans="3:6">
      <c r="C14" s="422" t="s">
        <v>390</v>
      </c>
      <c r="D14" s="415">
        <v>14.5</v>
      </c>
      <c r="E14" s="422">
        <f t="shared" si="0"/>
        <v>2.5</v>
      </c>
      <c r="F14" s="423">
        <v>17</v>
      </c>
    </row>
    <row r="15" spans="3:6" ht="14">
      <c r="C15" s="424" t="s">
        <v>316</v>
      </c>
      <c r="D15" s="415">
        <v>14.29</v>
      </c>
      <c r="E15" s="422">
        <f t="shared" si="0"/>
        <v>1.5500000000000007</v>
      </c>
      <c r="F15" s="423">
        <v>15.84</v>
      </c>
    </row>
    <row r="16" spans="3:6">
      <c r="C16" s="422" t="s">
        <v>317</v>
      </c>
      <c r="D16" s="415">
        <v>12.63</v>
      </c>
      <c r="E16" s="422">
        <f t="shared" si="0"/>
        <v>5.2200000000000006</v>
      </c>
      <c r="F16" s="423">
        <v>17.850000000000001</v>
      </c>
    </row>
    <row r="17" spans="3:6">
      <c r="C17" s="422" t="s">
        <v>391</v>
      </c>
      <c r="D17" s="415">
        <v>11.95</v>
      </c>
      <c r="E17" s="422">
        <f t="shared" si="0"/>
        <v>5.25</v>
      </c>
      <c r="F17" s="423">
        <v>17.2</v>
      </c>
    </row>
    <row r="18" spans="3:6">
      <c r="C18" s="425" t="s">
        <v>392</v>
      </c>
      <c r="D18" s="426">
        <v>10</v>
      </c>
      <c r="E18" s="425">
        <v>10</v>
      </c>
      <c r="F18" s="427">
        <v>10</v>
      </c>
    </row>
    <row r="40" spans="3:3">
      <c r="C40" s="4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&amp; revenueforecast</vt:lpstr>
      <vt:lpstr>iron ore prices analysis</vt:lpstr>
      <vt:lpstr>modelling and valuation</vt:lpstr>
      <vt:lpstr>relative valuation</vt:lpstr>
      <vt:lpstr>Relative valuation regression</vt:lpstr>
      <vt:lpstr>Rel valun equation regression </vt:lpstr>
      <vt:lpstr>Football (2)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Sagar Marathe</cp:lastModifiedBy>
  <cp:lastPrinted>2024-03-22T19:37:52Z</cp:lastPrinted>
  <dcterms:created xsi:type="dcterms:W3CDTF">1999-11-21T04:51:56Z</dcterms:created>
  <dcterms:modified xsi:type="dcterms:W3CDTF">2024-11-23T04:42:17Z</dcterms:modified>
</cp:coreProperties>
</file>