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ford/Documents/teaching/Manchester/MATS15201 (Equilibrium Thermodynamics)/calorimetry lab/2020–2021/"/>
    </mc:Choice>
  </mc:AlternateContent>
  <xr:revisionPtr revIDLastSave="0" documentId="13_ncr:1_{08BF0DD0-BCC1-6E43-A8F9-F3001F96217F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ourceA" sheetId="2" r:id="rId1"/>
    <sheet name="SourceB" sheetId="4" r:id="rId2"/>
    <sheet name="Source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6" i="3" l="1"/>
  <c r="AD8" i="3"/>
  <c r="AD7" i="3"/>
  <c r="AD5" i="3"/>
  <c r="AD4" i="3"/>
  <c r="AD3" i="3"/>
  <c r="AD2" i="3"/>
  <c r="V6" i="4"/>
  <c r="V5" i="4"/>
  <c r="V4" i="4"/>
  <c r="V3" i="4"/>
  <c r="V2" i="4"/>
  <c r="Z8" i="2"/>
  <c r="Z7" i="2"/>
  <c r="Z6" i="2"/>
  <c r="Z5" i="2"/>
  <c r="Z4" i="2"/>
  <c r="Z3" i="2"/>
  <c r="Z2" i="2"/>
  <c r="U6" i="4"/>
  <c r="T6" i="4"/>
  <c r="U5" i="4"/>
  <c r="T5" i="4"/>
  <c r="U4" i="4"/>
  <c r="T4" i="4"/>
  <c r="U3" i="4"/>
  <c r="T3" i="4"/>
  <c r="U2" i="4"/>
  <c r="T2" i="4"/>
  <c r="AB6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N2" i="4"/>
  <c r="N3" i="4"/>
  <c r="N4" i="4"/>
  <c r="N5" i="4"/>
  <c r="N6" i="4"/>
  <c r="M3" i="4"/>
  <c r="O3" i="4"/>
  <c r="AB3" i="4" s="1"/>
  <c r="Q3" i="4"/>
  <c r="M4" i="4"/>
  <c r="O4" i="4"/>
  <c r="AB4" i="4" s="1"/>
  <c r="Q4" i="4"/>
  <c r="M5" i="4"/>
  <c r="O5" i="4"/>
  <c r="AB5" i="4" s="1"/>
  <c r="Q5" i="4"/>
  <c r="M6" i="4"/>
  <c r="O6" i="4"/>
  <c r="Q6" i="4"/>
  <c r="Q2" i="4"/>
  <c r="O2" i="4"/>
  <c r="AB2" i="4" s="1"/>
  <c r="M2" i="4"/>
  <c r="AE6" i="4"/>
  <c r="AE5" i="4"/>
  <c r="AE4" i="4"/>
  <c r="AE3" i="4"/>
  <c r="AE2" i="4"/>
  <c r="AK8" i="3"/>
  <c r="AK7" i="3"/>
  <c r="AK6" i="3"/>
  <c r="AK4" i="3"/>
  <c r="AK3" i="3"/>
  <c r="AK2" i="3"/>
  <c r="AJ8" i="3"/>
  <c r="AJ7" i="3"/>
  <c r="AJ6" i="3"/>
  <c r="AJ4" i="3"/>
  <c r="AJ3" i="3"/>
  <c r="AJ2" i="3"/>
  <c r="AI8" i="3"/>
  <c r="AI7" i="3"/>
  <c r="AI4" i="3"/>
  <c r="AI3" i="3"/>
  <c r="AI2" i="3"/>
  <c r="AH8" i="3"/>
  <c r="AH7" i="3"/>
  <c r="AH4" i="3"/>
  <c r="AH3" i="3"/>
  <c r="AH2" i="3"/>
  <c r="AG8" i="3"/>
  <c r="AG7" i="3"/>
  <c r="AG6" i="3"/>
  <c r="AG4" i="3"/>
  <c r="AG3" i="3"/>
  <c r="AG2" i="3"/>
  <c r="AF3" i="3"/>
  <c r="AF4" i="3"/>
  <c r="AF5" i="3"/>
  <c r="AF6" i="3"/>
  <c r="AF7" i="3"/>
  <c r="AF8" i="3"/>
  <c r="AF2" i="3"/>
  <c r="AE3" i="3"/>
  <c r="AE4" i="3"/>
  <c r="AE7" i="3"/>
  <c r="AE8" i="3"/>
  <c r="AE2" i="3"/>
  <c r="AE8" i="2"/>
  <c r="AE7" i="2"/>
  <c r="AE6" i="2"/>
  <c r="AE4" i="2"/>
  <c r="AE3" i="2"/>
  <c r="AE2" i="2"/>
  <c r="AH8" i="2"/>
  <c r="AH7" i="2"/>
  <c r="AH6" i="2"/>
  <c r="AH4" i="2"/>
  <c r="AH3" i="2"/>
  <c r="AH2" i="2"/>
  <c r="AG8" i="2"/>
  <c r="AG7" i="2"/>
  <c r="AG3" i="2"/>
  <c r="AF8" i="2"/>
  <c r="AF7" i="2"/>
  <c r="AF6" i="2"/>
  <c r="AF5" i="2"/>
  <c r="AF4" i="2"/>
  <c r="AF3" i="2"/>
  <c r="AF2" i="2"/>
  <c r="W8" i="3"/>
  <c r="U8" i="3"/>
  <c r="S8" i="3"/>
  <c r="R8" i="3"/>
  <c r="Q8" i="3"/>
  <c r="P8" i="3"/>
  <c r="O8" i="3"/>
  <c r="N8" i="3"/>
  <c r="W7" i="3"/>
  <c r="U7" i="3"/>
  <c r="S7" i="3"/>
  <c r="R7" i="3"/>
  <c r="Q7" i="3"/>
  <c r="P7" i="3"/>
  <c r="O7" i="3"/>
  <c r="N7" i="3"/>
  <c r="W6" i="3"/>
  <c r="U6" i="3"/>
  <c r="S6" i="3"/>
  <c r="R6" i="3"/>
  <c r="Q6" i="3"/>
  <c r="P6" i="3"/>
  <c r="O6" i="3"/>
  <c r="N6" i="3"/>
  <c r="W5" i="3"/>
  <c r="U5" i="3"/>
  <c r="S5" i="3"/>
  <c r="R5" i="3"/>
  <c r="Q5" i="3"/>
  <c r="P5" i="3"/>
  <c r="O5" i="3"/>
  <c r="N5" i="3"/>
  <c r="AK5" i="3" s="1"/>
  <c r="W4" i="3"/>
  <c r="U4" i="3"/>
  <c r="S4" i="3"/>
  <c r="R4" i="3"/>
  <c r="Q4" i="3"/>
  <c r="P4" i="3"/>
  <c r="O4" i="3"/>
  <c r="N4" i="3"/>
  <c r="W3" i="3"/>
  <c r="U3" i="3"/>
  <c r="S3" i="3"/>
  <c r="R3" i="3"/>
  <c r="Q3" i="3"/>
  <c r="P3" i="3"/>
  <c r="O3" i="3"/>
  <c r="N3" i="3"/>
  <c r="V6" i="3"/>
  <c r="AI6" i="3" s="1"/>
  <c r="W2" i="3"/>
  <c r="U2" i="3"/>
  <c r="S2" i="3"/>
  <c r="R2" i="3"/>
  <c r="Q2" i="3"/>
  <c r="O2" i="3"/>
  <c r="P2" i="3"/>
  <c r="U8" i="2"/>
  <c r="T8" i="2"/>
  <c r="S8" i="2"/>
  <c r="R8" i="2"/>
  <c r="Q8" i="2"/>
  <c r="P8" i="2"/>
  <c r="AB8" i="2" s="1"/>
  <c r="O8" i="2"/>
  <c r="N8" i="2"/>
  <c r="T4" i="2"/>
  <c r="T5" i="2"/>
  <c r="AE5" i="2" s="1"/>
  <c r="T6" i="2"/>
  <c r="R2" i="2"/>
  <c r="N3" i="2"/>
  <c r="O3" i="2"/>
  <c r="P3" i="2"/>
  <c r="Q3" i="2"/>
  <c r="R3" i="2"/>
  <c r="S3" i="2"/>
  <c r="T3" i="2"/>
  <c r="U3" i="2"/>
  <c r="N4" i="2"/>
  <c r="O4" i="2"/>
  <c r="P4" i="2"/>
  <c r="AG4" i="2" s="1"/>
  <c r="Q4" i="2"/>
  <c r="S4" i="2"/>
  <c r="U4" i="2"/>
  <c r="N5" i="2"/>
  <c r="O5" i="2"/>
  <c r="P5" i="2"/>
  <c r="Q5" i="2"/>
  <c r="S5" i="2"/>
  <c r="U5" i="2"/>
  <c r="N6" i="2"/>
  <c r="O6" i="2"/>
  <c r="P6" i="2"/>
  <c r="AG6" i="2" s="1"/>
  <c r="Q6" i="2"/>
  <c r="S6" i="2"/>
  <c r="U6" i="2"/>
  <c r="N7" i="2"/>
  <c r="O7" i="2"/>
  <c r="P7" i="2"/>
  <c r="Q7" i="2"/>
  <c r="S7" i="2"/>
  <c r="U7" i="2"/>
  <c r="U2" i="2"/>
  <c r="T2" i="2"/>
  <c r="S2" i="2"/>
  <c r="Q2" i="2"/>
  <c r="P2" i="2"/>
  <c r="AB2" i="2" s="1"/>
  <c r="O2" i="2"/>
  <c r="AC2" i="2" s="1"/>
  <c r="N2" i="2"/>
  <c r="L4" i="4" l="1"/>
  <c r="L6" i="4"/>
  <c r="L5" i="4"/>
  <c r="L3" i="4"/>
  <c r="L2" i="4"/>
  <c r="AG2" i="2"/>
  <c r="AJ5" i="3"/>
  <c r="AG5" i="3"/>
  <c r="AH6" i="3"/>
  <c r="AE6" i="3"/>
  <c r="X6" i="3"/>
  <c r="AC3" i="2"/>
  <c r="AC8" i="2"/>
  <c r="AD2" i="2"/>
  <c r="Y2" i="2" s="1"/>
  <c r="AB4" i="2"/>
  <c r="AD3" i="2"/>
  <c r="AD8" i="2"/>
  <c r="X2" i="2"/>
  <c r="AB5" i="2"/>
  <c r="AB6" i="2"/>
  <c r="AB3" i="2"/>
  <c r="X3" i="2" s="1"/>
  <c r="T3" i="3"/>
  <c r="V3" i="3"/>
  <c r="T7" i="3"/>
  <c r="V7" i="3"/>
  <c r="T5" i="3"/>
  <c r="V5" i="3"/>
  <c r="V4" i="3"/>
  <c r="T4" i="3"/>
  <c r="V8" i="3"/>
  <c r="T8" i="3"/>
  <c r="T6" i="3"/>
  <c r="T2" i="3"/>
  <c r="V2" i="3"/>
  <c r="N2" i="3"/>
  <c r="X8" i="2"/>
  <c r="T7" i="2"/>
  <c r="AB7" i="2" s="1"/>
  <c r="R5" i="2"/>
  <c r="R6" i="2"/>
  <c r="AC6" i="2" s="1"/>
  <c r="R4" i="2"/>
  <c r="AD4" i="2" s="1"/>
  <c r="P6" i="4" l="1"/>
  <c r="P5" i="4"/>
  <c r="P4" i="4"/>
  <c r="P2" i="4"/>
  <c r="P3" i="4"/>
  <c r="AC5" i="2"/>
  <c r="AH5" i="2"/>
  <c r="AG5" i="2"/>
  <c r="Y3" i="2"/>
  <c r="AH5" i="3"/>
  <c r="AE5" i="3"/>
  <c r="AI5" i="3"/>
  <c r="X7" i="3"/>
  <c r="X2" i="3"/>
  <c r="X4" i="3"/>
  <c r="X3" i="3"/>
  <c r="Y6" i="3"/>
  <c r="X5" i="3"/>
  <c r="X8" i="3"/>
  <c r="Y7" i="3"/>
  <c r="Y4" i="2"/>
  <c r="AC4" i="2"/>
  <c r="AD5" i="2"/>
  <c r="AD6" i="2"/>
  <c r="X4" i="2"/>
  <c r="X5" i="2"/>
  <c r="X6" i="2"/>
  <c r="Y8" i="2"/>
  <c r="R7" i="2"/>
  <c r="Y4" i="3" l="1"/>
  <c r="Y8" i="3"/>
  <c r="Y2" i="3"/>
  <c r="Y3" i="3"/>
  <c r="Y5" i="3"/>
  <c r="AD7" i="2"/>
  <c r="AC7" i="2"/>
  <c r="Y6" i="2"/>
  <c r="X7" i="2"/>
  <c r="Y5" i="2"/>
  <c r="Y7" i="2" l="1"/>
</calcChain>
</file>

<file path=xl/sharedStrings.xml><?xml version="1.0" encoding="utf-8"?>
<sst xmlns="http://schemas.openxmlformats.org/spreadsheetml/2006/main" count="117" uniqueCount="93">
  <si>
    <t>Set</t>
  </si>
  <si>
    <t>value</t>
  </si>
  <si>
    <t>sample</t>
  </si>
  <si>
    <t>stainless steel</t>
  </si>
  <si>
    <t>duralumin</t>
  </si>
  <si>
    <t>brass</t>
  </si>
  <si>
    <t>nylon</t>
  </si>
  <si>
    <t>denom</t>
  </si>
  <si>
    <t>Cpw</t>
  </si>
  <si>
    <t>mw</t>
  </si>
  <si>
    <t>ms</t>
  </si>
  <si>
    <t>Tf</t>
  </si>
  <si>
    <t>Tiw</t>
  </si>
  <si>
    <t>Tis</t>
  </si>
  <si>
    <t>DEMO</t>
  </si>
  <si>
    <t>tungsten</t>
  </si>
  <si>
    <t>mi</t>
  </si>
  <si>
    <t>Cpi</t>
  </si>
  <si>
    <t>Ti</t>
  </si>
  <si>
    <t>Tw</t>
  </si>
  <si>
    <t>M_CUP_A</t>
  </si>
  <si>
    <t>M_CUP_WATER_A</t>
  </si>
  <si>
    <t>M_CUP_WATER_SAMPLE_A</t>
  </si>
  <si>
    <t>T_WATER_A</t>
  </si>
  <si>
    <t>T_SAMPLE_A</t>
  </si>
  <si>
    <t>T_FINAL_A</t>
  </si>
  <si>
    <t>m_water</t>
  </si>
  <si>
    <t>m_sample</t>
  </si>
  <si>
    <t>err_m_water</t>
  </si>
  <si>
    <t>err_m_sample</t>
  </si>
  <si>
    <t>delta_T_water</t>
  </si>
  <si>
    <t>err_delta_T_water</t>
  </si>
  <si>
    <t>delta_T_sample</t>
  </si>
  <si>
    <t>err_delta_T_sample</t>
  </si>
  <si>
    <t>cp_sample</t>
  </si>
  <si>
    <t>err_cp_sample</t>
  </si>
  <si>
    <t>err_M_CUP_A</t>
  </si>
  <si>
    <t>err_M_CUP_WATER_A</t>
  </si>
  <si>
    <t>err_M_CUP_WATER_SAMPLE_A</t>
  </si>
  <si>
    <t>err_T_WATER_A</t>
  </si>
  <si>
    <t>err_T_SAMPLE_A</t>
  </si>
  <si>
    <t>err_T_FINAL_A</t>
  </si>
  <si>
    <t>err_delta_T</t>
  </si>
  <si>
    <t>cp_water</t>
  </si>
  <si>
    <t>err_cp_water</t>
  </si>
  <si>
    <t>M_CUP_WATER_B</t>
  </si>
  <si>
    <t>err_M_CUP_WATER_B</t>
  </si>
  <si>
    <t>M_CUP_WATER_ICE_C</t>
  </si>
  <si>
    <t>err_M_CUP_WATER_ICE_C</t>
  </si>
  <si>
    <t>m_ice</t>
  </si>
  <si>
    <t>err_m_ice</t>
  </si>
  <si>
    <t>delta_T1_ice</t>
  </si>
  <si>
    <t>err_delta_T1_ice</t>
  </si>
  <si>
    <t>delta_T2_ice</t>
  </si>
  <si>
    <t>err_delta_T2_ice</t>
  </si>
  <si>
    <t>Hfus_water</t>
  </si>
  <si>
    <t>err_Hfus_water</t>
  </si>
  <si>
    <t>cp_ice</t>
  </si>
  <si>
    <t>err_cp_ice</t>
  </si>
  <si>
    <t>porcelain</t>
  </si>
  <si>
    <t>PET</t>
  </si>
  <si>
    <t>M_CUP_C</t>
  </si>
  <si>
    <t>err_M_CUP_C</t>
  </si>
  <si>
    <t>M_CUP_WATER_C</t>
  </si>
  <si>
    <t>err_M_CUP_WATER_C</t>
  </si>
  <si>
    <t>T_WATER_C</t>
  </si>
  <si>
    <t>err_T_WATER_C</t>
  </si>
  <si>
    <t>T_ICE_C</t>
  </si>
  <si>
    <t>err_T_ICE_C</t>
  </si>
  <si>
    <t>T_FINAL_C</t>
  </si>
  <si>
    <t>err_T_FINAL_C</t>
  </si>
  <si>
    <t>M_CUP_B</t>
  </si>
  <si>
    <t>err_M_CUP_B</t>
  </si>
  <si>
    <t>M_CUP_WATER_SALT_B</t>
  </si>
  <si>
    <t>err_M_CUP_WATER_SALT_B</t>
  </si>
  <si>
    <t>T_WATER_I_B</t>
  </si>
  <si>
    <t>err_T_WATER_I_B</t>
  </si>
  <si>
    <t>T_WATER_F_B</t>
  </si>
  <si>
    <t>err_W_FINAL_B</t>
  </si>
  <si>
    <t>m_salt</t>
  </si>
  <si>
    <t>err_m_salt</t>
  </si>
  <si>
    <t>Hsol</t>
  </si>
  <si>
    <t>err_Hsol</t>
  </si>
  <si>
    <t>MgCl2</t>
  </si>
  <si>
    <t>kJ/mol</t>
  </si>
  <si>
    <t>RMM</t>
  </si>
  <si>
    <t>Na(OAc)</t>
  </si>
  <si>
    <t>Na(OAc)·3H2O</t>
  </si>
  <si>
    <t>KOH</t>
  </si>
  <si>
    <t>KBr</t>
  </si>
  <si>
    <t>kJ/kg</t>
  </si>
  <si>
    <t>delta_T</t>
  </si>
  <si>
    <t>msalt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</si>
</sst>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8" fillId="34" borderId="0" xfId="0" applyFont="1" applyFill="1"/>
    <xf numFmtId="0" fontId="18" fillId="0" borderId="0" xfId="0" applyFon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"/>
  <sheetViews>
    <sheetView tabSelected="1" workbookViewId="0">
      <selection activeCell="A2" sqref="A2"/>
    </sheetView>
  </sheetViews>
  <sheetFormatPr baseColWidth="10" defaultRowHeight="16" x14ac:dyDescent="0.2"/>
  <cols>
    <col min="22" max="23" width="10.83203125" style="5"/>
    <col min="26" max="26" width="18.1640625" customWidth="1"/>
  </cols>
  <sheetData>
    <row r="1" spans="1:34" x14ac:dyDescent="0.2">
      <c r="A1" t="s">
        <v>0</v>
      </c>
      <c r="B1" t="s">
        <v>20</v>
      </c>
      <c r="C1" s="2" t="s">
        <v>36</v>
      </c>
      <c r="D1" t="s">
        <v>21</v>
      </c>
      <c r="E1" s="2" t="s">
        <v>37</v>
      </c>
      <c r="F1" s="6" t="s">
        <v>22</v>
      </c>
      <c r="G1" s="2" t="s">
        <v>38</v>
      </c>
      <c r="H1" t="s">
        <v>23</v>
      </c>
      <c r="I1" s="2" t="s">
        <v>39</v>
      </c>
      <c r="J1" t="s">
        <v>24</v>
      </c>
      <c r="K1" s="2" t="s">
        <v>40</v>
      </c>
      <c r="L1" t="s">
        <v>25</v>
      </c>
      <c r="M1" s="2" t="s">
        <v>41</v>
      </c>
      <c r="N1" s="3" t="s">
        <v>26</v>
      </c>
      <c r="O1" s="3" t="s">
        <v>28</v>
      </c>
      <c r="P1" s="3" t="s">
        <v>27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4" t="s">
        <v>43</v>
      </c>
      <c r="W1" s="4" t="s">
        <v>44</v>
      </c>
      <c r="X1" s="3" t="s">
        <v>34</v>
      </c>
      <c r="Y1" s="3" t="s">
        <v>35</v>
      </c>
      <c r="Z1" s="3" t="s">
        <v>1</v>
      </c>
      <c r="AA1" s="3" t="s">
        <v>2</v>
      </c>
      <c r="AB1" s="3" t="s">
        <v>7</v>
      </c>
      <c r="AC1" s="3" t="s">
        <v>9</v>
      </c>
      <c r="AD1" s="3" t="s">
        <v>8</v>
      </c>
      <c r="AE1" s="3" t="s">
        <v>11</v>
      </c>
      <c r="AF1" s="3" t="s">
        <v>12</v>
      </c>
      <c r="AG1" s="3" t="s">
        <v>10</v>
      </c>
      <c r="AH1" s="3" t="s">
        <v>13</v>
      </c>
    </row>
    <row r="2" spans="1:34" x14ac:dyDescent="0.2">
      <c r="A2">
        <v>0</v>
      </c>
      <c r="B2">
        <v>5.3879999999999999</v>
      </c>
      <c r="C2">
        <v>1E-3</v>
      </c>
      <c r="D2">
        <v>64.632999999999996</v>
      </c>
      <c r="E2">
        <v>1E-3</v>
      </c>
      <c r="F2">
        <v>170.72</v>
      </c>
      <c r="G2">
        <v>0.01</v>
      </c>
      <c r="H2">
        <v>17.399999999999999</v>
      </c>
      <c r="I2">
        <v>0.3</v>
      </c>
      <c r="J2">
        <v>101</v>
      </c>
      <c r="K2">
        <v>2</v>
      </c>
      <c r="L2">
        <v>31.9</v>
      </c>
      <c r="M2">
        <v>0.3</v>
      </c>
      <c r="N2" s="1">
        <f>D2-B2</f>
        <v>59.244999999999997</v>
      </c>
      <c r="O2" s="1">
        <f>SQRT(E2^2+C2^2)</f>
        <v>1.414213562373095E-3</v>
      </c>
      <c r="P2" s="1">
        <f>F2-D2</f>
        <v>106.087</v>
      </c>
      <c r="Q2" s="1">
        <f>SQRT(G2^2+E2^2)</f>
        <v>1.0049875621120891E-2</v>
      </c>
      <c r="R2" s="1">
        <f>L2-H2</f>
        <v>14.5</v>
      </c>
      <c r="S2" s="1">
        <f>SQRT(I2^2+M2^2)</f>
        <v>0.42426406871192851</v>
      </c>
      <c r="T2" s="1">
        <f>L2-J2</f>
        <v>-69.099999999999994</v>
      </c>
      <c r="U2" s="1">
        <f>SQRT(K2^2+M2^2)</f>
        <v>2.0223748416156684</v>
      </c>
      <c r="V2" s="5">
        <v>4.1840000000000002</v>
      </c>
      <c r="W2" s="5">
        <v>4.0000000000000001E-3</v>
      </c>
      <c r="X2" s="1">
        <f>-V2*N2*R2/AB2</f>
        <v>0.49031046890670804</v>
      </c>
      <c r="Y2" s="1">
        <f t="shared" ref="Y2:Y8" si="0">SQRT(SUMSQ(AC2:AH2))/ABS(AB2)</f>
        <v>2.1334283829224043E-2</v>
      </c>
      <c r="Z2" s="1" t="str">
        <f>"("&amp;TEXT(X2,"0.000")&amp;"±"&amp;TEXT(Y2,"0.000")&amp;")"</f>
        <v>(0.490±0.021)</v>
      </c>
      <c r="AA2" s="1" t="s">
        <v>3</v>
      </c>
      <c r="AB2" s="1">
        <f t="shared" ref="AB2:AB7" si="1">P2*T2</f>
        <v>-7330.6116999999995</v>
      </c>
      <c r="AC2" s="1">
        <f>-O2*V2*R2</f>
        <v>-8.5797508402050929E-2</v>
      </c>
      <c r="AD2" s="1">
        <f>-W2*N2*R2</f>
        <v>-3.43621</v>
      </c>
      <c r="AE2" s="1">
        <f>M2*V2*N2*(J2-H2)/T2</f>
        <v>-89.968994014471775</v>
      </c>
      <c r="AF2" s="1">
        <f>I2*N2*V2</f>
        <v>74.364323999999996</v>
      </c>
      <c r="AG2" s="1">
        <f>Q2*V2*N2*R2/P2</f>
        <v>0.34049434267179013</v>
      </c>
      <c r="AH2" s="1">
        <f>-K2*V2*N2*R2/T2</f>
        <v>104.03113342981187</v>
      </c>
    </row>
    <row r="3" spans="1:34" x14ac:dyDescent="0.2">
      <c r="A3">
        <v>1</v>
      </c>
      <c r="B3">
        <v>4.992</v>
      </c>
      <c r="C3">
        <v>1E-3</v>
      </c>
      <c r="D3">
        <v>70.936000000000007</v>
      </c>
      <c r="E3">
        <v>1E-3</v>
      </c>
      <c r="F3">
        <v>157.93</v>
      </c>
      <c r="G3">
        <v>0.01</v>
      </c>
      <c r="H3">
        <v>17.899999999999999</v>
      </c>
      <c r="I3">
        <v>0.3</v>
      </c>
      <c r="J3">
        <v>99</v>
      </c>
      <c r="K3">
        <v>2</v>
      </c>
      <c r="L3">
        <v>36.200000000000003</v>
      </c>
      <c r="M3">
        <v>0.3</v>
      </c>
      <c r="N3" s="1">
        <f t="shared" ref="N3:N7" si="2">D3-B3</f>
        <v>65.944000000000003</v>
      </c>
      <c r="O3" s="1">
        <f t="shared" ref="O3:O7" si="3">SQRT(E3^2+C3^2)</f>
        <v>1.414213562373095E-3</v>
      </c>
      <c r="P3" s="1">
        <f t="shared" ref="P3:P7" si="4">F3-D3</f>
        <v>86.994</v>
      </c>
      <c r="Q3" s="1">
        <f t="shared" ref="Q3:Q7" si="5">SQRT(G3^2+E3^2)</f>
        <v>1.0049875621120891E-2</v>
      </c>
      <c r="R3" s="1">
        <f t="shared" ref="R3:R7" si="6">L3-H3</f>
        <v>18.300000000000004</v>
      </c>
      <c r="S3" s="1">
        <f t="shared" ref="S3:S7" si="7">SQRT(I3^2+M3^2)</f>
        <v>0.42426406871192851</v>
      </c>
      <c r="T3" s="1">
        <f t="shared" ref="T3:T7" si="8">L3-J3</f>
        <v>-62.8</v>
      </c>
      <c r="U3" s="1">
        <f t="shared" ref="U3:U7" si="9">SQRT(K3^2+M3^2)</f>
        <v>2.0223748416156684</v>
      </c>
      <c r="V3" s="5">
        <v>4.1840000000000002</v>
      </c>
      <c r="W3" s="5">
        <v>4.0000000000000001E-3</v>
      </c>
      <c r="X3" s="1">
        <f t="shared" ref="X3:X7" si="10">-V3*N3*R3/AB3</f>
        <v>0.92420669117088261</v>
      </c>
      <c r="Y3" s="1">
        <f t="shared" si="0"/>
        <v>3.8464137706491736E-2</v>
      </c>
      <c r="Z3" s="1" t="str">
        <f t="shared" ref="Z3:Z7" si="11">"("&amp;TEXT(X3,"0.000")&amp;"±"&amp;TEXT(Y3,"0.000")&amp;")"</f>
        <v>(0.924±0.038)</v>
      </c>
      <c r="AA3" s="1" t="s">
        <v>4</v>
      </c>
      <c r="AB3" s="1">
        <f t="shared" si="1"/>
        <v>-5463.2231999999995</v>
      </c>
      <c r="AC3" s="1">
        <f t="shared" ref="AC3:AC8" si="12">-O3*V3*R3</f>
        <v>-0.10828237267293327</v>
      </c>
      <c r="AD3" s="1">
        <f t="shared" ref="AD3:AD8" si="13">-W3*N3*R3</f>
        <v>-4.8271008000000011</v>
      </c>
      <c r="AE3" s="1">
        <f t="shared" ref="AE3:AE8" si="14">M3*V3*N3*(J3-H3)/T3</f>
        <v>-106.89303986751594</v>
      </c>
      <c r="AF3" s="1">
        <f t="shared" ref="AF3:AF8" si="15">I3*N3*V3</f>
        <v>82.77290880000001</v>
      </c>
      <c r="AG3" s="1">
        <f t="shared" ref="AG3:AG8" si="16">Q3*V3*N3*R3/P3</f>
        <v>0.58329659209303364</v>
      </c>
      <c r="AH3" s="1">
        <f t="shared" ref="AH3:AH8" si="17">-K3*V3*N3*R3/T3</f>
        <v>160.80087378343953</v>
      </c>
    </row>
    <row r="4" spans="1:34" x14ac:dyDescent="0.2">
      <c r="A4">
        <v>2</v>
      </c>
      <c r="B4">
        <v>5.2409999999999997</v>
      </c>
      <c r="C4">
        <v>1E-3</v>
      </c>
      <c r="D4">
        <v>49.902000000000001</v>
      </c>
      <c r="E4">
        <v>1E-3</v>
      </c>
      <c r="F4">
        <v>152.5</v>
      </c>
      <c r="G4">
        <v>0.01</v>
      </c>
      <c r="H4">
        <v>18.2</v>
      </c>
      <c r="I4">
        <v>0.3</v>
      </c>
      <c r="J4">
        <v>100</v>
      </c>
      <c r="K4">
        <v>2</v>
      </c>
      <c r="L4">
        <v>32.200000000000003</v>
      </c>
      <c r="M4">
        <v>0.3</v>
      </c>
      <c r="N4" s="1">
        <f t="shared" si="2"/>
        <v>44.661000000000001</v>
      </c>
      <c r="O4" s="1">
        <f t="shared" si="3"/>
        <v>1.414213562373095E-3</v>
      </c>
      <c r="P4" s="1">
        <f t="shared" si="4"/>
        <v>102.598</v>
      </c>
      <c r="Q4" s="1">
        <f t="shared" si="5"/>
        <v>1.0049875621120891E-2</v>
      </c>
      <c r="R4" s="1">
        <f t="shared" si="6"/>
        <v>14.000000000000004</v>
      </c>
      <c r="S4" s="1">
        <f t="shared" si="7"/>
        <v>0.42426406871192851</v>
      </c>
      <c r="T4" s="1">
        <f t="shared" si="8"/>
        <v>-67.8</v>
      </c>
      <c r="U4" s="1">
        <f t="shared" si="9"/>
        <v>2.0223748416156684</v>
      </c>
      <c r="V4" s="5">
        <v>4.1840000000000002</v>
      </c>
      <c r="W4" s="5">
        <v>4.0000000000000001E-3</v>
      </c>
      <c r="X4" s="1">
        <f t="shared" si="10"/>
        <v>0.3760794177878195</v>
      </c>
      <c r="Y4" s="1">
        <f t="shared" si="0"/>
        <v>1.6813176852304941E-2</v>
      </c>
      <c r="Z4" s="1" t="str">
        <f t="shared" si="11"/>
        <v>(0.376±0.017)</v>
      </c>
      <c r="AA4" s="1" t="s">
        <v>5</v>
      </c>
      <c r="AB4" s="1">
        <f t="shared" si="1"/>
        <v>-6956.1443999999992</v>
      </c>
      <c r="AC4" s="1">
        <f t="shared" si="12"/>
        <v>-8.2838973629566437E-2</v>
      </c>
      <c r="AD4" s="1">
        <f t="shared" si="13"/>
        <v>-2.5010160000000008</v>
      </c>
      <c r="AE4" s="1">
        <f t="shared" si="14"/>
        <v>-67.633986031858413</v>
      </c>
      <c r="AF4" s="1">
        <f t="shared" si="15"/>
        <v>56.058487200000002</v>
      </c>
      <c r="AG4" s="1">
        <f t="shared" si="16"/>
        <v>0.25625358305083168</v>
      </c>
      <c r="AH4" s="1">
        <f t="shared" si="17"/>
        <v>77.169992212389403</v>
      </c>
    </row>
    <row r="5" spans="1:34" x14ac:dyDescent="0.2">
      <c r="A5">
        <v>3</v>
      </c>
      <c r="B5">
        <v>5.1050000000000004</v>
      </c>
      <c r="C5">
        <v>1E-3</v>
      </c>
      <c r="D5">
        <v>72.781000000000006</v>
      </c>
      <c r="E5">
        <v>1E-3</v>
      </c>
      <c r="F5">
        <v>123.98</v>
      </c>
      <c r="G5">
        <v>0.01</v>
      </c>
      <c r="H5">
        <v>16.899999999999999</v>
      </c>
      <c r="I5">
        <v>0.3</v>
      </c>
      <c r="J5">
        <v>100</v>
      </c>
      <c r="K5">
        <v>2</v>
      </c>
      <c r="L5">
        <v>30.1</v>
      </c>
      <c r="M5">
        <v>0.3</v>
      </c>
      <c r="N5" s="1">
        <f t="shared" si="2"/>
        <v>67.676000000000002</v>
      </c>
      <c r="O5" s="1">
        <f t="shared" si="3"/>
        <v>1.414213562373095E-3</v>
      </c>
      <c r="P5" s="1">
        <f t="shared" si="4"/>
        <v>51.198999999999998</v>
      </c>
      <c r="Q5" s="1">
        <f t="shared" si="5"/>
        <v>1.0049875621120891E-2</v>
      </c>
      <c r="R5" s="1">
        <f t="shared" si="6"/>
        <v>13.200000000000003</v>
      </c>
      <c r="S5" s="1">
        <f t="shared" si="7"/>
        <v>0.42426406871192851</v>
      </c>
      <c r="T5" s="1">
        <f t="shared" si="8"/>
        <v>-69.900000000000006</v>
      </c>
      <c r="U5" s="1">
        <f t="shared" si="9"/>
        <v>2.0223748416156684</v>
      </c>
      <c r="V5" s="5">
        <v>4.1840000000000002</v>
      </c>
      <c r="W5" s="5">
        <v>4.0000000000000001E-3</v>
      </c>
      <c r="X5" s="1">
        <f t="shared" si="10"/>
        <v>1.0443874260889117</v>
      </c>
      <c r="Y5" s="1">
        <f t="shared" si="0"/>
        <v>4.7472877402917661E-2</v>
      </c>
      <c r="Z5" s="1" t="str">
        <f t="shared" si="11"/>
        <v>(1.044±0.047)</v>
      </c>
      <c r="AA5" s="1" t="s">
        <v>59</v>
      </c>
      <c r="AB5" s="1">
        <f t="shared" si="1"/>
        <v>-3578.8101000000001</v>
      </c>
      <c r="AC5" s="1">
        <f t="shared" si="12"/>
        <v>-7.8105317993591203E-2</v>
      </c>
      <c r="AD5" s="1">
        <f t="shared" si="13"/>
        <v>-3.5732928000000008</v>
      </c>
      <c r="AE5" s="1">
        <f t="shared" si="14"/>
        <v>-100.98839274849784</v>
      </c>
      <c r="AF5" s="1">
        <f t="shared" si="15"/>
        <v>84.946915200000007</v>
      </c>
      <c r="AG5" s="1">
        <f t="shared" si="16"/>
        <v>0.73366786489868496</v>
      </c>
      <c r="AH5" s="1">
        <f t="shared" si="17"/>
        <v>106.94318365665237</v>
      </c>
    </row>
    <row r="6" spans="1:34" x14ac:dyDescent="0.2">
      <c r="A6">
        <v>4</v>
      </c>
      <c r="B6">
        <v>5.1059999999999999</v>
      </c>
      <c r="C6">
        <v>1E-3</v>
      </c>
      <c r="D6">
        <v>82.823999999999998</v>
      </c>
      <c r="E6">
        <v>1E-3</v>
      </c>
      <c r="F6">
        <v>152.19999999999999</v>
      </c>
      <c r="G6">
        <v>0.01</v>
      </c>
      <c r="H6">
        <v>18.100000000000001</v>
      </c>
      <c r="I6">
        <v>0.3</v>
      </c>
      <c r="J6">
        <v>98</v>
      </c>
      <c r="K6">
        <v>2</v>
      </c>
      <c r="L6">
        <v>34.4</v>
      </c>
      <c r="M6">
        <v>0.3</v>
      </c>
      <c r="N6" s="1">
        <f t="shared" si="2"/>
        <v>77.718000000000004</v>
      </c>
      <c r="O6" s="1">
        <f t="shared" si="3"/>
        <v>1.414213562373095E-3</v>
      </c>
      <c r="P6" s="1">
        <f t="shared" si="4"/>
        <v>69.375999999999991</v>
      </c>
      <c r="Q6" s="1">
        <f t="shared" si="5"/>
        <v>1.0049875621120891E-2</v>
      </c>
      <c r="R6" s="1">
        <f t="shared" si="6"/>
        <v>16.299999999999997</v>
      </c>
      <c r="S6" s="1">
        <f t="shared" si="7"/>
        <v>0.42426406871192851</v>
      </c>
      <c r="T6" s="1">
        <f t="shared" si="8"/>
        <v>-63.6</v>
      </c>
      <c r="U6" s="1">
        <f t="shared" si="9"/>
        <v>2.0223748416156684</v>
      </c>
      <c r="V6" s="5">
        <v>4.1840000000000002</v>
      </c>
      <c r="W6" s="5">
        <v>4.0000000000000001E-3</v>
      </c>
      <c r="X6" s="1">
        <f t="shared" si="10"/>
        <v>1.2012531080293114</v>
      </c>
      <c r="Y6" s="1">
        <f t="shared" si="0"/>
        <v>5.1851608924063514E-2</v>
      </c>
      <c r="Z6" s="1" t="str">
        <f t="shared" si="11"/>
        <v>(1.201±0.052)</v>
      </c>
      <c r="AA6" s="1" t="s">
        <v>60</v>
      </c>
      <c r="AB6" s="1">
        <f t="shared" si="1"/>
        <v>-4412.3135999999995</v>
      </c>
      <c r="AC6" s="1">
        <f t="shared" si="12"/>
        <v>-9.644823358299516E-2</v>
      </c>
      <c r="AD6" s="1">
        <f t="shared" si="13"/>
        <v>-5.0672135999999997</v>
      </c>
      <c r="AE6" s="1">
        <f t="shared" si="14"/>
        <v>-122.55307428679248</v>
      </c>
      <c r="AF6" s="1">
        <f t="shared" si="15"/>
        <v>97.551633600000002</v>
      </c>
      <c r="AG6" s="1">
        <f t="shared" si="16"/>
        <v>0.76780745908141479</v>
      </c>
      <c r="AH6" s="1">
        <f t="shared" si="17"/>
        <v>166.676271245283</v>
      </c>
    </row>
    <row r="7" spans="1:34" x14ac:dyDescent="0.2">
      <c r="A7">
        <v>5</v>
      </c>
      <c r="B7">
        <v>5.2069999999999999</v>
      </c>
      <c r="C7">
        <v>1E-3</v>
      </c>
      <c r="D7">
        <v>62.823</v>
      </c>
      <c r="E7">
        <v>1E-3</v>
      </c>
      <c r="F7">
        <v>137.84</v>
      </c>
      <c r="G7">
        <v>0.01</v>
      </c>
      <c r="H7">
        <v>17.7</v>
      </c>
      <c r="I7">
        <v>0.3</v>
      </c>
      <c r="J7">
        <v>99</v>
      </c>
      <c r="K7">
        <v>2</v>
      </c>
      <c r="L7">
        <v>45.4</v>
      </c>
      <c r="M7">
        <v>0.3</v>
      </c>
      <c r="N7" s="1">
        <f t="shared" si="2"/>
        <v>57.616</v>
      </c>
      <c r="O7" s="1">
        <f t="shared" si="3"/>
        <v>1.414213562373095E-3</v>
      </c>
      <c r="P7" s="1">
        <f t="shared" si="4"/>
        <v>75.016999999999996</v>
      </c>
      <c r="Q7" s="1">
        <f t="shared" si="5"/>
        <v>1.0049875621120891E-2</v>
      </c>
      <c r="R7" s="1">
        <f t="shared" si="6"/>
        <v>27.7</v>
      </c>
      <c r="S7" s="1">
        <f t="shared" si="7"/>
        <v>0.42426406871192851</v>
      </c>
      <c r="T7" s="1">
        <f t="shared" si="8"/>
        <v>-53.6</v>
      </c>
      <c r="U7" s="1">
        <f t="shared" si="9"/>
        <v>2.0223748416156684</v>
      </c>
      <c r="V7" s="5">
        <v>4.1840000000000002</v>
      </c>
      <c r="W7" s="5">
        <v>4.0000000000000001E-3</v>
      </c>
      <c r="X7" s="1">
        <f t="shared" si="10"/>
        <v>1.6606957221039849</v>
      </c>
      <c r="Y7" s="1">
        <f t="shared" si="0"/>
        <v>7.0072272900101096E-2</v>
      </c>
      <c r="Z7" s="1" t="str">
        <f t="shared" si="11"/>
        <v>(1.661±0.070)</v>
      </c>
      <c r="AA7" s="1" t="s">
        <v>6</v>
      </c>
      <c r="AB7" s="1">
        <f t="shared" si="1"/>
        <v>-4020.9112</v>
      </c>
      <c r="AC7" s="1">
        <f t="shared" si="12"/>
        <v>-0.1639028263956421</v>
      </c>
      <c r="AD7" s="1">
        <f t="shared" si="13"/>
        <v>-6.3838527999999997</v>
      </c>
      <c r="AE7" s="1">
        <f t="shared" si="14"/>
        <v>-109.69372649552238</v>
      </c>
      <c r="AF7" s="1">
        <f t="shared" si="15"/>
        <v>72.319603200000003</v>
      </c>
      <c r="AG7" s="1">
        <f t="shared" si="16"/>
        <v>0.89457250020965084</v>
      </c>
      <c r="AH7" s="1">
        <f t="shared" si="17"/>
        <v>249.16082197014927</v>
      </c>
    </row>
    <row r="8" spans="1:34" x14ac:dyDescent="0.2">
      <c r="A8" t="s">
        <v>14</v>
      </c>
      <c r="B8">
        <v>5.2069999999999999</v>
      </c>
      <c r="C8">
        <v>1E-3</v>
      </c>
      <c r="D8">
        <v>64.822999999999993</v>
      </c>
      <c r="E8">
        <v>1E-3</v>
      </c>
      <c r="F8">
        <v>228.1</v>
      </c>
      <c r="G8">
        <v>0.01</v>
      </c>
      <c r="H8">
        <v>15.2</v>
      </c>
      <c r="I8">
        <v>0.3</v>
      </c>
      <c r="J8">
        <v>99</v>
      </c>
      <c r="K8">
        <v>2</v>
      </c>
      <c r="L8">
        <v>22.4</v>
      </c>
      <c r="M8">
        <v>0.3</v>
      </c>
      <c r="N8" s="1">
        <f t="shared" ref="N8" si="18">D8-B8</f>
        <v>59.615999999999993</v>
      </c>
      <c r="O8" s="1">
        <f t="shared" ref="O8" si="19">SQRT(E8^2+C8^2)</f>
        <v>1.414213562373095E-3</v>
      </c>
      <c r="P8" s="1">
        <f t="shared" ref="P8" si="20">F8-D8</f>
        <v>163.27699999999999</v>
      </c>
      <c r="Q8" s="1">
        <f t="shared" ref="Q8" si="21">SQRT(G8^2+E8^2)</f>
        <v>1.0049875621120891E-2</v>
      </c>
      <c r="R8" s="1">
        <f t="shared" ref="R8" si="22">L8-H8</f>
        <v>7.1999999999999993</v>
      </c>
      <c r="S8" s="1">
        <f t="shared" ref="S8" si="23">SQRT(I8^2+M8^2)</f>
        <v>0.42426406871192851</v>
      </c>
      <c r="T8" s="1">
        <f t="shared" ref="T8" si="24">L8-J8</f>
        <v>-76.599999999999994</v>
      </c>
      <c r="U8" s="1">
        <f t="shared" ref="U8" si="25">SQRT(K8^2+M8^2)</f>
        <v>2.0223748416156684</v>
      </c>
      <c r="V8" s="5">
        <v>4.1840000000000002</v>
      </c>
      <c r="W8" s="5">
        <v>4.0000000000000001E-3</v>
      </c>
      <c r="X8" s="1">
        <f t="shared" ref="X8" si="26">-V8*N8*R8/AB8</f>
        <v>0.14359298500101325</v>
      </c>
      <c r="Y8" s="1">
        <f t="shared" si="0"/>
        <v>9.6288323636379153E-3</v>
      </c>
      <c r="Z8" s="1" t="str">
        <f>"("&amp;TEXT(X8,"0.0000")&amp;"±"&amp;TEXT(Y8,"0.0000")&amp;")"</f>
        <v>(0.1436±0.0096)</v>
      </c>
      <c r="AA8" s="1" t="s">
        <v>15</v>
      </c>
      <c r="AB8" s="1">
        <f>P8*T8</f>
        <v>-12507.018199999999</v>
      </c>
      <c r="AC8" s="1">
        <f t="shared" si="12"/>
        <v>-4.260290072377701E-2</v>
      </c>
      <c r="AD8" s="1">
        <f t="shared" si="13"/>
        <v>-1.7169407999999997</v>
      </c>
      <c r="AE8" s="1">
        <f t="shared" si="14"/>
        <v>-81.863632743603119</v>
      </c>
      <c r="AF8" s="1">
        <f t="shared" si="15"/>
        <v>74.830003199999993</v>
      </c>
      <c r="AG8" s="1">
        <f t="shared" si="16"/>
        <v>0.11054081957234561</v>
      </c>
      <c r="AH8" s="1">
        <f t="shared" si="17"/>
        <v>46.890863624020881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A2" sqref="A2"/>
    </sheetView>
  </sheetViews>
  <sheetFormatPr baseColWidth="10" defaultRowHeight="16" x14ac:dyDescent="0.2"/>
  <cols>
    <col min="18" max="19" width="10.83203125" style="5"/>
    <col min="22" max="22" width="18.1640625" customWidth="1"/>
  </cols>
  <sheetData>
    <row r="1" spans="1:31" x14ac:dyDescent="0.2">
      <c r="A1" t="s">
        <v>0</v>
      </c>
      <c r="B1" t="s">
        <v>71</v>
      </c>
      <c r="C1" s="2" t="s">
        <v>72</v>
      </c>
      <c r="D1" t="s">
        <v>45</v>
      </c>
      <c r="E1" s="2" t="s">
        <v>46</v>
      </c>
      <c r="F1" s="6" t="s">
        <v>73</v>
      </c>
      <c r="G1" s="2" t="s">
        <v>74</v>
      </c>
      <c r="H1" t="s">
        <v>75</v>
      </c>
      <c r="I1" s="2" t="s">
        <v>76</v>
      </c>
      <c r="J1" t="s">
        <v>77</v>
      </c>
      <c r="K1" s="2" t="s">
        <v>78</v>
      </c>
      <c r="L1" s="1" t="s">
        <v>26</v>
      </c>
      <c r="M1" s="8" t="s">
        <v>28</v>
      </c>
      <c r="N1" s="1" t="s">
        <v>79</v>
      </c>
      <c r="O1" s="8" t="s">
        <v>80</v>
      </c>
      <c r="P1" s="1" t="s">
        <v>91</v>
      </c>
      <c r="Q1" s="8" t="s">
        <v>42</v>
      </c>
      <c r="R1" s="4" t="s">
        <v>43</v>
      </c>
      <c r="S1" s="4" t="s">
        <v>44</v>
      </c>
      <c r="T1" s="3" t="s">
        <v>81</v>
      </c>
      <c r="U1" s="3" t="s">
        <v>82</v>
      </c>
      <c r="V1" s="3" t="s">
        <v>1</v>
      </c>
      <c r="W1" s="3" t="s">
        <v>2</v>
      </c>
      <c r="X1" s="3" t="s">
        <v>9</v>
      </c>
      <c r="Y1" s="3" t="s">
        <v>8</v>
      </c>
      <c r="Z1" s="3" t="s">
        <v>11</v>
      </c>
      <c r="AA1" s="3" t="s">
        <v>18</v>
      </c>
      <c r="AB1" s="3" t="s">
        <v>92</v>
      </c>
      <c r="AC1" s="3" t="s">
        <v>84</v>
      </c>
      <c r="AD1" s="3" t="s">
        <v>85</v>
      </c>
      <c r="AE1" s="3" t="s">
        <v>90</v>
      </c>
    </row>
    <row r="2" spans="1:31" x14ac:dyDescent="0.2">
      <c r="A2">
        <v>0</v>
      </c>
      <c r="B2">
        <v>5.3860000000000001</v>
      </c>
      <c r="C2">
        <v>1E-3</v>
      </c>
      <c r="D2">
        <v>103.71</v>
      </c>
      <c r="E2">
        <v>1E-3</v>
      </c>
      <c r="F2">
        <v>103.81399999999999</v>
      </c>
      <c r="G2">
        <v>1E-3</v>
      </c>
      <c r="H2">
        <v>18.829999999999998</v>
      </c>
      <c r="I2">
        <v>5.0000000000000001E-3</v>
      </c>
      <c r="J2">
        <v>19.257000000000001</v>
      </c>
      <c r="K2">
        <v>5.0000000000000001E-3</v>
      </c>
      <c r="L2" s="1">
        <f>D2-B2</f>
        <v>98.323999999999998</v>
      </c>
      <c r="M2" s="1">
        <f>SQRT(C2^2+E2^2)</f>
        <v>1.414213562373095E-3</v>
      </c>
      <c r="N2" s="1">
        <f>F2-D2</f>
        <v>0.1039999999999992</v>
      </c>
      <c r="O2" s="1">
        <f>SQRT(G2^2+E2^2)</f>
        <v>1.414213562373095E-3</v>
      </c>
      <c r="P2" s="1">
        <f>J2-H2</f>
        <v>0.42700000000000315</v>
      </c>
      <c r="Q2" s="1">
        <f>SQRT(K2^2+I2^2)</f>
        <v>7.0710678118654753E-3</v>
      </c>
      <c r="R2" s="5">
        <v>4.1840000000000002</v>
      </c>
      <c r="S2" s="5">
        <v>4.0000000000000001E-3</v>
      </c>
      <c r="T2" s="1">
        <f>-R2*L2*P2/N2/1000</f>
        <v>-1.6890626156923332</v>
      </c>
      <c r="U2" s="1">
        <f>SQRT(SUMSQ(X2:AB2))/ABS(N2)/1000</f>
        <v>3.6228522152687057E-2</v>
      </c>
      <c r="V2" s="1" t="str">
        <f>"("&amp;TEXT(T2,"0.000")&amp;"±"&amp;TEXT(U2,"0.000")&amp;")"</f>
        <v>(-1.689±0.036)</v>
      </c>
      <c r="W2" s="1" t="s">
        <v>83</v>
      </c>
      <c r="X2" s="1">
        <f>-M2*R2*P2</f>
        <v>-2.5265886957017941E-3</v>
      </c>
      <c r="Y2" s="1">
        <f>-S2*L2*P2</f>
        <v>-0.16793739200000124</v>
      </c>
      <c r="Z2" s="1">
        <f>-K2*R2*L2</f>
        <v>-2.0569380800000001</v>
      </c>
      <c r="AA2" s="1">
        <f>I2*R2*L2</f>
        <v>2.0569380800000001</v>
      </c>
      <c r="AB2" s="1">
        <f>O2*R2*L2*P2/N2</f>
        <v>2.3886952588094723</v>
      </c>
      <c r="AC2" s="1">
        <v>-160</v>
      </c>
      <c r="AD2" s="1">
        <v>95.21</v>
      </c>
      <c r="AE2" s="1">
        <f>AC2*1000/AD2</f>
        <v>-1680.4957462451425</v>
      </c>
    </row>
    <row r="3" spans="1:31" x14ac:dyDescent="0.2">
      <c r="A3">
        <v>1</v>
      </c>
      <c r="B3">
        <v>5.1189999999999998</v>
      </c>
      <c r="C3">
        <v>1E-3</v>
      </c>
      <c r="D3">
        <v>99.045000000000002</v>
      </c>
      <c r="E3">
        <v>1E-3</v>
      </c>
      <c r="F3">
        <v>99.147999999999996</v>
      </c>
      <c r="G3">
        <v>1E-3</v>
      </c>
      <c r="H3">
        <v>18.904</v>
      </c>
      <c r="I3">
        <v>5.0000000000000001E-3</v>
      </c>
      <c r="J3">
        <v>18.96</v>
      </c>
      <c r="K3">
        <v>5.0000000000000001E-3</v>
      </c>
      <c r="L3" s="1">
        <f t="shared" ref="L3:L6" si="0">D3-B3</f>
        <v>93.926000000000002</v>
      </c>
      <c r="M3" s="1">
        <f t="shared" ref="M3:M6" si="1">SQRT(C3^2+E3^2)</f>
        <v>1.414213562373095E-3</v>
      </c>
      <c r="N3" s="1">
        <f t="shared" ref="N3:N6" si="2">F3-D3</f>
        <v>0.10299999999999443</v>
      </c>
      <c r="O3" s="1">
        <f t="shared" ref="O3:O6" si="3">SQRT(G3^2+E3^2)</f>
        <v>1.414213562373095E-3</v>
      </c>
      <c r="P3" s="1">
        <f t="shared" ref="P3:P6" si="4">J3-H3</f>
        <v>5.6000000000000938E-2</v>
      </c>
      <c r="Q3" s="1">
        <f t="shared" ref="Q3:Q6" si="5">SQRT(K3^2+I3^2)</f>
        <v>7.0710678118654753E-3</v>
      </c>
      <c r="R3" s="5">
        <v>4.1840000000000002</v>
      </c>
      <c r="S3" s="5">
        <v>4.0000000000000001E-3</v>
      </c>
      <c r="T3" s="1">
        <f t="shared" ref="T3:T6" si="6">-R3*L3*P3/N3/1000</f>
        <v>-0.21366250003885012</v>
      </c>
      <c r="U3" s="1">
        <f t="shared" ref="U3:U6" si="7">SQRT(SUMSQ(X3:AB3))/ABS(N3)/1000</f>
        <v>2.7138763585861828E-2</v>
      </c>
      <c r="V3" s="1" t="str">
        <f t="shared" ref="V3:V6" si="8">"("&amp;TEXT(T3,"0.000")&amp;"±"&amp;TEXT(U3,"0.000")&amp;")"</f>
        <v>(-0.214±0.027)</v>
      </c>
      <c r="W3" s="1" t="s">
        <v>86</v>
      </c>
      <c r="X3" s="1">
        <f t="shared" ref="X3:X6" si="9">-M3*R3*P3</f>
        <v>-3.3135589451827122E-4</v>
      </c>
      <c r="Y3" s="1">
        <f t="shared" ref="Y3:Y6" si="10">-S3*L3*P3</f>
        <v>-2.1039424000000355E-2</v>
      </c>
      <c r="Z3" s="1">
        <f t="shared" ref="Z3:Z6" si="11">-K3*R3*L3</f>
        <v>-1.9649319200000002</v>
      </c>
      <c r="AA3" s="1">
        <f t="shared" ref="AA3:AA6" si="12">I3*R3*L3</f>
        <v>1.9649319200000002</v>
      </c>
      <c r="AB3" s="1">
        <f t="shared" ref="AB3:AB6" si="13">O3*R3*L3*P3/N3</f>
        <v>0.30216440532548372</v>
      </c>
      <c r="AC3" s="1">
        <v>-17.32</v>
      </c>
      <c r="AD3" s="1">
        <v>82.03</v>
      </c>
      <c r="AE3" s="1">
        <f t="shared" ref="AE3:AE6" si="14">AC3*1000/AD3</f>
        <v>-211.14226502499085</v>
      </c>
    </row>
    <row r="4" spans="1:31" x14ac:dyDescent="0.2">
      <c r="A4">
        <v>2</v>
      </c>
      <c r="B4">
        <v>4.9349999999999996</v>
      </c>
      <c r="C4">
        <v>1E-3</v>
      </c>
      <c r="D4">
        <v>106.32</v>
      </c>
      <c r="E4">
        <v>1E-3</v>
      </c>
      <c r="F4">
        <v>106.446</v>
      </c>
      <c r="G4">
        <v>1E-3</v>
      </c>
      <c r="H4">
        <v>18.63</v>
      </c>
      <c r="I4">
        <v>5.0000000000000001E-3</v>
      </c>
      <c r="J4">
        <v>18.587</v>
      </c>
      <c r="K4">
        <v>5.0000000000000001E-3</v>
      </c>
      <c r="L4" s="1">
        <f t="shared" si="0"/>
        <v>101.38499999999999</v>
      </c>
      <c r="M4" s="1">
        <f t="shared" si="1"/>
        <v>1.414213562373095E-3</v>
      </c>
      <c r="N4" s="1">
        <f t="shared" si="2"/>
        <v>0.12600000000000477</v>
      </c>
      <c r="O4" s="1">
        <f t="shared" si="3"/>
        <v>1.414213562373095E-3</v>
      </c>
      <c r="P4" s="1">
        <f t="shared" si="4"/>
        <v>-4.2999999999999261E-2</v>
      </c>
      <c r="Q4" s="1">
        <f t="shared" si="5"/>
        <v>7.0710678118654753E-3</v>
      </c>
      <c r="R4" s="5">
        <v>4.1840000000000002</v>
      </c>
      <c r="S4" s="5">
        <v>4.0000000000000001E-3</v>
      </c>
      <c r="T4" s="1">
        <f t="shared" si="6"/>
        <v>0.14476490571427775</v>
      </c>
      <c r="U4" s="1">
        <f t="shared" si="7"/>
        <v>2.3861426267769156E-2</v>
      </c>
      <c r="V4" s="1" t="str">
        <f t="shared" si="8"/>
        <v>(0.145±0.024)</v>
      </c>
      <c r="W4" s="1" t="s">
        <v>87</v>
      </c>
      <c r="X4" s="1">
        <f t="shared" si="9"/>
        <v>2.5443399043366388E-4</v>
      </c>
      <c r="Y4" s="1">
        <f t="shared" si="10"/>
        <v>1.7438219999999699E-2</v>
      </c>
      <c r="Z4" s="1">
        <f t="shared" si="11"/>
        <v>-2.1209742</v>
      </c>
      <c r="AA4" s="1">
        <f t="shared" si="12"/>
        <v>2.1209742</v>
      </c>
      <c r="AB4" s="1">
        <f t="shared" si="13"/>
        <v>-0.20472849301679391</v>
      </c>
      <c r="AC4" s="1">
        <v>19.66</v>
      </c>
      <c r="AD4" s="1">
        <v>136.08000000000001</v>
      </c>
      <c r="AE4" s="1">
        <f t="shared" si="14"/>
        <v>144.47383891828335</v>
      </c>
    </row>
    <row r="5" spans="1:31" x14ac:dyDescent="0.2">
      <c r="A5">
        <v>3</v>
      </c>
      <c r="B5">
        <v>5.4470000000000001</v>
      </c>
      <c r="C5">
        <v>1E-3</v>
      </c>
      <c r="D5">
        <v>107.884</v>
      </c>
      <c r="E5">
        <v>1E-3</v>
      </c>
      <c r="F5">
        <v>108.023</v>
      </c>
      <c r="G5">
        <v>1E-3</v>
      </c>
      <c r="H5">
        <v>18.736999999999998</v>
      </c>
      <c r="I5">
        <v>5.0000000000000001E-3</v>
      </c>
      <c r="J5">
        <v>19.07</v>
      </c>
      <c r="K5">
        <v>5.0000000000000001E-3</v>
      </c>
      <c r="L5" s="1">
        <f t="shared" si="0"/>
        <v>102.437</v>
      </c>
      <c r="M5" s="1">
        <f t="shared" si="1"/>
        <v>1.414213562373095E-3</v>
      </c>
      <c r="N5" s="1">
        <f t="shared" si="2"/>
        <v>0.13899999999999579</v>
      </c>
      <c r="O5" s="1">
        <f t="shared" si="3"/>
        <v>1.414213562373095E-3</v>
      </c>
      <c r="P5" s="1">
        <f t="shared" si="4"/>
        <v>0.33300000000000196</v>
      </c>
      <c r="Q5" s="1">
        <f t="shared" si="5"/>
        <v>7.0710678118654753E-3</v>
      </c>
      <c r="R5" s="5">
        <v>4.1840000000000002</v>
      </c>
      <c r="S5" s="5">
        <v>4.0000000000000001E-3</v>
      </c>
      <c r="T5" s="1">
        <f t="shared" si="6"/>
        <v>-1.026781322762627</v>
      </c>
      <c r="U5" s="1">
        <f t="shared" si="7"/>
        <v>2.4196550838434239E-2</v>
      </c>
      <c r="V5" s="1" t="str">
        <f t="shared" si="8"/>
        <v>(-1.027±0.024)</v>
      </c>
      <c r="W5" s="1" t="s">
        <v>88</v>
      </c>
      <c r="X5" s="1">
        <f t="shared" si="9"/>
        <v>-1.9703841584746986E-3</v>
      </c>
      <c r="Y5" s="1">
        <f t="shared" si="10"/>
        <v>-0.1364460840000008</v>
      </c>
      <c r="Z5" s="1">
        <f t="shared" si="11"/>
        <v>-2.1429820400000001</v>
      </c>
      <c r="AA5" s="1">
        <f t="shared" si="12"/>
        <v>2.1429820400000001</v>
      </c>
      <c r="AB5" s="1">
        <f t="shared" si="13"/>
        <v>1.4520880722422935</v>
      </c>
      <c r="AC5" s="1">
        <v>-57.61</v>
      </c>
      <c r="AD5" s="1">
        <v>56.11</v>
      </c>
      <c r="AE5" s="1">
        <f t="shared" si="14"/>
        <v>-1026.733202637676</v>
      </c>
    </row>
    <row r="6" spans="1:31" x14ac:dyDescent="0.2">
      <c r="A6" t="s">
        <v>14</v>
      </c>
      <c r="B6">
        <v>5.1870000000000003</v>
      </c>
      <c r="C6">
        <v>1E-3</v>
      </c>
      <c r="D6">
        <v>107.367</v>
      </c>
      <c r="E6">
        <v>1E-3</v>
      </c>
      <c r="F6">
        <v>107.504</v>
      </c>
      <c r="G6">
        <v>1E-3</v>
      </c>
      <c r="H6">
        <v>18.599</v>
      </c>
      <c r="I6">
        <v>5.0000000000000001E-3</v>
      </c>
      <c r="J6">
        <v>18.545000000000002</v>
      </c>
      <c r="K6">
        <v>5.0000000000000001E-3</v>
      </c>
      <c r="L6" s="1">
        <f t="shared" si="0"/>
        <v>102.18</v>
      </c>
      <c r="M6" s="1">
        <f t="shared" si="1"/>
        <v>1.414213562373095E-3</v>
      </c>
      <c r="N6" s="1">
        <f t="shared" si="2"/>
        <v>0.13700000000000045</v>
      </c>
      <c r="O6" s="1">
        <f t="shared" si="3"/>
        <v>1.414213562373095E-3</v>
      </c>
      <c r="P6" s="1">
        <f t="shared" si="4"/>
        <v>-5.3999999999998494E-2</v>
      </c>
      <c r="Q6" s="1">
        <f t="shared" si="5"/>
        <v>7.0710678118654753E-3</v>
      </c>
      <c r="R6" s="5">
        <v>4.1840000000000002</v>
      </c>
      <c r="S6" s="5">
        <v>4.0000000000000001E-3</v>
      </c>
      <c r="T6" s="1">
        <f t="shared" si="6"/>
        <v>0.16851197430656409</v>
      </c>
      <c r="U6" s="1">
        <f t="shared" si="7"/>
        <v>2.2134963021053975E-2</v>
      </c>
      <c r="V6" s="1" t="str">
        <f t="shared" si="8"/>
        <v>(0.169±0.022)</v>
      </c>
      <c r="W6" s="1" t="s">
        <v>89</v>
      </c>
      <c r="X6" s="1">
        <f t="shared" si="9"/>
        <v>3.1952175542831866E-4</v>
      </c>
      <c r="Y6" s="1">
        <f t="shared" si="10"/>
        <v>2.2070879999999387E-2</v>
      </c>
      <c r="Z6" s="1">
        <f t="shared" si="11"/>
        <v>-2.1376056000000001</v>
      </c>
      <c r="AA6" s="1">
        <f t="shared" si="12"/>
        <v>2.1376056000000001</v>
      </c>
      <c r="AB6" s="1">
        <f t="shared" si="13"/>
        <v>-0.23831191948660946</v>
      </c>
      <c r="AC6" s="1">
        <v>19.87</v>
      </c>
      <c r="AD6" s="1">
        <v>119</v>
      </c>
      <c r="AE6" s="1">
        <f t="shared" si="14"/>
        <v>166.9747899159664</v>
      </c>
    </row>
    <row r="7" spans="1:31" x14ac:dyDescent="0.2">
      <c r="T7" s="5"/>
      <c r="U7" s="5"/>
      <c r="V7" s="5"/>
      <c r="W7" s="5"/>
      <c r="X7" s="5"/>
      <c r="Y7" s="5"/>
      <c r="Z7" s="5"/>
      <c r="AA7" s="5"/>
      <c r="AB7" s="5"/>
    </row>
    <row r="8" spans="1:31" x14ac:dyDescent="0.2">
      <c r="T8" s="5"/>
      <c r="U8" s="5"/>
      <c r="V8" s="5"/>
      <c r="W8" s="5"/>
      <c r="X8" s="5"/>
      <c r="Y8" s="5"/>
      <c r="Z8" s="5"/>
      <c r="AA8" s="5"/>
      <c r="AB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8"/>
  <sheetViews>
    <sheetView workbookViewId="0">
      <selection activeCell="A2" sqref="A2"/>
    </sheetView>
  </sheetViews>
  <sheetFormatPr baseColWidth="10" defaultRowHeight="16" x14ac:dyDescent="0.2"/>
  <cols>
    <col min="2" max="7" width="10.83203125" style="7"/>
  </cols>
  <sheetData>
    <row r="1" spans="1:37" x14ac:dyDescent="0.2">
      <c r="A1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47</v>
      </c>
      <c r="G1" s="7" t="s">
        <v>48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26</v>
      </c>
      <c r="O1" t="s">
        <v>28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30</v>
      </c>
      <c r="W1" t="s">
        <v>31</v>
      </c>
      <c r="X1" t="s">
        <v>55</v>
      </c>
      <c r="Y1" t="s">
        <v>56</v>
      </c>
      <c r="Z1" t="s">
        <v>43</v>
      </c>
      <c r="AA1" t="s">
        <v>44</v>
      </c>
      <c r="AB1" t="s">
        <v>57</v>
      </c>
      <c r="AC1" t="s">
        <v>58</v>
      </c>
      <c r="AD1" t="s">
        <v>1</v>
      </c>
      <c r="AE1" t="s">
        <v>16</v>
      </c>
      <c r="AF1" t="s">
        <v>17</v>
      </c>
      <c r="AG1" t="s">
        <v>18</v>
      </c>
      <c r="AH1" t="s">
        <v>8</v>
      </c>
      <c r="AI1" t="s">
        <v>9</v>
      </c>
      <c r="AJ1" t="s">
        <v>11</v>
      </c>
      <c r="AK1" t="s">
        <v>19</v>
      </c>
    </row>
    <row r="2" spans="1:37" x14ac:dyDescent="0.2">
      <c r="A2">
        <v>0</v>
      </c>
      <c r="B2" s="7">
        <v>5.1870000000000003</v>
      </c>
      <c r="C2" s="7">
        <v>1E-3</v>
      </c>
      <c r="D2" s="7">
        <v>45.248999999999995</v>
      </c>
      <c r="E2" s="7">
        <v>1E-3</v>
      </c>
      <c r="F2" s="7">
        <v>68.94</v>
      </c>
      <c r="G2" s="7">
        <v>1E-3</v>
      </c>
      <c r="H2">
        <v>55.9</v>
      </c>
      <c r="I2">
        <v>0.3</v>
      </c>
      <c r="J2">
        <v>-8.6999999999999993</v>
      </c>
      <c r="K2">
        <v>2</v>
      </c>
      <c r="L2">
        <v>8.1999999999999993</v>
      </c>
      <c r="M2">
        <v>0.3</v>
      </c>
      <c r="N2" s="1">
        <f>D2-B2</f>
        <v>40.061999999999998</v>
      </c>
      <c r="O2" s="1">
        <f>SQRT(E2^2+C2^2)</f>
        <v>1.414213562373095E-3</v>
      </c>
      <c r="P2" s="1">
        <f>F2-D2</f>
        <v>23.691000000000003</v>
      </c>
      <c r="Q2" s="1">
        <f>SQRT(G2^2+E2^2)</f>
        <v>1.414213562373095E-3</v>
      </c>
      <c r="R2" s="1">
        <f>0-J2</f>
        <v>8.6999999999999993</v>
      </c>
      <c r="S2" s="1">
        <f>K2</f>
        <v>2</v>
      </c>
      <c r="T2" s="1">
        <f>L2-0</f>
        <v>8.1999999999999993</v>
      </c>
      <c r="U2" s="1">
        <f>M2</f>
        <v>0.3</v>
      </c>
      <c r="V2" s="1">
        <f>L2-H2</f>
        <v>-47.7</v>
      </c>
      <c r="W2" s="1">
        <f>SQRT(I2^2+M2^2)</f>
        <v>0.42426406871192851</v>
      </c>
      <c r="X2" s="1">
        <f>(P2*AB2*J2-Z2*(P2*L2+N2*V2))/P2</f>
        <v>285.1709409395973</v>
      </c>
      <c r="Y2" s="1">
        <f t="shared" ref="Y2:Y8" si="0">SQRT(SUMSQ(AE2:AK2))/ABS(P2)</f>
        <v>5.7625446916473511</v>
      </c>
      <c r="Z2">
        <v>4.1840000000000002</v>
      </c>
      <c r="AA2">
        <v>4.0000000000000001E-3</v>
      </c>
      <c r="AB2">
        <v>2.0699999999999998</v>
      </c>
      <c r="AC2">
        <v>0.03</v>
      </c>
      <c r="AD2" s="1" t="str">
        <f>"("&amp;TEXT(X2,"0.0")&amp;"±"&amp;TEXT(Y2,"0.0")&amp;")"</f>
        <v>(285.2±5.8)</v>
      </c>
      <c r="AE2" s="1">
        <f>Q2*Z2*N2*V2/P2</f>
        <v>-0.47728115458499842</v>
      </c>
      <c r="AF2" s="1">
        <f>AC2*P2*J2</f>
        <v>-6.183351</v>
      </c>
      <c r="AG2" s="1">
        <f>K2*P2*AB2</f>
        <v>98.080740000000006</v>
      </c>
      <c r="AH2" s="1">
        <f>-AA2*(P2*L2+N2*V2)</f>
        <v>6.8667648000000003</v>
      </c>
      <c r="AI2" s="1">
        <f>-O2*Z2*V2</f>
        <v>0.28224421729502275</v>
      </c>
      <c r="AJ2" s="1">
        <f>-M2*Z2*(N2+P2)</f>
        <v>-80.0227656</v>
      </c>
      <c r="AK2" s="1">
        <f>I2*Z2*N2</f>
        <v>50.285822400000001</v>
      </c>
    </row>
    <row r="3" spans="1:37" x14ac:dyDescent="0.2">
      <c r="A3">
        <v>1</v>
      </c>
      <c r="B3" s="7">
        <v>4.9550000000000001</v>
      </c>
      <c r="C3" s="7">
        <v>1E-3</v>
      </c>
      <c r="D3" s="7">
        <v>49.231000000000002</v>
      </c>
      <c r="E3" s="7">
        <v>1E-3</v>
      </c>
      <c r="F3" s="7">
        <v>67.844999999999999</v>
      </c>
      <c r="G3" s="7">
        <v>1E-3</v>
      </c>
      <c r="H3">
        <v>57.2</v>
      </c>
      <c r="I3">
        <v>0.3</v>
      </c>
      <c r="J3">
        <v>-8.1999999999999993</v>
      </c>
      <c r="K3">
        <v>2</v>
      </c>
      <c r="L3">
        <v>18.5</v>
      </c>
      <c r="M3">
        <v>0.3</v>
      </c>
      <c r="N3" s="1">
        <f t="shared" ref="N3:N8" si="1">D3-B3</f>
        <v>44.276000000000003</v>
      </c>
      <c r="O3" s="1">
        <f t="shared" ref="O3:O8" si="2">SQRT(E3^2+C3^2)</f>
        <v>1.414213562373095E-3</v>
      </c>
      <c r="P3" s="1">
        <f t="shared" ref="P3:P8" si="3">F3-D3</f>
        <v>18.613999999999997</v>
      </c>
      <c r="Q3" s="1">
        <f t="shared" ref="Q3:Q8" si="4">SQRT(G3^2+E3^2)</f>
        <v>1.414213562373095E-3</v>
      </c>
      <c r="R3" s="1">
        <f t="shared" ref="R3:R8" si="5">0-J3</f>
        <v>8.1999999999999993</v>
      </c>
      <c r="S3" s="1">
        <f t="shared" ref="S3:S8" si="6">K3</f>
        <v>2</v>
      </c>
      <c r="T3" s="1">
        <f t="shared" ref="T3:T8" si="7">L3-0</f>
        <v>18.5</v>
      </c>
      <c r="U3" s="1">
        <f t="shared" ref="U3:U8" si="8">M3</f>
        <v>0.3</v>
      </c>
      <c r="V3" s="1">
        <f t="shared" ref="V3:V8" si="9">L3-H3</f>
        <v>-38.700000000000003</v>
      </c>
      <c r="W3" s="1">
        <f t="shared" ref="W3:W8" si="10">SQRT(I3^2+M3^2)</f>
        <v>0.42426406871192851</v>
      </c>
      <c r="X3" s="1">
        <f t="shared" ref="X3:X8" si="11">(P3*AB3*J3-Z3*(P3*L3+N3*V3))/P3</f>
        <v>290.77324856559591</v>
      </c>
      <c r="Y3" s="1">
        <f t="shared" si="0"/>
        <v>6.6473204027223085</v>
      </c>
      <c r="Z3">
        <v>4.1840000000000002</v>
      </c>
      <c r="AA3">
        <v>4.0000000000000001E-3</v>
      </c>
      <c r="AB3">
        <v>2.0699999999999998</v>
      </c>
      <c r="AC3">
        <v>0.03</v>
      </c>
      <c r="AD3" s="1" t="str">
        <f t="shared" ref="AD3:AD8" si="12">"("&amp;TEXT(X3,"0.0")&amp;"±"&amp;TEXT(Y3,"0.0")&amp;")"</f>
        <v>(290.8±6.6)</v>
      </c>
      <c r="AE3" s="1">
        <f t="shared" ref="AE3:AE8" si="13">Q3*Z3*N3*V3/P3</f>
        <v>-0.54468611928639687</v>
      </c>
      <c r="AF3" s="1">
        <f t="shared" ref="AF3:AF8" si="14">AC3*P3*J3</f>
        <v>-4.5790439999999988</v>
      </c>
      <c r="AG3" s="1">
        <f t="shared" ref="AG3:AG8" si="15">K3*P3*AB3</f>
        <v>77.061959999999985</v>
      </c>
      <c r="AH3" s="1">
        <f t="shared" ref="AH3:AH8" si="16">-AA3*(P3*L3+N3*V3)</f>
        <v>5.4764888000000012</v>
      </c>
      <c r="AI3" s="1">
        <f t="shared" ref="AI3:AI8" si="17">-O3*Z3*V3</f>
        <v>0.22899059139030145</v>
      </c>
      <c r="AJ3" s="1">
        <f t="shared" ref="AJ3:AJ8" si="18">-M3*Z3*(N3+P3)</f>
        <v>-78.93952800000001</v>
      </c>
      <c r="AK3" s="1">
        <f t="shared" ref="AK3:AK8" si="19">I3*Z3*N3</f>
        <v>55.575235200000009</v>
      </c>
    </row>
    <row r="4" spans="1:37" x14ac:dyDescent="0.2">
      <c r="A4">
        <v>2</v>
      </c>
      <c r="B4" s="7">
        <v>4.859</v>
      </c>
      <c r="C4" s="7">
        <v>1E-3</v>
      </c>
      <c r="D4" s="7">
        <v>49.748000000000005</v>
      </c>
      <c r="E4" s="7">
        <v>1E-3</v>
      </c>
      <c r="F4" s="7">
        <v>63.658000000000001</v>
      </c>
      <c r="G4" s="7">
        <v>1E-3</v>
      </c>
      <c r="H4">
        <v>56.7</v>
      </c>
      <c r="I4">
        <v>0.3</v>
      </c>
      <c r="J4">
        <v>-7.9</v>
      </c>
      <c r="K4">
        <v>2</v>
      </c>
      <c r="L4">
        <v>26.5</v>
      </c>
      <c r="M4">
        <v>0.3</v>
      </c>
      <c r="N4" s="1">
        <f t="shared" si="1"/>
        <v>44.889000000000003</v>
      </c>
      <c r="O4" s="1">
        <f t="shared" si="2"/>
        <v>1.414213562373095E-3</v>
      </c>
      <c r="P4" s="1">
        <f t="shared" si="3"/>
        <v>13.909999999999997</v>
      </c>
      <c r="Q4" s="1">
        <f t="shared" si="4"/>
        <v>1.414213562373095E-3</v>
      </c>
      <c r="R4" s="1">
        <f t="shared" si="5"/>
        <v>7.9</v>
      </c>
      <c r="S4" s="1">
        <f t="shared" si="6"/>
        <v>2</v>
      </c>
      <c r="T4" s="1">
        <f t="shared" si="7"/>
        <v>26.5</v>
      </c>
      <c r="U4" s="1">
        <f t="shared" si="8"/>
        <v>0.3</v>
      </c>
      <c r="V4" s="1">
        <f t="shared" si="9"/>
        <v>-30.200000000000003</v>
      </c>
      <c r="W4" s="1">
        <f t="shared" si="10"/>
        <v>0.42426406871192851</v>
      </c>
      <c r="X4" s="1">
        <f t="shared" si="11"/>
        <v>280.537383551402</v>
      </c>
      <c r="Y4" s="1">
        <f t="shared" si="0"/>
        <v>7.863726900138154</v>
      </c>
      <c r="Z4">
        <v>4.1840000000000002</v>
      </c>
      <c r="AA4">
        <v>4.0000000000000001E-3</v>
      </c>
      <c r="AB4">
        <v>2.0699999999999998</v>
      </c>
      <c r="AC4">
        <v>0.03</v>
      </c>
      <c r="AD4" s="1" t="str">
        <f t="shared" si="12"/>
        <v>(280.5±7.9)</v>
      </c>
      <c r="AE4" s="1">
        <f t="shared" si="13"/>
        <v>-0.57666874989822214</v>
      </c>
      <c r="AF4" s="1">
        <f t="shared" si="14"/>
        <v>-3.2966699999999993</v>
      </c>
      <c r="AG4" s="1">
        <f t="shared" si="15"/>
        <v>57.587399999999981</v>
      </c>
      <c r="AH4" s="1">
        <f t="shared" si="16"/>
        <v>3.9481312000000011</v>
      </c>
      <c r="AI4" s="1">
        <f t="shared" si="17"/>
        <v>0.17869550025806472</v>
      </c>
      <c r="AJ4" s="1">
        <f t="shared" si="18"/>
        <v>-73.804504800000004</v>
      </c>
      <c r="AK4" s="1">
        <f t="shared" si="19"/>
        <v>56.344672800000005</v>
      </c>
    </row>
    <row r="5" spans="1:37" x14ac:dyDescent="0.2">
      <c r="A5">
        <v>3</v>
      </c>
      <c r="B5" s="7">
        <v>4.83</v>
      </c>
      <c r="C5" s="7">
        <v>1E-3</v>
      </c>
      <c r="D5" s="7">
        <v>61.698</v>
      </c>
      <c r="E5" s="7">
        <v>1E-3</v>
      </c>
      <c r="F5" s="7">
        <v>84.84</v>
      </c>
      <c r="G5" s="7">
        <v>1E-3</v>
      </c>
      <c r="H5">
        <v>57.6</v>
      </c>
      <c r="I5">
        <v>0.3</v>
      </c>
      <c r="J5">
        <v>-9.4</v>
      </c>
      <c r="K5">
        <v>2</v>
      </c>
      <c r="L5">
        <v>21.4</v>
      </c>
      <c r="M5">
        <v>0.3</v>
      </c>
      <c r="N5" s="1">
        <f t="shared" si="1"/>
        <v>56.868000000000002</v>
      </c>
      <c r="O5" s="1">
        <f t="shared" si="2"/>
        <v>1.414213562373095E-3</v>
      </c>
      <c r="P5" s="1">
        <f t="shared" si="3"/>
        <v>23.142000000000003</v>
      </c>
      <c r="Q5" s="1">
        <f t="shared" si="4"/>
        <v>1.414213562373095E-3</v>
      </c>
      <c r="R5" s="1">
        <f t="shared" si="5"/>
        <v>9.4</v>
      </c>
      <c r="S5" s="1">
        <f t="shared" si="6"/>
        <v>2</v>
      </c>
      <c r="T5" s="1">
        <f t="shared" si="7"/>
        <v>21.4</v>
      </c>
      <c r="U5" s="1">
        <f t="shared" si="8"/>
        <v>0.3</v>
      </c>
      <c r="V5" s="1">
        <f t="shared" si="9"/>
        <v>-36.200000000000003</v>
      </c>
      <c r="W5" s="1">
        <f t="shared" si="10"/>
        <v>0.42426406871192851</v>
      </c>
      <c r="X5" s="1">
        <f t="shared" si="11"/>
        <v>263.19663811252269</v>
      </c>
      <c r="Y5" s="1">
        <f t="shared" si="0"/>
        <v>6.7556924582153757</v>
      </c>
      <c r="Z5">
        <v>4.1840000000000002</v>
      </c>
      <c r="AA5">
        <v>4.0000000000000001E-3</v>
      </c>
      <c r="AB5">
        <v>2.0699999999999998</v>
      </c>
      <c r="AC5">
        <v>0.03</v>
      </c>
      <c r="AD5" s="1" t="str">
        <f t="shared" si="12"/>
        <v>(263.2±6.8)</v>
      </c>
      <c r="AE5" s="1">
        <f t="shared" si="13"/>
        <v>-0.5263593109487259</v>
      </c>
      <c r="AF5" s="1">
        <f t="shared" si="14"/>
        <v>-6.5260440000000015</v>
      </c>
      <c r="AG5" s="1">
        <f t="shared" si="15"/>
        <v>95.807880000000011</v>
      </c>
      <c r="AH5" s="1">
        <f t="shared" si="16"/>
        <v>6.2535312000000012</v>
      </c>
      <c r="AI5" s="1">
        <f t="shared" si="17"/>
        <v>0.21419791752787889</v>
      </c>
      <c r="AJ5" s="1">
        <f t="shared" si="18"/>
        <v>-100.42855200000001</v>
      </c>
      <c r="AK5" s="1">
        <f t="shared" si="19"/>
        <v>71.380713600000007</v>
      </c>
    </row>
    <row r="6" spans="1:37" x14ac:dyDescent="0.2">
      <c r="A6">
        <v>4</v>
      </c>
      <c r="B6" s="7">
        <v>5.1630000000000003</v>
      </c>
      <c r="C6" s="7">
        <v>1E-3</v>
      </c>
      <c r="D6" s="7">
        <v>57.756</v>
      </c>
      <c r="E6" s="7">
        <v>1E-3</v>
      </c>
      <c r="F6" s="7">
        <v>66.983999999999995</v>
      </c>
      <c r="G6" s="7">
        <v>1E-3</v>
      </c>
      <c r="H6">
        <v>56.1</v>
      </c>
      <c r="I6">
        <v>0.3</v>
      </c>
      <c r="J6">
        <v>-10.6</v>
      </c>
      <c r="K6">
        <v>2</v>
      </c>
      <c r="L6">
        <v>35.9</v>
      </c>
      <c r="M6">
        <v>0.3</v>
      </c>
      <c r="N6" s="1">
        <f t="shared" si="1"/>
        <v>52.593000000000004</v>
      </c>
      <c r="O6" s="1">
        <f t="shared" si="2"/>
        <v>1.414213562373095E-3</v>
      </c>
      <c r="P6" s="1">
        <f t="shared" si="3"/>
        <v>9.2279999999999944</v>
      </c>
      <c r="Q6" s="1">
        <f t="shared" si="4"/>
        <v>1.414213562373095E-3</v>
      </c>
      <c r="R6" s="1">
        <f t="shared" si="5"/>
        <v>10.6</v>
      </c>
      <c r="S6" s="1">
        <f t="shared" si="6"/>
        <v>2</v>
      </c>
      <c r="T6" s="1">
        <f t="shared" si="7"/>
        <v>35.9</v>
      </c>
      <c r="U6" s="1">
        <f t="shared" si="8"/>
        <v>0.3</v>
      </c>
      <c r="V6" s="1">
        <f t="shared" si="9"/>
        <v>-20.200000000000003</v>
      </c>
      <c r="W6" s="1">
        <f t="shared" si="10"/>
        <v>0.42426406871192851</v>
      </c>
      <c r="X6" s="1">
        <f t="shared" si="11"/>
        <v>309.53771235370652</v>
      </c>
      <c r="Y6" s="1">
        <f t="shared" si="0"/>
        <v>11.799707895762614</v>
      </c>
      <c r="Z6">
        <v>4.1840000000000002</v>
      </c>
      <c r="AA6">
        <v>4.0000000000000001E-3</v>
      </c>
      <c r="AB6">
        <v>2.0699999999999998</v>
      </c>
      <c r="AC6">
        <v>0.03</v>
      </c>
      <c r="AD6" s="1" t="str">
        <f>"("&amp;TEXT(X6,"0")&amp;"±"&amp;TEXT(Y6,"0")&amp;")"</f>
        <v>(310±12)</v>
      </c>
      <c r="AE6" s="1">
        <f t="shared" si="13"/>
        <v>-0.68120590152653226</v>
      </c>
      <c r="AF6" s="1">
        <f t="shared" si="14"/>
        <v>-2.9345039999999978</v>
      </c>
      <c r="AG6" s="1">
        <f t="shared" si="15"/>
        <v>38.203919999999975</v>
      </c>
      <c r="AH6" s="1">
        <f t="shared" si="16"/>
        <v>2.9243736000000018</v>
      </c>
      <c r="AI6" s="1">
        <f t="shared" si="17"/>
        <v>0.11952480480837442</v>
      </c>
      <c r="AJ6" s="1">
        <f t="shared" si="18"/>
        <v>-77.5977192</v>
      </c>
      <c r="AK6" s="1">
        <f t="shared" si="19"/>
        <v>66.014733600000014</v>
      </c>
    </row>
    <row r="7" spans="1:37" x14ac:dyDescent="0.2">
      <c r="A7">
        <v>5</v>
      </c>
      <c r="B7" s="7">
        <v>4.8280000000000003</v>
      </c>
      <c r="C7" s="7">
        <v>1E-3</v>
      </c>
      <c r="D7" s="7">
        <v>52.752000000000002</v>
      </c>
      <c r="E7" s="7">
        <v>1E-3</v>
      </c>
      <c r="F7" s="7">
        <v>73.492000000000004</v>
      </c>
      <c r="G7" s="7">
        <v>1E-3</v>
      </c>
      <c r="H7">
        <v>55.6</v>
      </c>
      <c r="I7">
        <v>0.3</v>
      </c>
      <c r="J7">
        <v>-9.9</v>
      </c>
      <c r="K7">
        <v>2</v>
      </c>
      <c r="L7">
        <v>16.3</v>
      </c>
      <c r="M7">
        <v>0.3</v>
      </c>
      <c r="N7" s="1">
        <f t="shared" si="1"/>
        <v>47.923999999999999</v>
      </c>
      <c r="O7" s="1">
        <f t="shared" si="2"/>
        <v>1.414213562373095E-3</v>
      </c>
      <c r="P7" s="1">
        <f t="shared" si="3"/>
        <v>20.740000000000002</v>
      </c>
      <c r="Q7" s="1">
        <f t="shared" si="4"/>
        <v>1.414213562373095E-3</v>
      </c>
      <c r="R7" s="1">
        <f t="shared" si="5"/>
        <v>9.9</v>
      </c>
      <c r="S7" s="1">
        <f t="shared" si="6"/>
        <v>2</v>
      </c>
      <c r="T7" s="1">
        <f t="shared" si="7"/>
        <v>16.3</v>
      </c>
      <c r="U7" s="1">
        <f t="shared" si="8"/>
        <v>0.3</v>
      </c>
      <c r="V7" s="1">
        <f t="shared" si="9"/>
        <v>-39.299999999999997</v>
      </c>
      <c r="W7" s="1">
        <f t="shared" si="10"/>
        <v>0.42426406871192851</v>
      </c>
      <c r="X7" s="1">
        <f t="shared" si="11"/>
        <v>291.25962395371255</v>
      </c>
      <c r="Y7" s="1">
        <f t="shared" si="0"/>
        <v>6.5573397680665488</v>
      </c>
      <c r="Z7">
        <v>4.1840000000000002</v>
      </c>
      <c r="AA7">
        <v>4.0000000000000001E-3</v>
      </c>
      <c r="AB7">
        <v>2.0699999999999998</v>
      </c>
      <c r="AC7">
        <v>0.03</v>
      </c>
      <c r="AD7" s="1" t="str">
        <f t="shared" si="12"/>
        <v>(291.3±6.6)</v>
      </c>
      <c r="AE7" s="1">
        <f t="shared" si="13"/>
        <v>-0.53733302248373493</v>
      </c>
      <c r="AF7" s="1">
        <f t="shared" si="14"/>
        <v>-6.1597800000000014</v>
      </c>
      <c r="AG7" s="1">
        <f t="shared" si="15"/>
        <v>85.863600000000005</v>
      </c>
      <c r="AH7" s="1">
        <f t="shared" si="16"/>
        <v>6.1814047999999984</v>
      </c>
      <c r="AI7" s="1">
        <f t="shared" si="17"/>
        <v>0.23254083311728285</v>
      </c>
      <c r="AJ7" s="1">
        <f t="shared" si="18"/>
        <v>-86.187052800000004</v>
      </c>
      <c r="AK7" s="1">
        <f t="shared" si="19"/>
        <v>60.154204800000002</v>
      </c>
    </row>
    <row r="8" spans="1:37" x14ac:dyDescent="0.2">
      <c r="A8" t="s">
        <v>14</v>
      </c>
      <c r="B8" s="7">
        <v>5.2590000000000003</v>
      </c>
      <c r="C8" s="7">
        <v>1E-3</v>
      </c>
      <c r="D8" s="7">
        <v>60.853000000000002</v>
      </c>
      <c r="E8" s="7">
        <v>1E-3</v>
      </c>
      <c r="F8" s="7">
        <v>78.927000000000007</v>
      </c>
      <c r="G8" s="7">
        <v>1E-3</v>
      </c>
      <c r="H8">
        <v>54.9</v>
      </c>
      <c r="I8">
        <v>0.3</v>
      </c>
      <c r="J8">
        <v>-8.1999999999999993</v>
      </c>
      <c r="K8">
        <v>2</v>
      </c>
      <c r="L8">
        <v>21.1</v>
      </c>
      <c r="M8">
        <v>0.3</v>
      </c>
      <c r="N8" s="1">
        <f t="shared" si="1"/>
        <v>55.594000000000001</v>
      </c>
      <c r="O8" s="1">
        <f t="shared" si="2"/>
        <v>1.414213562373095E-3</v>
      </c>
      <c r="P8" s="1">
        <f t="shared" si="3"/>
        <v>18.074000000000005</v>
      </c>
      <c r="Q8" s="1">
        <f t="shared" si="4"/>
        <v>1.414213562373095E-3</v>
      </c>
      <c r="R8" s="1">
        <f t="shared" si="5"/>
        <v>8.1999999999999993</v>
      </c>
      <c r="S8" s="1">
        <f t="shared" si="6"/>
        <v>2</v>
      </c>
      <c r="T8" s="1">
        <f t="shared" si="7"/>
        <v>21.1</v>
      </c>
      <c r="U8" s="1">
        <f t="shared" si="8"/>
        <v>0.3</v>
      </c>
      <c r="V8" s="1">
        <f t="shared" si="9"/>
        <v>-33.799999999999997</v>
      </c>
      <c r="W8" s="1">
        <f t="shared" si="10"/>
        <v>0.42426406871192851</v>
      </c>
      <c r="X8" s="1">
        <f t="shared" si="11"/>
        <v>329.73635228505026</v>
      </c>
      <c r="Y8" s="1">
        <f t="shared" si="0"/>
        <v>7.6414643231135413</v>
      </c>
      <c r="Z8">
        <v>4.1840000000000002</v>
      </c>
      <c r="AA8">
        <v>4.0000000000000001E-3</v>
      </c>
      <c r="AB8">
        <v>2.0699999999999998</v>
      </c>
      <c r="AC8">
        <v>0.03</v>
      </c>
      <c r="AD8" s="1" t="str">
        <f t="shared" si="12"/>
        <v>(329.7±7.6)</v>
      </c>
      <c r="AE8" s="1">
        <f t="shared" si="13"/>
        <v>-0.61517264981551822</v>
      </c>
      <c r="AF8" s="1">
        <f t="shared" si="14"/>
        <v>-4.4462040000000007</v>
      </c>
      <c r="AG8" s="1">
        <f t="shared" si="15"/>
        <v>74.826360000000022</v>
      </c>
      <c r="AH8" s="1">
        <f t="shared" si="16"/>
        <v>5.9908631999999997</v>
      </c>
      <c r="AI8" s="1">
        <f t="shared" si="17"/>
        <v>0.19999695061995318</v>
      </c>
      <c r="AJ8" s="1">
        <f t="shared" si="18"/>
        <v>-92.468073600000011</v>
      </c>
      <c r="AK8" s="1">
        <f t="shared" si="19"/>
        <v>69.781588800000009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SourceA</vt:lpstr>
      <vt:lpstr>SourceB</vt:lpstr>
      <vt:lpstr>SourceC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Blanford</dc:creator>
  <cp:lastModifiedBy>Christopher Blanford</cp:lastModifiedBy>
  <dcterms:created xsi:type="dcterms:W3CDTF">2020-10-05T15:16:51Z</dcterms:created>
  <dcterms:modified xsi:type="dcterms:W3CDTF">2020-11-13T11:41:00Z</dcterms:modified>
</cp:coreProperties>
</file>