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rikanth\Downloads\"/>
    </mc:Choice>
  </mc:AlternateContent>
  <xr:revisionPtr revIDLastSave="0" documentId="13_ncr:1_{02414DD5-476D-47D8-99CE-2CDF75EF4B5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formation" sheetId="14" r:id="rId1"/>
    <sheet name="Price the bond basics" sheetId="2" r:id="rId2"/>
    <sheet name="Variable timeline" sheetId="1" r:id="rId3"/>
    <sheet name="Par_premium_discount" sheetId="3" r:id="rId4"/>
    <sheet name="Finding_YTM" sheetId="5" r:id="rId5"/>
    <sheet name="Duration Formula" sheetId="8" r:id="rId6"/>
    <sheet name="Convexity formula" sheetId="9" r:id="rId7"/>
    <sheet name="Duration_Convexity" sheetId="6" r:id="rId8"/>
    <sheet name="Graph_Duration_Convexity" sheetId="10" r:id="rId9"/>
    <sheet name="Immunize Part 1" sheetId="11" r:id="rId10"/>
    <sheet name="Immunize Part 2" sheetId="12" r:id="rId11"/>
  </sheets>
  <externalReferences>
    <externalReference r:id="rId12"/>
    <externalReference r:id="rId13"/>
  </externalReferences>
  <definedNames>
    <definedName name="solver_cvg" localSheetId="10" hidden="1">0.0001</definedName>
    <definedName name="solver_drv" localSheetId="10" hidden="1">2</definedName>
    <definedName name="solver_eng" localSheetId="10" hidden="1">1</definedName>
    <definedName name="solver_est" localSheetId="10" hidden="1">1</definedName>
    <definedName name="solver_itr" localSheetId="10" hidden="1">2147483647</definedName>
    <definedName name="solver_lhs1" localSheetId="10" hidden="1">'Immunize Part 2'!$I$13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10" hidden="1">1</definedName>
    <definedName name="solver_nod" localSheetId="10" hidden="1">2147483647</definedName>
    <definedName name="solver_num" localSheetId="10" hidden="1">0</definedName>
    <definedName name="solver_nwt" localSheetId="10" hidden="1">1</definedName>
    <definedName name="solver_pre" localSheetId="10" hidden="1">0.000001</definedName>
    <definedName name="solver_rbv" localSheetId="10" hidden="1">2</definedName>
    <definedName name="solver_rel1" localSheetId="10" hidden="1">2</definedName>
    <definedName name="solver_rhs1" localSheetId="10" hidden="1">1</definedName>
    <definedName name="solver_rlx" localSheetId="10" hidden="1">2</definedName>
    <definedName name="solver_rsd" localSheetId="10" hidden="1">0</definedName>
    <definedName name="solver_scl" localSheetId="10" hidden="1">2</definedName>
    <definedName name="solver_sho" localSheetId="10" hidden="1">2</definedName>
    <definedName name="solver_ssz" localSheetId="10" hidden="1">100</definedName>
    <definedName name="solver_tim" localSheetId="10" hidden="1">2147483647</definedName>
    <definedName name="solver_tol" localSheetId="10" hidden="1">0.01</definedName>
    <definedName name="solver_typ" localSheetId="10" hidden="1">3</definedName>
    <definedName name="solver_ver" localSheetId="10" hidden="1">3</definedName>
    <definedName name="Yield_Change">'[1]Periodic Duration'!$F$1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J28" i="12" l="1"/>
  <c r="I28" i="12"/>
  <c r="H28" i="12"/>
  <c r="I26" i="12"/>
  <c r="H26" i="12"/>
  <c r="G26" i="12"/>
  <c r="J26" i="12" s="1"/>
  <c r="I25" i="12"/>
  <c r="H25" i="12"/>
  <c r="G25" i="12"/>
  <c r="J25" i="12" s="1"/>
  <c r="I24" i="12"/>
  <c r="H24" i="12"/>
  <c r="G24" i="12"/>
  <c r="J24" i="12" s="1"/>
  <c r="I23" i="12"/>
  <c r="H23" i="12"/>
  <c r="G23" i="12"/>
  <c r="J23" i="12" s="1"/>
  <c r="I22" i="12"/>
  <c r="H22" i="12"/>
  <c r="G22" i="12"/>
  <c r="J22" i="12" s="1"/>
  <c r="E26" i="12"/>
  <c r="E25" i="12"/>
  <c r="E24" i="12"/>
  <c r="E23" i="12"/>
  <c r="E22" i="12"/>
  <c r="I13" i="12"/>
  <c r="H13" i="12"/>
  <c r="H11" i="12"/>
  <c r="G11" i="12"/>
  <c r="H10" i="12"/>
  <c r="G10" i="12"/>
  <c r="H9" i="12"/>
  <c r="G9" i="12"/>
  <c r="H8" i="12"/>
  <c r="G8" i="12"/>
  <c r="H7" i="12"/>
  <c r="G7" i="12"/>
  <c r="B3" i="12"/>
  <c r="B1" i="12"/>
  <c r="J9" i="12" s="1"/>
  <c r="K9" i="12" s="1"/>
  <c r="I54" i="11"/>
  <c r="I55" i="11" s="1"/>
  <c r="B14" i="11" s="1"/>
  <c r="F55" i="11"/>
  <c r="F54" i="11"/>
  <c r="E54" i="11"/>
  <c r="H50" i="11"/>
  <c r="G50" i="11"/>
  <c r="D50" i="11"/>
  <c r="C50" i="11"/>
  <c r="E50" i="11" s="1"/>
  <c r="H49" i="11"/>
  <c r="G49" i="11"/>
  <c r="E49" i="11"/>
  <c r="I49" i="11" s="1"/>
  <c r="D49" i="11"/>
  <c r="C49" i="11"/>
  <c r="H48" i="11"/>
  <c r="G48" i="11"/>
  <c r="D48" i="11"/>
  <c r="C48" i="11"/>
  <c r="E48" i="11" s="1"/>
  <c r="H47" i="11"/>
  <c r="G47" i="11"/>
  <c r="D47" i="11"/>
  <c r="C47" i="11"/>
  <c r="E47" i="11" s="1"/>
  <c r="H46" i="11"/>
  <c r="G46" i="11"/>
  <c r="D46" i="11"/>
  <c r="E46" i="11" s="1"/>
  <c r="C46" i="11"/>
  <c r="H45" i="11"/>
  <c r="G45" i="11"/>
  <c r="E45" i="11"/>
  <c r="F45" i="11" s="1"/>
  <c r="D45" i="11"/>
  <c r="C45" i="11"/>
  <c r="H44" i="11"/>
  <c r="G44" i="11"/>
  <c r="D44" i="11"/>
  <c r="C44" i="11"/>
  <c r="E44" i="11" s="1"/>
  <c r="H43" i="11"/>
  <c r="G43" i="11"/>
  <c r="E43" i="11"/>
  <c r="I43" i="11" s="1"/>
  <c r="D43" i="11"/>
  <c r="C43" i="11"/>
  <c r="H42" i="11"/>
  <c r="G42" i="11"/>
  <c r="D42" i="11"/>
  <c r="C42" i="11"/>
  <c r="E42" i="11" s="1"/>
  <c r="H41" i="11"/>
  <c r="G41" i="11"/>
  <c r="D41" i="11"/>
  <c r="C41" i="11"/>
  <c r="E41" i="11" s="1"/>
  <c r="I35" i="11"/>
  <c r="I36" i="11" s="1"/>
  <c r="B11" i="11" s="1"/>
  <c r="F6" i="11" s="1"/>
  <c r="F36" i="11"/>
  <c r="B9" i="11" s="1"/>
  <c r="B10" i="11" s="1"/>
  <c r="F5" i="11" s="1"/>
  <c r="F35" i="11"/>
  <c r="E35" i="11"/>
  <c r="H31" i="11"/>
  <c r="G31" i="11"/>
  <c r="D31" i="11"/>
  <c r="C31" i="11"/>
  <c r="E31" i="11" s="1"/>
  <c r="H30" i="11"/>
  <c r="G30" i="11"/>
  <c r="D30" i="11"/>
  <c r="C30" i="11"/>
  <c r="E30" i="11" s="1"/>
  <c r="H29" i="11"/>
  <c r="G29" i="11"/>
  <c r="D29" i="11"/>
  <c r="C29" i="11"/>
  <c r="E29" i="11" s="1"/>
  <c r="H28" i="11"/>
  <c r="G28" i="11"/>
  <c r="D28" i="11"/>
  <c r="C28" i="11"/>
  <c r="E28" i="11" s="1"/>
  <c r="H27" i="11"/>
  <c r="G27" i="11"/>
  <c r="D27" i="11"/>
  <c r="E27" i="11" s="1"/>
  <c r="C27" i="11"/>
  <c r="H26" i="11"/>
  <c r="G26" i="11"/>
  <c r="E26" i="11"/>
  <c r="I26" i="11" s="1"/>
  <c r="D26" i="11"/>
  <c r="C26" i="11"/>
  <c r="H25" i="11"/>
  <c r="G25" i="11"/>
  <c r="D25" i="11"/>
  <c r="C25" i="11"/>
  <c r="E25" i="11" s="1"/>
  <c r="H24" i="11"/>
  <c r="G24" i="11"/>
  <c r="D24" i="11"/>
  <c r="C24" i="11"/>
  <c r="E24" i="11" s="1"/>
  <c r="H23" i="11"/>
  <c r="G23" i="11"/>
  <c r="D23" i="11"/>
  <c r="C23" i="11"/>
  <c r="E23" i="11" s="1"/>
  <c r="H22" i="11"/>
  <c r="G22" i="11"/>
  <c r="D22" i="11"/>
  <c r="C22" i="11"/>
  <c r="E22" i="11" s="1"/>
  <c r="F9" i="11"/>
  <c r="B12" i="11"/>
  <c r="B13" i="11" s="1"/>
  <c r="B10" i="6"/>
  <c r="F5" i="6" s="1"/>
  <c r="B8" i="6"/>
  <c r="B9" i="6" s="1"/>
  <c r="B1" i="6"/>
  <c r="I31" i="6"/>
  <c r="I32" i="6" s="1"/>
  <c r="I33" i="6" s="1"/>
  <c r="F32" i="6"/>
  <c r="F33" i="6" s="1"/>
  <c r="F31" i="6"/>
  <c r="E31" i="6"/>
  <c r="H29" i="6"/>
  <c r="G29" i="6"/>
  <c r="D29" i="6"/>
  <c r="C29" i="6"/>
  <c r="E29" i="6" s="1"/>
  <c r="H28" i="6"/>
  <c r="G28" i="6"/>
  <c r="D28" i="6"/>
  <c r="C28" i="6"/>
  <c r="E28" i="6" s="1"/>
  <c r="H27" i="6"/>
  <c r="G27" i="6"/>
  <c r="D27" i="6"/>
  <c r="C27" i="6"/>
  <c r="E27" i="6" s="1"/>
  <c r="H26" i="6"/>
  <c r="G26" i="6"/>
  <c r="D26" i="6"/>
  <c r="C26" i="6"/>
  <c r="E26" i="6" s="1"/>
  <c r="H25" i="6"/>
  <c r="G25" i="6"/>
  <c r="D25" i="6"/>
  <c r="E25" i="6" s="1"/>
  <c r="C25" i="6"/>
  <c r="H24" i="6"/>
  <c r="G24" i="6"/>
  <c r="E24" i="6"/>
  <c r="I24" i="6" s="1"/>
  <c r="D24" i="6"/>
  <c r="C24" i="6"/>
  <c r="H23" i="6"/>
  <c r="G23" i="6"/>
  <c r="D23" i="6"/>
  <c r="C23" i="6"/>
  <c r="E23" i="6" s="1"/>
  <c r="H22" i="6"/>
  <c r="G22" i="6"/>
  <c r="D22" i="6"/>
  <c r="C22" i="6"/>
  <c r="E22" i="6" s="1"/>
  <c r="H21" i="6"/>
  <c r="G21" i="6"/>
  <c r="D21" i="6"/>
  <c r="C21" i="6"/>
  <c r="E21" i="6" s="1"/>
  <c r="H20" i="6"/>
  <c r="G20" i="6"/>
  <c r="D20" i="6"/>
  <c r="C20" i="6"/>
  <c r="E20" i="6" s="1"/>
  <c r="H19" i="6"/>
  <c r="G19" i="6"/>
  <c r="D19" i="6"/>
  <c r="E19" i="6" s="1"/>
  <c r="C19" i="6"/>
  <c r="H18" i="6"/>
  <c r="G18" i="6"/>
  <c r="E18" i="6"/>
  <c r="I18" i="6" s="1"/>
  <c r="D18" i="6"/>
  <c r="C18" i="6"/>
  <c r="F8" i="6"/>
  <c r="L11" i="5"/>
  <c r="L10" i="5"/>
  <c r="I10" i="5"/>
  <c r="I11" i="5" s="1"/>
  <c r="E10" i="5"/>
  <c r="A12" i="5"/>
  <c r="A13" i="5" s="1"/>
  <c r="A11" i="5"/>
  <c r="B11" i="5" s="1"/>
  <c r="C11" i="5" s="1"/>
  <c r="G11" i="1"/>
  <c r="D10" i="1"/>
  <c r="A12" i="1"/>
  <c r="A11" i="1"/>
  <c r="B11" i="1" s="1"/>
  <c r="C11" i="1" s="1"/>
  <c r="I14" i="2"/>
  <c r="J13" i="2"/>
  <c r="I13" i="2"/>
  <c r="H13" i="2"/>
  <c r="D22" i="2"/>
  <c r="D21" i="2"/>
  <c r="D20" i="2"/>
  <c r="D19" i="2"/>
  <c r="D18" i="2"/>
  <c r="D17" i="2"/>
  <c r="D16" i="2"/>
  <c r="D15" i="2"/>
  <c r="D14" i="2"/>
  <c r="D13" i="2"/>
  <c r="D12" i="2" s="1"/>
  <c r="E12" i="2"/>
  <c r="B42" i="11"/>
  <c r="B43" i="11" s="1"/>
  <c r="B44" i="11" s="1"/>
  <c r="B45" i="11" s="1"/>
  <c r="B46" i="11" s="1"/>
  <c r="B47" i="11" s="1"/>
  <c r="B48" i="11" s="1"/>
  <c r="B49" i="11" s="1"/>
  <c r="B50" i="11" s="1"/>
  <c r="B23" i="11"/>
  <c r="B24" i="11" s="1"/>
  <c r="B25" i="11" s="1"/>
  <c r="B26" i="11" s="1"/>
  <c r="B27" i="11" s="1"/>
  <c r="B28" i="11" s="1"/>
  <c r="B29" i="11" s="1"/>
  <c r="B30" i="11" s="1"/>
  <c r="B31" i="11" s="1"/>
  <c r="F12" i="2" l="1"/>
  <c r="J31" i="12"/>
  <c r="J32" i="12" s="1"/>
  <c r="J33" i="12" s="1"/>
  <c r="J10" i="12"/>
  <c r="K10" i="12" s="1"/>
  <c r="J11" i="12"/>
  <c r="K11" i="12" s="1"/>
  <c r="J8" i="12"/>
  <c r="K8" i="12" s="1"/>
  <c r="J7" i="12"/>
  <c r="K7" i="12" s="1"/>
  <c r="I50" i="11"/>
  <c r="F50" i="11"/>
  <c r="I42" i="11"/>
  <c r="F42" i="11"/>
  <c r="F46" i="11"/>
  <c r="I46" i="11"/>
  <c r="F41" i="11"/>
  <c r="I41" i="11"/>
  <c r="I48" i="11"/>
  <c r="F48" i="11"/>
  <c r="I44" i="11"/>
  <c r="F44" i="11"/>
  <c r="F47" i="11"/>
  <c r="I47" i="11"/>
  <c r="I45" i="11"/>
  <c r="F43" i="11"/>
  <c r="F49" i="11"/>
  <c r="F7" i="11"/>
  <c r="F10" i="11" s="1"/>
  <c r="F11" i="11"/>
  <c r="F28" i="11"/>
  <c r="I28" i="11"/>
  <c r="F31" i="11"/>
  <c r="I31" i="11"/>
  <c r="F24" i="11"/>
  <c r="I24" i="11"/>
  <c r="F30" i="11"/>
  <c r="I30" i="11"/>
  <c r="I23" i="11"/>
  <c r="F23" i="11"/>
  <c r="I27" i="11"/>
  <c r="F27" i="11"/>
  <c r="F29" i="11"/>
  <c r="I29" i="11"/>
  <c r="F22" i="11"/>
  <c r="I22" i="11"/>
  <c r="I25" i="11"/>
  <c r="F25" i="11"/>
  <c r="F26" i="11"/>
  <c r="F4" i="6"/>
  <c r="F6" i="6" s="1"/>
  <c r="F9" i="6" s="1"/>
  <c r="F10" i="6"/>
  <c r="F26" i="6"/>
  <c r="I26" i="6"/>
  <c r="I29" i="6"/>
  <c r="F29" i="6"/>
  <c r="F22" i="6"/>
  <c r="I22" i="6"/>
  <c r="I19" i="6"/>
  <c r="F19" i="6"/>
  <c r="F28" i="6"/>
  <c r="I28" i="6"/>
  <c r="F21" i="6"/>
  <c r="I21" i="6"/>
  <c r="I25" i="6"/>
  <c r="F25" i="6"/>
  <c r="F27" i="6"/>
  <c r="I27" i="6"/>
  <c r="F20" i="6"/>
  <c r="I20" i="6"/>
  <c r="I23" i="6"/>
  <c r="F23" i="6"/>
  <c r="F18" i="6"/>
  <c r="F24" i="6"/>
  <c r="B13" i="5"/>
  <c r="A14" i="5"/>
  <c r="C13" i="5"/>
  <c r="B12" i="5"/>
  <c r="C12" i="5" s="1"/>
  <c r="B12" i="1"/>
  <c r="C12" i="1" s="1"/>
  <c r="A13" i="1"/>
  <c r="B2" i="11"/>
  <c r="J13" i="12" l="1"/>
  <c r="A15" i="5"/>
  <c r="B14" i="5"/>
  <c r="C14" i="5" s="1"/>
  <c r="A14" i="1"/>
  <c r="B13" i="1"/>
  <c r="C13" i="1"/>
  <c r="B1" i="11"/>
  <c r="C7" i="11"/>
  <c r="C5" i="11"/>
  <c r="C4" i="11"/>
  <c r="B15" i="5" l="1"/>
  <c r="A16" i="5"/>
  <c r="C15" i="5"/>
  <c r="A15" i="1"/>
  <c r="B14" i="1"/>
  <c r="C14" i="1" s="1"/>
  <c r="C1" i="11"/>
  <c r="J6" i="6"/>
  <c r="A17" i="5" l="1"/>
  <c r="B16" i="5"/>
  <c r="C16" i="5" s="1"/>
  <c r="B15" i="1"/>
  <c r="C15" i="1" s="1"/>
  <c r="A16" i="1"/>
  <c r="C22" i="2"/>
  <c r="B14" i="2"/>
  <c r="B15" i="2"/>
  <c r="B16" i="2"/>
  <c r="B17" i="2"/>
  <c r="B18" i="2"/>
  <c r="B19" i="2"/>
  <c r="B20" i="2"/>
  <c r="B21" i="2"/>
  <c r="B22" i="2"/>
  <c r="B13" i="2"/>
  <c r="B17" i="5" l="1"/>
  <c r="A18" i="5"/>
  <c r="C17" i="5"/>
  <c r="B16" i="1"/>
  <c r="C16" i="1" s="1"/>
  <c r="A17" i="1"/>
  <c r="B19" i="6"/>
  <c r="C6" i="6"/>
  <c r="C1" i="6"/>
  <c r="C4" i="6"/>
  <c r="C3" i="6"/>
  <c r="C2" i="6"/>
  <c r="A19" i="5" l="1"/>
  <c r="B18" i="5"/>
  <c r="C18" i="5" s="1"/>
  <c r="B17" i="1"/>
  <c r="C17" i="1" s="1"/>
  <c r="A18" i="1"/>
  <c r="J7" i="6"/>
  <c r="B20" i="6"/>
  <c r="B19" i="5" l="1"/>
  <c r="A20" i="5"/>
  <c r="C19" i="5"/>
  <c r="A19" i="1"/>
  <c r="B18" i="1"/>
  <c r="C18" i="1" s="1"/>
  <c r="B21" i="6"/>
  <c r="B20" i="5" l="1"/>
  <c r="C20" i="5" s="1"/>
  <c r="B19" i="1"/>
  <c r="A20" i="1"/>
  <c r="C19" i="1"/>
  <c r="B22" i="6"/>
  <c r="A21" i="1" l="1"/>
  <c r="B20" i="1"/>
  <c r="C20" i="1" s="1"/>
  <c r="B23" i="6"/>
  <c r="A22" i="1" l="1"/>
  <c r="B21" i="1"/>
  <c r="C21" i="1" s="1"/>
  <c r="B24" i="6"/>
  <c r="A23" i="1" l="1"/>
  <c r="B22" i="1"/>
  <c r="C22" i="1" s="1"/>
  <c r="B25" i="6"/>
  <c r="B23" i="1" l="1"/>
  <c r="A24" i="1"/>
  <c r="C23" i="1"/>
  <c r="B26" i="6"/>
  <c r="B24" i="1" l="1"/>
  <c r="C24" i="1" s="1"/>
  <c r="A25" i="1"/>
  <c r="B27" i="6"/>
  <c r="B25" i="1" l="1"/>
  <c r="C25" i="1" s="1"/>
  <c r="A26" i="1"/>
  <c r="J8" i="6"/>
  <c r="A27" i="1" l="1"/>
  <c r="B26" i="1"/>
  <c r="C26" i="1" s="1"/>
  <c r="B10" i="3"/>
  <c r="B27" i="1" l="1"/>
  <c r="C27" i="1" s="1"/>
  <c r="A28" i="1"/>
  <c r="A29" i="1" l="1"/>
  <c r="B28" i="1"/>
  <c r="C28" i="1" s="1"/>
  <c r="B29" i="1" l="1"/>
  <c r="C29" i="1" s="1"/>
  <c r="A30" i="1"/>
  <c r="A31" i="1" l="1"/>
  <c r="B30" i="1"/>
  <c r="C30" i="1" s="1"/>
  <c r="B31" i="1" l="1"/>
  <c r="A32" i="1"/>
  <c r="C31" i="1"/>
  <c r="A33" i="1" l="1"/>
  <c r="B32" i="1"/>
  <c r="C32" i="1" s="1"/>
  <c r="B33" i="1" l="1"/>
  <c r="C33" i="1" s="1"/>
  <c r="A34" i="1"/>
  <c r="A35" i="1" l="1"/>
  <c r="B34" i="1"/>
  <c r="C34" i="1" s="1"/>
  <c r="B35" i="1" l="1"/>
  <c r="C35" i="1" s="1"/>
  <c r="A36" i="1"/>
  <c r="A37" i="1" l="1"/>
  <c r="B36" i="1"/>
  <c r="C36" i="1" s="1"/>
  <c r="A38" i="1" l="1"/>
  <c r="C37" i="1"/>
  <c r="B37" i="1"/>
  <c r="B38" i="1" l="1"/>
  <c r="C38" i="1" s="1"/>
  <c r="A39" i="1"/>
  <c r="B39" i="1" l="1"/>
  <c r="C39" i="1" s="1"/>
  <c r="A40" i="1"/>
  <c r="B40" i="1" l="1"/>
  <c r="C40" i="1" s="1"/>
</calcChain>
</file>

<file path=xl/sharedStrings.xml><?xml version="1.0" encoding="utf-8"?>
<sst xmlns="http://schemas.openxmlformats.org/spreadsheetml/2006/main" count="294" uniqueCount="137">
  <si>
    <t>Bond pricing</t>
  </si>
  <si>
    <t>Inputs</t>
  </si>
  <si>
    <t>Par</t>
  </si>
  <si>
    <t>Coupon rate</t>
  </si>
  <si>
    <t>YTM</t>
  </si>
  <si>
    <t xml:space="preserve"> </t>
  </si>
  <si>
    <t>Timeline Method</t>
  </si>
  <si>
    <t>Term (years)</t>
  </si>
  <si>
    <t>CFs</t>
  </si>
  <si>
    <t>PV of CF</t>
  </si>
  <si>
    <t>Total PV (Bond Price)</t>
  </si>
  <si>
    <t>PV function</t>
  </si>
  <si>
    <t>Build a timeline, the CFs and the PV of each CF</t>
  </si>
  <si>
    <t>Timeline</t>
  </si>
  <si>
    <r>
      <t>PV/price of bond = (Coupon/2)/(1+i)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(Coupon/2)/(1+i)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…….(Coupon/2)/(1+i)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+ PAR/(1+i)</t>
    </r>
    <r>
      <rPr>
        <vertAlign val="superscript"/>
        <sz val="11"/>
        <color theme="1"/>
        <rFont val="Calibri"/>
        <family val="2"/>
        <scheme val="minor"/>
      </rPr>
      <t>T</t>
    </r>
  </si>
  <si>
    <t xml:space="preserve">Three categories of bond prices: </t>
  </si>
  <si>
    <t>1) Bond is priced at par:                       Price = $1,000</t>
  </si>
  <si>
    <t>2) Bond is priced above par:              Price &gt; $1,000</t>
  </si>
  <si>
    <t>3) Bond is priced below par:              Price &lt; $1,000</t>
  </si>
  <si>
    <t xml:space="preserve">Conditions under which these prices occur: </t>
  </si>
  <si>
    <t>Coupon rate = YTM</t>
  </si>
  <si>
    <t>Looking at the bond equation above in row 9, in order for the price to be above 1,000, denominator must be smaller</t>
  </si>
  <si>
    <t>2) Bond is priced &gt; par:                       Price &gt; $1,000</t>
  </si>
  <si>
    <t>Coupon rate &gt; YTM or also we can say YTM &lt; Coupon</t>
  </si>
  <si>
    <t>PV/ price of a bond = PV of N-period annuity + PV of a lump sum at N</t>
  </si>
  <si>
    <t>Total value</t>
  </si>
  <si>
    <t>Total of (1) + (2) =</t>
  </si>
  <si>
    <t>(1) Annuity only</t>
  </si>
  <si>
    <t>(2)      Lump Sum piece</t>
  </si>
  <si>
    <t>(3)      Total value</t>
  </si>
  <si>
    <r>
      <t>PV lump sum =  PAR/(1+i)</t>
    </r>
    <r>
      <rPr>
        <vertAlign val="superscript"/>
        <sz val="11"/>
        <color theme="1"/>
        <rFont val="Calibri"/>
        <family val="2"/>
        <scheme val="minor"/>
      </rPr>
      <t>T</t>
    </r>
  </si>
  <si>
    <r>
      <t>PV annuity = (Coupon/2)/(1+i)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(Coupon/2)/(1+i)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…….(Coupon/2)/(1+i)</t>
    </r>
    <r>
      <rPr>
        <vertAlign val="superscript"/>
        <sz val="11"/>
        <color theme="1"/>
        <rFont val="Calibri"/>
        <family val="2"/>
        <scheme val="minor"/>
      </rPr>
      <t>T</t>
    </r>
  </si>
  <si>
    <t>PV PMTs only</t>
  </si>
  <si>
    <t>PV Par only</t>
  </si>
  <si>
    <t>Total value of bond</t>
  </si>
  <si>
    <t>Rate function:  to find "I"</t>
  </si>
  <si>
    <t>Bond price</t>
  </si>
  <si>
    <t>Check to see if it seems right</t>
  </si>
  <si>
    <t>Price:</t>
  </si>
  <si>
    <t>YTM:</t>
  </si>
  <si>
    <t>Finding 1/2 YTM:</t>
  </si>
  <si>
    <t>Bond Price</t>
  </si>
  <si>
    <t>If Yield Changes By</t>
  </si>
  <si>
    <t>Face Value</t>
  </si>
  <si>
    <t>Coupon Rate</t>
  </si>
  <si>
    <t>Life in Years</t>
  </si>
  <si>
    <t>Modified Duration Predicts</t>
  </si>
  <si>
    <t>Yield</t>
  </si>
  <si>
    <t>Convexity Adjustment</t>
  </si>
  <si>
    <t>Frequency</t>
  </si>
  <si>
    <t>Total Predicted Change</t>
  </si>
  <si>
    <t>Macaulay Duration</t>
  </si>
  <si>
    <t>Actual New Price</t>
  </si>
  <si>
    <t>Modified Duration</t>
  </si>
  <si>
    <t>Predicted New Price</t>
  </si>
  <si>
    <t>Convexity</t>
  </si>
  <si>
    <t>Difference</t>
  </si>
  <si>
    <t>Here, Macaulay duration is effectively "Annual D" ---that is the NUMBER OF YEARS</t>
  </si>
  <si>
    <t>Convexity is the "annual Convexity" In Cell I33</t>
  </si>
  <si>
    <t>5 x 8 / 7</t>
  </si>
  <si>
    <t>Year</t>
  </si>
  <si>
    <t>t</t>
  </si>
  <si>
    <t>(I+i)^t</t>
  </si>
  <si>
    <t>Time wtd PV</t>
  </si>
  <si>
    <t>(1+i)^2</t>
  </si>
  <si>
    <t>t+t2</t>
  </si>
  <si>
    <t>Price bond</t>
  </si>
  <si>
    <t>C numerator</t>
  </si>
  <si>
    <t>Num/Den</t>
  </si>
  <si>
    <t>HALF YEARS</t>
  </si>
  <si>
    <t xml:space="preserve">Ann D = </t>
  </si>
  <si>
    <t>YEARS</t>
  </si>
  <si>
    <t>C/4</t>
  </si>
  <si>
    <t>C</t>
  </si>
  <si>
    <t>C/(1+i)^t</t>
  </si>
  <si>
    <t>Price change predicted by duration = -D x Original price x Change in rate</t>
  </si>
  <si>
    <r>
      <t>Price change predicted by convexity = 0.5 x Convexity x Original price x (Change in rate)</t>
    </r>
    <r>
      <rPr>
        <vertAlign val="superscript"/>
        <sz val="11"/>
        <color theme="0"/>
        <rFont val="Calibri"/>
        <family val="2"/>
        <scheme val="minor"/>
      </rPr>
      <t>2</t>
    </r>
  </si>
  <si>
    <t>Assume semi-annual bond payments</t>
  </si>
  <si>
    <r>
      <t>$&gt;1000 = ($50/2)/(1+i)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($50/2)/(1+i)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…….($50/2)/(1+i)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+ $1,000/(1+i)</t>
    </r>
    <r>
      <rPr>
        <vertAlign val="superscript"/>
        <sz val="11"/>
        <color theme="1"/>
        <rFont val="Calibri"/>
        <family val="2"/>
        <scheme val="minor"/>
      </rPr>
      <t>10</t>
    </r>
  </si>
  <si>
    <r>
      <t>$1,000.00 = ($50/2)/(1.025)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($50/2)/(1.025)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…….($50/2)/(1.025)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+ $1,000/(1.025)</t>
    </r>
    <r>
      <rPr>
        <vertAlign val="superscript"/>
        <sz val="11"/>
        <color theme="1"/>
        <rFont val="Calibri"/>
        <family val="2"/>
        <scheme val="minor"/>
      </rPr>
      <t>10</t>
    </r>
  </si>
  <si>
    <t>3) Bond is priced &lt; par:                       Price &lt; $1,000</t>
  </si>
  <si>
    <t>Looking at the bond equation above in row 9, in order for the price to be below $1,000, denominator must be larger</t>
  </si>
  <si>
    <t>Coupon rate &lt; YTM or also we can say YTM &gt; Coupon</t>
  </si>
  <si>
    <r>
      <t>$&lt;1000 = ($50/2)/(1+i)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($50/2)/(1+i)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…….($50/2)/(1+i)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+ $1,000/(1+i)</t>
    </r>
    <r>
      <rPr>
        <vertAlign val="superscript"/>
        <sz val="11"/>
        <color theme="1"/>
        <rFont val="Calibri"/>
        <family val="2"/>
        <scheme val="minor"/>
      </rPr>
      <t>10</t>
    </r>
  </si>
  <si>
    <r>
      <t>$957.35= ($25)/(1.03)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($25)/(1.03)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…….($25)/(1.03)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+ $1,000/(1.03)</t>
    </r>
    <r>
      <rPr>
        <vertAlign val="superscript"/>
        <sz val="11"/>
        <color theme="1"/>
        <rFont val="Calibri"/>
        <family val="2"/>
        <scheme val="minor"/>
      </rPr>
      <t>10</t>
    </r>
  </si>
  <si>
    <r>
      <t>$1044.91= ($25)/(1.02)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($25)/(1.02)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…….($25)/(1.02)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+ $1,000/(1.02)</t>
    </r>
    <r>
      <rPr>
        <vertAlign val="superscript"/>
        <sz val="11"/>
        <color theme="1"/>
        <rFont val="Calibri"/>
        <family val="2"/>
        <scheme val="minor"/>
      </rPr>
      <t>10</t>
    </r>
  </si>
  <si>
    <t>required/expected return</t>
  </si>
  <si>
    <t>CF (coupon)</t>
  </si>
  <si>
    <t>check</t>
  </si>
  <si>
    <t xml:space="preserve">When YTM fell, </t>
  </si>
  <si>
    <t>Price increased</t>
  </si>
  <si>
    <t>When YTM increases</t>
  </si>
  <si>
    <t>Price falls</t>
  </si>
  <si>
    <t>YTMS increase, Price falls</t>
  </si>
  <si>
    <t>YTMs decrease,Price increases</t>
  </si>
  <si>
    <t xml:space="preserve">Relation:  INVERSE relation between yields </t>
  </si>
  <si>
    <t>and prices</t>
  </si>
  <si>
    <t>where "i" = 1/2 of the YTM</t>
  </si>
  <si>
    <t xml:space="preserve">Check:  </t>
  </si>
  <si>
    <t>Actual changed</t>
  </si>
  <si>
    <t>MD is Macaulay duration divided by 1 + periodic yield (which is annual here)</t>
  </si>
  <si>
    <t>Liability to hedge</t>
  </si>
  <si>
    <t>Duration</t>
  </si>
  <si>
    <t>Bond portfolio</t>
  </si>
  <si>
    <t>Dates</t>
  </si>
  <si>
    <t>Bond #</t>
  </si>
  <si>
    <t>Settlement date</t>
  </si>
  <si>
    <t>Maturity date</t>
  </si>
  <si>
    <t>Coupon</t>
  </si>
  <si>
    <t>Price (%)</t>
  </si>
  <si>
    <t>Weights</t>
  </si>
  <si>
    <t>Initial investment</t>
  </si>
  <si>
    <t>PAR VALUE</t>
  </si>
  <si>
    <t>Portfolio duration</t>
  </si>
  <si>
    <t>Total investment</t>
  </si>
  <si>
    <t>Yield Change</t>
  </si>
  <si>
    <t>Change on previous tab too</t>
  </si>
  <si>
    <t>Liability to hedge (prior tab)</t>
  </si>
  <si>
    <t>Variance</t>
  </si>
  <si>
    <t>CD Price (original)</t>
  </si>
  <si>
    <t>Duration of liability</t>
  </si>
  <si>
    <t>CD Price (new)</t>
  </si>
  <si>
    <t>Yield (original)</t>
  </si>
  <si>
    <t>Macaulay Duration (original)</t>
  </si>
  <si>
    <t>Macaulay Duration (new)</t>
  </si>
  <si>
    <t>Convexity is the "annual Convexity" In Cell I36</t>
  </si>
  <si>
    <t>Duration with specified interest rate change</t>
  </si>
  <si>
    <t>Original Duration</t>
  </si>
  <si>
    <t>Price CD</t>
  </si>
  <si>
    <t>`</t>
  </si>
  <si>
    <t>New value of investment</t>
  </si>
  <si>
    <t>Original par value</t>
  </si>
  <si>
    <t>Variance % liability</t>
  </si>
  <si>
    <t>Name:</t>
  </si>
  <si>
    <t>GTID:</t>
  </si>
  <si>
    <t>MD is 4.80 divided by 1 plus the periodic rate = 4.80/1.04</t>
  </si>
  <si>
    <t>Mahale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</si>
</sst>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&quot;$&quot;#,##0.000_);[Red]\(&quot;$&quot;#,##0.000\)"/>
    <numFmt numFmtId="167" formatCode="_(&quot;$&quot;* #,##0.0000_);_(&quot;$&quot;* \(#,##0.0000\);_(&quot;$&quot;* &quot;-&quot;??_);_(@_)"/>
    <numFmt numFmtId="168" formatCode="0.000%"/>
    <numFmt numFmtId="169" formatCode="0.000"/>
    <numFmt numFmtId="170" formatCode="_(&quot;$&quot;* #,##0.0_);_(&quot;$&quot;* \(#,##0.0\);_(&quot;$&quot;* &quot;-&quot;??_);_(@_)"/>
    <numFmt numFmtId="171" formatCode="&quot;$&quot;#,##0.00"/>
    <numFmt numFmtId="172" formatCode="_(* #,##0.0000_);_(* \(#,##0.0000\);_(* &quot;-&quot;??_);_(@_)"/>
    <numFmt numFmtId="173" formatCode="0.000000"/>
    <numFmt numFmtId="174" formatCode="0.000000%"/>
    <numFmt numFmtId="175" formatCode="_(* #,##0.000_);_(* \(#,##0.00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indexed="9"/>
      <name val="Times New Roman"/>
      <family val="1"/>
    </font>
    <font>
      <sz val="11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9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9" xfId="0" applyFont="1" applyBorder="1"/>
    <xf numFmtId="8" fontId="0" fillId="0" borderId="0" xfId="0" applyNumberFormat="1"/>
    <xf numFmtId="0" fontId="0" fillId="0" borderId="0" xfId="0" applyAlignment="1">
      <alignment wrapText="1"/>
    </xf>
    <xf numFmtId="0" fontId="0" fillId="0" borderId="11" xfId="0" applyBorder="1"/>
    <xf numFmtId="0" fontId="6" fillId="0" borderId="1" xfId="0" applyFont="1" applyBorder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right" wrapText="1"/>
    </xf>
    <xf numFmtId="0" fontId="0" fillId="0" borderId="0" xfId="0" applyFill="1" applyAlignment="1">
      <alignment wrapText="1"/>
    </xf>
    <xf numFmtId="0" fontId="0" fillId="0" borderId="12" xfId="0" applyFill="1" applyBorder="1"/>
    <xf numFmtId="0" fontId="0" fillId="0" borderId="0" xfId="0" applyAlignment="1">
      <alignment horizontal="right"/>
    </xf>
    <xf numFmtId="8" fontId="7" fillId="0" borderId="0" xfId="0" applyNumberFormat="1" applyFont="1"/>
    <xf numFmtId="0" fontId="7" fillId="0" borderId="0" xfId="0" applyFont="1" applyProtection="1">
      <protection locked="0"/>
    </xf>
    <xf numFmtId="4" fontId="0" fillId="0" borderId="0" xfId="1" applyNumberFormat="1" applyFont="1"/>
    <xf numFmtId="10" fontId="0" fillId="0" borderId="0" xfId="3" applyNumberFormat="1" applyFont="1"/>
    <xf numFmtId="9" fontId="7" fillId="0" borderId="0" xfId="0" applyNumberFormat="1" applyFont="1" applyProtection="1">
      <protection locked="0"/>
    </xf>
    <xf numFmtId="165" fontId="7" fillId="0" borderId="0" xfId="1" applyNumberFormat="1" applyFont="1" applyProtection="1">
      <protection locked="0"/>
    </xf>
    <xf numFmtId="43" fontId="0" fillId="0" borderId="0" xfId="1" applyFont="1"/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10" fontId="5" fillId="0" borderId="0" xfId="0" applyNumberFormat="1" applyFont="1" applyProtection="1">
      <protection locked="0"/>
    </xf>
    <xf numFmtId="0" fontId="4" fillId="0" borderId="0" xfId="0" applyFont="1"/>
    <xf numFmtId="8" fontId="4" fillId="0" borderId="0" xfId="0" applyNumberFormat="1" applyFont="1"/>
    <xf numFmtId="8" fontId="8" fillId="0" borderId="1" xfId="0" applyNumberFormat="1" applyFont="1" applyBorder="1"/>
    <xf numFmtId="165" fontId="5" fillId="0" borderId="1" xfId="1" applyNumberFormat="1" applyFont="1" applyBorder="1" applyProtection="1">
      <protection locked="0"/>
    </xf>
    <xf numFmtId="10" fontId="5" fillId="0" borderId="1" xfId="0" applyNumberFormat="1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10" fillId="0" borderId="1" xfId="0" applyFont="1" applyBorder="1"/>
    <xf numFmtId="0" fontId="1" fillId="0" borderId="1" xfId="0" applyFont="1" applyBorder="1"/>
    <xf numFmtId="0" fontId="0" fillId="0" borderId="1" xfId="0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0" fillId="0" borderId="15" xfId="0" applyBorder="1"/>
    <xf numFmtId="43" fontId="0" fillId="0" borderId="1" xfId="1" applyFont="1" applyBorder="1"/>
    <xf numFmtId="0" fontId="6" fillId="0" borderId="11" xfId="0" applyFont="1" applyBorder="1"/>
    <xf numFmtId="0" fontId="6" fillId="0" borderId="13" xfId="0" applyFont="1" applyFill="1" applyBorder="1"/>
    <xf numFmtId="0" fontId="6" fillId="0" borderId="0" xfId="0" applyFont="1" applyBorder="1"/>
    <xf numFmtId="8" fontId="0" fillId="2" borderId="1" xfId="0" applyNumberFormat="1" applyFill="1" applyBorder="1"/>
    <xf numFmtId="8" fontId="0" fillId="2" borderId="11" xfId="0" applyNumberFormat="1" applyFill="1" applyBorder="1"/>
    <xf numFmtId="10" fontId="0" fillId="0" borderId="0" xfId="0" applyNumberFormat="1"/>
    <xf numFmtId="43" fontId="0" fillId="0" borderId="0" xfId="0" applyNumberFormat="1"/>
    <xf numFmtId="8" fontId="1" fillId="0" borderId="0" xfId="0" applyNumberFormat="1" applyFont="1"/>
    <xf numFmtId="0" fontId="8" fillId="0" borderId="0" xfId="0" applyFont="1"/>
    <xf numFmtId="0" fontId="8" fillId="0" borderId="0" xfId="0" quotePrefix="1" applyFont="1"/>
    <xf numFmtId="0" fontId="10" fillId="0" borderId="14" xfId="0" applyFont="1" applyFill="1" applyBorder="1" applyAlignment="1">
      <alignment horizontal="right"/>
    </xf>
    <xf numFmtId="0" fontId="10" fillId="0" borderId="13" xfId="0" quotePrefix="1" applyFont="1" applyFill="1" applyBorder="1" applyAlignment="1">
      <alignment horizontal="right"/>
    </xf>
    <xf numFmtId="0" fontId="8" fillId="0" borderId="0" xfId="0" applyFont="1" applyFill="1"/>
    <xf numFmtId="0" fontId="8" fillId="0" borderId="15" xfId="0" applyFont="1" applyFill="1" applyBorder="1"/>
    <xf numFmtId="0" fontId="8" fillId="0" borderId="1" xfId="0" applyFont="1" applyFill="1" applyBorder="1" applyAlignment="1">
      <alignment horizontal="right"/>
    </xf>
    <xf numFmtId="0" fontId="8" fillId="0" borderId="0" xfId="0" applyFont="1" applyFill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10" fillId="0" borderId="0" xfId="0" applyFont="1" applyFill="1" applyAlignment="1">
      <alignment horizontal="right"/>
    </xf>
    <xf numFmtId="0" fontId="8" fillId="3" borderId="1" xfId="0" applyFont="1" applyFill="1" applyBorder="1"/>
    <xf numFmtId="43" fontId="8" fillId="3" borderId="1" xfId="1" applyFont="1" applyFill="1" applyBorder="1"/>
    <xf numFmtId="10" fontId="8" fillId="0" borderId="0" xfId="3" applyNumberFormat="1" applyFont="1"/>
    <xf numFmtId="14" fontId="6" fillId="0" borderId="1" xfId="0" applyNumberFormat="1" applyFont="1" applyBorder="1"/>
    <xf numFmtId="10" fontId="6" fillId="0" borderId="1" xfId="3" applyNumberFormat="1" applyFont="1" applyBorder="1"/>
    <xf numFmtId="44" fontId="0" fillId="0" borderId="0" xfId="0" applyNumberFormat="1"/>
    <xf numFmtId="0" fontId="0" fillId="0" borderId="16" xfId="0" applyBorder="1" applyAlignment="1">
      <alignment wrapText="1"/>
    </xf>
    <xf numFmtId="0" fontId="0" fillId="0" borderId="16" xfId="0" applyBorder="1"/>
    <xf numFmtId="0" fontId="0" fillId="0" borderId="16" xfId="0" applyBorder="1" applyAlignment="1">
      <alignment horizontal="right" wrapText="1"/>
    </xf>
    <xf numFmtId="0" fontId="1" fillId="4" borderId="18" xfId="0" applyFont="1" applyFill="1" applyBorder="1"/>
    <xf numFmtId="0" fontId="0" fillId="4" borderId="1" xfId="0" applyFill="1" applyBorder="1"/>
    <xf numFmtId="0" fontId="0" fillId="0" borderId="19" xfId="0" applyBorder="1" applyAlignment="1">
      <alignment horizontal="right" wrapText="1"/>
    </xf>
    <xf numFmtId="10" fontId="5" fillId="0" borderId="0" xfId="0" applyNumberFormat="1" applyFont="1" applyBorder="1" applyProtection="1">
      <protection locked="0"/>
    </xf>
    <xf numFmtId="0" fontId="0" fillId="0" borderId="0" xfId="0" applyBorder="1" applyAlignment="1">
      <alignment horizontal="right" wrapText="1"/>
    </xf>
    <xf numFmtId="2" fontId="8" fillId="0" borderId="0" xfId="0" applyNumberFormat="1" applyFont="1" applyBorder="1"/>
    <xf numFmtId="168" fontId="6" fillId="0" borderId="1" xfId="3" applyNumberFormat="1" applyFont="1" applyBorder="1"/>
    <xf numFmtId="166" fontId="0" fillId="4" borderId="1" xfId="0" applyNumberFormat="1" applyFill="1" applyBorder="1"/>
    <xf numFmtId="0" fontId="1" fillId="4" borderId="8" xfId="0" applyFont="1" applyFill="1" applyBorder="1"/>
    <xf numFmtId="10" fontId="0" fillId="4" borderId="8" xfId="0" applyNumberFormat="1" applyFill="1" applyBorder="1"/>
    <xf numFmtId="10" fontId="0" fillId="4" borderId="8" xfId="3" applyNumberFormat="1" applyFont="1" applyFill="1" applyBorder="1"/>
    <xf numFmtId="44" fontId="0" fillId="4" borderId="1" xfId="2" applyFont="1" applyFill="1" applyBorder="1"/>
    <xf numFmtId="8" fontId="0" fillId="4" borderId="8" xfId="0" applyNumberFormat="1" applyFill="1" applyBorder="1"/>
    <xf numFmtId="0" fontId="0" fillId="4" borderId="13" xfId="0" applyFill="1" applyBorder="1"/>
    <xf numFmtId="167" fontId="0" fillId="4" borderId="8" xfId="2" applyNumberFormat="1" applyFont="1" applyFill="1" applyBorder="1"/>
    <xf numFmtId="8" fontId="8" fillId="4" borderId="1" xfId="0" applyNumberFormat="1" applyFont="1" applyFill="1" applyBorder="1"/>
    <xf numFmtId="10" fontId="0" fillId="4" borderId="1" xfId="3" applyNumberFormat="1" applyFont="1" applyFill="1" applyBorder="1"/>
    <xf numFmtId="4" fontId="8" fillId="4" borderId="1" xfId="1" applyNumberFormat="1" applyFont="1" applyFill="1" applyBorder="1"/>
    <xf numFmtId="10" fontId="8" fillId="4" borderId="1" xfId="3" applyNumberFormat="1" applyFont="1" applyFill="1" applyBorder="1"/>
    <xf numFmtId="4" fontId="8" fillId="4" borderId="1" xfId="0" applyNumberFormat="1" applyFont="1" applyFill="1" applyBorder="1"/>
    <xf numFmtId="168" fontId="8" fillId="4" borderId="1" xfId="3" applyNumberFormat="1" applyFont="1" applyFill="1" applyBorder="1"/>
    <xf numFmtId="2" fontId="8" fillId="4" borderId="1" xfId="0" applyNumberFormat="1" applyFont="1" applyFill="1" applyBorder="1"/>
    <xf numFmtId="0" fontId="1" fillId="0" borderId="0" xfId="0" applyFont="1" applyBorder="1" applyAlignment="1">
      <alignment horizontal="right"/>
    </xf>
    <xf numFmtId="0" fontId="10" fillId="0" borderId="0" xfId="0" quotePrefix="1" applyFont="1" applyFill="1" applyBorder="1" applyAlignment="1">
      <alignment horizontal="right"/>
    </xf>
    <xf numFmtId="0" fontId="10" fillId="0" borderId="10" xfId="0" applyFont="1" applyFill="1" applyBorder="1" applyAlignment="1">
      <alignment horizontal="right"/>
    </xf>
    <xf numFmtId="43" fontId="0" fillId="4" borderId="1" xfId="0" applyNumberFormat="1" applyFill="1" applyBorder="1"/>
    <xf numFmtId="0" fontId="8" fillId="4" borderId="1" xfId="0" applyFont="1" applyFill="1" applyBorder="1"/>
    <xf numFmtId="164" fontId="0" fillId="4" borderId="11" xfId="0" applyNumberFormat="1" applyFill="1" applyBorder="1"/>
    <xf numFmtId="164" fontId="8" fillId="4" borderId="11" xfId="0" applyNumberFormat="1" applyFont="1" applyFill="1" applyBorder="1"/>
    <xf numFmtId="164" fontId="0" fillId="4" borderId="1" xfId="0" applyNumberForma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2" fontId="8" fillId="4" borderId="1" xfId="0" applyNumberFormat="1" applyFont="1" applyFill="1" applyBorder="1" applyAlignment="1">
      <alignment horizontal="right"/>
    </xf>
    <xf numFmtId="2" fontId="10" fillId="4" borderId="1" xfId="0" applyNumberFormat="1" applyFont="1" applyFill="1" applyBorder="1" applyAlignment="1">
      <alignment horizontal="right"/>
    </xf>
    <xf numFmtId="172" fontId="0" fillId="4" borderId="1" xfId="1" applyNumberFormat="1" applyFont="1" applyFill="1" applyBorder="1"/>
    <xf numFmtId="172" fontId="8" fillId="4" borderId="1" xfId="1" applyNumberFormat="1" applyFont="1" applyFill="1" applyBorder="1"/>
    <xf numFmtId="10" fontId="1" fillId="4" borderId="1" xfId="3" applyNumberFormat="1" applyFont="1" applyFill="1" applyBorder="1"/>
    <xf numFmtId="172" fontId="0" fillId="4" borderId="1" xfId="0" applyNumberFormat="1" applyFill="1" applyBorder="1"/>
    <xf numFmtId="44" fontId="0" fillId="4" borderId="1" xfId="0" applyNumberFormat="1" applyFill="1" applyBorder="1"/>
    <xf numFmtId="0" fontId="0" fillId="5" borderId="1" xfId="0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1" fillId="5" borderId="16" xfId="0" applyFont="1" applyFill="1" applyBorder="1" applyAlignment="1">
      <alignment wrapText="1"/>
    </xf>
    <xf numFmtId="9" fontId="1" fillId="5" borderId="17" xfId="3" applyFont="1" applyFill="1" applyBorder="1" applyAlignment="1">
      <alignment wrapText="1"/>
    </xf>
    <xf numFmtId="0" fontId="1" fillId="5" borderId="0" xfId="0" applyFont="1" applyFill="1"/>
    <xf numFmtId="8" fontId="0" fillId="5" borderId="0" xfId="0" applyNumberFormat="1" applyFill="1"/>
    <xf numFmtId="0" fontId="0" fillId="5" borderId="0" xfId="0" applyFill="1"/>
    <xf numFmtId="0" fontId="1" fillId="5" borderId="12" xfId="0" applyFont="1" applyFill="1" applyBorder="1" applyAlignment="1">
      <alignment horizontal="right"/>
    </xf>
    <xf numFmtId="0" fontId="1" fillId="5" borderId="14" xfId="0" applyFont="1" applyFill="1" applyBorder="1" applyAlignment="1">
      <alignment horizontal="right"/>
    </xf>
    <xf numFmtId="0" fontId="10" fillId="5" borderId="14" xfId="0" applyFont="1" applyFill="1" applyBorder="1" applyAlignment="1">
      <alignment horizontal="right"/>
    </xf>
    <xf numFmtId="0" fontId="10" fillId="5" borderId="13" xfId="0" quotePrefix="1" applyFont="1" applyFill="1" applyBorder="1" applyAlignment="1">
      <alignment horizontal="right"/>
    </xf>
    <xf numFmtId="0" fontId="1" fillId="5" borderId="5" xfId="0" applyFont="1" applyFill="1" applyBorder="1" applyAlignment="1">
      <alignment horizontal="right"/>
    </xf>
    <xf numFmtId="0" fontId="1" fillId="5" borderId="6" xfId="0" applyFont="1" applyFill="1" applyBorder="1" applyAlignment="1">
      <alignment horizontal="right"/>
    </xf>
    <xf numFmtId="0" fontId="10" fillId="5" borderId="6" xfId="0" quotePrefix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" fillId="5" borderId="0" xfId="0" applyFont="1" applyFill="1" applyBorder="1" applyAlignment="1">
      <alignment horizontal="right"/>
    </xf>
    <xf numFmtId="0" fontId="10" fillId="5" borderId="0" xfId="0" quotePrefix="1" applyFont="1" applyFill="1" applyBorder="1" applyAlignment="1">
      <alignment horizontal="right"/>
    </xf>
    <xf numFmtId="0" fontId="10" fillId="5" borderId="10" xfId="0" applyFont="1" applyFill="1" applyBorder="1" applyAlignment="1">
      <alignment horizontal="right"/>
    </xf>
    <xf numFmtId="44" fontId="1" fillId="4" borderId="11" xfId="2" applyFont="1" applyFill="1" applyBorder="1"/>
    <xf numFmtId="43" fontId="0" fillId="4" borderId="11" xfId="1" applyFont="1" applyFill="1" applyBorder="1"/>
    <xf numFmtId="169" fontId="8" fillId="4" borderId="1" xfId="0" applyNumberFormat="1" applyFont="1" applyFill="1" applyBorder="1" applyAlignment="1">
      <alignment horizontal="right"/>
    </xf>
    <xf numFmtId="170" fontId="0" fillId="4" borderId="1" xfId="2" applyNumberFormat="1" applyFont="1" applyFill="1" applyBorder="1"/>
    <xf numFmtId="44" fontId="0" fillId="4" borderId="16" xfId="2" applyFont="1" applyFill="1" applyBorder="1"/>
    <xf numFmtId="8" fontId="0" fillId="4" borderId="17" xfId="2" applyNumberFormat="1" applyFont="1" applyFill="1" applyBorder="1"/>
    <xf numFmtId="171" fontId="0" fillId="4" borderId="17" xfId="2" applyNumberFormat="1" applyFont="1" applyFill="1" applyBorder="1"/>
    <xf numFmtId="174" fontId="0" fillId="4" borderId="17" xfId="3" applyNumberFormat="1" applyFont="1" applyFill="1" applyBorder="1"/>
    <xf numFmtId="173" fontId="0" fillId="4" borderId="1" xfId="0" applyNumberFormat="1" applyFill="1" applyBorder="1"/>
    <xf numFmtId="43" fontId="0" fillId="4" borderId="16" xfId="1" applyFont="1" applyFill="1" applyBorder="1"/>
    <xf numFmtId="0" fontId="11" fillId="0" borderId="1" xfId="0" applyFont="1" applyFill="1" applyBorder="1"/>
    <xf numFmtId="0" fontId="0" fillId="0" borderId="1" xfId="0" applyFill="1" applyBorder="1"/>
    <xf numFmtId="43" fontId="8" fillId="4" borderId="1" xfId="0" applyNumberFormat="1" applyFont="1" applyFill="1" applyBorder="1"/>
    <xf numFmtId="43" fontId="1" fillId="4" borderId="11" xfId="0" applyNumberFormat="1" applyFont="1" applyFill="1" applyBorder="1"/>
    <xf numFmtId="164" fontId="8" fillId="4" borderId="1" xfId="0" applyNumberFormat="1" applyFont="1" applyFill="1" applyBorder="1"/>
    <xf numFmtId="164" fontId="8" fillId="4" borderId="1" xfId="1" applyNumberFormat="1" applyFont="1" applyFill="1" applyBorder="1"/>
    <xf numFmtId="164" fontId="8" fillId="4" borderId="1" xfId="0" applyNumberFormat="1" applyFont="1" applyFill="1" applyBorder="1" applyAlignment="1">
      <alignment horizontal="right"/>
    </xf>
    <xf numFmtId="175" fontId="8" fillId="4" borderId="1" xfId="0" applyNumberFormat="1" applyFont="1" applyFill="1" applyBorder="1"/>
    <xf numFmtId="175" fontId="8" fillId="4" borderId="1" xfId="1" applyNumberFormat="1" applyFont="1" applyFill="1" applyBorder="1"/>
    <xf numFmtId="8" fontId="0" fillId="4" borderId="1" xfId="0" applyNumberFormat="1" applyFill="1" applyBorder="1"/>
    <xf numFmtId="172" fontId="0" fillId="4" borderId="16" xfId="3" applyNumberFormat="1" applyFont="1" applyFill="1" applyBorder="1"/>
    <xf numFmtId="0" fontId="1" fillId="0" borderId="0" xfId="0" applyFont="1" applyFill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239305</xdr:colOff>
      <xdr:row>21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ontent Placeholder 5">
              <a:extLst>
                <a:ext uri="{FF2B5EF4-FFF2-40B4-BE49-F238E27FC236}">
                  <a16:creationId xmlns:a16="http://schemas.microsoft.com/office/drawing/2014/main" id="{32790999-1FFA-4DA7-88C1-C7CFD921CB94}"/>
                </a:ext>
              </a:extLst>
            </xdr:cNvPr>
            <xdr:cNvSpPr>
              <a:spLocks noGrp="1"/>
            </xdr:cNvSpPr>
          </xdr:nvSpPr>
          <xdr:spPr>
            <a:xfrm>
              <a:off x="0" y="0"/>
              <a:ext cx="10602505" cy="4029075"/>
            </a:xfrm>
            <a:prstGeom prst="rect">
              <a:avLst/>
            </a:prstGeom>
          </xdr:spPr>
          <xdr:txBody>
            <a:bodyPr vert="horz" wrap="square" lIns="91440" tIns="45720" rIns="91440" bIns="45720" rtlCol="0">
              <a:normAutofit lnSpcReduction="10000"/>
            </a:bodyPr>
            <a:lstStyle>
              <a:lvl1pPr marL="228600" indent="-22860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Wingdings" panose="05000000000000000000" pitchFamily="2" charset="2"/>
                <a:buChar char="v"/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Wingdings" panose="05000000000000000000" pitchFamily="2" charset="2"/>
                <a:buChar char="Ø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Wingdings" panose="05000000000000000000" pitchFamily="2" charset="2"/>
                <a:buChar char="q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>
                <a:buNone/>
              </a:pPr>
              <a:endParaRPr lang="pt-BR" sz="4400"/>
            </a:p>
            <a:p>
              <a:pPr marL="0" indent="0" algn="ctr">
                <a:buNone/>
              </a:pPr>
              <a:r>
                <a:rPr lang="pt-BR" sz="4400"/>
                <a:t>Duration</a:t>
              </a:r>
              <a14:m>
                <m:oMath xmlns:m="http://schemas.openxmlformats.org/officeDocument/2006/math">
                  <m:r>
                    <a:rPr lang="pt-BR" sz="44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t-BR" sz="4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44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4400" b="0" i="1">
                          <a:latin typeface="Cambria Math" panose="02040503050406030204" pitchFamily="18" charset="0"/>
                        </a:rPr>
                        <m:t>𝑃</m:t>
                      </m:r>
                    </m:den>
                  </m:f>
                  <m:nary>
                    <m:naryPr>
                      <m:chr m:val="∑"/>
                      <m:ctrlPr>
                        <a:rPr lang="pt-BR" sz="44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44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pt-BR" sz="440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4400" b="0" i="1">
                          <a:latin typeface="Cambria Math" panose="02040503050406030204" pitchFamily="18" charset="0"/>
                        </a:rPr>
                        <m:t>𝑁</m:t>
                      </m:r>
                    </m:sup>
                    <m:e>
                      <m:box>
                        <m:boxPr>
                          <m:ctrlPr>
                            <a:rPr lang="pt-BR" sz="4400" i="1">
                              <a:latin typeface="Cambria Math" panose="02040503050406030204" pitchFamily="18" charset="0"/>
                            </a:rPr>
                          </m:ctrlPr>
                        </m:boxPr>
                        <m:e>
                          <m:argPr>
                            <m:argSz m:val="-1"/>
                          </m:argPr>
                          <m:f>
                            <m:fPr>
                              <m:ctrlPr>
                                <a:rPr lang="pt-BR" sz="440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4400" b="0" i="1">
                                  <a:latin typeface="Cambria Math" panose="02040503050406030204" pitchFamily="18" charset="0"/>
                                </a:rPr>
                                <m:t>𝑡𝐶</m:t>
                              </m:r>
                              <m:r>
                                <a:rPr lang="en-US" sz="4400" b="0" i="1" baseline="-25000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  <m:r>
                                <a:rPr lang="en-US" sz="4400" b="0" i="1" baseline="-25000">
                                  <a:latin typeface="Cambria Math" panose="02040503050406030204" pitchFamily="18" charset="0"/>
                                </a:rPr>
                                <m:t> .</m:t>
                              </m:r>
                            </m:num>
                            <m:den>
                              <m:d>
                                <m:dPr>
                                  <m:ctrlPr>
                                    <a:rPr lang="en-US" sz="44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r>
                                    <a:rPr lang="en-US" sz="4400" b="0" i="1">
                                      <a:latin typeface="Cambria Math" panose="02040503050406030204" pitchFamily="18" charset="0"/>
                                    </a:rPr>
                                    <m:t>1+</m:t>
                                  </m:r>
                                  <m:r>
                                    <a:rPr lang="en-US" sz="44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e>
                              </m:d>
                              <m:r>
                                <a:rPr lang="en-US" sz="4400" b="0" i="1" baseline="30000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den>
                          </m:f>
                        </m:e>
                      </m:box>
                    </m:e>
                  </m:nary>
                </m:oMath>
              </a14:m>
              <a:endParaRPr lang="en-US" sz="4400"/>
            </a:p>
            <a:p>
              <a:pPr marL="0" indent="0">
                <a:buNone/>
              </a:pPr>
              <a:r>
                <a:rPr lang="en-US" sz="3200"/>
                <a:t>				</a:t>
              </a:r>
            </a:p>
            <a:p>
              <a:pPr marL="0" indent="0">
                <a:buNone/>
              </a:pPr>
              <a:r>
                <a:rPr lang="en-US" sz="3200"/>
                <a:t>			P = Price of bond =</a:t>
              </a:r>
              <a:r>
                <a:rPr lang="pt-BR" sz="3200"/>
                <a:t>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pt-BR" sz="32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320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pt-BR" sz="320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3200" i="1">
                          <a:latin typeface="Cambria Math" panose="02040503050406030204" pitchFamily="18" charset="0"/>
                        </a:rPr>
                        <m:t>𝑁</m:t>
                      </m:r>
                    </m:sup>
                    <m:e>
                      <m:box>
                        <m:boxPr>
                          <m:ctrlPr>
                            <a:rPr lang="pt-BR" sz="3200" i="1">
                              <a:latin typeface="Cambria Math" panose="02040503050406030204" pitchFamily="18" charset="0"/>
                            </a:rPr>
                          </m:ctrlPr>
                        </m:boxPr>
                        <m:e>
                          <m:argPr>
                            <m:argSz m:val="-1"/>
                          </m:argPr>
                          <m:f>
                            <m:fPr>
                              <m:ctrlPr>
                                <a:rPr lang="pt-BR" sz="320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3200" i="1">
                                  <a:latin typeface="Cambria Math" panose="02040503050406030204" pitchFamily="18" charset="0"/>
                                </a:rPr>
                                <m:t>𝐶</m:t>
                              </m:r>
                              <m:r>
                                <a:rPr lang="en-US" sz="3200" i="1" baseline="-25000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  <m:r>
                                <a:rPr lang="en-US" sz="3200" i="1" baseline="-25000">
                                  <a:latin typeface="Cambria Math" panose="02040503050406030204" pitchFamily="18" charset="0"/>
                                </a:rPr>
                                <m:t> .</m:t>
                              </m:r>
                            </m:num>
                            <m:den>
                              <m:d>
                                <m:dPr>
                                  <m:ctrlPr>
                                    <a:rPr lang="en-US" sz="320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r>
                                    <a:rPr lang="en-US" sz="3200" i="1">
                                      <a:latin typeface="Cambria Math" panose="02040503050406030204" pitchFamily="18" charset="0"/>
                                    </a:rPr>
                                    <m:t>1+</m:t>
                                  </m:r>
                                  <m:r>
                                    <a:rPr lang="en-US" sz="32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e>
                              </m:d>
                              <m:r>
                                <a:rPr lang="en-US" sz="3200" i="1" baseline="30000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den>
                          </m:f>
                        </m:e>
                      </m:box>
                    </m:e>
                  </m:nary>
                </m:oMath>
              </a14:m>
              <a:r>
                <a:rPr lang="en-US" sz="6000"/>
                <a:t> </a:t>
              </a:r>
            </a:p>
            <a:p>
              <a:pPr marL="0" indent="0">
                <a:buNone/>
              </a:pPr>
              <a:r>
                <a:rPr lang="en-US" sz="3200"/>
                <a:t>			i = bond’s yield</a:t>
              </a:r>
            </a:p>
            <a:p>
              <a:pPr marL="0" indent="0">
                <a:buNone/>
              </a:pPr>
              <a:r>
                <a:rPr lang="en-US" sz="3200"/>
                <a:t>			C</a:t>
              </a:r>
              <a:r>
                <a:rPr lang="en-US" sz="3200" baseline="-25000"/>
                <a:t>t</a:t>
              </a:r>
              <a:r>
                <a:rPr lang="en-US" sz="3200"/>
                <a:t> = bond’s payment at time t</a:t>
              </a:r>
            </a:p>
          </xdr:txBody>
        </xdr:sp>
      </mc:Choice>
      <mc:Fallback xmlns="">
        <xdr:sp macro="" textlink="">
          <xdr:nvSpPr>
            <xdr:cNvPr id="3" name="Content Placeholder 5">
              <a:extLst>
                <a:ext uri="{FF2B5EF4-FFF2-40B4-BE49-F238E27FC236}">
                  <a16:creationId xmlns:a16="http://schemas.microsoft.com/office/drawing/2014/main" id="{32790999-1FFA-4DA7-88C1-C7CFD921CB94}"/>
                </a:ext>
              </a:extLst>
            </xdr:cNvPr>
            <xdr:cNvSpPr>
              <a:spLocks noGrp="1"/>
            </xdr:cNvSpPr>
          </xdr:nvSpPr>
          <xdr:spPr>
            <a:xfrm>
              <a:off x="0" y="0"/>
              <a:ext cx="10602505" cy="4029075"/>
            </a:xfrm>
            <a:prstGeom prst="rect">
              <a:avLst/>
            </a:prstGeom>
          </xdr:spPr>
          <xdr:txBody>
            <a:bodyPr vert="horz" wrap="square" lIns="91440" tIns="45720" rIns="91440" bIns="45720" rtlCol="0">
              <a:normAutofit lnSpcReduction="10000"/>
            </a:bodyPr>
            <a:lstStyle>
              <a:lvl1pPr marL="228600" indent="-22860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Wingdings" panose="05000000000000000000" pitchFamily="2" charset="2"/>
                <a:buChar char="v"/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Wingdings" panose="05000000000000000000" pitchFamily="2" charset="2"/>
                <a:buChar char="Ø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Wingdings" panose="05000000000000000000" pitchFamily="2" charset="2"/>
                <a:buChar char="q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>
                <a:buNone/>
              </a:pPr>
              <a:endParaRPr lang="pt-BR" sz="4400"/>
            </a:p>
            <a:p>
              <a:pPr marL="0" indent="0" algn="ctr">
                <a:buNone/>
              </a:pPr>
              <a:r>
                <a:rPr lang="pt-BR" sz="4400"/>
                <a:t>Duration</a:t>
              </a:r>
              <a:r>
                <a:rPr lang="pt-BR" sz="4400" i="0">
                  <a:latin typeface="Cambria Math" panose="02040503050406030204" pitchFamily="18" charset="0"/>
                </a:rPr>
                <a:t>=</a:t>
              </a:r>
              <a:r>
                <a:rPr lang="en-US" sz="4400" b="0" i="0">
                  <a:latin typeface="Cambria Math" panose="02040503050406030204" pitchFamily="18" charset="0"/>
                </a:rPr>
                <a:t>1</a:t>
              </a:r>
              <a:r>
                <a:rPr lang="pt-BR" sz="4400" b="0" i="0">
                  <a:latin typeface="Cambria Math" panose="02040503050406030204" pitchFamily="18" charset="0"/>
                </a:rPr>
                <a:t>/</a:t>
              </a:r>
              <a:r>
                <a:rPr lang="en-US" sz="4400" b="0" i="0">
                  <a:latin typeface="Cambria Math" panose="02040503050406030204" pitchFamily="18" charset="0"/>
                </a:rPr>
                <a:t>𝑃</a:t>
              </a:r>
              <a:r>
                <a:rPr lang="pt-BR" sz="4400" b="0" i="0">
                  <a:latin typeface="Cambria Math" panose="02040503050406030204" pitchFamily="18" charset="0"/>
                </a:rPr>
                <a:t> </a:t>
              </a:r>
              <a:r>
                <a:rPr lang="pt-BR" sz="4400" i="0">
                  <a:latin typeface="Cambria Math" panose="02040503050406030204" pitchFamily="18" charset="0"/>
                </a:rPr>
                <a:t>∑_(</a:t>
              </a:r>
              <a:r>
                <a:rPr lang="en-US" sz="4400" b="0" i="0">
                  <a:latin typeface="Cambria Math" panose="02040503050406030204" pitchFamily="18" charset="0"/>
                </a:rPr>
                <a:t>𝑡</a:t>
              </a:r>
              <a:r>
                <a:rPr lang="pt-BR" sz="4400" i="0">
                  <a:latin typeface="Cambria Math" panose="02040503050406030204" pitchFamily="18" charset="0"/>
                </a:rPr>
                <a:t>=1)</a:t>
              </a:r>
              <a:r>
                <a:rPr lang="en-US" sz="4400" b="0" i="0">
                  <a:latin typeface="Cambria Math" panose="02040503050406030204" pitchFamily="18" charset="0"/>
                </a:rPr>
                <a:t>^𝑁</a:t>
              </a:r>
              <a:r>
                <a:rPr lang="en-US" sz="4400" b="0" i="0" baseline="30000">
                  <a:latin typeface="Cambria Math" panose="02040503050406030204" pitchFamily="18" charset="0"/>
                </a:rPr>
                <a:t>▒</a:t>
              </a:r>
              <a:r>
                <a:rPr lang="pt-BR" sz="4400" b="0" i="0" baseline="30000">
                  <a:latin typeface="Cambria Math" panose="02040503050406030204" pitchFamily="18" charset="0"/>
                </a:rPr>
                <a:t>□(64&amp;(</a:t>
              </a:r>
              <a:r>
                <a:rPr lang="en-US" sz="4400" b="0" i="0">
                  <a:latin typeface="Cambria Math" panose="02040503050406030204" pitchFamily="18" charset="0"/>
                </a:rPr>
                <a:t>𝑡𝐶</a:t>
              </a:r>
              <a:r>
                <a:rPr lang="en-US" sz="4400" b="0" i="0" baseline="-25000">
                  <a:latin typeface="Cambria Math" panose="02040503050406030204" pitchFamily="18" charset="0"/>
                </a:rPr>
                <a:t>𝑡 .</a:t>
              </a:r>
              <a:r>
                <a:rPr lang="pt-BR" sz="4400" b="0" i="0" baseline="-25000">
                  <a:latin typeface="Cambria Math" panose="02040503050406030204" pitchFamily="18" charset="0"/>
                </a:rPr>
                <a:t>)/</a:t>
              </a:r>
              <a:r>
                <a:rPr lang="en-US" sz="4400" b="0" i="0" baseline="-25000">
                  <a:latin typeface="Cambria Math" panose="02040503050406030204" pitchFamily="18" charset="0"/>
                </a:rPr>
                <a:t>(</a:t>
              </a:r>
              <a:r>
                <a:rPr lang="en-US" sz="4400" b="0" i="0">
                  <a:latin typeface="Cambria Math" panose="02040503050406030204" pitchFamily="18" charset="0"/>
                </a:rPr>
                <a:t>1+𝑖)</a:t>
              </a:r>
              <a:r>
                <a:rPr lang="en-US" sz="4400" b="0" i="0" baseline="30000">
                  <a:latin typeface="Cambria Math" panose="02040503050406030204" pitchFamily="18" charset="0"/>
                </a:rPr>
                <a:t>𝑡)</a:t>
              </a:r>
              <a:endParaRPr lang="en-US" sz="4400"/>
            </a:p>
            <a:p>
              <a:pPr marL="0" indent="0">
                <a:buNone/>
              </a:pPr>
              <a:r>
                <a:rPr lang="en-US" sz="3200"/>
                <a:t>				</a:t>
              </a:r>
            </a:p>
            <a:p>
              <a:pPr marL="0" indent="0">
                <a:buNone/>
              </a:pPr>
              <a:r>
                <a:rPr lang="en-US" sz="3200"/>
                <a:t>			P = Price of bond =</a:t>
              </a:r>
              <a:r>
                <a:rPr lang="pt-BR" sz="3200"/>
                <a:t> </a:t>
              </a:r>
              <a:r>
                <a:rPr lang="pt-BR" sz="3200" i="0">
                  <a:latin typeface="Cambria Math" panose="02040503050406030204" pitchFamily="18" charset="0"/>
                </a:rPr>
                <a:t>∑_(</a:t>
              </a:r>
              <a:r>
                <a:rPr lang="en-US" sz="3200" i="0">
                  <a:latin typeface="Cambria Math" panose="02040503050406030204" pitchFamily="18" charset="0"/>
                </a:rPr>
                <a:t>𝑡</a:t>
              </a:r>
              <a:r>
                <a:rPr lang="pt-BR" sz="3200" i="0">
                  <a:latin typeface="Cambria Math" panose="02040503050406030204" pitchFamily="18" charset="0"/>
                </a:rPr>
                <a:t>=1)</a:t>
              </a:r>
              <a:r>
                <a:rPr lang="en-US" sz="3200" i="0">
                  <a:latin typeface="Cambria Math" panose="02040503050406030204" pitchFamily="18" charset="0"/>
                </a:rPr>
                <a:t>^𝑁</a:t>
              </a:r>
              <a:r>
                <a:rPr lang="en-US" sz="3200" i="0" baseline="30000">
                  <a:latin typeface="Cambria Math" panose="02040503050406030204" pitchFamily="18" charset="0"/>
                </a:rPr>
                <a:t>▒</a:t>
              </a:r>
              <a:r>
                <a:rPr lang="pt-BR" sz="3200" i="0" baseline="30000">
                  <a:latin typeface="Cambria Math" panose="02040503050406030204" pitchFamily="18" charset="0"/>
                </a:rPr>
                <a:t>□(64&amp;(</a:t>
              </a:r>
              <a:r>
                <a:rPr lang="en-US" sz="3200" i="0">
                  <a:latin typeface="Cambria Math" panose="02040503050406030204" pitchFamily="18" charset="0"/>
                </a:rPr>
                <a:t>𝐶</a:t>
              </a:r>
              <a:r>
                <a:rPr lang="en-US" sz="3200" i="0" baseline="-25000">
                  <a:latin typeface="Cambria Math" panose="02040503050406030204" pitchFamily="18" charset="0"/>
                </a:rPr>
                <a:t>𝑡 .</a:t>
              </a:r>
              <a:r>
                <a:rPr lang="pt-BR" sz="3200" i="0" baseline="-25000">
                  <a:latin typeface="Cambria Math" panose="02040503050406030204" pitchFamily="18" charset="0"/>
                </a:rPr>
                <a:t>)/</a:t>
              </a:r>
              <a:r>
                <a:rPr lang="en-US" sz="3200" i="0" baseline="-25000">
                  <a:latin typeface="Cambria Math" panose="02040503050406030204" pitchFamily="18" charset="0"/>
                </a:rPr>
                <a:t>(</a:t>
              </a:r>
              <a:r>
                <a:rPr lang="en-US" sz="3200" i="0">
                  <a:latin typeface="Cambria Math" panose="02040503050406030204" pitchFamily="18" charset="0"/>
                </a:rPr>
                <a:t>1+</a:t>
              </a:r>
              <a:r>
                <a:rPr lang="en-US" sz="3200" b="0" i="0">
                  <a:latin typeface="Cambria Math" panose="02040503050406030204" pitchFamily="18" charset="0"/>
                </a:rPr>
                <a:t>𝑖)</a:t>
              </a:r>
              <a:r>
                <a:rPr lang="en-US" sz="3200" i="0" baseline="30000">
                  <a:latin typeface="Cambria Math" panose="02040503050406030204" pitchFamily="18" charset="0"/>
                </a:rPr>
                <a:t>𝑡)</a:t>
              </a:r>
              <a:r>
                <a:rPr lang="en-US" sz="6000"/>
                <a:t> </a:t>
              </a:r>
            </a:p>
            <a:p>
              <a:pPr marL="0" indent="0">
                <a:buNone/>
              </a:pPr>
              <a:r>
                <a:rPr lang="en-US" sz="3200"/>
                <a:t>			i = bond’s yield</a:t>
              </a:r>
            </a:p>
            <a:p>
              <a:pPr marL="0" indent="0">
                <a:buNone/>
              </a:pPr>
              <a:r>
                <a:rPr lang="en-US" sz="3200"/>
                <a:t>			C</a:t>
              </a:r>
              <a:r>
                <a:rPr lang="en-US" sz="3200" baseline="-25000"/>
                <a:t>t</a:t>
              </a:r>
              <a:r>
                <a:rPr lang="en-US" sz="3200"/>
                <a:t> = bond’s payment at time t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17</xdr:col>
      <xdr:colOff>239305</xdr:colOff>
      <xdr:row>23</xdr:row>
      <xdr:rowOff>15324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ontent Placeholder 5">
              <a:extLst>
                <a:ext uri="{FF2B5EF4-FFF2-40B4-BE49-F238E27FC236}">
                  <a16:creationId xmlns:a16="http://schemas.microsoft.com/office/drawing/2014/main" id="{82529F20-549A-4978-813C-0C8DEDEB49F1}"/>
                </a:ext>
              </a:extLst>
            </xdr:cNvPr>
            <xdr:cNvSpPr>
              <a:spLocks noGrp="1"/>
            </xdr:cNvSpPr>
          </xdr:nvSpPr>
          <xdr:spPr>
            <a:xfrm>
              <a:off x="0" y="9525"/>
              <a:ext cx="10602505" cy="4387299"/>
            </a:xfrm>
            <a:prstGeom prst="rect">
              <a:avLst/>
            </a:prstGeom>
          </xdr:spPr>
          <xdr:txBody>
            <a:bodyPr vert="horz" wrap="square" lIns="91440" tIns="45720" rIns="91440" bIns="45720" rtlCol="0">
              <a:normAutofit/>
            </a:bodyPr>
            <a:lstStyle>
              <a:lvl1pPr marL="228600" indent="-22860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Wingdings" panose="05000000000000000000" pitchFamily="2" charset="2"/>
                <a:buChar char="v"/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Wingdings" panose="05000000000000000000" pitchFamily="2" charset="2"/>
                <a:buChar char="Ø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Wingdings" panose="05000000000000000000" pitchFamily="2" charset="2"/>
                <a:buChar char="q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>
                <a:buNone/>
              </a:pPr>
              <a:r>
                <a:rPr lang="pt-BR" sz="4000"/>
                <a:t>Convexity</a:t>
              </a:r>
              <a14:m>
                <m:oMath xmlns:m="http://schemas.openxmlformats.org/officeDocument/2006/math">
                  <m:r>
                    <a:rPr lang="pt-BR" sz="40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t-BR" sz="4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40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4000" b="0" i="1">
                          <a:latin typeface="Cambria Math" panose="02040503050406030204" pitchFamily="18" charset="0"/>
                        </a:rPr>
                        <m:t>𝑃</m:t>
                      </m:r>
                    </m:den>
                  </m:f>
                  <m:nary>
                    <m:naryPr>
                      <m:chr m:val="∑"/>
                      <m:ctrlPr>
                        <a:rPr lang="pt-BR" sz="40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40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pt-BR" sz="400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4000" b="0" i="1">
                          <a:latin typeface="Cambria Math" panose="02040503050406030204" pitchFamily="18" charset="0"/>
                        </a:rPr>
                        <m:t>𝑁</m:t>
                      </m:r>
                    </m:sup>
                    <m:e>
                      <m:box>
                        <m:boxPr>
                          <m:ctrlPr>
                            <a:rPr lang="pt-BR" sz="4000" i="1">
                              <a:latin typeface="Cambria Math" panose="02040503050406030204" pitchFamily="18" charset="0"/>
                            </a:rPr>
                          </m:ctrlPr>
                        </m:boxPr>
                        <m:e>
                          <m:argPr>
                            <m:argSz m:val="-1"/>
                          </m:argPr>
                          <m:f>
                            <m:fPr>
                              <m:ctrlPr>
                                <a:rPr lang="pt-BR" sz="400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4000" b="0" i="1">
                                  <a:latin typeface="Cambria Math" panose="02040503050406030204" pitchFamily="18" charset="0"/>
                                </a:rPr>
                                <m:t>𝐶</m:t>
                              </m:r>
                              <m:r>
                                <a:rPr lang="en-US" sz="4000" b="0" i="1" baseline="-25000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num>
                            <m:den>
                              <m:d>
                                <m:dPr>
                                  <m:ctrlPr>
                                    <a:rPr lang="en-US" sz="40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r>
                                    <a:rPr lang="en-US" sz="4000" b="0" i="1">
                                      <a:latin typeface="Cambria Math" panose="02040503050406030204" pitchFamily="18" charset="0"/>
                                    </a:rPr>
                                    <m:t>1+</m:t>
                                  </m:r>
                                  <m:r>
                                    <a:rPr lang="en-US" sz="40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e>
                              </m:d>
                              <m:r>
                                <a:rPr lang="en-US" sz="4000" b="0" i="1" baseline="30000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den>
                          </m:f>
                        </m:e>
                      </m:box>
                    </m:e>
                  </m:nary>
                </m:oMath>
              </a14:m>
              <a:r>
                <a:rPr lang="en-US" sz="4000"/>
                <a:t> x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80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28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d>
                        <m:dPr>
                          <m:ctrlPr>
                            <a:rPr lang="en-US" sz="28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28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1+</m:t>
                          </m:r>
                          <m:r>
                            <a:rPr lang="en-US" sz="28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e>
                      </m:d>
                      <m:r>
                        <a:rPr lang="en-US" sz="2800" b="0" i="1" kern="1200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n-US" sz="4000"/>
                <a:t>  x (t</a:t>
              </a:r>
              <a:r>
                <a:rPr lang="en-US" sz="4000" baseline="30000"/>
                <a:t>2</a:t>
              </a:r>
              <a:r>
                <a:rPr lang="en-US" sz="4000"/>
                <a:t> + t)  </a:t>
              </a:r>
            </a:p>
            <a:p>
              <a:pPr marL="0" indent="0" algn="ctr">
                <a:buNone/>
              </a:pPr>
              <a:r>
                <a:rPr lang="en-US" sz="4000"/>
                <a:t>P = price of bond</a:t>
              </a:r>
            </a:p>
            <a:p>
              <a:pPr marL="0" indent="0" algn="ctr">
                <a:buNone/>
              </a:pPr>
              <a:r>
                <a:rPr lang="en-US" sz="4000"/>
                <a:t>C</a:t>
              </a:r>
              <a:r>
                <a:rPr lang="en-US" sz="4000" baseline="-25000"/>
                <a:t>t</a:t>
              </a:r>
              <a:r>
                <a:rPr lang="en-US" sz="4000"/>
                <a:t> = Payment of bond at t</a:t>
              </a:r>
            </a:p>
            <a:p>
              <a:pPr marL="0" indent="0" algn="ctr">
                <a:buNone/>
              </a:pPr>
              <a:r>
                <a:rPr lang="en-US" sz="4000"/>
                <a:t>i = bond’s yield</a:t>
              </a:r>
            </a:p>
            <a:p>
              <a:pPr marL="0" indent="0" algn="ctr">
                <a:buNone/>
              </a:pPr>
              <a:endParaRPr lang="en-US" sz="6000"/>
            </a:p>
          </xdr:txBody>
        </xdr:sp>
      </mc:Choice>
      <mc:Fallback xmlns="">
        <xdr:sp macro="" textlink="">
          <xdr:nvSpPr>
            <xdr:cNvPr id="2" name="Content Placeholder 5">
              <a:extLst>
                <a:ext uri="{FF2B5EF4-FFF2-40B4-BE49-F238E27FC236}">
                  <a16:creationId xmlns:a16="http://schemas.microsoft.com/office/drawing/2014/main" id="{82529F20-549A-4978-813C-0C8DEDEB49F1}"/>
                </a:ext>
              </a:extLst>
            </xdr:cNvPr>
            <xdr:cNvSpPr>
              <a:spLocks noGrp="1"/>
            </xdr:cNvSpPr>
          </xdr:nvSpPr>
          <xdr:spPr>
            <a:xfrm>
              <a:off x="0" y="9525"/>
              <a:ext cx="10602505" cy="4387299"/>
            </a:xfrm>
            <a:prstGeom prst="rect">
              <a:avLst/>
            </a:prstGeom>
          </xdr:spPr>
          <xdr:txBody>
            <a:bodyPr vert="horz" wrap="square" lIns="91440" tIns="45720" rIns="91440" bIns="45720" rtlCol="0">
              <a:normAutofit/>
            </a:bodyPr>
            <a:lstStyle>
              <a:lvl1pPr marL="228600" indent="-22860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Wingdings" panose="05000000000000000000" pitchFamily="2" charset="2"/>
                <a:buChar char="v"/>
                <a:defRPr sz="2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Wingdings" panose="05000000000000000000" pitchFamily="2" charset="2"/>
                <a:buChar char="Ø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Wingdings" panose="05000000000000000000" pitchFamily="2" charset="2"/>
                <a:buChar char="q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>
                <a:buNone/>
              </a:pPr>
              <a:r>
                <a:rPr lang="pt-BR" sz="4000"/>
                <a:t>Convexity</a:t>
              </a:r>
              <a:r>
                <a:rPr lang="pt-BR" sz="4000" i="0">
                  <a:latin typeface="Cambria Math" panose="02040503050406030204" pitchFamily="18" charset="0"/>
                </a:rPr>
                <a:t>=</a:t>
              </a:r>
              <a:r>
                <a:rPr lang="en-US" sz="4000" b="0" i="0">
                  <a:latin typeface="Cambria Math" panose="02040503050406030204" pitchFamily="18" charset="0"/>
                </a:rPr>
                <a:t>1</a:t>
              </a:r>
              <a:r>
                <a:rPr lang="pt-BR" sz="4000" b="0" i="0">
                  <a:latin typeface="Cambria Math" panose="02040503050406030204" pitchFamily="18" charset="0"/>
                </a:rPr>
                <a:t>/</a:t>
              </a:r>
              <a:r>
                <a:rPr lang="en-US" sz="4000" b="0" i="0">
                  <a:latin typeface="Cambria Math" panose="02040503050406030204" pitchFamily="18" charset="0"/>
                </a:rPr>
                <a:t>𝑃</a:t>
              </a:r>
              <a:r>
                <a:rPr lang="pt-BR" sz="4000" b="0" i="0">
                  <a:latin typeface="Cambria Math" panose="02040503050406030204" pitchFamily="18" charset="0"/>
                </a:rPr>
                <a:t> </a:t>
              </a:r>
              <a:r>
                <a:rPr lang="pt-BR" sz="4000" i="0">
                  <a:latin typeface="Cambria Math" panose="02040503050406030204" pitchFamily="18" charset="0"/>
                </a:rPr>
                <a:t>∑_(</a:t>
              </a:r>
              <a:r>
                <a:rPr lang="en-US" sz="4000" b="0" i="0">
                  <a:latin typeface="Cambria Math" panose="02040503050406030204" pitchFamily="18" charset="0"/>
                </a:rPr>
                <a:t>𝑡</a:t>
              </a:r>
              <a:r>
                <a:rPr lang="pt-BR" sz="4000" i="0">
                  <a:latin typeface="Cambria Math" panose="02040503050406030204" pitchFamily="18" charset="0"/>
                </a:rPr>
                <a:t>=1)</a:t>
              </a:r>
              <a:r>
                <a:rPr lang="en-US" sz="4000" b="0" i="0">
                  <a:latin typeface="Cambria Math" panose="02040503050406030204" pitchFamily="18" charset="0"/>
                </a:rPr>
                <a:t>^𝑁</a:t>
              </a:r>
              <a:r>
                <a:rPr lang="en-US" sz="4000" b="0" i="0" baseline="30000">
                  <a:latin typeface="Cambria Math" panose="02040503050406030204" pitchFamily="18" charset="0"/>
                </a:rPr>
                <a:t>▒</a:t>
              </a:r>
              <a:r>
                <a:rPr lang="pt-BR" sz="4000" b="0" i="0" baseline="30000">
                  <a:latin typeface="Cambria Math" panose="02040503050406030204" pitchFamily="18" charset="0"/>
                </a:rPr>
                <a:t>□(64&amp;</a:t>
              </a:r>
              <a:r>
                <a:rPr lang="en-US" sz="4000" b="0" i="0">
                  <a:latin typeface="Cambria Math" panose="02040503050406030204" pitchFamily="18" charset="0"/>
                </a:rPr>
                <a:t>𝐶</a:t>
              </a:r>
              <a:r>
                <a:rPr lang="en-US" sz="4000" b="0" i="0" baseline="-25000">
                  <a:latin typeface="Cambria Math" panose="02040503050406030204" pitchFamily="18" charset="0"/>
                </a:rPr>
                <a:t>𝑡</a:t>
              </a:r>
              <a:r>
                <a:rPr lang="pt-BR" sz="4000" b="0" i="0" baseline="-25000">
                  <a:latin typeface="Cambria Math" panose="02040503050406030204" pitchFamily="18" charset="0"/>
                </a:rPr>
                <a:t>/</a:t>
              </a:r>
              <a:r>
                <a:rPr lang="en-US" sz="4000" b="0" i="0" baseline="-25000">
                  <a:latin typeface="Cambria Math" panose="02040503050406030204" pitchFamily="18" charset="0"/>
                </a:rPr>
                <a:t>(</a:t>
              </a:r>
              <a:r>
                <a:rPr lang="en-US" sz="4000" b="0" i="0">
                  <a:latin typeface="Cambria Math" panose="02040503050406030204" pitchFamily="18" charset="0"/>
                </a:rPr>
                <a:t>1+𝑖)</a:t>
              </a:r>
              <a:r>
                <a:rPr lang="en-US" sz="4000" b="0" i="0" baseline="30000">
                  <a:latin typeface="Cambria Math" panose="02040503050406030204" pitchFamily="18" charset="0"/>
                </a:rPr>
                <a:t>𝑡)</a:t>
              </a:r>
              <a:r>
                <a:rPr lang="en-US" sz="4000"/>
                <a:t> x </a:t>
              </a:r>
              <a:r>
                <a:rPr lang="en-US" sz="2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pt-BR" sz="28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28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(1+𝑖)</a:t>
              </a:r>
              <a:r>
                <a:rPr lang="en-US" sz="2800" b="0" i="0" kern="120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4000"/>
                <a:t>  x (t</a:t>
              </a:r>
              <a:r>
                <a:rPr lang="en-US" sz="4000" baseline="30000"/>
                <a:t>2</a:t>
              </a:r>
              <a:r>
                <a:rPr lang="en-US" sz="4000"/>
                <a:t> + t)  </a:t>
              </a:r>
            </a:p>
            <a:p>
              <a:pPr marL="0" indent="0" algn="ctr">
                <a:buNone/>
              </a:pPr>
              <a:r>
                <a:rPr lang="en-US" sz="4000"/>
                <a:t>P = price of bond</a:t>
              </a:r>
            </a:p>
            <a:p>
              <a:pPr marL="0" indent="0" algn="ctr">
                <a:buNone/>
              </a:pPr>
              <a:r>
                <a:rPr lang="en-US" sz="4000"/>
                <a:t>C</a:t>
              </a:r>
              <a:r>
                <a:rPr lang="en-US" sz="4000" baseline="-25000"/>
                <a:t>t</a:t>
              </a:r>
              <a:r>
                <a:rPr lang="en-US" sz="4000"/>
                <a:t> = Payment of bond at t</a:t>
              </a:r>
            </a:p>
            <a:p>
              <a:pPr marL="0" indent="0" algn="ctr">
                <a:buNone/>
              </a:pPr>
              <a:r>
                <a:rPr lang="en-US" sz="4000"/>
                <a:t>i = bond’s yield</a:t>
              </a:r>
            </a:p>
            <a:p>
              <a:pPr marL="0" indent="0" algn="ctr">
                <a:buNone/>
              </a:pPr>
              <a:endParaRPr lang="en-US" sz="60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11</xdr:col>
      <xdr:colOff>386359</xdr:colOff>
      <xdr:row>53</xdr:row>
      <xdr:rowOff>26843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7B65115-EF85-4E3C-A803-FDBD635A0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3065"/>
          <a:ext cx="7146036" cy="92445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jacqu/Documents/Backup_hard%20drive/My%20Documents/Mgt%20FInancial%20Institutions%20MGT%203079/convexity_duration_macaulay_periodic_and_annu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eefc527eeef2c82/Georgia_Tech/MGT_8813/jaymin/hw3/HW_3_Pat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lanation of file"/>
      <sheetName val="Periodic Duration"/>
      <sheetName val="Annual duration"/>
      <sheetName val="Sheet1"/>
    </sheetNames>
    <sheetDataSet>
      <sheetData sheetId="0"/>
      <sheetData sheetId="1">
        <row r="1">
          <cell r="F1">
            <v>-0.01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Price the bond basics"/>
      <sheetName val="Variable timeline"/>
      <sheetName val="Par_premium_discount"/>
      <sheetName val="Finding_YTM"/>
      <sheetName val="Sheet1"/>
      <sheetName val="Duration Formula"/>
      <sheetName val="Convexity formula"/>
      <sheetName val="Duration_Convexity"/>
      <sheetName val="Graph_Duration_Convexity"/>
      <sheetName val="Immunize Part 1"/>
      <sheetName val="Immunize Part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F1">
            <v>2.5000000000000001E-3</v>
          </cell>
        </row>
        <row r="9">
          <cell r="B9">
            <v>8.9708655292452075</v>
          </cell>
          <cell r="F9">
            <v>97839.980959152817</v>
          </cell>
        </row>
        <row r="12">
          <cell r="B12">
            <v>8.957182449513569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B2"/>
  <sheetViews>
    <sheetView tabSelected="1" workbookViewId="0">
      <selection activeCell="F11" sqref="F11"/>
    </sheetView>
  </sheetViews>
  <sheetFormatPr defaultRowHeight="15" x14ac:dyDescent="0.25"/>
  <cols>
    <col min="2" max="2" width="15.28515625" customWidth="1"/>
  </cols>
  <sheetData>
    <row r="1" spans="1:2" x14ac:dyDescent="0.25">
      <c r="A1" t="s">
        <v>133</v>
      </c>
      <c r="B1" t="s">
        <v>136</v>
      </c>
    </row>
    <row r="2" spans="1:2" x14ac:dyDescent="0.25">
      <c r="A2" t="s">
        <v>134</v>
      </c>
      <c r="B2">
        <v>903453344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K56"/>
  <sheetViews>
    <sheetView workbookViewId="0">
      <selection activeCell="P19" sqref="P19"/>
    </sheetView>
  </sheetViews>
  <sheetFormatPr defaultRowHeight="15" x14ac:dyDescent="0.25"/>
  <cols>
    <col min="1" max="1" width="30.5703125" customWidth="1"/>
    <col min="2" max="2" width="13.5703125" customWidth="1"/>
    <col min="3" max="3" width="15.7109375" customWidth="1"/>
    <col min="4" max="4" width="14.85546875" customWidth="1"/>
    <col min="5" max="5" width="17" customWidth="1"/>
    <col min="6" max="6" width="17.7109375" customWidth="1"/>
    <col min="9" max="9" width="17.5703125" customWidth="1"/>
    <col min="10" max="10" width="15.42578125" customWidth="1"/>
  </cols>
  <sheetData>
    <row r="1" spans="1:10" x14ac:dyDescent="0.25">
      <c r="A1" s="43" t="s">
        <v>119</v>
      </c>
      <c r="B1" s="39">
        <f>-PV(B6/B7,B5*B7,B4*B3/B7,B3)</f>
        <v>100000</v>
      </c>
      <c r="C1" s="25" t="e">
        <f>-PV(C6/C7,C5*C7,C4*C3/C7,C3)</f>
        <v>#VALUE!</v>
      </c>
      <c r="D1" t="s">
        <v>42</v>
      </c>
      <c r="F1" s="41">
        <v>2.5000000000000001E-3</v>
      </c>
    </row>
    <row r="2" spans="1:10" x14ac:dyDescent="0.25">
      <c r="A2" s="43" t="s">
        <v>121</v>
      </c>
      <c r="B2" s="39">
        <f>-PV(B6+$F$1,B5,B4*B3,B3)</f>
        <v>97839.980959152817</v>
      </c>
      <c r="C2" s="25"/>
      <c r="F2" s="79"/>
    </row>
    <row r="3" spans="1:10" x14ac:dyDescent="0.25">
      <c r="A3" s="43" t="s">
        <v>43</v>
      </c>
      <c r="B3" s="40">
        <v>100000</v>
      </c>
      <c r="C3" s="26" t="s">
        <v>129</v>
      </c>
      <c r="D3" t="s">
        <v>5</v>
      </c>
      <c r="F3" s="27" t="s">
        <v>5</v>
      </c>
      <c r="G3" s="28" t="s">
        <v>5</v>
      </c>
    </row>
    <row r="4" spans="1:10" x14ac:dyDescent="0.25">
      <c r="A4" s="43" t="s">
        <v>44</v>
      </c>
      <c r="B4" s="41">
        <v>2.5000000000000001E-2</v>
      </c>
      <c r="C4" s="29">
        <f>B4</f>
        <v>2.5000000000000001E-2</v>
      </c>
    </row>
    <row r="5" spans="1:10" x14ac:dyDescent="0.25">
      <c r="A5" s="43" t="s">
        <v>45</v>
      </c>
      <c r="B5" s="42">
        <v>10</v>
      </c>
      <c r="C5" s="30">
        <f>B5</f>
        <v>10</v>
      </c>
      <c r="D5" t="s">
        <v>46</v>
      </c>
      <c r="F5" s="87">
        <f>-F1*B10*B1</f>
        <v>-2188.0159827427337</v>
      </c>
      <c r="G5" s="28" t="s">
        <v>5</v>
      </c>
      <c r="H5" t="s">
        <v>75</v>
      </c>
    </row>
    <row r="6" spans="1:10" ht="17.25" x14ac:dyDescent="0.25">
      <c r="A6" s="43" t="s">
        <v>122</v>
      </c>
      <c r="B6" s="41">
        <v>2.5000000000000001E-2</v>
      </c>
      <c r="C6" s="29">
        <v>1.5000000000000001E-2</v>
      </c>
      <c r="D6" s="57" t="s">
        <v>48</v>
      </c>
      <c r="E6" s="57"/>
      <c r="F6" s="93">
        <f>0.5*F1^2*B11*B1</f>
        <v>28.265402731413221</v>
      </c>
      <c r="G6" s="69" t="s">
        <v>5</v>
      </c>
      <c r="H6" s="37" t="s">
        <v>76</v>
      </c>
    </row>
    <row r="7" spans="1:10" x14ac:dyDescent="0.25">
      <c r="A7" s="43" t="s">
        <v>49</v>
      </c>
      <c r="B7" s="42">
        <v>1</v>
      </c>
      <c r="C7" s="26">
        <f>B7</f>
        <v>1</v>
      </c>
      <c r="D7" s="57" t="s">
        <v>50</v>
      </c>
      <c r="E7" s="57"/>
      <c r="F7" s="95">
        <f>F5+F6</f>
        <v>-2159.7505800113204</v>
      </c>
      <c r="G7" s="69" t="s">
        <v>5</v>
      </c>
      <c r="H7" s="37"/>
      <c r="I7" s="3"/>
      <c r="J7" s="56"/>
    </row>
    <row r="8" spans="1:10" x14ac:dyDescent="0.25">
      <c r="D8" s="57"/>
      <c r="E8" s="57"/>
      <c r="F8" s="57"/>
      <c r="G8" s="37"/>
      <c r="H8" s="37"/>
      <c r="I8" s="3"/>
      <c r="J8" s="56"/>
    </row>
    <row r="9" spans="1:10" x14ac:dyDescent="0.25">
      <c r="A9" s="1" t="s">
        <v>123</v>
      </c>
      <c r="B9" s="109">
        <f>F36</f>
        <v>8.9708655292452075</v>
      </c>
      <c r="D9" s="57" t="s">
        <v>52</v>
      </c>
      <c r="E9" s="57"/>
      <c r="F9" s="91">
        <f>-PV(B6+F1, B5, (B3*B4), B3)</f>
        <v>97839.980959152817</v>
      </c>
      <c r="G9" s="38" t="s">
        <v>5</v>
      </c>
      <c r="H9" s="37"/>
      <c r="I9" s="3"/>
      <c r="J9" s="56"/>
    </row>
    <row r="10" spans="1:10" x14ac:dyDescent="0.25">
      <c r="A10" s="1" t="s">
        <v>53</v>
      </c>
      <c r="B10" s="109">
        <f>B9/(1+B4)</f>
        <v>8.7520639309709356</v>
      </c>
      <c r="D10" s="57" t="s">
        <v>54</v>
      </c>
      <c r="E10" s="57"/>
      <c r="F10" s="91">
        <f>B3+F7</f>
        <v>97840.249419988686</v>
      </c>
      <c r="G10" s="37"/>
      <c r="H10" s="37"/>
    </row>
    <row r="11" spans="1:10" x14ac:dyDescent="0.25">
      <c r="A11" s="67" t="s">
        <v>55</v>
      </c>
      <c r="B11" s="110">
        <f>I36</f>
        <v>90.449288740522306</v>
      </c>
      <c r="D11" s="57" t="s">
        <v>56</v>
      </c>
      <c r="E11" s="57"/>
      <c r="F11" s="97">
        <f>F9-F10</f>
        <v>-0.26846083586860914</v>
      </c>
      <c r="G11" s="37"/>
      <c r="H11" s="37"/>
      <c r="J11" t="s">
        <v>5</v>
      </c>
    </row>
    <row r="12" spans="1:10" x14ac:dyDescent="0.25">
      <c r="A12" s="1" t="s">
        <v>124</v>
      </c>
      <c r="B12" s="109">
        <f>F55</f>
        <v>8.957182449513569</v>
      </c>
      <c r="D12" s="57"/>
      <c r="E12" s="57"/>
      <c r="F12" s="81"/>
      <c r="G12" s="37"/>
      <c r="H12" s="37"/>
    </row>
    <row r="13" spans="1:10" x14ac:dyDescent="0.25">
      <c r="A13" s="1" t="s">
        <v>53</v>
      </c>
      <c r="B13" s="109">
        <f>B12/(1+B4+F1)</f>
        <v>8.7174525056093142</v>
      </c>
      <c r="D13" s="57"/>
      <c r="E13" s="57"/>
      <c r="F13" s="81"/>
      <c r="G13" s="37"/>
      <c r="H13" s="37"/>
    </row>
    <row r="14" spans="1:10" x14ac:dyDescent="0.25">
      <c r="A14" s="67" t="s">
        <v>55</v>
      </c>
      <c r="B14" s="110">
        <f>I55</f>
        <v>87.892101650276999</v>
      </c>
      <c r="D14" s="57"/>
      <c r="E14" s="57"/>
      <c r="F14" s="81"/>
      <c r="G14" s="37"/>
      <c r="H14" s="37"/>
    </row>
    <row r="15" spans="1:10" x14ac:dyDescent="0.25">
      <c r="A15" s="119" t="s">
        <v>57</v>
      </c>
      <c r="B15" s="119"/>
      <c r="C15" s="119"/>
      <c r="D15" s="119"/>
      <c r="E15" s="119"/>
      <c r="F15" s="120"/>
      <c r="G15" s="121"/>
    </row>
    <row r="16" spans="1:10" x14ac:dyDescent="0.25">
      <c r="A16" s="119" t="s">
        <v>100</v>
      </c>
      <c r="B16" s="119"/>
      <c r="C16" s="119"/>
      <c r="D16" s="119"/>
      <c r="E16" s="119"/>
      <c r="F16" s="120"/>
      <c r="G16" s="121"/>
    </row>
    <row r="17" spans="1:11" x14ac:dyDescent="0.25">
      <c r="A17" s="119" t="s">
        <v>125</v>
      </c>
      <c r="B17" s="119"/>
      <c r="C17" s="119"/>
      <c r="D17" s="119"/>
      <c r="E17" s="119"/>
      <c r="F17" s="120"/>
      <c r="G17" s="121"/>
    </row>
    <row r="18" spans="1:11" x14ac:dyDescent="0.25">
      <c r="B18" s="31"/>
      <c r="F18" s="15"/>
    </row>
    <row r="19" spans="1:11" ht="15.75" thickBot="1" x14ac:dyDescent="0.3">
      <c r="A19" s="155" t="s">
        <v>127</v>
      </c>
      <c r="B19" s="156"/>
      <c r="C19" t="s">
        <v>5</v>
      </c>
      <c r="D19" t="s">
        <v>5</v>
      </c>
      <c r="E19" t="s">
        <v>5</v>
      </c>
      <c r="F19" t="s">
        <v>5</v>
      </c>
      <c r="G19" s="57" t="s">
        <v>5</v>
      </c>
      <c r="H19" s="57" t="s">
        <v>5</v>
      </c>
      <c r="I19" s="58" t="s">
        <v>5</v>
      </c>
      <c r="J19" s="57"/>
      <c r="K19" s="57"/>
    </row>
    <row r="20" spans="1:11" ht="15.75" thickBot="1" x14ac:dyDescent="0.3">
      <c r="A20" s="122">
        <v>1</v>
      </c>
      <c r="B20" s="123">
        <v>2</v>
      </c>
      <c r="C20" s="123">
        <v>3</v>
      </c>
      <c r="D20" s="123">
        <v>4</v>
      </c>
      <c r="E20" s="123">
        <v>5</v>
      </c>
      <c r="F20" s="123">
        <v>6</v>
      </c>
      <c r="G20" s="124">
        <v>7</v>
      </c>
      <c r="H20" s="124">
        <v>8</v>
      </c>
      <c r="I20" s="125" t="s">
        <v>59</v>
      </c>
      <c r="J20" s="61"/>
      <c r="K20" s="57"/>
    </row>
    <row r="21" spans="1:11" ht="15.75" thickBot="1" x14ac:dyDescent="0.3">
      <c r="A21" s="126" t="s">
        <v>60</v>
      </c>
      <c r="B21" s="127" t="s">
        <v>61</v>
      </c>
      <c r="C21" s="130" t="s">
        <v>73</v>
      </c>
      <c r="D21" s="130" t="s">
        <v>62</v>
      </c>
      <c r="E21" s="130" t="s">
        <v>74</v>
      </c>
      <c r="F21" s="130" t="s">
        <v>63</v>
      </c>
      <c r="G21" s="131" t="s">
        <v>64</v>
      </c>
      <c r="H21" s="131" t="s">
        <v>65</v>
      </c>
      <c r="I21" s="132"/>
      <c r="J21" s="61"/>
      <c r="K21" s="57"/>
    </row>
    <row r="22" spans="1:11" x14ac:dyDescent="0.25">
      <c r="A22">
        <v>1</v>
      </c>
      <c r="B22">
        <v>1</v>
      </c>
      <c r="C22" s="101">
        <f>B$3*B$4</f>
        <v>2500</v>
      </c>
      <c r="D22" s="77">
        <f>(1 + B$4)^B22</f>
        <v>1.0249999999999999</v>
      </c>
      <c r="E22" s="101">
        <f>C22/D22</f>
        <v>2439.0243902439029</v>
      </c>
      <c r="F22" s="101">
        <f>B22*E22</f>
        <v>2439.0243902439029</v>
      </c>
      <c r="G22" s="102">
        <f>(1+B$4)^2</f>
        <v>1.0506249999999999</v>
      </c>
      <c r="H22" s="102">
        <f>B22+B22^2</f>
        <v>2</v>
      </c>
      <c r="I22" s="147">
        <f>E22*H22/G22</f>
        <v>4642.9970545987444</v>
      </c>
      <c r="J22" s="61"/>
      <c r="K22" s="57"/>
    </row>
    <row r="23" spans="1:11" x14ac:dyDescent="0.25">
      <c r="A23">
        <v>2</v>
      </c>
      <c r="B23">
        <f>B22+1</f>
        <v>2</v>
      </c>
      <c r="C23" s="101">
        <f t="shared" ref="C23:C30" si="0">B$3*B$4</f>
        <v>2500</v>
      </c>
      <c r="D23" s="77">
        <f t="shared" ref="D23:D31" si="1">(1 + B$4)^B23</f>
        <v>1.0506249999999999</v>
      </c>
      <c r="E23" s="101">
        <f t="shared" ref="E23:E31" si="2">C23/D23</f>
        <v>2379.5359904818561</v>
      </c>
      <c r="F23" s="101">
        <f t="shared" ref="F23:F31" si="3">B23*E23</f>
        <v>4759.0719809637121</v>
      </c>
      <c r="G23" s="102">
        <f t="shared" ref="G23:G31" si="4">(1+B$4)^2</f>
        <v>1.0506249999999999</v>
      </c>
      <c r="H23" s="102">
        <f t="shared" ref="H23:H31" si="5">B23+B23^2</f>
        <v>6</v>
      </c>
      <c r="I23" s="147">
        <f t="shared" ref="I23:I31" si="6">E23*H23/G23</f>
        <v>13589.259671996324</v>
      </c>
      <c r="J23" s="61"/>
      <c r="K23" s="57"/>
    </row>
    <row r="24" spans="1:11" x14ac:dyDescent="0.25">
      <c r="A24">
        <v>3</v>
      </c>
      <c r="B24">
        <f t="shared" ref="B24:B31" si="7">B23+1</f>
        <v>3</v>
      </c>
      <c r="C24" s="101">
        <f t="shared" si="0"/>
        <v>2500</v>
      </c>
      <c r="D24" s="77">
        <f t="shared" si="1"/>
        <v>1.0768906249999999</v>
      </c>
      <c r="E24" s="101">
        <f t="shared" si="2"/>
        <v>2321.4985272993722</v>
      </c>
      <c r="F24" s="101">
        <f t="shared" si="3"/>
        <v>6964.4955818981161</v>
      </c>
      <c r="G24" s="102">
        <f t="shared" si="4"/>
        <v>1.0506249999999999</v>
      </c>
      <c r="H24" s="102">
        <f t="shared" si="5"/>
        <v>12</v>
      </c>
      <c r="I24" s="147">
        <f t="shared" si="6"/>
        <v>26515.628628285514</v>
      </c>
      <c r="J24" s="61"/>
      <c r="K24" s="57"/>
    </row>
    <row r="25" spans="1:11" x14ac:dyDescent="0.25">
      <c r="A25">
        <v>4</v>
      </c>
      <c r="B25">
        <f t="shared" si="7"/>
        <v>4</v>
      </c>
      <c r="C25" s="101">
        <f t="shared" si="0"/>
        <v>2500</v>
      </c>
      <c r="D25" s="77">
        <f t="shared" si="1"/>
        <v>1.1038128906249998</v>
      </c>
      <c r="E25" s="101">
        <f t="shared" si="2"/>
        <v>2264.8766119993875</v>
      </c>
      <c r="F25" s="101">
        <f t="shared" si="3"/>
        <v>9059.5064479975499</v>
      </c>
      <c r="G25" s="102">
        <f t="shared" si="4"/>
        <v>1.0506249999999999</v>
      </c>
      <c r="H25" s="102">
        <f t="shared" si="5"/>
        <v>20</v>
      </c>
      <c r="I25" s="147">
        <f t="shared" si="6"/>
        <v>43114.843298025226</v>
      </c>
      <c r="J25" s="61"/>
      <c r="K25" s="57"/>
    </row>
    <row r="26" spans="1:11" x14ac:dyDescent="0.25">
      <c r="A26">
        <v>5</v>
      </c>
      <c r="B26">
        <f t="shared" si="7"/>
        <v>5</v>
      </c>
      <c r="C26" s="101">
        <f t="shared" si="0"/>
        <v>2500</v>
      </c>
      <c r="D26" s="77">
        <f t="shared" si="1"/>
        <v>1.1314082128906247</v>
      </c>
      <c r="E26" s="101">
        <f t="shared" si="2"/>
        <v>2209.6357190237927</v>
      </c>
      <c r="F26" s="101">
        <f t="shared" si="3"/>
        <v>11048.178595118963</v>
      </c>
      <c r="G26" s="102">
        <f t="shared" si="4"/>
        <v>1.0506249999999999</v>
      </c>
      <c r="H26" s="102">
        <f t="shared" si="5"/>
        <v>30</v>
      </c>
      <c r="I26" s="147">
        <f t="shared" si="6"/>
        <v>63094.892631256436</v>
      </c>
      <c r="J26" s="61"/>
      <c r="K26" s="57"/>
    </row>
    <row r="27" spans="1:11" x14ac:dyDescent="0.25">
      <c r="A27">
        <v>6</v>
      </c>
      <c r="B27">
        <f t="shared" si="7"/>
        <v>6</v>
      </c>
      <c r="C27" s="101">
        <f t="shared" si="0"/>
        <v>2500</v>
      </c>
      <c r="D27" s="77">
        <f t="shared" si="1"/>
        <v>1.1596934182128902</v>
      </c>
      <c r="E27" s="101">
        <f t="shared" si="2"/>
        <v>2155.7421649012617</v>
      </c>
      <c r="F27" s="101">
        <f t="shared" si="3"/>
        <v>12934.452989407571</v>
      </c>
      <c r="G27" s="102">
        <f t="shared" si="4"/>
        <v>1.0506249999999999</v>
      </c>
      <c r="H27" s="102">
        <f t="shared" si="5"/>
        <v>42</v>
      </c>
      <c r="I27" s="147">
        <f t="shared" si="6"/>
        <v>86178.389935374653</v>
      </c>
      <c r="J27" s="61"/>
      <c r="K27" s="57"/>
    </row>
    <row r="28" spans="1:11" x14ac:dyDescent="0.25">
      <c r="A28">
        <v>7</v>
      </c>
      <c r="B28">
        <f t="shared" si="7"/>
        <v>7</v>
      </c>
      <c r="C28" s="101">
        <f t="shared" si="0"/>
        <v>2500</v>
      </c>
      <c r="D28" s="77">
        <f t="shared" si="1"/>
        <v>1.1886857536682125</v>
      </c>
      <c r="E28" s="101">
        <f t="shared" si="2"/>
        <v>2103.1630877085477</v>
      </c>
      <c r="F28" s="101">
        <f t="shared" si="3"/>
        <v>14722.141613959833</v>
      </c>
      <c r="G28" s="102">
        <f t="shared" si="4"/>
        <v>1.0506249999999999</v>
      </c>
      <c r="H28" s="102">
        <f t="shared" si="5"/>
        <v>56</v>
      </c>
      <c r="I28" s="147">
        <f t="shared" si="6"/>
        <v>112101.97064764181</v>
      </c>
      <c r="J28" s="61"/>
      <c r="K28" s="57"/>
    </row>
    <row r="29" spans="1:11" x14ac:dyDescent="0.25">
      <c r="A29">
        <v>8</v>
      </c>
      <c r="B29">
        <f t="shared" si="7"/>
        <v>8</v>
      </c>
      <c r="C29" s="101">
        <f t="shared" si="0"/>
        <v>2500</v>
      </c>
      <c r="D29" s="77">
        <f t="shared" si="1"/>
        <v>1.2184028975099177</v>
      </c>
      <c r="E29" s="101">
        <f t="shared" si="2"/>
        <v>2051.8664270327299</v>
      </c>
      <c r="F29" s="101">
        <f t="shared" si="3"/>
        <v>16414.931416261839</v>
      </c>
      <c r="G29" s="102">
        <f t="shared" si="4"/>
        <v>1.0506249999999999</v>
      </c>
      <c r="H29" s="102">
        <f t="shared" si="5"/>
        <v>72</v>
      </c>
      <c r="I29" s="147">
        <f t="shared" si="6"/>
        <v>140615.71231063086</v>
      </c>
      <c r="J29" s="61"/>
      <c r="K29" s="57"/>
    </row>
    <row r="30" spans="1:11" x14ac:dyDescent="0.25">
      <c r="A30">
        <v>9</v>
      </c>
      <c r="B30">
        <f t="shared" si="7"/>
        <v>9</v>
      </c>
      <c r="C30" s="101">
        <f t="shared" si="0"/>
        <v>2500</v>
      </c>
      <c r="D30" s="77">
        <f t="shared" si="1"/>
        <v>1.2488629699476654</v>
      </c>
      <c r="E30" s="101">
        <f t="shared" si="2"/>
        <v>2001.8209044221755</v>
      </c>
      <c r="F30" s="101">
        <f t="shared" si="3"/>
        <v>18016.388139799579</v>
      </c>
      <c r="G30" s="102">
        <f t="shared" si="4"/>
        <v>1.0506249999999999</v>
      </c>
      <c r="H30" s="102">
        <f t="shared" si="5"/>
        <v>90</v>
      </c>
      <c r="I30" s="147">
        <f t="shared" si="6"/>
        <v>171482.57598857424</v>
      </c>
      <c r="J30" s="61"/>
      <c r="K30" s="57"/>
    </row>
    <row r="31" spans="1:11" x14ac:dyDescent="0.25">
      <c r="A31">
        <v>10</v>
      </c>
      <c r="B31">
        <f t="shared" si="7"/>
        <v>10</v>
      </c>
      <c r="C31" s="101">
        <f>B$3*B$4 + B$1</f>
        <v>102500</v>
      </c>
      <c r="D31" s="77">
        <f t="shared" si="1"/>
        <v>1.2800845441963571</v>
      </c>
      <c r="E31" s="101">
        <f t="shared" si="2"/>
        <v>80072.836176887024</v>
      </c>
      <c r="F31" s="101">
        <f t="shared" si="3"/>
        <v>800728.36176887027</v>
      </c>
      <c r="G31" s="102">
        <f t="shared" si="4"/>
        <v>1.0506249999999999</v>
      </c>
      <c r="H31" s="102">
        <f t="shared" si="5"/>
        <v>110</v>
      </c>
      <c r="I31" s="147">
        <f t="shared" si="6"/>
        <v>8383592.6038858518</v>
      </c>
      <c r="J31" s="61"/>
      <c r="K31" s="57"/>
    </row>
    <row r="32" spans="1:11" x14ac:dyDescent="0.25">
      <c r="C32" s="55"/>
      <c r="G32" s="61"/>
      <c r="H32" s="61"/>
      <c r="I32" s="61"/>
      <c r="J32" s="61"/>
      <c r="K32" s="57"/>
    </row>
    <row r="33" spans="1:11" x14ac:dyDescent="0.25">
      <c r="A33" s="47"/>
      <c r="B33" s="47"/>
      <c r="C33" s="47"/>
      <c r="D33" s="47"/>
      <c r="E33" s="47"/>
      <c r="F33" s="47"/>
      <c r="G33" s="62"/>
      <c r="H33" s="62"/>
      <c r="I33" s="62"/>
      <c r="J33" s="61"/>
      <c r="K33" s="57"/>
    </row>
    <row r="34" spans="1:11" x14ac:dyDescent="0.25">
      <c r="B34" t="s">
        <v>5</v>
      </c>
      <c r="G34" s="61"/>
      <c r="H34" s="61"/>
      <c r="I34" s="61"/>
      <c r="J34" s="61"/>
      <c r="K34" s="57"/>
    </row>
    <row r="35" spans="1:11" x14ac:dyDescent="0.25">
      <c r="B35" t="s">
        <v>5</v>
      </c>
      <c r="C35" t="s">
        <v>5</v>
      </c>
      <c r="D35" s="44" t="s">
        <v>128</v>
      </c>
      <c r="E35" s="133">
        <f>SUM(E22:E31)</f>
        <v>100000.00000000006</v>
      </c>
      <c r="F35" s="134">
        <f>SUM(F22:F31)</f>
        <v>897086.55292452127</v>
      </c>
      <c r="G35" s="61"/>
      <c r="H35" s="61"/>
      <c r="I35" s="148">
        <f>SUM(I22:I31)</f>
        <v>9044928.8740522359</v>
      </c>
      <c r="J35" s="63" t="s">
        <v>67</v>
      </c>
      <c r="K35" s="57"/>
    </row>
    <row r="36" spans="1:11" x14ac:dyDescent="0.25">
      <c r="E36" s="45" t="s">
        <v>68</v>
      </c>
      <c r="F36" s="105">
        <f>F35/E35</f>
        <v>8.9708655292452075</v>
      </c>
      <c r="G36" s="65" t="s">
        <v>71</v>
      </c>
      <c r="H36" s="64"/>
      <c r="I36" s="149">
        <f>I35/E35</f>
        <v>90.449288740522306</v>
      </c>
      <c r="J36" s="63" t="s">
        <v>68</v>
      </c>
      <c r="K36" s="57"/>
    </row>
    <row r="37" spans="1:11" x14ac:dyDescent="0.25">
      <c r="H37" s="66"/>
      <c r="I37" s="57"/>
      <c r="J37" s="57"/>
      <c r="K37" s="57"/>
    </row>
    <row r="38" spans="1:11" ht="15.75" thickBot="1" x14ac:dyDescent="0.3">
      <c r="A38" s="155" t="s">
        <v>126</v>
      </c>
      <c r="B38" s="156"/>
      <c r="H38" s="61"/>
      <c r="I38" s="61"/>
      <c r="J38" s="61"/>
      <c r="K38" s="57"/>
    </row>
    <row r="39" spans="1:11" ht="15.75" thickBot="1" x14ac:dyDescent="0.3">
      <c r="A39" s="126">
        <v>1</v>
      </c>
      <c r="B39" s="127">
        <v>2</v>
      </c>
      <c r="C39" s="123">
        <v>3</v>
      </c>
      <c r="D39" s="123">
        <v>4</v>
      </c>
      <c r="E39" s="123">
        <v>5</v>
      </c>
      <c r="F39" s="123">
        <v>6</v>
      </c>
      <c r="G39" s="124">
        <v>7</v>
      </c>
      <c r="H39" s="124">
        <v>8</v>
      </c>
      <c r="I39" s="125" t="s">
        <v>59</v>
      </c>
      <c r="J39" s="61"/>
    </row>
    <row r="40" spans="1:11" ht="15.75" thickBot="1" x14ac:dyDescent="0.3">
      <c r="A40" s="126" t="s">
        <v>60</v>
      </c>
      <c r="B40" s="127" t="s">
        <v>61</v>
      </c>
      <c r="C40" s="127" t="s">
        <v>73</v>
      </c>
      <c r="D40" s="127" t="s">
        <v>62</v>
      </c>
      <c r="E40" s="127" t="s">
        <v>74</v>
      </c>
      <c r="F40" s="127" t="s">
        <v>63</v>
      </c>
      <c r="G40" s="128" t="s">
        <v>64</v>
      </c>
      <c r="H40" s="128" t="s">
        <v>65</v>
      </c>
      <c r="I40" s="129"/>
      <c r="J40" s="61"/>
    </row>
    <row r="41" spans="1:11" x14ac:dyDescent="0.25">
      <c r="A41">
        <v>1</v>
      </c>
      <c r="B41">
        <v>1</v>
      </c>
      <c r="C41" s="101">
        <f>B$3*B$4</f>
        <v>2500</v>
      </c>
      <c r="D41" s="77">
        <f>(1 + (B$4 + F$1))^B41</f>
        <v>1.0275000000000001</v>
      </c>
      <c r="E41" s="101">
        <f>C41/D41</f>
        <v>2433.0900243309002</v>
      </c>
      <c r="F41" s="101">
        <f xml:space="preserve"> B41*E41</f>
        <v>2433.0900243309002</v>
      </c>
      <c r="G41" s="102">
        <f>( 1 + B$4+ F$1)^2</f>
        <v>1.0557562499999997</v>
      </c>
      <c r="H41" s="102">
        <f>B41+B41^2</f>
        <v>2</v>
      </c>
      <c r="I41" s="150">
        <f>E41*H41/G41</f>
        <v>4609.1889568845099</v>
      </c>
      <c r="J41" s="61"/>
    </row>
    <row r="42" spans="1:11" x14ac:dyDescent="0.25">
      <c r="A42">
        <v>2</v>
      </c>
      <c r="B42">
        <f>B41+1</f>
        <v>2</v>
      </c>
      <c r="C42" s="101">
        <f t="shared" ref="C42:C49" si="8">B$3*B$4</f>
        <v>2500</v>
      </c>
      <c r="D42" s="77">
        <f t="shared" ref="D42:D50" si="9">(1 + (B$4 + F$1))^B42</f>
        <v>1.0557562500000002</v>
      </c>
      <c r="E42" s="101">
        <f t="shared" ref="E42:E50" si="10">C42/D42</f>
        <v>2367.9708265994159</v>
      </c>
      <c r="F42" s="101">
        <f t="shared" ref="F42:F50" si="11" xml:space="preserve"> B42*E42</f>
        <v>4735.9416531988318</v>
      </c>
      <c r="G42" s="102">
        <f t="shared" ref="G42:G50" si="12">( 1 + B$4+ F$1)^2</f>
        <v>1.0557562499999997</v>
      </c>
      <c r="H42" s="102">
        <f t="shared" ref="H42:H50" si="13">B42+B42^2</f>
        <v>6</v>
      </c>
      <c r="I42" s="150">
        <f t="shared" ref="I42:I50" si="14">E42*H42/G42</f>
        <v>13457.486005502216</v>
      </c>
      <c r="J42" s="61"/>
    </row>
    <row r="43" spans="1:11" x14ac:dyDescent="0.25">
      <c r="A43">
        <v>3</v>
      </c>
      <c r="B43">
        <f t="shared" ref="B43:B50" si="15">B42+1</f>
        <v>3</v>
      </c>
      <c r="C43" s="101">
        <f t="shared" si="8"/>
        <v>2500</v>
      </c>
      <c r="D43" s="77">
        <f t="shared" si="9"/>
        <v>1.0847895468750002</v>
      </c>
      <c r="E43" s="101">
        <f t="shared" si="10"/>
        <v>2304.5944784422541</v>
      </c>
      <c r="F43" s="101">
        <f t="shared" si="11"/>
        <v>6913.7834353267626</v>
      </c>
      <c r="G43" s="102">
        <f t="shared" si="12"/>
        <v>1.0557562499999997</v>
      </c>
      <c r="H43" s="102">
        <f t="shared" si="13"/>
        <v>12</v>
      </c>
      <c r="I43" s="150">
        <f t="shared" si="14"/>
        <v>26194.619962048113</v>
      </c>
      <c r="J43" s="61"/>
    </row>
    <row r="44" spans="1:11" x14ac:dyDescent="0.25">
      <c r="A44">
        <v>4</v>
      </c>
      <c r="B44">
        <f t="shared" si="15"/>
        <v>4</v>
      </c>
      <c r="C44" s="101">
        <f t="shared" si="8"/>
        <v>2500</v>
      </c>
      <c r="D44" s="77">
        <f t="shared" si="9"/>
        <v>1.1146212594140628</v>
      </c>
      <c r="E44" s="101">
        <f t="shared" si="10"/>
        <v>2242.9143342503685</v>
      </c>
      <c r="F44" s="101">
        <f t="shared" si="11"/>
        <v>8971.6573370014739</v>
      </c>
      <c r="G44" s="102">
        <f t="shared" si="12"/>
        <v>1.0557562499999997</v>
      </c>
      <c r="H44" s="102">
        <f t="shared" si="13"/>
        <v>20</v>
      </c>
      <c r="I44" s="150">
        <f t="shared" si="14"/>
        <v>42489.245680532207</v>
      </c>
      <c r="J44" s="61"/>
    </row>
    <row r="45" spans="1:11" x14ac:dyDescent="0.25">
      <c r="A45">
        <v>5</v>
      </c>
      <c r="B45">
        <f t="shared" si="15"/>
        <v>5</v>
      </c>
      <c r="C45" s="101">
        <f t="shared" si="8"/>
        <v>2500</v>
      </c>
      <c r="D45" s="77">
        <f t="shared" si="9"/>
        <v>1.1452733440479497</v>
      </c>
      <c r="E45" s="101">
        <f t="shared" si="10"/>
        <v>2182.8849968373415</v>
      </c>
      <c r="F45" s="101">
        <f t="shared" si="11"/>
        <v>10914.424984186708</v>
      </c>
      <c r="G45" s="102">
        <f t="shared" si="12"/>
        <v>1.0557562499999997</v>
      </c>
      <c r="H45" s="102">
        <f t="shared" si="13"/>
        <v>30</v>
      </c>
      <c r="I45" s="150">
        <f t="shared" si="14"/>
        <v>62028.095883988623</v>
      </c>
      <c r="J45" s="61"/>
    </row>
    <row r="46" spans="1:11" x14ac:dyDescent="0.25">
      <c r="A46">
        <v>6</v>
      </c>
      <c r="B46">
        <f t="shared" si="15"/>
        <v>6</v>
      </c>
      <c r="C46" s="101">
        <f t="shared" si="8"/>
        <v>2500</v>
      </c>
      <c r="D46" s="77">
        <f t="shared" si="9"/>
        <v>1.1767683610092683</v>
      </c>
      <c r="E46" s="101">
        <f t="shared" si="10"/>
        <v>2124.4622840266097</v>
      </c>
      <c r="F46" s="101">
        <f t="shared" si="11"/>
        <v>12746.773704159659</v>
      </c>
      <c r="G46" s="102">
        <f t="shared" si="12"/>
        <v>1.0557562499999997</v>
      </c>
      <c r="H46" s="102">
        <f t="shared" si="13"/>
        <v>42</v>
      </c>
      <c r="I46" s="150">
        <f t="shared" si="14"/>
        <v>84515.167141201033</v>
      </c>
      <c r="J46" s="61"/>
    </row>
    <row r="47" spans="1:11" x14ac:dyDescent="0.25">
      <c r="A47">
        <v>7</v>
      </c>
      <c r="B47">
        <f t="shared" si="15"/>
        <v>7</v>
      </c>
      <c r="C47" s="101">
        <f t="shared" si="8"/>
        <v>2500</v>
      </c>
      <c r="D47" s="77">
        <f t="shared" si="9"/>
        <v>1.2091294909370232</v>
      </c>
      <c r="E47" s="101">
        <f t="shared" si="10"/>
        <v>2067.6031961329536</v>
      </c>
      <c r="F47" s="101">
        <f t="shared" si="11"/>
        <v>14473.222372930675</v>
      </c>
      <c r="G47" s="102">
        <f t="shared" si="12"/>
        <v>1.0557562499999997</v>
      </c>
      <c r="H47" s="102">
        <f t="shared" si="13"/>
        <v>56</v>
      </c>
      <c r="I47" s="150">
        <f t="shared" si="14"/>
        <v>109670.93870715464</v>
      </c>
      <c r="J47" s="61"/>
    </row>
    <row r="48" spans="1:11" x14ac:dyDescent="0.25">
      <c r="A48">
        <v>8</v>
      </c>
      <c r="B48">
        <f t="shared" si="15"/>
        <v>8</v>
      </c>
      <c r="C48" s="101">
        <f t="shared" si="8"/>
        <v>2500</v>
      </c>
      <c r="D48" s="77">
        <f t="shared" si="9"/>
        <v>1.2423805519377913</v>
      </c>
      <c r="E48" s="101">
        <f t="shared" si="10"/>
        <v>2012.2658843143099</v>
      </c>
      <c r="F48" s="101">
        <f t="shared" si="11"/>
        <v>16098.127074514479</v>
      </c>
      <c r="G48" s="102">
        <f t="shared" si="12"/>
        <v>1.0557562499999997</v>
      </c>
      <c r="H48" s="102">
        <f t="shared" si="13"/>
        <v>72</v>
      </c>
      <c r="I48" s="150">
        <f t="shared" si="14"/>
        <v>137231.62299122583</v>
      </c>
      <c r="J48" s="61"/>
    </row>
    <row r="49" spans="1:10" x14ac:dyDescent="0.25">
      <c r="A49">
        <v>9</v>
      </c>
      <c r="B49">
        <f t="shared" si="15"/>
        <v>9</v>
      </c>
      <c r="C49" s="101">
        <f t="shared" si="8"/>
        <v>2500</v>
      </c>
      <c r="D49" s="77">
        <f t="shared" si="9"/>
        <v>1.2765460171160807</v>
      </c>
      <c r="E49" s="101">
        <f t="shared" si="10"/>
        <v>1958.4096197706176</v>
      </c>
      <c r="F49" s="101">
        <f t="shared" si="11"/>
        <v>17625.686577935558</v>
      </c>
      <c r="G49" s="102">
        <f t="shared" si="12"/>
        <v>1.0557562499999997</v>
      </c>
      <c r="H49" s="102">
        <f t="shared" si="13"/>
        <v>90</v>
      </c>
      <c r="I49" s="150">
        <f t="shared" si="14"/>
        <v>166948.44646134524</v>
      </c>
      <c r="J49" s="61"/>
    </row>
    <row r="50" spans="1:10" x14ac:dyDescent="0.25">
      <c r="A50">
        <v>10</v>
      </c>
      <c r="B50">
        <f t="shared" si="15"/>
        <v>10</v>
      </c>
      <c r="C50" s="101">
        <f>B$3*B$4 + $B$3</f>
        <v>102500</v>
      </c>
      <c r="D50" s="77">
        <f t="shared" si="9"/>
        <v>1.311651032586773</v>
      </c>
      <c r="E50" s="101">
        <f t="shared" si="10"/>
        <v>78145.785314448003</v>
      </c>
      <c r="F50" s="101">
        <f t="shared" si="11"/>
        <v>781457.85314448003</v>
      </c>
      <c r="G50" s="102">
        <f t="shared" si="12"/>
        <v>1.0557562499999997</v>
      </c>
      <c r="H50" s="102">
        <f t="shared" si="13"/>
        <v>110</v>
      </c>
      <c r="I50" s="150">
        <f t="shared" si="14"/>
        <v>8142065.3532378171</v>
      </c>
      <c r="J50" s="61"/>
    </row>
    <row r="51" spans="1:10" x14ac:dyDescent="0.25">
      <c r="C51" s="55"/>
      <c r="G51" s="61"/>
      <c r="H51" s="61"/>
      <c r="I51" s="61"/>
      <c r="J51" s="61"/>
    </row>
    <row r="52" spans="1:10" x14ac:dyDescent="0.25">
      <c r="A52" s="47"/>
      <c r="B52" s="47"/>
      <c r="C52" s="47"/>
      <c r="D52" s="47"/>
      <c r="E52" s="47"/>
      <c r="F52" s="47"/>
      <c r="G52" s="62"/>
      <c r="H52" s="62"/>
      <c r="I52" s="62"/>
      <c r="J52" s="61"/>
    </row>
    <row r="53" spans="1:10" x14ac:dyDescent="0.25">
      <c r="B53" t="s">
        <v>5</v>
      </c>
      <c r="G53" s="61"/>
      <c r="H53" s="61"/>
      <c r="I53" s="61"/>
      <c r="J53" s="61"/>
    </row>
    <row r="54" spans="1:10" x14ac:dyDescent="0.25">
      <c r="B54" t="s">
        <v>5</v>
      </c>
      <c r="C54" t="s">
        <v>5</v>
      </c>
      <c r="D54" s="44" t="s">
        <v>128</v>
      </c>
      <c r="E54" s="133">
        <f>SUM(E41:E50)</f>
        <v>97839.980959152774</v>
      </c>
      <c r="F54" s="134">
        <f>SUM(F41:F50)</f>
        <v>876370.56030806503</v>
      </c>
      <c r="G54" s="61"/>
      <c r="H54" s="61"/>
      <c r="I54" s="151">
        <f>SUM(I41:I50)</f>
        <v>8789210.1650277004</v>
      </c>
      <c r="J54" s="63" t="s">
        <v>67</v>
      </c>
    </row>
    <row r="55" spans="1:10" x14ac:dyDescent="0.25">
      <c r="E55" s="45" t="s">
        <v>68</v>
      </c>
      <c r="F55" s="105">
        <f>F54/E54</f>
        <v>8.957182449513569</v>
      </c>
      <c r="G55" s="65" t="s">
        <v>71</v>
      </c>
      <c r="H55" s="64"/>
      <c r="I55" s="135">
        <f>I54/B$3</f>
        <v>87.892101650276999</v>
      </c>
      <c r="J55" s="63" t="s">
        <v>68</v>
      </c>
    </row>
    <row r="56" spans="1:10" x14ac:dyDescent="0.25">
      <c r="H56" s="66"/>
      <c r="I56" s="57"/>
      <c r="J56" s="57"/>
    </row>
  </sheetData>
  <mergeCells count="2">
    <mergeCell ref="A38:B38"/>
    <mergeCell ref="A19:B19"/>
  </mergeCells>
  <dataValidations count="2">
    <dataValidation type="custom" allowBlank="1" showInputMessage="1" showErrorMessage="1" error="The frequency is restricted to either 1 or 2 (annual or semiannual)." sqref="B7" xr:uid="{00000000-0002-0000-0A00-000000000000}">
      <formula1>OR(B7=1,B7=2)=TRUE</formula1>
    </dataValidation>
    <dataValidation type="whole" allowBlank="1" showErrorMessage="1" error="These calculations only work on a payment date, so this value must be a positive integer between 1 and 20." prompt="The life of the bond must be between 1 and 20 years." sqref="B5" xr:uid="{00000000-0002-0000-0A00-000001000000}">
      <formula1>1</formula1>
      <formula2>20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L33"/>
  <sheetViews>
    <sheetView zoomScale="115" zoomScaleNormal="115" workbookViewId="0">
      <selection activeCell="M16" sqref="M16"/>
    </sheetView>
  </sheetViews>
  <sheetFormatPr defaultRowHeight="15" x14ac:dyDescent="0.25"/>
  <cols>
    <col min="1" max="1" width="23" customWidth="1"/>
    <col min="2" max="2" width="15.7109375" customWidth="1"/>
    <col min="3" max="3" width="19.5703125" customWidth="1"/>
    <col min="4" max="4" width="9.85546875" customWidth="1"/>
    <col min="5" max="5" width="10.28515625" customWidth="1"/>
    <col min="6" max="6" width="12.85546875" customWidth="1"/>
    <col min="7" max="7" width="11.28515625" customWidth="1"/>
    <col min="8" max="8" width="14.85546875" customWidth="1"/>
    <col min="9" max="9" width="17.85546875" customWidth="1"/>
    <col min="10" max="10" width="19.5703125" customWidth="1"/>
    <col min="11" max="11" width="13.42578125" customWidth="1"/>
    <col min="12" max="12" width="14.7109375" bestFit="1" customWidth="1"/>
  </cols>
  <sheetData>
    <row r="1" spans="1:12" x14ac:dyDescent="0.25">
      <c r="A1" s="115" t="s">
        <v>101</v>
      </c>
      <c r="B1" s="152">
        <f>'[2]Immunize Part 1'!F9</f>
        <v>97839.980959152817</v>
      </c>
    </row>
    <row r="2" spans="1:12" x14ac:dyDescent="0.25">
      <c r="A2" s="3"/>
    </row>
    <row r="3" spans="1:12" x14ac:dyDescent="0.25">
      <c r="A3" s="115" t="s">
        <v>120</v>
      </c>
      <c r="B3" s="77">
        <f>IF('[2]Immunize Part 1'!F1 = 0,'[2]Immunize Part 1'!B9, '[2]Immunize Part 1'!B12)</f>
        <v>8.957182449513569</v>
      </c>
      <c r="H3" t="s">
        <v>5</v>
      </c>
    </row>
    <row r="5" spans="1:12" x14ac:dyDescent="0.25">
      <c r="A5" s="114" t="s">
        <v>103</v>
      </c>
      <c r="B5" s="157" t="s">
        <v>104</v>
      </c>
      <c r="C5" s="158"/>
      <c r="D5" s="114"/>
      <c r="E5" s="114"/>
      <c r="F5" s="114"/>
      <c r="G5" s="114"/>
      <c r="H5" s="114"/>
      <c r="I5" s="114"/>
      <c r="J5" s="114"/>
      <c r="K5" s="114"/>
    </row>
    <row r="6" spans="1:12" x14ac:dyDescent="0.25">
      <c r="A6" s="115" t="s">
        <v>105</v>
      </c>
      <c r="B6" s="115" t="s">
        <v>106</v>
      </c>
      <c r="C6" s="115" t="s">
        <v>107</v>
      </c>
      <c r="D6" s="115" t="s">
        <v>108</v>
      </c>
      <c r="E6" s="115" t="s">
        <v>47</v>
      </c>
      <c r="F6" s="115" t="s">
        <v>49</v>
      </c>
      <c r="G6" s="115" t="s">
        <v>109</v>
      </c>
      <c r="H6" s="115" t="s">
        <v>102</v>
      </c>
      <c r="I6" s="115" t="s">
        <v>110</v>
      </c>
      <c r="J6" s="115" t="s">
        <v>111</v>
      </c>
      <c r="K6" s="115" t="s">
        <v>112</v>
      </c>
    </row>
    <row r="7" spans="1:12" x14ac:dyDescent="0.25">
      <c r="A7" s="114">
        <v>1</v>
      </c>
      <c r="B7" s="70">
        <v>43252</v>
      </c>
      <c r="C7" s="70">
        <v>47437</v>
      </c>
      <c r="D7" s="82">
        <v>6.7500000000000004E-2</v>
      </c>
      <c r="E7" s="71">
        <v>5.1249999999999997E-2</v>
      </c>
      <c r="F7" s="18">
        <v>2</v>
      </c>
      <c r="G7" s="77">
        <f>PRICE(B7,C7,D7,E7,100,F7)</f>
        <v>113.94568935482808</v>
      </c>
      <c r="H7" s="77">
        <f>DURATION(B7,C7,D7,E7,F7)</f>
        <v>8.3696451434569745</v>
      </c>
      <c r="I7" s="109">
        <v>0.24645881325227079</v>
      </c>
      <c r="J7" s="136">
        <f>I7*B$1</f>
        <v>24113.525595817573</v>
      </c>
      <c r="K7" s="113">
        <f>J7/(G7/100)</f>
        <v>21162.297347403641</v>
      </c>
      <c r="L7" s="72" t="s">
        <v>5</v>
      </c>
    </row>
    <row r="8" spans="1:12" x14ac:dyDescent="0.25">
      <c r="A8" s="114">
        <v>2</v>
      </c>
      <c r="B8" s="70">
        <v>43252</v>
      </c>
      <c r="C8" s="70">
        <v>47223</v>
      </c>
      <c r="D8" s="82">
        <v>6.1249999999999999E-2</v>
      </c>
      <c r="E8" s="71">
        <v>3.2500000000000001E-2</v>
      </c>
      <c r="F8" s="18">
        <v>2</v>
      </c>
      <c r="G8" s="77">
        <f t="shared" ref="G8:G11" si="0">PRICE(B8,C8,D8,E8,100,F8)</f>
        <v>126.15065375414403</v>
      </c>
      <c r="H8" s="77">
        <f t="shared" ref="H8:H11" si="1">DURATION(B8,C8,D8,E8,F8)</f>
        <v>8.3912616666787425</v>
      </c>
      <c r="I8" s="109">
        <v>0.19969192222650961</v>
      </c>
      <c r="J8" s="136">
        <f t="shared" ref="J8:J11" si="2">I8*B$1</f>
        <v>19537.853868338327</v>
      </c>
      <c r="K8" s="113">
        <f t="shared" ref="K8:K11" si="3">J8/(G8/100)</f>
        <v>15487.715114355095</v>
      </c>
      <c r="L8" s="72" t="s">
        <v>5</v>
      </c>
    </row>
    <row r="9" spans="1:12" x14ac:dyDescent="0.25">
      <c r="A9" s="114">
        <v>3</v>
      </c>
      <c r="B9" s="70">
        <v>43252</v>
      </c>
      <c r="C9" s="70">
        <v>48167</v>
      </c>
      <c r="D9" s="82">
        <v>7.0000000000000007E-2</v>
      </c>
      <c r="E9" s="71">
        <v>3.5000000000000003E-2</v>
      </c>
      <c r="F9" s="18">
        <v>2</v>
      </c>
      <c r="G9" s="77">
        <f t="shared" si="0"/>
        <v>137.30145913164637</v>
      </c>
      <c r="H9" s="77">
        <f t="shared" si="1"/>
        <v>9.6315028561630331</v>
      </c>
      <c r="I9" s="109">
        <v>0.18201639659836188</v>
      </c>
      <c r="J9" s="136">
        <f t="shared" si="2"/>
        <v>17808.480777437333</v>
      </c>
      <c r="K9" s="113">
        <f t="shared" si="3"/>
        <v>12970.350708627457</v>
      </c>
      <c r="L9" s="72" t="s">
        <v>5</v>
      </c>
    </row>
    <row r="10" spans="1:12" x14ac:dyDescent="0.25">
      <c r="A10" s="114">
        <v>4</v>
      </c>
      <c r="B10" s="70">
        <v>43252</v>
      </c>
      <c r="C10" s="70">
        <v>48580</v>
      </c>
      <c r="D10" s="82">
        <v>8.2250000000000004E-2</v>
      </c>
      <c r="E10" s="71">
        <v>4.5499999999999999E-2</v>
      </c>
      <c r="F10" s="18">
        <v>2</v>
      </c>
      <c r="G10" s="77">
        <f t="shared" si="0"/>
        <v>138.85424935644406</v>
      </c>
      <c r="H10" s="77">
        <f t="shared" si="1"/>
        <v>9.4459269418548484</v>
      </c>
      <c r="I10" s="109">
        <v>0.18466117367610807</v>
      </c>
      <c r="J10" s="136">
        <f t="shared" si="2"/>
        <v>18067.245716365225</v>
      </c>
      <c r="K10" s="113">
        <f t="shared" si="3"/>
        <v>13011.662084597734</v>
      </c>
      <c r="L10" s="72" t="s">
        <v>5</v>
      </c>
    </row>
    <row r="11" spans="1:12" x14ac:dyDescent="0.25">
      <c r="A11" s="114">
        <v>5</v>
      </c>
      <c r="B11" s="70">
        <v>43252</v>
      </c>
      <c r="C11" s="70">
        <v>48136</v>
      </c>
      <c r="D11" s="82">
        <v>7.7499999999999999E-2</v>
      </c>
      <c r="E11" s="71">
        <v>0.04</v>
      </c>
      <c r="F11" s="18">
        <v>2</v>
      </c>
      <c r="G11" s="77">
        <f t="shared" si="0"/>
        <v>138.53948619442676</v>
      </c>
      <c r="H11" s="77">
        <f t="shared" si="1"/>
        <v>9.2697703368631839</v>
      </c>
      <c r="I11" s="109">
        <v>0.18717169424674973</v>
      </c>
      <c r="J11" s="136">
        <f t="shared" si="2"/>
        <v>18312.875001194367</v>
      </c>
      <c r="K11" s="113">
        <f t="shared" si="3"/>
        <v>13218.523833338042</v>
      </c>
      <c r="L11" s="72" t="s">
        <v>5</v>
      </c>
    </row>
    <row r="12" spans="1:12" x14ac:dyDescent="0.25">
      <c r="E12" s="54"/>
    </row>
    <row r="13" spans="1:12" ht="30" x14ac:dyDescent="0.25">
      <c r="G13" s="117" t="s">
        <v>113</v>
      </c>
      <c r="H13" s="141">
        <f>SUMPRODUCT(H7:H11,I7:I11)</f>
        <v>8.9708659999999991</v>
      </c>
      <c r="I13" s="142">
        <f>SUM(I7:I11)</f>
        <v>1</v>
      </c>
      <c r="J13" s="142">
        <f>SUM(J7:J11)</f>
        <v>97839.980959152817</v>
      </c>
      <c r="K13" s="118" t="s">
        <v>114</v>
      </c>
    </row>
    <row r="14" spans="1:12" x14ac:dyDescent="0.25">
      <c r="H14" s="75" t="s">
        <v>5</v>
      </c>
      <c r="I14" s="75" t="s">
        <v>5</v>
      </c>
      <c r="J14" s="78" t="s">
        <v>5</v>
      </c>
    </row>
    <row r="15" spans="1:12" x14ac:dyDescent="0.25">
      <c r="H15" s="80"/>
      <c r="I15" s="80"/>
      <c r="J15" s="80"/>
    </row>
    <row r="16" spans="1:12" x14ac:dyDescent="0.25">
      <c r="H16" s="80"/>
      <c r="I16" s="80"/>
      <c r="J16" s="80"/>
    </row>
    <row r="17" spans="1:11" x14ac:dyDescent="0.25">
      <c r="H17" s="80"/>
      <c r="I17" s="80"/>
      <c r="J17" s="80"/>
    </row>
    <row r="18" spans="1:11" x14ac:dyDescent="0.25">
      <c r="A18" s="3" t="s">
        <v>115</v>
      </c>
      <c r="B18" s="41">
        <v>2.5000000000000001E-3</v>
      </c>
      <c r="C18" s="3" t="s">
        <v>116</v>
      </c>
      <c r="D18" s="3"/>
    </row>
    <row r="20" spans="1:11" x14ac:dyDescent="0.25">
      <c r="A20" s="114" t="s">
        <v>103</v>
      </c>
      <c r="B20" s="157" t="s">
        <v>104</v>
      </c>
      <c r="C20" s="158"/>
      <c r="D20" s="114"/>
      <c r="E20" s="114"/>
      <c r="F20" s="114"/>
      <c r="G20" s="114"/>
      <c r="H20" s="114"/>
      <c r="I20" s="114"/>
      <c r="J20" s="114"/>
      <c r="K20" s="114"/>
    </row>
    <row r="21" spans="1:11" ht="30" x14ac:dyDescent="0.25">
      <c r="A21" s="114" t="s">
        <v>105</v>
      </c>
      <c r="B21" s="115" t="s">
        <v>106</v>
      </c>
      <c r="C21" s="115" t="s">
        <v>107</v>
      </c>
      <c r="D21" s="115" t="s">
        <v>108</v>
      </c>
      <c r="E21" s="115" t="s">
        <v>47</v>
      </c>
      <c r="F21" s="115" t="s">
        <v>49</v>
      </c>
      <c r="G21" s="115" t="s">
        <v>109</v>
      </c>
      <c r="H21" s="115" t="s">
        <v>102</v>
      </c>
      <c r="I21" s="115" t="s">
        <v>110</v>
      </c>
      <c r="J21" s="116" t="s">
        <v>130</v>
      </c>
      <c r="K21" s="116" t="s">
        <v>131</v>
      </c>
    </row>
    <row r="22" spans="1:11" x14ac:dyDescent="0.25">
      <c r="A22" s="114">
        <v>1</v>
      </c>
      <c r="B22" s="70">
        <v>43252</v>
      </c>
      <c r="C22" s="70">
        <v>47437</v>
      </c>
      <c r="D22" s="82">
        <v>6.7500000000000004E-2</v>
      </c>
      <c r="E22" s="111">
        <f>E7+B$18</f>
        <v>5.3749999999999999E-2</v>
      </c>
      <c r="F22" s="18">
        <v>2</v>
      </c>
      <c r="G22" s="77">
        <f>PRICE(B22,C22,D22,E22,100,F22)</f>
        <v>111.64481556536145</v>
      </c>
      <c r="H22" s="77">
        <f>DURATION(B22,C22,D22,E22,F22)</f>
        <v>8.3337737368916986</v>
      </c>
      <c r="I22" s="112">
        <f>I7</f>
        <v>0.24645881325227079</v>
      </c>
      <c r="J22" s="112">
        <f>K22*G22/100</f>
        <v>24148.213860309355</v>
      </c>
      <c r="K22" s="113">
        <v>21629.498636389435</v>
      </c>
    </row>
    <row r="23" spans="1:11" x14ac:dyDescent="0.25">
      <c r="A23" s="114">
        <v>2</v>
      </c>
      <c r="B23" s="70">
        <v>43252</v>
      </c>
      <c r="C23" s="70">
        <v>47223</v>
      </c>
      <c r="D23" s="82">
        <v>6.1249999999999999E-2</v>
      </c>
      <c r="E23" s="111">
        <f t="shared" ref="E23:E26" si="4">E8+B$18</f>
        <v>3.5000000000000003E-2</v>
      </c>
      <c r="F23" s="18">
        <v>2</v>
      </c>
      <c r="G23" s="77">
        <f t="shared" ref="G23:G26" si="5">PRICE(B23,C23,D23,E23,100,F23)</f>
        <v>123.56341282129769</v>
      </c>
      <c r="H23" s="77">
        <f t="shared" ref="H23:H26" si="6">DURATION(B23,C23,D23,E23,F23)</f>
        <v>8.3613212315190832</v>
      </c>
      <c r="I23" s="112">
        <f t="shared" ref="I23:I26" si="7">I8</f>
        <v>0.19969192222650961</v>
      </c>
      <c r="J23" s="112">
        <f t="shared" ref="J23:J26" si="8">K23*G23/100</f>
        <v>19559.641340615821</v>
      </c>
      <c r="K23" s="113">
        <v>15829.638316079654</v>
      </c>
    </row>
    <row r="24" spans="1:11" x14ac:dyDescent="0.25">
      <c r="A24" s="114">
        <v>3</v>
      </c>
      <c r="B24" s="70">
        <v>43252</v>
      </c>
      <c r="C24" s="70">
        <v>48167</v>
      </c>
      <c r="D24" s="82">
        <v>7.0000000000000007E-2</v>
      </c>
      <c r="E24" s="111">
        <f t="shared" si="4"/>
        <v>3.7500000000000006E-2</v>
      </c>
      <c r="F24" s="18">
        <v>2</v>
      </c>
      <c r="G24" s="77">
        <f t="shared" si="5"/>
        <v>134.0933807466042</v>
      </c>
      <c r="H24" s="77">
        <f t="shared" si="6"/>
        <v>9.5812020836046656</v>
      </c>
      <c r="I24" s="112">
        <f t="shared" si="7"/>
        <v>0.18201639659836188</v>
      </c>
      <c r="J24" s="112">
        <f t="shared" si="8"/>
        <v>17776.354399691507</v>
      </c>
      <c r="K24" s="113">
        <v>13256.697907619633</v>
      </c>
    </row>
    <row r="25" spans="1:11" x14ac:dyDescent="0.25">
      <c r="A25" s="114">
        <v>4</v>
      </c>
      <c r="B25" s="70">
        <v>43252</v>
      </c>
      <c r="C25" s="70">
        <v>48580</v>
      </c>
      <c r="D25" s="82">
        <v>8.2250000000000004E-2</v>
      </c>
      <c r="E25" s="111">
        <f t="shared" si="4"/>
        <v>4.8000000000000001E-2</v>
      </c>
      <c r="F25" s="18">
        <v>2</v>
      </c>
      <c r="G25" s="77">
        <f t="shared" si="5"/>
        <v>135.61976800317368</v>
      </c>
      <c r="H25" s="77">
        <f t="shared" si="6"/>
        <v>9.3803295801207671</v>
      </c>
      <c r="I25" s="112">
        <f t="shared" si="7"/>
        <v>0.18466117367610807</v>
      </c>
      <c r="J25" s="112">
        <f t="shared" si="8"/>
        <v>18035.966237417342</v>
      </c>
      <c r="K25" s="113">
        <v>13298.921317278229</v>
      </c>
    </row>
    <row r="26" spans="1:11" x14ac:dyDescent="0.25">
      <c r="A26" s="114">
        <v>5</v>
      </c>
      <c r="B26" s="70">
        <v>43252</v>
      </c>
      <c r="C26" s="70">
        <v>48136</v>
      </c>
      <c r="D26" s="82">
        <v>7.7499999999999999E-2</v>
      </c>
      <c r="E26" s="111">
        <f t="shared" si="4"/>
        <v>4.2500000000000003E-2</v>
      </c>
      <c r="F26" s="18">
        <v>2</v>
      </c>
      <c r="G26" s="77">
        <f t="shared" si="5"/>
        <v>135.41558913619437</v>
      </c>
      <c r="H26" s="77">
        <f t="shared" si="6"/>
        <v>9.2183292670969497</v>
      </c>
      <c r="I26" s="112">
        <f t="shared" si="7"/>
        <v>0.18717169424674973</v>
      </c>
      <c r="J26" s="112">
        <f t="shared" si="8"/>
        <v>18295.119999559294</v>
      </c>
      <c r="K26" s="113">
        <v>13510.349965068614</v>
      </c>
    </row>
    <row r="27" spans="1:11" x14ac:dyDescent="0.25">
      <c r="E27" s="54"/>
    </row>
    <row r="28" spans="1:11" ht="30" x14ac:dyDescent="0.25">
      <c r="G28" s="117" t="s">
        <v>113</v>
      </c>
      <c r="H28" s="76">
        <f>SUMPRODUCT(H22:H26,I22:I26)</f>
        <v>8.9251491493018307</v>
      </c>
      <c r="I28" s="153">
        <f>SUM(I22:I26)</f>
        <v>1</v>
      </c>
      <c r="J28" s="137">
        <f>SUM(J22:J26)</f>
        <v>97815.295837593309</v>
      </c>
      <c r="K28" s="118" t="s">
        <v>114</v>
      </c>
    </row>
    <row r="29" spans="1:11" x14ac:dyDescent="0.25">
      <c r="H29" s="75" t="s">
        <v>5</v>
      </c>
      <c r="I29" s="75" t="s">
        <v>5</v>
      </c>
      <c r="J29" s="78" t="s">
        <v>5</v>
      </c>
    </row>
    <row r="31" spans="1:11" ht="30" x14ac:dyDescent="0.25">
      <c r="I31" s="73" t="s">
        <v>117</v>
      </c>
      <c r="J31" s="138">
        <f>B1</f>
        <v>97839.980959152817</v>
      </c>
    </row>
    <row r="32" spans="1:11" x14ac:dyDescent="0.25">
      <c r="I32" s="74" t="s">
        <v>118</v>
      </c>
      <c r="J32" s="139">
        <f>J28-J31</f>
        <v>-24.685121559508843</v>
      </c>
    </row>
    <row r="33" spans="9:10" x14ac:dyDescent="0.25">
      <c r="I33" s="74" t="s">
        <v>132</v>
      </c>
      <c r="J33" s="140">
        <f>J32/J31</f>
        <v>-2.5230096446783476E-4</v>
      </c>
    </row>
  </sheetData>
  <mergeCells count="2">
    <mergeCell ref="B5:C5"/>
    <mergeCell ref="B20:C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22"/>
  <sheetViews>
    <sheetView zoomScale="80" zoomScaleNormal="80" workbookViewId="0">
      <selection activeCell="J51" sqref="J51"/>
    </sheetView>
  </sheetViews>
  <sheetFormatPr defaultRowHeight="15" x14ac:dyDescent="0.25"/>
  <cols>
    <col min="1" max="1" width="21.42578125" customWidth="1"/>
    <col min="2" max="2" width="11.42578125" customWidth="1"/>
    <col min="4" max="4" width="10.5703125" customWidth="1"/>
    <col min="5" max="5" width="13.28515625" customWidth="1"/>
    <col min="6" max="6" width="12.5703125" customWidth="1"/>
    <col min="10" max="10" width="14" customWidth="1"/>
  </cols>
  <sheetData>
    <row r="1" spans="1:11" x14ac:dyDescent="0.25">
      <c r="A1" s="3" t="s">
        <v>0</v>
      </c>
      <c r="H1" t="s">
        <v>24</v>
      </c>
    </row>
    <row r="3" spans="1:11" ht="17.25" x14ac:dyDescent="0.25">
      <c r="A3" s="2" t="s">
        <v>1</v>
      </c>
      <c r="B3" s="2" t="s">
        <v>5</v>
      </c>
      <c r="C3" s="2"/>
      <c r="H3" t="s">
        <v>31</v>
      </c>
    </row>
    <row r="4" spans="1:11" ht="17.25" x14ac:dyDescent="0.25">
      <c r="A4" s="1" t="s">
        <v>2</v>
      </c>
      <c r="B4" s="18">
        <v>1000</v>
      </c>
      <c r="C4" s="51"/>
      <c r="H4" t="s">
        <v>30</v>
      </c>
    </row>
    <row r="5" spans="1:11" ht="17.25" x14ac:dyDescent="0.25">
      <c r="A5" s="1" t="s">
        <v>3</v>
      </c>
      <c r="B5" s="18">
        <v>0.05</v>
      </c>
      <c r="C5" s="51"/>
      <c r="H5" t="s">
        <v>14</v>
      </c>
    </row>
    <row r="6" spans="1:11" x14ac:dyDescent="0.25">
      <c r="A6" s="1" t="s">
        <v>4</v>
      </c>
      <c r="B6" s="18">
        <v>0.06</v>
      </c>
      <c r="C6" s="51"/>
      <c r="D6" t="s">
        <v>86</v>
      </c>
    </row>
    <row r="7" spans="1:11" x14ac:dyDescent="0.25">
      <c r="A7" s="1" t="s">
        <v>7</v>
      </c>
      <c r="B7" s="18">
        <v>5</v>
      </c>
      <c r="C7" s="51"/>
      <c r="H7" s="3" t="s">
        <v>77</v>
      </c>
      <c r="I7" s="3"/>
      <c r="J7" s="3"/>
      <c r="K7" s="3"/>
    </row>
    <row r="9" spans="1:11" x14ac:dyDescent="0.25">
      <c r="A9" s="3" t="s">
        <v>12</v>
      </c>
      <c r="B9" s="3"/>
      <c r="C9" s="3"/>
      <c r="D9" s="3"/>
      <c r="E9" s="3"/>
    </row>
    <row r="11" spans="1:11" ht="30" x14ac:dyDescent="0.25">
      <c r="A11" t="s">
        <v>13</v>
      </c>
      <c r="B11" s="16" t="s">
        <v>87</v>
      </c>
      <c r="C11" t="s">
        <v>2</v>
      </c>
      <c r="D11" s="16" t="s">
        <v>32</v>
      </c>
      <c r="E11" s="16" t="s">
        <v>33</v>
      </c>
      <c r="F11" s="16" t="s">
        <v>34</v>
      </c>
      <c r="H11" s="154" t="s">
        <v>11</v>
      </c>
      <c r="I11" s="154"/>
      <c r="J11" s="154"/>
    </row>
    <row r="12" spans="1:11" ht="60" x14ac:dyDescent="0.25">
      <c r="A12">
        <v>0</v>
      </c>
      <c r="D12" s="87">
        <f>SUM(D13:D22)</f>
        <v>213.25507091939573</v>
      </c>
      <c r="E12" s="87">
        <f>SUM(E13:E22)</f>
        <v>744.09391489672521</v>
      </c>
      <c r="F12" s="87">
        <f>D12+E12</f>
        <v>957.34898581612094</v>
      </c>
      <c r="H12" s="21" t="s">
        <v>27</v>
      </c>
      <c r="I12" s="21" t="s">
        <v>28</v>
      </c>
      <c r="J12" s="21" t="s">
        <v>29</v>
      </c>
    </row>
    <row r="13" spans="1:11" ht="15.75" thickBot="1" x14ac:dyDescent="0.3">
      <c r="A13">
        <v>1</v>
      </c>
      <c r="B13">
        <f>B$4*B$5/2</f>
        <v>25</v>
      </c>
      <c r="D13" s="77">
        <f>B13/(1 + ($B$6/2))^A13</f>
        <v>24.271844660194173</v>
      </c>
      <c r="H13" s="52">
        <f>-PV(B6/2, B7*2, (B4*B5/2),0)</f>
        <v>213.25507091939571</v>
      </c>
      <c r="I13" s="53">
        <f>-PV(B6/2, B7*2, 0, B4)</f>
        <v>744.09391489672521</v>
      </c>
      <c r="J13" s="52">
        <f>-PV(B6/2, B7*2, (B4*B5/2), B4)</f>
        <v>957.34898581612094</v>
      </c>
    </row>
    <row r="14" spans="1:11" ht="30.75" thickBot="1" x14ac:dyDescent="0.3">
      <c r="A14">
        <v>2</v>
      </c>
      <c r="B14">
        <f t="shared" ref="B14:B22" si="0">B$4*B$5/2</f>
        <v>25</v>
      </c>
      <c r="D14" s="77">
        <f t="shared" ref="D14:D22" si="1">B14/(1 + ($B$6/2))^A14</f>
        <v>23.564897728343858</v>
      </c>
      <c r="H14" s="16" t="s">
        <v>26</v>
      </c>
      <c r="I14" s="88">
        <f>H13+I13</f>
        <v>957.34898581612094</v>
      </c>
    </row>
    <row r="15" spans="1:11" x14ac:dyDescent="0.25">
      <c r="A15">
        <v>3</v>
      </c>
      <c r="B15">
        <f t="shared" si="0"/>
        <v>25</v>
      </c>
      <c r="D15" s="77">
        <f t="shared" si="1"/>
        <v>22.87854148382899</v>
      </c>
    </row>
    <row r="16" spans="1:11" x14ac:dyDescent="0.25">
      <c r="A16">
        <v>4</v>
      </c>
      <c r="B16">
        <f t="shared" si="0"/>
        <v>25</v>
      </c>
      <c r="D16" s="77">
        <f t="shared" si="1"/>
        <v>22.212176197892223</v>
      </c>
    </row>
    <row r="17" spans="1:5" x14ac:dyDescent="0.25">
      <c r="A17">
        <v>5</v>
      </c>
      <c r="B17">
        <f t="shared" si="0"/>
        <v>25</v>
      </c>
      <c r="D17" s="77">
        <f t="shared" si="1"/>
        <v>21.565219609604103</v>
      </c>
    </row>
    <row r="18" spans="1:5" x14ac:dyDescent="0.25">
      <c r="A18">
        <v>6</v>
      </c>
      <c r="B18">
        <f t="shared" si="0"/>
        <v>25</v>
      </c>
      <c r="D18" s="77">
        <f t="shared" si="1"/>
        <v>20.937106417091361</v>
      </c>
    </row>
    <row r="19" spans="1:5" x14ac:dyDescent="0.25">
      <c r="A19">
        <v>7</v>
      </c>
      <c r="B19">
        <f t="shared" si="0"/>
        <v>25</v>
      </c>
      <c r="D19" s="77">
        <f t="shared" si="1"/>
        <v>20.327287783583845</v>
      </c>
    </row>
    <row r="20" spans="1:5" x14ac:dyDescent="0.25">
      <c r="A20">
        <v>8</v>
      </c>
      <c r="B20">
        <f t="shared" si="0"/>
        <v>25</v>
      </c>
      <c r="D20" s="77">
        <f t="shared" si="1"/>
        <v>19.735230857848393</v>
      </c>
    </row>
    <row r="21" spans="1:5" x14ac:dyDescent="0.25">
      <c r="A21">
        <v>9</v>
      </c>
      <c r="B21">
        <f t="shared" si="0"/>
        <v>25</v>
      </c>
      <c r="D21" s="77">
        <f t="shared" si="1"/>
        <v>19.160418308590675</v>
      </c>
    </row>
    <row r="22" spans="1:5" x14ac:dyDescent="0.25">
      <c r="A22">
        <v>10</v>
      </c>
      <c r="B22">
        <f t="shared" si="0"/>
        <v>25</v>
      </c>
      <c r="C22">
        <f>B4</f>
        <v>1000</v>
      </c>
      <c r="D22" s="77">
        <f t="shared" si="1"/>
        <v>18.602347872418129</v>
      </c>
      <c r="E22">
        <f>C22/(1+(B6/2))^A22</f>
        <v>744.09391489672521</v>
      </c>
    </row>
  </sheetData>
  <mergeCells count="1">
    <mergeCell ref="H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94"/>
  <sheetViews>
    <sheetView zoomScaleNormal="100" workbookViewId="0">
      <selection activeCell="H31" sqref="H31"/>
    </sheetView>
  </sheetViews>
  <sheetFormatPr defaultRowHeight="15" x14ac:dyDescent="0.25"/>
  <cols>
    <col min="1" max="1" width="16.140625" customWidth="1"/>
    <col min="7" max="7" width="12.28515625" customWidth="1"/>
    <col min="8" max="8" width="9.85546875" customWidth="1"/>
  </cols>
  <sheetData>
    <row r="1" spans="1:8" x14ac:dyDescent="0.25">
      <c r="A1" t="s">
        <v>0</v>
      </c>
      <c r="D1" t="s">
        <v>77</v>
      </c>
    </row>
    <row r="2" spans="1:8" x14ac:dyDescent="0.25">
      <c r="D2" t="s">
        <v>24</v>
      </c>
    </row>
    <row r="3" spans="1:8" x14ac:dyDescent="0.25">
      <c r="A3" s="2" t="s">
        <v>1</v>
      </c>
      <c r="B3" s="2" t="s">
        <v>5</v>
      </c>
    </row>
    <row r="4" spans="1:8" ht="17.25" x14ac:dyDescent="0.25">
      <c r="A4" s="1" t="s">
        <v>2</v>
      </c>
      <c r="B4" s="18">
        <v>1000</v>
      </c>
      <c r="D4" t="s">
        <v>14</v>
      </c>
    </row>
    <row r="5" spans="1:8" x14ac:dyDescent="0.25">
      <c r="A5" s="1" t="s">
        <v>3</v>
      </c>
      <c r="B5" s="18">
        <v>0.05</v>
      </c>
    </row>
    <row r="6" spans="1:8" x14ac:dyDescent="0.25">
      <c r="A6" s="1" t="s">
        <v>4</v>
      </c>
      <c r="B6" s="18">
        <v>0.06</v>
      </c>
    </row>
    <row r="7" spans="1:8" x14ac:dyDescent="0.25">
      <c r="A7" s="1" t="s">
        <v>7</v>
      </c>
      <c r="B7" s="18">
        <v>15</v>
      </c>
    </row>
    <row r="8" spans="1:8" x14ac:dyDescent="0.25">
      <c r="G8" s="19"/>
    </row>
    <row r="9" spans="1:8" ht="15.75" thickBot="1" x14ac:dyDescent="0.3">
      <c r="A9" s="3" t="s">
        <v>6</v>
      </c>
      <c r="B9" t="s">
        <v>8</v>
      </c>
      <c r="C9" t="s">
        <v>9</v>
      </c>
      <c r="D9" t="s">
        <v>10</v>
      </c>
      <c r="G9" s="20" t="s">
        <v>11</v>
      </c>
    </row>
    <row r="10" spans="1:8" ht="15.75" thickBot="1" x14ac:dyDescent="0.3">
      <c r="A10" s="1">
        <v>0</v>
      </c>
      <c r="B10" s="1"/>
      <c r="C10" s="1"/>
      <c r="D10" s="89">
        <f>SUM(C11:C94)</f>
        <v>901.99779325265138</v>
      </c>
      <c r="G10" s="21" t="s">
        <v>25</v>
      </c>
    </row>
    <row r="11" spans="1:8" x14ac:dyDescent="0.25">
      <c r="A11" s="77">
        <f>IFERROR( IF(A10+1 &lt;= B$7*2, A10+1, ""), "")</f>
        <v>1</v>
      </c>
      <c r="B11" s="77">
        <f>IF(A11&lt;$B$7*2,($B$4*$B$5/2), IF( A11 = $B$7*2, ($B$4*$B$5/2) + $B$4, "") )</f>
        <v>25</v>
      </c>
      <c r="C11" s="77">
        <f>IF(A11&lt;&gt; "", B11/(1 + $B$6/2)^A11, "")</f>
        <v>24.271844660194173</v>
      </c>
      <c r="D11" t="s">
        <v>5</v>
      </c>
      <c r="G11" s="83">
        <f>-PV($B$6/2, $B$7*2, ($B$4*$B$5/2), ($B$4))</f>
        <v>901.99779325265126</v>
      </c>
      <c r="H11" t="s">
        <v>88</v>
      </c>
    </row>
    <row r="12" spans="1:8" x14ac:dyDescent="0.25">
      <c r="A12" s="77">
        <f t="shared" ref="A12:A40" si="0">IFERROR( IF(A11+1 &lt;= B$7*2, A11+1, ""), "")</f>
        <v>2</v>
      </c>
      <c r="B12" s="77">
        <f t="shared" ref="B12:B40" si="1">IF(A12&lt;$B$7*2,($B$4*$B$5/2), IF( A12 = $B$7*2, ($B$4*$B$5/2) + $B$4, "") )</f>
        <v>25</v>
      </c>
      <c r="C12" s="77">
        <f t="shared" ref="C12:C40" si="2">IF(A12&lt;&gt; "", B12/(1 + $B$6/2)^A12, "")</f>
        <v>23.564897728343858</v>
      </c>
      <c r="G12" s="22" t="s">
        <v>5</v>
      </c>
    </row>
    <row r="13" spans="1:8" x14ac:dyDescent="0.25">
      <c r="A13" s="77">
        <f t="shared" si="0"/>
        <v>3</v>
      </c>
      <c r="B13" s="77">
        <f t="shared" si="1"/>
        <v>25</v>
      </c>
      <c r="C13" s="77">
        <f t="shared" si="2"/>
        <v>22.87854148382899</v>
      </c>
    </row>
    <row r="14" spans="1:8" x14ac:dyDescent="0.25">
      <c r="A14" s="77">
        <f t="shared" si="0"/>
        <v>4</v>
      </c>
      <c r="B14" s="77">
        <f t="shared" si="1"/>
        <v>25</v>
      </c>
      <c r="C14" s="77">
        <f t="shared" si="2"/>
        <v>22.212176197892223</v>
      </c>
    </row>
    <row r="15" spans="1:8" x14ac:dyDescent="0.25">
      <c r="A15" s="77">
        <f t="shared" si="0"/>
        <v>5</v>
      </c>
      <c r="B15" s="77">
        <f t="shared" si="1"/>
        <v>25</v>
      </c>
      <c r="C15" s="77">
        <f t="shared" si="2"/>
        <v>21.565219609604103</v>
      </c>
    </row>
    <row r="16" spans="1:8" x14ac:dyDescent="0.25">
      <c r="A16" s="77">
        <f t="shared" si="0"/>
        <v>6</v>
      </c>
      <c r="B16" s="77">
        <f t="shared" si="1"/>
        <v>25</v>
      </c>
      <c r="C16" s="77">
        <f t="shared" si="2"/>
        <v>20.937106417091361</v>
      </c>
    </row>
    <row r="17" spans="1:3" x14ac:dyDescent="0.25">
      <c r="A17" s="77">
        <f t="shared" si="0"/>
        <v>7</v>
      </c>
      <c r="B17" s="77">
        <f t="shared" si="1"/>
        <v>25</v>
      </c>
      <c r="C17" s="77">
        <f t="shared" si="2"/>
        <v>20.327287783583845</v>
      </c>
    </row>
    <row r="18" spans="1:3" x14ac:dyDescent="0.25">
      <c r="A18" s="77">
        <f t="shared" si="0"/>
        <v>8</v>
      </c>
      <c r="B18" s="77">
        <f t="shared" si="1"/>
        <v>25</v>
      </c>
      <c r="C18" s="77">
        <f t="shared" si="2"/>
        <v>19.735230857848393</v>
      </c>
    </row>
    <row r="19" spans="1:3" x14ac:dyDescent="0.25">
      <c r="A19" s="77">
        <f t="shared" si="0"/>
        <v>9</v>
      </c>
      <c r="B19" s="77">
        <f t="shared" si="1"/>
        <v>25</v>
      </c>
      <c r="C19" s="77">
        <f t="shared" si="2"/>
        <v>19.160418308590675</v>
      </c>
    </row>
    <row r="20" spans="1:3" x14ac:dyDescent="0.25">
      <c r="A20" s="77">
        <f t="shared" si="0"/>
        <v>10</v>
      </c>
      <c r="B20" s="77">
        <f t="shared" si="1"/>
        <v>25</v>
      </c>
      <c r="C20" s="77">
        <f t="shared" si="2"/>
        <v>18.602347872418129</v>
      </c>
    </row>
    <row r="21" spans="1:3" x14ac:dyDescent="0.25">
      <c r="A21" s="77">
        <f t="shared" si="0"/>
        <v>11</v>
      </c>
      <c r="B21" s="77">
        <f t="shared" si="1"/>
        <v>25</v>
      </c>
      <c r="C21" s="77">
        <f t="shared" si="2"/>
        <v>18.060531914969058</v>
      </c>
    </row>
    <row r="22" spans="1:3" x14ac:dyDescent="0.25">
      <c r="A22" s="77">
        <f t="shared" si="0"/>
        <v>12</v>
      </c>
      <c r="B22" s="77">
        <f t="shared" si="1"/>
        <v>25</v>
      </c>
      <c r="C22" s="77">
        <f t="shared" si="2"/>
        <v>17.534497004824331</v>
      </c>
    </row>
    <row r="23" spans="1:3" x14ac:dyDescent="0.25">
      <c r="A23" s="77">
        <f t="shared" si="0"/>
        <v>13</v>
      </c>
      <c r="B23" s="77">
        <f t="shared" si="1"/>
        <v>25</v>
      </c>
      <c r="C23" s="77">
        <f t="shared" si="2"/>
        <v>17.023783499829449</v>
      </c>
    </row>
    <row r="24" spans="1:3" x14ac:dyDescent="0.25">
      <c r="A24" s="77">
        <f t="shared" si="0"/>
        <v>14</v>
      </c>
      <c r="B24" s="77">
        <f t="shared" si="1"/>
        <v>25</v>
      </c>
      <c r="C24" s="77">
        <f t="shared" si="2"/>
        <v>16.52794514546548</v>
      </c>
    </row>
    <row r="25" spans="1:3" x14ac:dyDescent="0.25">
      <c r="A25" s="77">
        <f t="shared" si="0"/>
        <v>15</v>
      </c>
      <c r="B25" s="77">
        <f t="shared" si="1"/>
        <v>25</v>
      </c>
      <c r="C25" s="77">
        <f t="shared" si="2"/>
        <v>16.046548684917941</v>
      </c>
    </row>
    <row r="26" spans="1:3" x14ac:dyDescent="0.25">
      <c r="A26" s="77">
        <f t="shared" si="0"/>
        <v>16</v>
      </c>
      <c r="B26" s="77">
        <f t="shared" si="1"/>
        <v>25</v>
      </c>
      <c r="C26" s="77">
        <f t="shared" si="2"/>
        <v>15.57917348050286</v>
      </c>
    </row>
    <row r="27" spans="1:3" x14ac:dyDescent="0.25">
      <c r="A27" s="77">
        <f t="shared" si="0"/>
        <v>17</v>
      </c>
      <c r="B27" s="77">
        <f t="shared" si="1"/>
        <v>25</v>
      </c>
      <c r="C27" s="77">
        <f t="shared" si="2"/>
        <v>15.12541114611928</v>
      </c>
    </row>
    <row r="28" spans="1:3" x14ac:dyDescent="0.25">
      <c r="A28" s="77">
        <f t="shared" si="0"/>
        <v>18</v>
      </c>
      <c r="B28" s="77">
        <f t="shared" si="1"/>
        <v>25</v>
      </c>
      <c r="C28" s="77">
        <f t="shared" si="2"/>
        <v>14.684865190407068</v>
      </c>
    </row>
    <row r="29" spans="1:3" x14ac:dyDescent="0.25">
      <c r="A29" s="77">
        <f t="shared" si="0"/>
        <v>19</v>
      </c>
      <c r="B29" s="77">
        <f t="shared" si="1"/>
        <v>25</v>
      </c>
      <c r="C29" s="77">
        <f t="shared" si="2"/>
        <v>14.257150670298126</v>
      </c>
    </row>
    <row r="30" spans="1:3" x14ac:dyDescent="0.25">
      <c r="A30" s="77">
        <f t="shared" si="0"/>
        <v>20</v>
      </c>
      <c r="B30" s="77">
        <f t="shared" si="1"/>
        <v>25</v>
      </c>
      <c r="C30" s="77">
        <f t="shared" si="2"/>
        <v>13.841893854658375</v>
      </c>
    </row>
    <row r="31" spans="1:3" x14ac:dyDescent="0.25">
      <c r="A31" s="77">
        <f t="shared" si="0"/>
        <v>21</v>
      </c>
      <c r="B31" s="77">
        <f t="shared" si="1"/>
        <v>25</v>
      </c>
      <c r="C31" s="77">
        <f t="shared" si="2"/>
        <v>13.438731897726578</v>
      </c>
    </row>
    <row r="32" spans="1:3" x14ac:dyDescent="0.25">
      <c r="A32" s="77">
        <f t="shared" si="0"/>
        <v>22</v>
      </c>
      <c r="B32" s="77">
        <f t="shared" si="1"/>
        <v>25</v>
      </c>
      <c r="C32" s="77">
        <f t="shared" si="2"/>
        <v>13.047312522064638</v>
      </c>
    </row>
    <row r="33" spans="1:3" x14ac:dyDescent="0.25">
      <c r="A33" s="77">
        <f t="shared" si="0"/>
        <v>23</v>
      </c>
      <c r="B33" s="77">
        <f t="shared" si="1"/>
        <v>25</v>
      </c>
      <c r="C33" s="77">
        <f t="shared" si="2"/>
        <v>12.667293710742367</v>
      </c>
    </row>
    <row r="34" spans="1:3" x14ac:dyDescent="0.25">
      <c r="A34" s="77">
        <f t="shared" si="0"/>
        <v>24</v>
      </c>
      <c r="B34" s="77">
        <f t="shared" si="1"/>
        <v>25</v>
      </c>
      <c r="C34" s="77">
        <f t="shared" si="2"/>
        <v>12.298343408487737</v>
      </c>
    </row>
    <row r="35" spans="1:3" x14ac:dyDescent="0.25">
      <c r="A35" s="77">
        <f t="shared" si="0"/>
        <v>25</v>
      </c>
      <c r="B35" s="77">
        <f t="shared" si="1"/>
        <v>25</v>
      </c>
      <c r="C35" s="77">
        <f t="shared" si="2"/>
        <v>11.940139231541492</v>
      </c>
    </row>
    <row r="36" spans="1:3" x14ac:dyDescent="0.25">
      <c r="A36" s="77">
        <f t="shared" si="0"/>
        <v>26</v>
      </c>
      <c r="B36" s="77">
        <f t="shared" si="1"/>
        <v>25</v>
      </c>
      <c r="C36" s="77">
        <f t="shared" si="2"/>
        <v>11.592368185962611</v>
      </c>
    </row>
    <row r="37" spans="1:3" x14ac:dyDescent="0.25">
      <c r="A37" s="77">
        <f t="shared" si="0"/>
        <v>27</v>
      </c>
      <c r="B37" s="77">
        <f t="shared" si="1"/>
        <v>25</v>
      </c>
      <c r="C37" s="77">
        <f t="shared" si="2"/>
        <v>11.254726394138459</v>
      </c>
    </row>
    <row r="38" spans="1:3" x14ac:dyDescent="0.25">
      <c r="A38" s="77">
        <f t="shared" si="0"/>
        <v>28</v>
      </c>
      <c r="B38" s="77">
        <f t="shared" si="1"/>
        <v>25</v>
      </c>
      <c r="C38" s="77">
        <f t="shared" si="2"/>
        <v>10.926918829260639</v>
      </c>
    </row>
    <row r="39" spans="1:3" x14ac:dyDescent="0.25">
      <c r="A39" s="77">
        <f t="shared" si="0"/>
        <v>29</v>
      </c>
      <c r="B39" s="77">
        <f t="shared" si="1"/>
        <v>25</v>
      </c>
      <c r="C39" s="77">
        <f t="shared" si="2"/>
        <v>10.608659057534602</v>
      </c>
    </row>
    <row r="40" spans="1:3" x14ac:dyDescent="0.25">
      <c r="A40" s="77">
        <f t="shared" si="0"/>
        <v>30</v>
      </c>
      <c r="B40" s="77">
        <f t="shared" si="1"/>
        <v>1025</v>
      </c>
      <c r="C40" s="77">
        <f t="shared" si="2"/>
        <v>422.28642850380459</v>
      </c>
    </row>
    <row r="41" spans="1:3" x14ac:dyDescent="0.25">
      <c r="A41" s="77"/>
      <c r="B41" s="77"/>
      <c r="C41" s="77"/>
    </row>
    <row r="42" spans="1:3" x14ac:dyDescent="0.25">
      <c r="A42" s="77"/>
      <c r="B42" s="77"/>
      <c r="C42" s="77"/>
    </row>
    <row r="43" spans="1:3" x14ac:dyDescent="0.25">
      <c r="A43" s="77"/>
      <c r="B43" s="77"/>
      <c r="C43" s="77"/>
    </row>
    <row r="44" spans="1:3" x14ac:dyDescent="0.25">
      <c r="A44" s="77"/>
      <c r="B44" s="77"/>
      <c r="C44" s="77"/>
    </row>
    <row r="45" spans="1:3" x14ac:dyDescent="0.25">
      <c r="A45" s="77"/>
      <c r="B45" s="77"/>
      <c r="C45" s="77"/>
    </row>
    <row r="46" spans="1:3" x14ac:dyDescent="0.25">
      <c r="A46" s="77"/>
      <c r="B46" s="77"/>
      <c r="C46" s="77"/>
    </row>
    <row r="47" spans="1:3" x14ac:dyDescent="0.25">
      <c r="A47" s="77"/>
      <c r="B47" s="77"/>
      <c r="C47" s="77"/>
    </row>
    <row r="48" spans="1:3" x14ac:dyDescent="0.25">
      <c r="A48" s="77"/>
      <c r="B48" s="77"/>
      <c r="C48" s="77"/>
    </row>
    <row r="49" spans="1:3" x14ac:dyDescent="0.25">
      <c r="A49" s="77"/>
      <c r="B49" s="77"/>
      <c r="C49" s="77"/>
    </row>
    <row r="50" spans="1:3" x14ac:dyDescent="0.25">
      <c r="A50" s="77"/>
      <c r="B50" s="77"/>
      <c r="C50" s="77"/>
    </row>
    <row r="51" spans="1:3" x14ac:dyDescent="0.25">
      <c r="A51" s="77"/>
      <c r="B51" s="77"/>
      <c r="C51" s="77"/>
    </row>
    <row r="52" spans="1:3" x14ac:dyDescent="0.25">
      <c r="A52" s="77"/>
      <c r="B52" s="77"/>
      <c r="C52" s="77"/>
    </row>
    <row r="53" spans="1:3" x14ac:dyDescent="0.25">
      <c r="A53" s="77"/>
      <c r="B53" s="77"/>
      <c r="C53" s="77"/>
    </row>
    <row r="54" spans="1:3" x14ac:dyDescent="0.25">
      <c r="A54" s="77"/>
      <c r="B54" s="77"/>
      <c r="C54" s="77"/>
    </row>
    <row r="55" spans="1:3" x14ac:dyDescent="0.25">
      <c r="A55" s="77"/>
      <c r="B55" s="77"/>
      <c r="C55" s="77"/>
    </row>
    <row r="56" spans="1:3" x14ac:dyDescent="0.25">
      <c r="A56" s="77"/>
      <c r="B56" s="77"/>
      <c r="C56" s="77"/>
    </row>
    <row r="57" spans="1:3" x14ac:dyDescent="0.25">
      <c r="A57" s="77"/>
      <c r="B57" s="77"/>
      <c r="C57" s="77"/>
    </row>
    <row r="58" spans="1:3" x14ac:dyDescent="0.25">
      <c r="A58" s="77"/>
      <c r="B58" s="77"/>
      <c r="C58" s="77"/>
    </row>
    <row r="59" spans="1:3" x14ac:dyDescent="0.25">
      <c r="A59" s="77"/>
      <c r="B59" s="77"/>
      <c r="C59" s="77"/>
    </row>
    <row r="60" spans="1:3" x14ac:dyDescent="0.25">
      <c r="A60" s="77"/>
      <c r="B60" s="77"/>
      <c r="C60" s="77"/>
    </row>
    <row r="61" spans="1:3" x14ac:dyDescent="0.25">
      <c r="A61" s="77"/>
      <c r="B61" s="77"/>
      <c r="C61" s="77"/>
    </row>
    <row r="62" spans="1:3" x14ac:dyDescent="0.25">
      <c r="A62" s="77"/>
      <c r="B62" s="77"/>
      <c r="C62" s="77"/>
    </row>
    <row r="63" spans="1:3" x14ac:dyDescent="0.25">
      <c r="A63" s="77"/>
      <c r="B63" s="77"/>
      <c r="C63" s="77"/>
    </row>
    <row r="64" spans="1:3" x14ac:dyDescent="0.25">
      <c r="A64" s="77"/>
      <c r="B64" s="77"/>
      <c r="C64" s="77"/>
    </row>
    <row r="65" spans="1:3" x14ac:dyDescent="0.25">
      <c r="A65" s="77"/>
      <c r="B65" s="77"/>
      <c r="C65" s="77"/>
    </row>
    <row r="66" spans="1:3" x14ac:dyDescent="0.25">
      <c r="A66" s="77"/>
      <c r="B66" s="77"/>
      <c r="C66" s="77"/>
    </row>
    <row r="67" spans="1:3" x14ac:dyDescent="0.25">
      <c r="A67" s="77"/>
      <c r="B67" s="77"/>
      <c r="C67" s="77"/>
    </row>
    <row r="68" spans="1:3" x14ac:dyDescent="0.25">
      <c r="A68" s="77"/>
      <c r="B68" s="77"/>
      <c r="C68" s="77"/>
    </row>
    <row r="69" spans="1:3" x14ac:dyDescent="0.25">
      <c r="A69" s="77"/>
      <c r="B69" s="77"/>
      <c r="C69" s="77"/>
    </row>
    <row r="70" spans="1:3" x14ac:dyDescent="0.25">
      <c r="A70" s="77"/>
      <c r="B70" s="77"/>
      <c r="C70" s="77"/>
    </row>
    <row r="71" spans="1:3" x14ac:dyDescent="0.25">
      <c r="A71" s="77"/>
      <c r="B71" s="77"/>
      <c r="C71" s="77"/>
    </row>
    <row r="72" spans="1:3" x14ac:dyDescent="0.25">
      <c r="A72" s="77"/>
      <c r="B72" s="77"/>
      <c r="C72" s="77"/>
    </row>
    <row r="73" spans="1:3" x14ac:dyDescent="0.25">
      <c r="A73" s="77"/>
      <c r="B73" s="77"/>
      <c r="C73" s="77"/>
    </row>
    <row r="74" spans="1:3" x14ac:dyDescent="0.25">
      <c r="A74" s="77"/>
      <c r="B74" s="77"/>
      <c r="C74" s="77"/>
    </row>
    <row r="75" spans="1:3" x14ac:dyDescent="0.25">
      <c r="A75" s="77"/>
      <c r="B75" s="77"/>
      <c r="C75" s="77"/>
    </row>
    <row r="76" spans="1:3" x14ac:dyDescent="0.25">
      <c r="A76" s="77"/>
      <c r="B76" s="77"/>
      <c r="C76" s="77"/>
    </row>
    <row r="77" spans="1:3" x14ac:dyDescent="0.25">
      <c r="A77" s="77"/>
      <c r="B77" s="77"/>
      <c r="C77" s="77"/>
    </row>
    <row r="78" spans="1:3" x14ac:dyDescent="0.25">
      <c r="A78" s="77"/>
      <c r="B78" s="77"/>
      <c r="C78" s="77"/>
    </row>
    <row r="79" spans="1:3" x14ac:dyDescent="0.25">
      <c r="A79" s="77"/>
      <c r="B79" s="77"/>
      <c r="C79" s="77"/>
    </row>
    <row r="80" spans="1:3" x14ac:dyDescent="0.25">
      <c r="A80" s="77"/>
      <c r="B80" s="77"/>
      <c r="C80" s="77"/>
    </row>
    <row r="81" spans="1:3" x14ac:dyDescent="0.25">
      <c r="A81" s="77"/>
      <c r="B81" s="77"/>
      <c r="C81" s="77"/>
    </row>
    <row r="82" spans="1:3" x14ac:dyDescent="0.25">
      <c r="A82" s="77"/>
      <c r="B82" s="77"/>
      <c r="C82" s="77"/>
    </row>
    <row r="83" spans="1:3" x14ac:dyDescent="0.25">
      <c r="A83" s="77"/>
      <c r="B83" s="77"/>
      <c r="C83" s="77"/>
    </row>
    <row r="84" spans="1:3" x14ac:dyDescent="0.25">
      <c r="A84" s="77"/>
      <c r="B84" s="77"/>
      <c r="C84" s="77"/>
    </row>
    <row r="85" spans="1:3" x14ac:dyDescent="0.25">
      <c r="A85" s="77"/>
      <c r="B85" s="77"/>
      <c r="C85" s="77"/>
    </row>
    <row r="86" spans="1:3" x14ac:dyDescent="0.25">
      <c r="A86" s="77"/>
      <c r="B86" s="77"/>
      <c r="C86" s="77"/>
    </row>
    <row r="87" spans="1:3" x14ac:dyDescent="0.25">
      <c r="A87" s="77"/>
      <c r="B87" s="77"/>
      <c r="C87" s="77"/>
    </row>
    <row r="88" spans="1:3" x14ac:dyDescent="0.25">
      <c r="A88" s="77"/>
      <c r="B88" s="77"/>
      <c r="C88" s="77"/>
    </row>
    <row r="89" spans="1:3" x14ac:dyDescent="0.25">
      <c r="A89" s="77"/>
      <c r="B89" s="77"/>
      <c r="C89" s="77"/>
    </row>
    <row r="90" spans="1:3" x14ac:dyDescent="0.25">
      <c r="A90" s="77"/>
      <c r="B90" s="77"/>
      <c r="C90" s="77"/>
    </row>
    <row r="91" spans="1:3" x14ac:dyDescent="0.25">
      <c r="A91" s="77"/>
      <c r="B91" s="77"/>
      <c r="C91" s="77"/>
    </row>
    <row r="92" spans="1:3" x14ac:dyDescent="0.25">
      <c r="A92" s="77"/>
      <c r="B92" s="77"/>
      <c r="C92" s="77"/>
    </row>
    <row r="93" spans="1:3" x14ac:dyDescent="0.25">
      <c r="A93" s="77"/>
      <c r="B93" s="77"/>
      <c r="C93" s="77"/>
    </row>
    <row r="94" spans="1:3" x14ac:dyDescent="0.25">
      <c r="A94" s="77"/>
      <c r="B94" s="77"/>
      <c r="C94" s="7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P21"/>
  <sheetViews>
    <sheetView workbookViewId="0">
      <selection activeCell="C21" sqref="C21"/>
    </sheetView>
  </sheetViews>
  <sheetFormatPr defaultRowHeight="15" x14ac:dyDescent="0.25"/>
  <cols>
    <col min="1" max="2" width="15.28515625" customWidth="1"/>
  </cols>
  <sheetData>
    <row r="1" spans="1:16" x14ac:dyDescent="0.25">
      <c r="A1" t="s">
        <v>0</v>
      </c>
      <c r="E1" t="s">
        <v>15</v>
      </c>
    </row>
    <row r="2" spans="1:16" x14ac:dyDescent="0.25">
      <c r="E2" t="s">
        <v>16</v>
      </c>
    </row>
    <row r="3" spans="1:16" x14ac:dyDescent="0.25">
      <c r="A3" s="2" t="s">
        <v>1</v>
      </c>
      <c r="B3" s="2" t="s">
        <v>5</v>
      </c>
      <c r="E3" t="s">
        <v>17</v>
      </c>
    </row>
    <row r="4" spans="1:16" x14ac:dyDescent="0.25">
      <c r="A4" s="1" t="s">
        <v>2</v>
      </c>
      <c r="B4" s="18">
        <v>1000</v>
      </c>
      <c r="E4" t="s">
        <v>18</v>
      </c>
    </row>
    <row r="5" spans="1:16" ht="15.75" thickBot="1" x14ac:dyDescent="0.3">
      <c r="A5" s="1" t="s">
        <v>3</v>
      </c>
      <c r="B5" s="18">
        <v>0.05</v>
      </c>
      <c r="E5" t="s">
        <v>19</v>
      </c>
    </row>
    <row r="6" spans="1:16" x14ac:dyDescent="0.25">
      <c r="A6" s="1" t="s">
        <v>4</v>
      </c>
      <c r="B6" s="18">
        <v>0.06</v>
      </c>
      <c r="E6" s="11" t="s">
        <v>16</v>
      </c>
      <c r="F6" s="12"/>
      <c r="G6" s="12"/>
      <c r="H6" s="12"/>
      <c r="I6" s="12"/>
      <c r="J6" s="4"/>
      <c r="K6" s="4"/>
      <c r="L6" s="4"/>
      <c r="M6" s="4"/>
      <c r="N6" s="4"/>
      <c r="O6" s="4"/>
      <c r="P6" s="5"/>
    </row>
    <row r="7" spans="1:16" x14ac:dyDescent="0.25">
      <c r="A7" s="1" t="s">
        <v>7</v>
      </c>
      <c r="B7" s="18">
        <v>5</v>
      </c>
      <c r="E7" s="14" t="s">
        <v>20</v>
      </c>
      <c r="F7" s="13"/>
      <c r="G7" s="2"/>
      <c r="H7" s="2"/>
      <c r="I7" s="2"/>
      <c r="J7" s="2"/>
      <c r="K7" s="2"/>
      <c r="L7" s="2"/>
      <c r="M7" s="2"/>
      <c r="N7" s="2"/>
      <c r="O7" s="2"/>
      <c r="P7" s="10"/>
    </row>
    <row r="8" spans="1:16" ht="17.25" x14ac:dyDescent="0.25">
      <c r="E8" s="9" t="s">
        <v>14</v>
      </c>
      <c r="F8" s="2"/>
      <c r="G8" s="2"/>
      <c r="H8" s="2"/>
      <c r="I8" s="2"/>
      <c r="J8" s="2"/>
      <c r="K8" s="2"/>
      <c r="L8" s="2"/>
      <c r="M8" s="2"/>
      <c r="N8" s="2"/>
      <c r="O8" s="2"/>
      <c r="P8" s="10"/>
    </row>
    <row r="9" spans="1:16" ht="17.25" x14ac:dyDescent="0.25">
      <c r="E9" s="9" t="s">
        <v>79</v>
      </c>
      <c r="F9" s="2"/>
      <c r="G9" s="2"/>
      <c r="H9" s="2"/>
      <c r="I9" s="2"/>
      <c r="J9" s="2"/>
      <c r="K9" s="2"/>
      <c r="L9" s="2"/>
      <c r="M9" s="2"/>
      <c r="N9" s="2"/>
      <c r="O9" s="2"/>
      <c r="P9" s="10"/>
    </row>
    <row r="10" spans="1:16" x14ac:dyDescent="0.25">
      <c r="A10" t="s">
        <v>11</v>
      </c>
      <c r="B10" s="15">
        <f>-PV(B6/2,B7*2,B5*B4/2,B4)</f>
        <v>957.34898581612094</v>
      </c>
      <c r="E10" s="14" t="s">
        <v>22</v>
      </c>
      <c r="F10" s="13"/>
      <c r="G10" s="13"/>
      <c r="H10" s="13"/>
      <c r="I10" s="13"/>
      <c r="J10" s="2"/>
      <c r="K10" s="2"/>
      <c r="L10" s="2"/>
      <c r="M10" s="2"/>
      <c r="N10" s="2"/>
      <c r="O10" s="2"/>
      <c r="P10" s="10"/>
    </row>
    <row r="11" spans="1:16" x14ac:dyDescent="0.25">
      <c r="E11" s="9" t="s">
        <v>21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10"/>
    </row>
    <row r="12" spans="1:16" x14ac:dyDescent="0.25">
      <c r="E12" s="9" t="s">
        <v>23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10"/>
    </row>
    <row r="13" spans="1:16" ht="17.25" x14ac:dyDescent="0.25">
      <c r="A13" s="3" t="s">
        <v>77</v>
      </c>
      <c r="E13" s="9" t="s">
        <v>14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10"/>
    </row>
    <row r="14" spans="1:16" ht="17.25" x14ac:dyDescent="0.25">
      <c r="E14" s="9" t="s">
        <v>78</v>
      </c>
      <c r="F14" s="2"/>
      <c r="G14" s="2"/>
      <c r="H14" s="2"/>
      <c r="I14" s="2"/>
      <c r="J14" s="2"/>
      <c r="K14" s="2"/>
      <c r="L14" s="2"/>
      <c r="M14" s="2"/>
      <c r="N14" s="2"/>
      <c r="O14" s="2" t="s">
        <v>89</v>
      </c>
      <c r="P14" s="10"/>
    </row>
    <row r="15" spans="1:16" ht="17.25" x14ac:dyDescent="0.25">
      <c r="A15" t="s">
        <v>93</v>
      </c>
      <c r="E15" s="9" t="s">
        <v>85</v>
      </c>
      <c r="F15" s="2"/>
      <c r="G15" s="2"/>
      <c r="H15" s="2"/>
      <c r="I15" s="2"/>
      <c r="J15" s="2"/>
      <c r="K15" s="2"/>
      <c r="L15" s="2"/>
      <c r="M15" s="2"/>
      <c r="N15" s="2"/>
      <c r="O15" s="2" t="s">
        <v>90</v>
      </c>
      <c r="P15" s="10"/>
    </row>
    <row r="16" spans="1:16" x14ac:dyDescent="0.25">
      <c r="A16" t="s">
        <v>94</v>
      </c>
      <c r="E16" s="14" t="s">
        <v>80</v>
      </c>
      <c r="F16" s="13"/>
      <c r="G16" s="13"/>
      <c r="H16" s="13"/>
      <c r="I16" s="13"/>
      <c r="J16" s="2"/>
      <c r="K16" s="2"/>
      <c r="L16" s="2"/>
      <c r="M16" s="2"/>
      <c r="N16" s="2"/>
      <c r="O16" s="2"/>
      <c r="P16" s="10"/>
    </row>
    <row r="17" spans="1:16" x14ac:dyDescent="0.25">
      <c r="E17" s="9" t="s">
        <v>81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10"/>
    </row>
    <row r="18" spans="1:16" x14ac:dyDescent="0.25">
      <c r="A18" t="s">
        <v>95</v>
      </c>
      <c r="E18" s="9" t="s">
        <v>82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10"/>
    </row>
    <row r="19" spans="1:16" ht="17.25" x14ac:dyDescent="0.25">
      <c r="A19" t="s">
        <v>96</v>
      </c>
      <c r="E19" s="9" t="s">
        <v>14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10"/>
    </row>
    <row r="20" spans="1:16" ht="17.25" x14ac:dyDescent="0.25">
      <c r="E20" s="9" t="s">
        <v>83</v>
      </c>
      <c r="F20" s="2"/>
      <c r="G20" s="2"/>
      <c r="H20" s="2"/>
      <c r="I20" s="2"/>
      <c r="J20" s="2"/>
      <c r="K20" s="2"/>
      <c r="L20" s="2"/>
      <c r="M20" s="2"/>
      <c r="N20" s="2"/>
      <c r="O20" s="2" t="s">
        <v>91</v>
      </c>
      <c r="P20" s="10"/>
    </row>
    <row r="21" spans="1:16" ht="18" thickBot="1" x14ac:dyDescent="0.3">
      <c r="E21" s="6" t="s">
        <v>84</v>
      </c>
      <c r="F21" s="7"/>
      <c r="G21" s="7"/>
      <c r="H21" s="7"/>
      <c r="I21" s="7"/>
      <c r="J21" s="7"/>
      <c r="K21" s="7"/>
      <c r="L21" s="7"/>
      <c r="M21" s="7"/>
      <c r="N21" s="7"/>
      <c r="O21" s="7" t="s">
        <v>92</v>
      </c>
      <c r="P21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N94"/>
  <sheetViews>
    <sheetView zoomScale="130" zoomScaleNormal="130" workbookViewId="0">
      <selection activeCell="M20" sqref="M20"/>
    </sheetView>
  </sheetViews>
  <sheetFormatPr defaultRowHeight="15" x14ac:dyDescent="0.25"/>
  <cols>
    <col min="1" max="1" width="21.85546875" customWidth="1"/>
    <col min="4" max="4" width="9.42578125" customWidth="1"/>
    <col min="5" max="5" width="15" customWidth="1"/>
    <col min="12" max="12" width="13.5703125" customWidth="1"/>
  </cols>
  <sheetData>
    <row r="1" spans="1:14" x14ac:dyDescent="0.25">
      <c r="A1" t="s">
        <v>0</v>
      </c>
    </row>
    <row r="2" spans="1:14" x14ac:dyDescent="0.25">
      <c r="E2" t="s">
        <v>24</v>
      </c>
    </row>
    <row r="3" spans="1:14" x14ac:dyDescent="0.25">
      <c r="A3" s="2" t="s">
        <v>1</v>
      </c>
      <c r="B3" s="2" t="s">
        <v>5</v>
      </c>
    </row>
    <row r="4" spans="1:14" ht="17.25" x14ac:dyDescent="0.25">
      <c r="A4" s="1" t="s">
        <v>2</v>
      </c>
      <c r="B4" s="18">
        <v>1000</v>
      </c>
      <c r="E4" t="s">
        <v>14</v>
      </c>
    </row>
    <row r="5" spans="1:14" x14ac:dyDescent="0.25">
      <c r="A5" s="1" t="s">
        <v>3</v>
      </c>
      <c r="B5" s="18">
        <v>0.05</v>
      </c>
      <c r="E5" t="s">
        <v>97</v>
      </c>
    </row>
    <row r="6" spans="1:14" x14ac:dyDescent="0.25">
      <c r="A6" s="1" t="s">
        <v>4</v>
      </c>
      <c r="B6" s="18">
        <v>0.06</v>
      </c>
    </row>
    <row r="7" spans="1:14" ht="15.75" thickBot="1" x14ac:dyDescent="0.3">
      <c r="A7" s="17" t="s">
        <v>7</v>
      </c>
      <c r="B7" s="49">
        <v>5</v>
      </c>
    </row>
    <row r="8" spans="1:14" ht="15.75" thickBot="1" x14ac:dyDescent="0.3">
      <c r="A8" s="23" t="s">
        <v>36</v>
      </c>
      <c r="B8" s="50">
        <v>957.34900000000005</v>
      </c>
      <c r="H8" s="19"/>
    </row>
    <row r="9" spans="1:14" ht="15.75" thickBot="1" x14ac:dyDescent="0.3">
      <c r="A9" s="3" t="s">
        <v>6</v>
      </c>
      <c r="B9" t="s">
        <v>8</v>
      </c>
      <c r="C9" t="s">
        <v>9</v>
      </c>
      <c r="E9" t="s">
        <v>10</v>
      </c>
      <c r="I9" s="20" t="s">
        <v>35</v>
      </c>
      <c r="K9" s="13"/>
      <c r="L9" s="13" t="s">
        <v>37</v>
      </c>
      <c r="M9" s="13"/>
      <c r="N9" s="13"/>
    </row>
    <row r="10" spans="1:14" ht="30.75" thickBot="1" x14ac:dyDescent="0.3">
      <c r="A10" s="144">
        <v>0</v>
      </c>
      <c r="B10" s="143"/>
      <c r="C10" s="143"/>
      <c r="E10" s="90">
        <f>SUM(C11:C94)</f>
        <v>957.34898581612094</v>
      </c>
      <c r="H10" s="21" t="s">
        <v>40</v>
      </c>
      <c r="I10" s="85">
        <f>RATE(2*B7, B4*B5/2, -B8, B4)</f>
        <v>2.9999998294226796E-2</v>
      </c>
      <c r="K10" s="2" t="s">
        <v>38</v>
      </c>
      <c r="L10" s="84" t="str">
        <f>IF(   ROUND(I11,4) = ROUND(B5,4), "Priced at Par", IF( I11 &gt; B5, "Discount", "Premium")   )</f>
        <v>Discount</v>
      </c>
      <c r="M10" s="2"/>
      <c r="N10" s="2"/>
    </row>
    <row r="11" spans="1:14" ht="15.75" thickBot="1" x14ac:dyDescent="0.3">
      <c r="A11" s="77">
        <f>IFERROR( IF(A10+1 &lt;= B$7*2, A10+1, ""), "")</f>
        <v>1</v>
      </c>
      <c r="B11" s="77">
        <f>IF(A11&lt;$B$7*2,($B$4*$B$5/2), IF( A11 = $B$7*2, ($B$4*$B$5/2) + $B$4, "") )</f>
        <v>25</v>
      </c>
      <c r="C11" s="77">
        <f>IF(A11="","", B11/(1+B$6/2)^A11)</f>
        <v>24.271844660194173</v>
      </c>
      <c r="E11" t="s">
        <v>5</v>
      </c>
      <c r="H11" s="24" t="s">
        <v>39</v>
      </c>
      <c r="I11" s="86">
        <f>2*I10</f>
        <v>5.9999996588453591E-2</v>
      </c>
      <c r="K11" s="2" t="s">
        <v>39</v>
      </c>
      <c r="L11" s="84" t="str">
        <f xml:space="preserve"> IF( ROUND(I11,4) = ROUND(B5,4), "YTM = Coupon", IF(I11 &lt; B5, "YTM &lt; Coupon","YTM &gt; Coupon"))</f>
        <v>YTM &gt; Coupon</v>
      </c>
      <c r="M11" s="2"/>
      <c r="N11" s="2"/>
    </row>
    <row r="12" spans="1:14" x14ac:dyDescent="0.25">
      <c r="A12" s="77">
        <f t="shared" ref="A12:A20" si="0">IFERROR( IF(A11+1 &lt;= B$7*2, A11+1, ""), "")</f>
        <v>2</v>
      </c>
      <c r="B12" s="77">
        <f t="shared" ref="B12:B20" si="1">IF(A12&lt;$B$7*2,($B$4*$B$5/2), IF( A12 = $B$7*2, ($B$4*$B$5/2) + $B$4, "") )</f>
        <v>25</v>
      </c>
      <c r="C12" s="77">
        <f t="shared" ref="C12:C20" si="2">IF(A12="","", B12/(1+B$6/2)^A12)</f>
        <v>23.564897728343858</v>
      </c>
      <c r="H12" s="22" t="s">
        <v>5</v>
      </c>
    </row>
    <row r="13" spans="1:14" x14ac:dyDescent="0.25">
      <c r="A13" s="77">
        <f t="shared" si="0"/>
        <v>3</v>
      </c>
      <c r="B13" s="77">
        <f t="shared" si="1"/>
        <v>25</v>
      </c>
      <c r="C13" s="77">
        <f t="shared" si="2"/>
        <v>22.87854148382899</v>
      </c>
    </row>
    <row r="14" spans="1:14" x14ac:dyDescent="0.25">
      <c r="A14" s="77">
        <f t="shared" si="0"/>
        <v>4</v>
      </c>
      <c r="B14" s="77">
        <f t="shared" si="1"/>
        <v>25</v>
      </c>
      <c r="C14" s="77">
        <f t="shared" si="2"/>
        <v>22.212176197892223</v>
      </c>
    </row>
    <row r="15" spans="1:14" x14ac:dyDescent="0.25">
      <c r="A15" s="77">
        <f t="shared" si="0"/>
        <v>5</v>
      </c>
      <c r="B15" s="77">
        <f t="shared" si="1"/>
        <v>25</v>
      </c>
      <c r="C15" s="77">
        <f t="shared" si="2"/>
        <v>21.565219609604103</v>
      </c>
    </row>
    <row r="16" spans="1:14" x14ac:dyDescent="0.25">
      <c r="A16" s="77">
        <f t="shared" si="0"/>
        <v>6</v>
      </c>
      <c r="B16" s="77">
        <f t="shared" si="1"/>
        <v>25</v>
      </c>
      <c r="C16" s="77">
        <f t="shared" si="2"/>
        <v>20.937106417091361</v>
      </c>
    </row>
    <row r="17" spans="1:3" x14ac:dyDescent="0.25">
      <c r="A17" s="77">
        <f t="shared" si="0"/>
        <v>7</v>
      </c>
      <c r="B17" s="77">
        <f t="shared" si="1"/>
        <v>25</v>
      </c>
      <c r="C17" s="77">
        <f t="shared" si="2"/>
        <v>20.327287783583845</v>
      </c>
    </row>
    <row r="18" spans="1:3" x14ac:dyDescent="0.25">
      <c r="A18" s="77">
        <f t="shared" si="0"/>
        <v>8</v>
      </c>
      <c r="B18" s="77">
        <f t="shared" si="1"/>
        <v>25</v>
      </c>
      <c r="C18" s="77">
        <f t="shared" si="2"/>
        <v>19.735230857848393</v>
      </c>
    </row>
    <row r="19" spans="1:3" x14ac:dyDescent="0.25">
      <c r="A19" s="77">
        <f t="shared" si="0"/>
        <v>9</v>
      </c>
      <c r="B19" s="77">
        <f t="shared" si="1"/>
        <v>25</v>
      </c>
      <c r="C19" s="77">
        <f t="shared" si="2"/>
        <v>19.160418308590675</v>
      </c>
    </row>
    <row r="20" spans="1:3" x14ac:dyDescent="0.25">
      <c r="A20" s="77">
        <f t="shared" si="0"/>
        <v>10</v>
      </c>
      <c r="B20" s="77">
        <f t="shared" si="1"/>
        <v>1025</v>
      </c>
      <c r="C20" s="77">
        <f t="shared" si="2"/>
        <v>762.69626276914335</v>
      </c>
    </row>
    <row r="21" spans="1:3" x14ac:dyDescent="0.25">
      <c r="A21" s="77"/>
      <c r="B21" s="77"/>
      <c r="C21" s="77"/>
    </row>
    <row r="22" spans="1:3" x14ac:dyDescent="0.25">
      <c r="A22" s="77"/>
      <c r="B22" s="77"/>
      <c r="C22" s="77"/>
    </row>
    <row r="23" spans="1:3" x14ac:dyDescent="0.25">
      <c r="A23" s="77"/>
      <c r="B23" s="77"/>
      <c r="C23" s="77"/>
    </row>
    <row r="24" spans="1:3" x14ac:dyDescent="0.25">
      <c r="A24" s="77"/>
      <c r="B24" s="77"/>
      <c r="C24" s="77"/>
    </row>
    <row r="25" spans="1:3" x14ac:dyDescent="0.25">
      <c r="A25" s="77"/>
      <c r="B25" s="77"/>
      <c r="C25" s="77"/>
    </row>
    <row r="26" spans="1:3" x14ac:dyDescent="0.25">
      <c r="A26" s="77"/>
      <c r="B26" s="77"/>
      <c r="C26" s="77"/>
    </row>
    <row r="27" spans="1:3" x14ac:dyDescent="0.25">
      <c r="A27" s="77"/>
      <c r="B27" s="77"/>
      <c r="C27" s="77"/>
    </row>
    <row r="28" spans="1:3" x14ac:dyDescent="0.25">
      <c r="A28" s="77"/>
      <c r="B28" s="77"/>
      <c r="C28" s="77"/>
    </row>
    <row r="29" spans="1:3" x14ac:dyDescent="0.25">
      <c r="A29" s="77"/>
      <c r="B29" s="77"/>
      <c r="C29" s="77"/>
    </row>
    <row r="30" spans="1:3" x14ac:dyDescent="0.25">
      <c r="A30" s="77"/>
      <c r="B30" s="77"/>
      <c r="C30" s="77"/>
    </row>
    <row r="31" spans="1:3" x14ac:dyDescent="0.25">
      <c r="A31" s="77"/>
      <c r="B31" s="77"/>
      <c r="C31" s="77"/>
    </row>
    <row r="32" spans="1:3" x14ac:dyDescent="0.25">
      <c r="A32" s="77"/>
      <c r="B32" s="77"/>
      <c r="C32" s="77"/>
    </row>
    <row r="33" spans="1:3" x14ac:dyDescent="0.25">
      <c r="A33" s="77"/>
      <c r="B33" s="77"/>
      <c r="C33" s="77"/>
    </row>
    <row r="34" spans="1:3" x14ac:dyDescent="0.25">
      <c r="A34" s="77"/>
      <c r="B34" s="77"/>
      <c r="C34" s="77"/>
    </row>
    <row r="35" spans="1:3" x14ac:dyDescent="0.25">
      <c r="A35" s="77"/>
      <c r="B35" s="77"/>
      <c r="C35" s="77"/>
    </row>
    <row r="36" spans="1:3" x14ac:dyDescent="0.25">
      <c r="A36" s="77"/>
      <c r="B36" s="77"/>
      <c r="C36" s="77"/>
    </row>
    <row r="37" spans="1:3" x14ac:dyDescent="0.25">
      <c r="A37" s="77"/>
      <c r="B37" s="77"/>
      <c r="C37" s="77"/>
    </row>
    <row r="38" spans="1:3" x14ac:dyDescent="0.25">
      <c r="A38" s="77"/>
      <c r="B38" s="77"/>
      <c r="C38" s="77"/>
    </row>
    <row r="39" spans="1:3" x14ac:dyDescent="0.25">
      <c r="A39" s="77"/>
      <c r="B39" s="77"/>
      <c r="C39" s="77"/>
    </row>
    <row r="40" spans="1:3" x14ac:dyDescent="0.25">
      <c r="A40" s="77"/>
      <c r="B40" s="77"/>
      <c r="C40" s="77"/>
    </row>
    <row r="41" spans="1:3" x14ac:dyDescent="0.25">
      <c r="A41" s="77"/>
      <c r="B41" s="77"/>
      <c r="C41" s="77"/>
    </row>
    <row r="42" spans="1:3" x14ac:dyDescent="0.25">
      <c r="A42" s="77"/>
      <c r="B42" s="77"/>
      <c r="C42" s="77"/>
    </row>
    <row r="43" spans="1:3" x14ac:dyDescent="0.25">
      <c r="A43" s="77"/>
      <c r="B43" s="77"/>
      <c r="C43" s="77"/>
    </row>
    <row r="44" spans="1:3" x14ac:dyDescent="0.25">
      <c r="A44" s="77"/>
      <c r="B44" s="77"/>
      <c r="C44" s="77"/>
    </row>
    <row r="45" spans="1:3" x14ac:dyDescent="0.25">
      <c r="A45" s="77"/>
      <c r="B45" s="77"/>
      <c r="C45" s="77"/>
    </row>
    <row r="46" spans="1:3" x14ac:dyDescent="0.25">
      <c r="A46" s="77"/>
      <c r="B46" s="77"/>
      <c r="C46" s="77"/>
    </row>
    <row r="47" spans="1:3" x14ac:dyDescent="0.25">
      <c r="A47" s="77"/>
      <c r="B47" s="77"/>
      <c r="C47" s="77"/>
    </row>
    <row r="48" spans="1:3" x14ac:dyDescent="0.25">
      <c r="A48" s="77"/>
      <c r="B48" s="77"/>
      <c r="C48" s="77"/>
    </row>
    <row r="49" spans="1:3" x14ac:dyDescent="0.25">
      <c r="A49" s="77"/>
      <c r="B49" s="77"/>
      <c r="C49" s="77"/>
    </row>
    <row r="50" spans="1:3" x14ac:dyDescent="0.25">
      <c r="A50" s="77"/>
      <c r="B50" s="77"/>
      <c r="C50" s="77"/>
    </row>
    <row r="51" spans="1:3" x14ac:dyDescent="0.25">
      <c r="A51" s="77"/>
      <c r="B51" s="77"/>
      <c r="C51" s="77"/>
    </row>
    <row r="52" spans="1:3" x14ac:dyDescent="0.25">
      <c r="A52" s="77"/>
      <c r="B52" s="77"/>
      <c r="C52" s="77"/>
    </row>
    <row r="53" spans="1:3" x14ac:dyDescent="0.25">
      <c r="A53" s="77"/>
      <c r="B53" s="77"/>
      <c r="C53" s="77"/>
    </row>
    <row r="54" spans="1:3" x14ac:dyDescent="0.25">
      <c r="A54" s="77"/>
      <c r="B54" s="77"/>
      <c r="C54" s="77"/>
    </row>
    <row r="55" spans="1:3" x14ac:dyDescent="0.25">
      <c r="A55" s="77"/>
      <c r="B55" s="77"/>
      <c r="C55" s="77"/>
    </row>
    <row r="56" spans="1:3" x14ac:dyDescent="0.25">
      <c r="A56" s="77"/>
      <c r="B56" s="77"/>
      <c r="C56" s="77"/>
    </row>
    <row r="57" spans="1:3" x14ac:dyDescent="0.25">
      <c r="A57" s="77"/>
      <c r="B57" s="77"/>
      <c r="C57" s="77"/>
    </row>
    <row r="58" spans="1:3" x14ac:dyDescent="0.25">
      <c r="A58" s="77"/>
      <c r="B58" s="77"/>
      <c r="C58" s="77"/>
    </row>
    <row r="59" spans="1:3" x14ac:dyDescent="0.25">
      <c r="A59" s="77"/>
      <c r="B59" s="77"/>
      <c r="C59" s="77"/>
    </row>
    <row r="60" spans="1:3" x14ac:dyDescent="0.25">
      <c r="A60" s="77"/>
      <c r="B60" s="77"/>
      <c r="C60" s="77"/>
    </row>
    <row r="61" spans="1:3" x14ac:dyDescent="0.25">
      <c r="A61" s="77"/>
      <c r="B61" s="77"/>
      <c r="C61" s="77"/>
    </row>
    <row r="62" spans="1:3" x14ac:dyDescent="0.25">
      <c r="A62" s="77"/>
      <c r="B62" s="77"/>
      <c r="C62" s="77"/>
    </row>
    <row r="63" spans="1:3" x14ac:dyDescent="0.25">
      <c r="A63" s="77"/>
      <c r="B63" s="77"/>
      <c r="C63" s="77"/>
    </row>
    <row r="64" spans="1:3" x14ac:dyDescent="0.25">
      <c r="A64" s="77"/>
      <c r="B64" s="77"/>
      <c r="C64" s="77"/>
    </row>
    <row r="65" spans="1:3" x14ac:dyDescent="0.25">
      <c r="A65" s="77"/>
      <c r="B65" s="77"/>
      <c r="C65" s="77"/>
    </row>
    <row r="66" spans="1:3" x14ac:dyDescent="0.25">
      <c r="A66" s="77"/>
      <c r="B66" s="77"/>
      <c r="C66" s="77"/>
    </row>
    <row r="67" spans="1:3" x14ac:dyDescent="0.25">
      <c r="A67" s="77"/>
      <c r="B67" s="77"/>
      <c r="C67" s="77"/>
    </row>
    <row r="68" spans="1:3" x14ac:dyDescent="0.25">
      <c r="A68" s="77"/>
      <c r="B68" s="77"/>
      <c r="C68" s="77"/>
    </row>
    <row r="69" spans="1:3" x14ac:dyDescent="0.25">
      <c r="A69" s="77"/>
      <c r="B69" s="77"/>
      <c r="C69" s="77"/>
    </row>
    <row r="70" spans="1:3" x14ac:dyDescent="0.25">
      <c r="A70" s="77"/>
      <c r="B70" s="77"/>
      <c r="C70" s="77"/>
    </row>
    <row r="71" spans="1:3" x14ac:dyDescent="0.25">
      <c r="A71" s="77"/>
      <c r="B71" s="77"/>
      <c r="C71" s="77"/>
    </row>
    <row r="72" spans="1:3" x14ac:dyDescent="0.25">
      <c r="A72" s="77"/>
      <c r="B72" s="77"/>
      <c r="C72" s="77"/>
    </row>
    <row r="73" spans="1:3" x14ac:dyDescent="0.25">
      <c r="A73" s="77"/>
      <c r="B73" s="77"/>
      <c r="C73" s="77"/>
    </row>
    <row r="74" spans="1:3" x14ac:dyDescent="0.25">
      <c r="A74" s="77"/>
      <c r="B74" s="77"/>
      <c r="C74" s="77"/>
    </row>
    <row r="75" spans="1:3" x14ac:dyDescent="0.25">
      <c r="A75" s="77"/>
      <c r="B75" s="77"/>
      <c r="C75" s="77"/>
    </row>
    <row r="76" spans="1:3" x14ac:dyDescent="0.25">
      <c r="A76" s="77"/>
      <c r="B76" s="77"/>
      <c r="C76" s="77"/>
    </row>
    <row r="77" spans="1:3" x14ac:dyDescent="0.25">
      <c r="A77" s="77"/>
      <c r="B77" s="77"/>
      <c r="C77" s="77"/>
    </row>
    <row r="78" spans="1:3" x14ac:dyDescent="0.25">
      <c r="A78" s="77"/>
      <c r="B78" s="77"/>
      <c r="C78" s="77"/>
    </row>
    <row r="79" spans="1:3" x14ac:dyDescent="0.25">
      <c r="A79" s="77"/>
      <c r="B79" s="77"/>
      <c r="C79" s="77"/>
    </row>
    <row r="80" spans="1:3" x14ac:dyDescent="0.25">
      <c r="A80" s="77"/>
      <c r="B80" s="77"/>
      <c r="C80" s="77"/>
    </row>
    <row r="81" spans="1:3" x14ac:dyDescent="0.25">
      <c r="A81" s="77"/>
      <c r="B81" s="77"/>
      <c r="C81" s="77"/>
    </row>
    <row r="82" spans="1:3" x14ac:dyDescent="0.25">
      <c r="A82" s="77"/>
      <c r="B82" s="77"/>
      <c r="C82" s="77"/>
    </row>
    <row r="83" spans="1:3" x14ac:dyDescent="0.25">
      <c r="A83" s="77"/>
      <c r="B83" s="77"/>
      <c r="C83" s="77"/>
    </row>
    <row r="84" spans="1:3" x14ac:dyDescent="0.25">
      <c r="A84" s="77"/>
      <c r="B84" s="77"/>
      <c r="C84" s="77"/>
    </row>
    <row r="85" spans="1:3" x14ac:dyDescent="0.25">
      <c r="A85" s="77"/>
      <c r="B85" s="77"/>
      <c r="C85" s="77"/>
    </row>
    <row r="86" spans="1:3" x14ac:dyDescent="0.25">
      <c r="A86" s="77"/>
      <c r="B86" s="77"/>
      <c r="C86" s="77"/>
    </row>
    <row r="87" spans="1:3" x14ac:dyDescent="0.25">
      <c r="A87" s="77"/>
      <c r="B87" s="77"/>
      <c r="C87" s="77"/>
    </row>
    <row r="88" spans="1:3" x14ac:dyDescent="0.25">
      <c r="A88" s="77"/>
      <c r="B88" s="77"/>
      <c r="C88" s="77"/>
    </row>
    <row r="89" spans="1:3" x14ac:dyDescent="0.25">
      <c r="A89" s="77"/>
      <c r="B89" s="77"/>
      <c r="C89" s="77"/>
    </row>
    <row r="90" spans="1:3" x14ac:dyDescent="0.25">
      <c r="A90" s="77"/>
      <c r="B90" s="77"/>
      <c r="C90" s="77"/>
    </row>
    <row r="91" spans="1:3" x14ac:dyDescent="0.25">
      <c r="A91" s="77"/>
      <c r="B91" s="77"/>
      <c r="C91" s="77"/>
    </row>
    <row r="92" spans="1:3" x14ac:dyDescent="0.25">
      <c r="A92" s="77"/>
      <c r="B92" s="77"/>
      <c r="C92" s="77"/>
    </row>
    <row r="93" spans="1:3" x14ac:dyDescent="0.25">
      <c r="A93" s="77"/>
      <c r="B93" s="77"/>
      <c r="C93" s="77"/>
    </row>
    <row r="94" spans="1:3" x14ac:dyDescent="0.25">
      <c r="A94" s="77"/>
      <c r="B94" s="77"/>
      <c r="C94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"/>
  <sheetViews>
    <sheetView topLeftCell="A3" workbookViewId="0">
      <selection activeCell="O18" sqref="O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"/>
  <sheetViews>
    <sheetView workbookViewId="0">
      <selection activeCell="C3" sqref="C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K36"/>
  <sheetViews>
    <sheetView workbookViewId="0">
      <selection activeCell="L36" sqref="L36"/>
    </sheetView>
  </sheetViews>
  <sheetFormatPr defaultRowHeight="15" x14ac:dyDescent="0.25"/>
  <cols>
    <col min="1" max="1" width="23" customWidth="1"/>
    <col min="2" max="2" width="17.140625" customWidth="1"/>
    <col min="3" max="3" width="9.5703125" bestFit="1" customWidth="1"/>
    <col min="4" max="4" width="13.42578125" customWidth="1"/>
    <col min="5" max="5" width="16.28515625" customWidth="1"/>
    <col min="6" max="6" width="12.85546875" customWidth="1"/>
    <col min="7" max="7" width="11.7109375" customWidth="1"/>
    <col min="9" max="9" width="15.28515625" customWidth="1"/>
    <col min="10" max="10" width="14.140625" customWidth="1"/>
  </cols>
  <sheetData>
    <row r="1" spans="1:11" x14ac:dyDescent="0.25">
      <c r="A1" s="43" t="s">
        <v>41</v>
      </c>
      <c r="B1" s="145">
        <f>E31</f>
        <v>1046.9253688024912</v>
      </c>
      <c r="C1" s="25">
        <f>-PV(C5/C6,C4*C6,C3*C2/C6,C2)</f>
        <v>1096.6333433459631</v>
      </c>
      <c r="D1" t="s">
        <v>42</v>
      </c>
      <c r="F1" s="36">
        <v>-0.02</v>
      </c>
    </row>
    <row r="2" spans="1:11" x14ac:dyDescent="0.25">
      <c r="A2" s="43" t="s">
        <v>43</v>
      </c>
      <c r="B2" s="40">
        <v>1000</v>
      </c>
      <c r="C2" s="26">
        <f>B2</f>
        <v>1000</v>
      </c>
      <c r="D2" t="s">
        <v>5</v>
      </c>
      <c r="F2" s="27" t="s">
        <v>5</v>
      </c>
      <c r="G2" s="28" t="s">
        <v>5</v>
      </c>
    </row>
    <row r="3" spans="1:11" x14ac:dyDescent="0.25">
      <c r="A3" s="43" t="s">
        <v>44</v>
      </c>
      <c r="B3" s="41">
        <v>0.09</v>
      </c>
      <c r="C3" s="29">
        <f>B3</f>
        <v>0.09</v>
      </c>
    </row>
    <row r="4" spans="1:11" x14ac:dyDescent="0.25">
      <c r="A4" s="43" t="s">
        <v>45</v>
      </c>
      <c r="B4" s="42">
        <v>6</v>
      </c>
      <c r="C4" s="30">
        <f>B4</f>
        <v>6</v>
      </c>
      <c r="D4" t="s">
        <v>46</v>
      </c>
      <c r="F4" s="87">
        <f>-B9*B1*F1</f>
        <v>96.573468513586363</v>
      </c>
      <c r="G4" s="92"/>
      <c r="H4" t="s">
        <v>75</v>
      </c>
    </row>
    <row r="5" spans="1:11" ht="17.25" x14ac:dyDescent="0.25">
      <c r="A5" s="43" t="s">
        <v>47</v>
      </c>
      <c r="B5" s="41">
        <v>0.08</v>
      </c>
      <c r="C5" s="29">
        <v>7.0000000000000007E-2</v>
      </c>
      <c r="D5" s="57" t="s">
        <v>48</v>
      </c>
      <c r="E5" s="57"/>
      <c r="F5" s="93">
        <f>0.5*B10*F1^2*B1</f>
        <v>5.5631063386049835</v>
      </c>
      <c r="G5" s="94"/>
      <c r="H5" s="37" t="s">
        <v>76</v>
      </c>
    </row>
    <row r="6" spans="1:11" x14ac:dyDescent="0.25">
      <c r="A6" s="43" t="s">
        <v>49</v>
      </c>
      <c r="B6" s="42">
        <v>2</v>
      </c>
      <c r="C6" s="26">
        <f>B6</f>
        <v>2</v>
      </c>
      <c r="D6" s="57" t="s">
        <v>50</v>
      </c>
      <c r="E6" s="57"/>
      <c r="F6" s="95">
        <f>F4+F5</f>
        <v>102.13657485219134</v>
      </c>
      <c r="G6" s="96"/>
      <c r="H6" s="37"/>
      <c r="I6" s="3" t="s">
        <v>98</v>
      </c>
      <c r="J6" s="56">
        <f>-PV(0.06/2,12,45,1000)</f>
        <v>1149.3100599035135</v>
      </c>
    </row>
    <row r="7" spans="1:11" x14ac:dyDescent="0.25">
      <c r="D7" s="57"/>
      <c r="E7" s="57"/>
      <c r="F7" s="57"/>
      <c r="G7" s="37"/>
      <c r="H7" s="37"/>
      <c r="I7" s="3" t="s">
        <v>99</v>
      </c>
      <c r="J7" s="56">
        <f>J6-B1</f>
        <v>102.38469110102233</v>
      </c>
    </row>
    <row r="8" spans="1:11" x14ac:dyDescent="0.25">
      <c r="A8" s="1" t="s">
        <v>51</v>
      </c>
      <c r="B8" s="48">
        <f>F33</f>
        <v>4.7967319470447247</v>
      </c>
      <c r="D8" s="57" t="s">
        <v>52</v>
      </c>
      <c r="E8" s="57"/>
      <c r="F8" s="91">
        <f>-PV(0.06/2,12,45,1000)</f>
        <v>1149.3100599035135</v>
      </c>
      <c r="G8" s="38" t="s">
        <v>5</v>
      </c>
      <c r="H8" s="37"/>
      <c r="I8" s="3" t="s">
        <v>56</v>
      </c>
      <c r="J8" s="56">
        <f>J7-F4</f>
        <v>5.8112225874359638</v>
      </c>
    </row>
    <row r="9" spans="1:11" x14ac:dyDescent="0.25">
      <c r="A9" s="1" t="s">
        <v>53</v>
      </c>
      <c r="B9" s="48">
        <f>B8/(1 + B5/B6)</f>
        <v>4.612242256773774</v>
      </c>
      <c r="D9" s="57" t="s">
        <v>54</v>
      </c>
      <c r="E9" s="57"/>
      <c r="F9" s="145">
        <f>B1+F6</f>
        <v>1149.0619436546826</v>
      </c>
      <c r="G9" s="37"/>
      <c r="H9" s="37"/>
    </row>
    <row r="10" spans="1:11" x14ac:dyDescent="0.25">
      <c r="A10" s="67" t="s">
        <v>55</v>
      </c>
      <c r="B10" s="68">
        <f>I33</f>
        <v>26.568781808049284</v>
      </c>
      <c r="D10" s="57" t="s">
        <v>56</v>
      </c>
      <c r="E10" s="57"/>
      <c r="F10" s="97">
        <f>F8-F9</f>
        <v>0.24811624883091099</v>
      </c>
      <c r="G10" s="37"/>
      <c r="H10" s="37"/>
      <c r="J10" t="s">
        <v>5</v>
      </c>
    </row>
    <row r="11" spans="1:11" x14ac:dyDescent="0.25">
      <c r="A11" s="119" t="s">
        <v>57</v>
      </c>
      <c r="B11" s="119"/>
      <c r="C11" s="119"/>
      <c r="D11" s="119"/>
      <c r="E11" s="119"/>
      <c r="F11" s="120"/>
      <c r="G11" s="121"/>
    </row>
    <row r="12" spans="1:11" x14ac:dyDescent="0.25">
      <c r="A12" s="119" t="s">
        <v>135</v>
      </c>
      <c r="B12" s="119"/>
      <c r="C12" s="119"/>
      <c r="D12" s="119"/>
      <c r="E12" s="119"/>
      <c r="F12" s="120"/>
      <c r="G12" s="121"/>
    </row>
    <row r="13" spans="1:11" x14ac:dyDescent="0.25">
      <c r="A13" s="119" t="s">
        <v>58</v>
      </c>
      <c r="B13" s="119"/>
      <c r="C13" s="119"/>
      <c r="D13" s="119"/>
      <c r="E13" s="119"/>
      <c r="F13" s="120"/>
      <c r="G13" s="121"/>
    </row>
    <row r="14" spans="1:11" x14ac:dyDescent="0.25">
      <c r="B14" s="31"/>
      <c r="F14" s="15"/>
    </row>
    <row r="15" spans="1:11" ht="15.75" thickBot="1" x14ac:dyDescent="0.3">
      <c r="A15" t="s">
        <v>5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  <c r="G15" s="57" t="s">
        <v>5</v>
      </c>
      <c r="H15" s="57" t="s">
        <v>5</v>
      </c>
      <c r="I15" s="58" t="s">
        <v>5</v>
      </c>
      <c r="J15" s="57"/>
      <c r="K15" s="57"/>
    </row>
    <row r="16" spans="1:11" ht="15.75" thickBot="1" x14ac:dyDescent="0.3">
      <c r="A16" s="34">
        <v>1</v>
      </c>
      <c r="B16" s="35">
        <v>2</v>
      </c>
      <c r="C16" s="35">
        <v>3</v>
      </c>
      <c r="D16" s="35">
        <v>4</v>
      </c>
      <c r="E16" s="35">
        <v>5</v>
      </c>
      <c r="F16" s="35">
        <v>6</v>
      </c>
      <c r="G16" s="59">
        <v>7</v>
      </c>
      <c r="H16" s="59">
        <v>8</v>
      </c>
      <c r="I16" s="60" t="s">
        <v>59</v>
      </c>
      <c r="J16" s="61"/>
      <c r="K16" s="57"/>
    </row>
    <row r="17" spans="1:11" ht="15.75" thickBot="1" x14ac:dyDescent="0.3">
      <c r="A17" s="32" t="s">
        <v>60</v>
      </c>
      <c r="B17" s="33" t="s">
        <v>61</v>
      </c>
      <c r="C17" s="98" t="s">
        <v>73</v>
      </c>
      <c r="D17" s="98" t="s">
        <v>62</v>
      </c>
      <c r="E17" s="98" t="s">
        <v>74</v>
      </c>
      <c r="F17" s="98" t="s">
        <v>63</v>
      </c>
      <c r="G17" s="99" t="s">
        <v>64</v>
      </c>
      <c r="H17" s="99" t="s">
        <v>65</v>
      </c>
      <c r="I17" s="100"/>
      <c r="J17" s="61"/>
      <c r="K17" s="57"/>
    </row>
    <row r="18" spans="1:11" x14ac:dyDescent="0.25">
      <c r="A18">
        <v>0.5</v>
      </c>
      <c r="B18">
        <v>1</v>
      </c>
      <c r="C18" s="101">
        <f>B$2*B$3/2</f>
        <v>45</v>
      </c>
      <c r="D18" s="77">
        <f>(1+B$5/2)^B18</f>
        <v>1.04</v>
      </c>
      <c r="E18" s="101">
        <f>C18/D18</f>
        <v>43.269230769230766</v>
      </c>
      <c r="F18" s="101">
        <f>B18*E18</f>
        <v>43.269230769230766</v>
      </c>
      <c r="G18" s="77">
        <f>( 1 + B$5/2)^2</f>
        <v>1.0816000000000001</v>
      </c>
      <c r="H18" s="77">
        <f>B18+B18^2</f>
        <v>2</v>
      </c>
      <c r="I18" s="101">
        <f>E18*H18/G18</f>
        <v>80.009672280382333</v>
      </c>
      <c r="J18" s="61"/>
      <c r="K18" s="57"/>
    </row>
    <row r="19" spans="1:11" x14ac:dyDescent="0.25">
      <c r="A19">
        <v>1</v>
      </c>
      <c r="B19">
        <f>B18+1</f>
        <v>2</v>
      </c>
      <c r="C19" s="101">
        <f t="shared" ref="C19:C28" si="0">B$2*B$3/2</f>
        <v>45</v>
      </c>
      <c r="D19" s="77">
        <f t="shared" ref="D19:D29" si="1">(1+B$5/2)^B19</f>
        <v>1.0816000000000001</v>
      </c>
      <c r="E19" s="101">
        <f t="shared" ref="E19:E29" si="2">C19/D19</f>
        <v>41.60502958579881</v>
      </c>
      <c r="F19" s="101">
        <f t="shared" ref="F19:F29" si="3">B19*E19</f>
        <v>83.210059171597621</v>
      </c>
      <c r="G19" s="77">
        <f t="shared" ref="G19:G29" si="4">( 1 + B$5/2)^2</f>
        <v>1.0816000000000001</v>
      </c>
      <c r="H19" s="77">
        <f t="shared" ref="H19:H29" si="5">B19+B19^2</f>
        <v>6</v>
      </c>
      <c r="I19" s="101">
        <f t="shared" ref="I19:I29" si="6">E19*H19/G19</f>
        <v>230.79713157802593</v>
      </c>
      <c r="J19" s="61"/>
      <c r="K19" s="57"/>
    </row>
    <row r="20" spans="1:11" x14ac:dyDescent="0.25">
      <c r="A20">
        <v>1.5</v>
      </c>
      <c r="B20">
        <f t="shared" ref="B20:B27" si="7">B19+1</f>
        <v>3</v>
      </c>
      <c r="C20" s="101">
        <f t="shared" si="0"/>
        <v>45</v>
      </c>
      <c r="D20" s="77">
        <f t="shared" si="1"/>
        <v>1.1248640000000001</v>
      </c>
      <c r="E20" s="101">
        <f t="shared" si="2"/>
        <v>40.004836140191166</v>
      </c>
      <c r="F20" s="101">
        <f t="shared" si="3"/>
        <v>120.01450842057349</v>
      </c>
      <c r="G20" s="77">
        <f t="shared" si="4"/>
        <v>1.0816000000000001</v>
      </c>
      <c r="H20" s="77">
        <f t="shared" si="5"/>
        <v>12</v>
      </c>
      <c r="I20" s="101">
        <f t="shared" si="6"/>
        <v>443.84063765004987</v>
      </c>
      <c r="J20" s="61"/>
      <c r="K20" s="57"/>
    </row>
    <row r="21" spans="1:11" x14ac:dyDescent="0.25">
      <c r="A21">
        <v>2</v>
      </c>
      <c r="B21">
        <f t="shared" si="7"/>
        <v>4</v>
      </c>
      <c r="C21" s="101">
        <f t="shared" si="0"/>
        <v>45</v>
      </c>
      <c r="D21" s="77">
        <f t="shared" si="1"/>
        <v>1.1698585600000002</v>
      </c>
      <c r="E21" s="101">
        <f t="shared" si="2"/>
        <v>38.466188596337659</v>
      </c>
      <c r="F21" s="101">
        <f t="shared" si="3"/>
        <v>153.86475438535064</v>
      </c>
      <c r="G21" s="77">
        <f t="shared" si="4"/>
        <v>1.0816000000000001</v>
      </c>
      <c r="H21" s="77">
        <f t="shared" si="5"/>
        <v>20</v>
      </c>
      <c r="I21" s="101">
        <f t="shared" si="6"/>
        <v>711.28307315713118</v>
      </c>
      <c r="J21" s="61"/>
      <c r="K21" s="57"/>
    </row>
    <row r="22" spans="1:11" x14ac:dyDescent="0.25">
      <c r="A22">
        <v>2.5</v>
      </c>
      <c r="B22">
        <f t="shared" si="7"/>
        <v>5</v>
      </c>
      <c r="C22" s="101">
        <f t="shared" si="0"/>
        <v>45</v>
      </c>
      <c r="D22" s="77">
        <f t="shared" si="1"/>
        <v>1.2166529024000003</v>
      </c>
      <c r="E22" s="101">
        <f t="shared" si="2"/>
        <v>36.986719804170818</v>
      </c>
      <c r="F22" s="101">
        <f t="shared" si="3"/>
        <v>184.9335990208541</v>
      </c>
      <c r="G22" s="77">
        <f t="shared" si="4"/>
        <v>1.0816000000000001</v>
      </c>
      <c r="H22" s="77">
        <f t="shared" si="5"/>
        <v>30</v>
      </c>
      <c r="I22" s="101">
        <f t="shared" si="6"/>
        <v>1025.8890478227852</v>
      </c>
      <c r="J22" s="61"/>
      <c r="K22" s="57"/>
    </row>
    <row r="23" spans="1:11" x14ac:dyDescent="0.25">
      <c r="A23">
        <v>3</v>
      </c>
      <c r="B23">
        <f t="shared" si="7"/>
        <v>6</v>
      </c>
      <c r="C23" s="101">
        <f t="shared" si="0"/>
        <v>45</v>
      </c>
      <c r="D23" s="77">
        <f t="shared" si="1"/>
        <v>1.2653190184960004</v>
      </c>
      <c r="E23" s="101">
        <f t="shared" si="2"/>
        <v>35.564153657856558</v>
      </c>
      <c r="F23" s="101">
        <f t="shared" si="3"/>
        <v>213.38492194713933</v>
      </c>
      <c r="G23" s="77">
        <f t="shared" si="4"/>
        <v>1.0816000000000001</v>
      </c>
      <c r="H23" s="77">
        <f t="shared" si="5"/>
        <v>42</v>
      </c>
      <c r="I23" s="101">
        <f t="shared" si="6"/>
        <v>1381.0044874537493</v>
      </c>
      <c r="J23" s="61"/>
      <c r="K23" s="57"/>
    </row>
    <row r="24" spans="1:11" x14ac:dyDescent="0.25">
      <c r="A24">
        <v>3.5</v>
      </c>
      <c r="B24">
        <f t="shared" si="7"/>
        <v>7</v>
      </c>
      <c r="C24" s="101">
        <f t="shared" si="0"/>
        <v>45</v>
      </c>
      <c r="D24" s="77">
        <f t="shared" si="1"/>
        <v>1.3159317792358403</v>
      </c>
      <c r="E24" s="101">
        <f t="shared" si="2"/>
        <v>34.196301594092844</v>
      </c>
      <c r="F24" s="101">
        <f t="shared" si="3"/>
        <v>239.3741111586499</v>
      </c>
      <c r="G24" s="77">
        <f t="shared" si="4"/>
        <v>1.0816000000000001</v>
      </c>
      <c r="H24" s="77">
        <f t="shared" si="5"/>
        <v>56</v>
      </c>
      <c r="I24" s="101">
        <f t="shared" si="6"/>
        <v>1770.5185736586529</v>
      </c>
      <c r="J24" s="61"/>
      <c r="K24" s="57"/>
    </row>
    <row r="25" spans="1:11" x14ac:dyDescent="0.25">
      <c r="A25">
        <v>4</v>
      </c>
      <c r="B25">
        <f t="shared" si="7"/>
        <v>8</v>
      </c>
      <c r="C25" s="101">
        <f t="shared" si="0"/>
        <v>45</v>
      </c>
      <c r="D25" s="77">
        <f t="shared" si="1"/>
        <v>1.3685690504052741</v>
      </c>
      <c r="E25" s="101">
        <f t="shared" si="2"/>
        <v>32.881059225089267</v>
      </c>
      <c r="F25" s="101">
        <f t="shared" si="3"/>
        <v>263.04847380071413</v>
      </c>
      <c r="G25" s="77">
        <f t="shared" si="4"/>
        <v>1.0816000000000001</v>
      </c>
      <c r="H25" s="77">
        <f t="shared" si="5"/>
        <v>72</v>
      </c>
      <c r="I25" s="101">
        <f t="shared" si="6"/>
        <v>2188.827906995587</v>
      </c>
      <c r="J25" s="61"/>
      <c r="K25" s="57"/>
    </row>
    <row r="26" spans="1:11" x14ac:dyDescent="0.25">
      <c r="A26">
        <v>4.5</v>
      </c>
      <c r="B26">
        <f t="shared" si="7"/>
        <v>9</v>
      </c>
      <c r="C26" s="101">
        <f t="shared" si="0"/>
        <v>45</v>
      </c>
      <c r="D26" s="77">
        <f t="shared" si="1"/>
        <v>1.4233118124214852</v>
      </c>
      <c r="E26" s="101">
        <f t="shared" si="2"/>
        <v>31.616403101047371</v>
      </c>
      <c r="F26" s="101">
        <f t="shared" si="3"/>
        <v>284.54762790942635</v>
      </c>
      <c r="G26" s="77">
        <f t="shared" si="4"/>
        <v>1.0816000000000001</v>
      </c>
      <c r="H26" s="77">
        <f t="shared" si="5"/>
        <v>90</v>
      </c>
      <c r="I26" s="101">
        <f t="shared" si="6"/>
        <v>2630.8027728312345</v>
      </c>
      <c r="J26" s="61"/>
      <c r="K26" s="57"/>
    </row>
    <row r="27" spans="1:11" x14ac:dyDescent="0.25">
      <c r="A27">
        <v>5</v>
      </c>
      <c r="B27">
        <f t="shared" si="7"/>
        <v>10</v>
      </c>
      <c r="C27" s="101">
        <f t="shared" si="0"/>
        <v>45</v>
      </c>
      <c r="D27" s="77">
        <f t="shared" si="1"/>
        <v>1.4802442849183446</v>
      </c>
      <c r="E27" s="101">
        <f t="shared" si="2"/>
        <v>30.400387597160936</v>
      </c>
      <c r="F27" s="101">
        <f t="shared" si="3"/>
        <v>304.00387597160938</v>
      </c>
      <c r="G27" s="77">
        <f t="shared" si="4"/>
        <v>1.0816000000000001</v>
      </c>
      <c r="H27" s="77">
        <f t="shared" si="5"/>
        <v>110</v>
      </c>
      <c r="I27" s="101">
        <f t="shared" si="6"/>
        <v>3091.7553954213226</v>
      </c>
      <c r="J27" s="61"/>
      <c r="K27" s="57"/>
    </row>
    <row r="28" spans="1:11" x14ac:dyDescent="0.25">
      <c r="A28">
        <v>5.5</v>
      </c>
      <c r="B28">
        <v>11</v>
      </c>
      <c r="C28" s="101">
        <f t="shared" si="0"/>
        <v>45</v>
      </c>
      <c r="D28" s="77">
        <f t="shared" si="1"/>
        <v>1.5394540563150783</v>
      </c>
      <c r="E28" s="101">
        <f t="shared" si="2"/>
        <v>29.231141920347056</v>
      </c>
      <c r="F28" s="101">
        <f t="shared" si="3"/>
        <v>321.54256112381762</v>
      </c>
      <c r="G28" s="77">
        <f t="shared" si="4"/>
        <v>1.0816000000000001</v>
      </c>
      <c r="H28" s="77">
        <f t="shared" si="5"/>
        <v>132</v>
      </c>
      <c r="I28" s="101">
        <f t="shared" si="6"/>
        <v>3567.410071639988</v>
      </c>
      <c r="J28" s="61"/>
      <c r="K28" s="57"/>
    </row>
    <row r="29" spans="1:11" x14ac:dyDescent="0.25">
      <c r="A29" s="47">
        <v>6</v>
      </c>
      <c r="B29" s="47">
        <v>12</v>
      </c>
      <c r="C29" s="101">
        <f>B$2*B$3/2 + B$2</f>
        <v>1045</v>
      </c>
      <c r="D29" s="77">
        <f t="shared" si="1"/>
        <v>1.6010322185676817</v>
      </c>
      <c r="E29" s="101">
        <f t="shared" si="2"/>
        <v>652.70391681116803</v>
      </c>
      <c r="F29" s="101">
        <f t="shared" si="3"/>
        <v>7832.4470017340163</v>
      </c>
      <c r="G29" s="77">
        <f t="shared" si="4"/>
        <v>1.0816000000000001</v>
      </c>
      <c r="H29" s="77">
        <f t="shared" si="5"/>
        <v>156</v>
      </c>
      <c r="I29" s="101">
        <f t="shared" si="6"/>
        <v>94139.988001610764</v>
      </c>
      <c r="J29" s="61"/>
      <c r="K29" s="57"/>
    </row>
    <row r="30" spans="1:11" x14ac:dyDescent="0.25">
      <c r="B30" t="s">
        <v>5</v>
      </c>
      <c r="G30" s="61"/>
      <c r="H30" s="61"/>
      <c r="I30" s="61"/>
      <c r="J30" s="61"/>
      <c r="K30" s="57"/>
    </row>
    <row r="31" spans="1:11" x14ac:dyDescent="0.25">
      <c r="B31" t="s">
        <v>5</v>
      </c>
      <c r="C31" t="s">
        <v>5</v>
      </c>
      <c r="D31" s="44" t="s">
        <v>66</v>
      </c>
      <c r="E31" s="146">
        <f>SUM(E18:E29)</f>
        <v>1046.9253688024912</v>
      </c>
      <c r="F31" s="103">
        <f>SUM(F18:F29)</f>
        <v>10043.640725412981</v>
      </c>
      <c r="G31" s="104" t="s">
        <v>5</v>
      </c>
      <c r="H31" s="61"/>
      <c r="I31" s="97">
        <f>SUM(I18:I29)</f>
        <v>111262.12677209967</v>
      </c>
      <c r="J31" s="63" t="s">
        <v>67</v>
      </c>
      <c r="K31" s="57"/>
    </row>
    <row r="32" spans="1:11" x14ac:dyDescent="0.25">
      <c r="E32" s="45" t="s">
        <v>68</v>
      </c>
      <c r="F32" s="105">
        <f>F31/E31</f>
        <v>9.5934638940894494</v>
      </c>
      <c r="G32" s="63" t="s">
        <v>69</v>
      </c>
      <c r="H32" s="64"/>
      <c r="I32" s="107">
        <f>I31/E31</f>
        <v>106.27512723219714</v>
      </c>
      <c r="J32" s="63" t="s">
        <v>68</v>
      </c>
      <c r="K32" s="57"/>
    </row>
    <row r="33" spans="5:11" x14ac:dyDescent="0.25">
      <c r="E33" s="46" t="s">
        <v>70</v>
      </c>
      <c r="F33" s="106">
        <f>F32/2</f>
        <v>4.7967319470447247</v>
      </c>
      <c r="G33" s="65" t="s">
        <v>71</v>
      </c>
      <c r="H33" s="66"/>
      <c r="I33" s="108">
        <f>I32/4</f>
        <v>26.568781808049284</v>
      </c>
      <c r="J33" s="65" t="s">
        <v>72</v>
      </c>
      <c r="K33" s="57"/>
    </row>
    <row r="34" spans="5:11" x14ac:dyDescent="0.25">
      <c r="G34" s="61"/>
      <c r="H34" s="61"/>
      <c r="I34" s="61"/>
      <c r="J34" s="61"/>
      <c r="K34" s="57"/>
    </row>
    <row r="35" spans="5:11" x14ac:dyDescent="0.25">
      <c r="G35" s="19"/>
      <c r="H35" s="19"/>
      <c r="I35" s="19"/>
      <c r="J35" s="19"/>
    </row>
    <row r="36" spans="5:11" x14ac:dyDescent="0.25">
      <c r="G36" s="19"/>
      <c r="H36" s="19"/>
      <c r="I36" s="19"/>
      <c r="J36" s="19"/>
    </row>
  </sheetData>
  <dataValidations count="2">
    <dataValidation type="custom" allowBlank="1" showInputMessage="1" showErrorMessage="1" error="The frequency is restricted to either 1 or 2 (annual or semiannual)." sqref="B6" xr:uid="{00000000-0002-0000-0800-000000000000}">
      <formula1>OR(B6=1,B6=2)=TRUE</formula1>
    </dataValidation>
    <dataValidation type="whole" allowBlank="1" showErrorMessage="1" error="These calculations only work on a payment date, so this value must be a positive integer between 1 and 20." prompt="The life of the bond must be between 1 and 20 years." sqref="B4" xr:uid="{00000000-0002-0000-0800-000001000000}">
      <formula1>1</formula1>
      <formula2>20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P27"/>
  <sheetViews>
    <sheetView zoomScale="62" zoomScaleNormal="62" workbookViewId="0">
      <selection activeCell="A28" sqref="A28"/>
    </sheetView>
  </sheetViews>
  <sheetFormatPr defaultRowHeight="15" x14ac:dyDescent="0.25"/>
  <sheetData>
    <row r="27" spans="16:16" x14ac:dyDescent="0.25">
      <c r="P27" s="4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Information</vt:lpstr>
      <vt:lpstr>Price the bond basics</vt:lpstr>
      <vt:lpstr>Variable timeline</vt:lpstr>
      <vt:lpstr>Par_premium_discount</vt:lpstr>
      <vt:lpstr>Finding_YTM</vt:lpstr>
      <vt:lpstr>Duration Formula</vt:lpstr>
      <vt:lpstr>Convexity formula</vt:lpstr>
      <vt:lpstr>Duration_Convexity</vt:lpstr>
      <vt:lpstr>Graph_Duration_Convexity</vt:lpstr>
      <vt:lpstr>Immunize Part 1</vt:lpstr>
      <vt:lpstr>Immunize 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Garner</dc:creator>
  <cp:lastModifiedBy>Shrikanth Mahale</cp:lastModifiedBy>
  <dcterms:created xsi:type="dcterms:W3CDTF">2018-05-08T22:28:10Z</dcterms:created>
  <dcterms:modified xsi:type="dcterms:W3CDTF">2021-02-13T17:07:54Z</dcterms:modified>
</cp:coreProperties>
</file>