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rojects\Systematic_Review\Data\"/>
    </mc:Choice>
  </mc:AlternateContent>
  <xr:revisionPtr revIDLastSave="0" documentId="13_ncr:1_{D850F16D-2D3B-4432-BFE3-D6EB059991D8}" xr6:coauthVersionLast="47" xr6:coauthVersionMax="47" xr10:uidLastSave="{00000000-0000-0000-0000-000000000000}"/>
  <bookViews>
    <workbookView xWindow="12710" yWindow="0" windowWidth="12980" windowHeight="15370" xr2:uid="{C5DF44CF-7E18-40B8-9FAA-34AEB3FCB7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2" l="1"/>
  <c r="AD37" i="2" s="1"/>
  <c r="P37" i="2"/>
  <c r="AG37" i="2" s="1"/>
  <c r="AD36" i="2"/>
  <c r="AF36" i="2" s="1"/>
  <c r="AC36" i="2"/>
  <c r="AG36" i="2" s="1"/>
  <c r="T36" i="2"/>
  <c r="AG35" i="2"/>
  <c r="AD35" i="2"/>
  <c r="AE35" i="2" s="1"/>
  <c r="AC35" i="2"/>
  <c r="T35" i="2"/>
  <c r="AE34" i="2"/>
  <c r="AD34" i="2"/>
  <c r="AF34" i="2" s="1"/>
  <c r="AC34" i="2"/>
  <c r="AG34" i="2" s="1"/>
  <c r="T34" i="2"/>
  <c r="AB33" i="2"/>
  <c r="AD33" i="2" s="1"/>
  <c r="P33" i="2"/>
  <c r="AF33" i="2" s="1"/>
  <c r="AG30" i="2"/>
  <c r="AB30" i="2"/>
  <c r="AD30" i="2" s="1"/>
  <c r="P30" i="2"/>
  <c r="AD29" i="2"/>
  <c r="AB29" i="2"/>
  <c r="P29" i="2"/>
  <c r="AE29" i="2" s="1"/>
  <c r="AB28" i="2"/>
  <c r="AD28" i="2" s="1"/>
  <c r="P28" i="2"/>
  <c r="AF28" i="2" s="1"/>
  <c r="AE25" i="2"/>
  <c r="AD25" i="2"/>
  <c r="AF25" i="2" s="1"/>
  <c r="AC25" i="2"/>
  <c r="AG25" i="2" s="1"/>
  <c r="T25" i="2"/>
  <c r="AD24" i="2"/>
  <c r="AF24" i="2" s="1"/>
  <c r="AC24" i="2"/>
  <c r="AG24" i="2" s="1"/>
  <c r="T24" i="2"/>
  <c r="AG23" i="2"/>
  <c r="AD23" i="2"/>
  <c r="AF23" i="2" s="1"/>
  <c r="AC23" i="2"/>
  <c r="T23" i="2"/>
  <c r="AD22" i="2"/>
  <c r="AE22" i="2" s="1"/>
  <c r="AC22" i="2"/>
  <c r="AG22" i="2" s="1"/>
  <c r="T22" i="2"/>
  <c r="AC21" i="2"/>
  <c r="AB21" i="2"/>
  <c r="AD21" i="2" s="1"/>
  <c r="P21" i="2"/>
  <c r="AG20" i="2"/>
  <c r="AC20" i="2"/>
  <c r="AB20" i="2"/>
  <c r="AD20" i="2" s="1"/>
  <c r="P20" i="2"/>
  <c r="AD19" i="2"/>
  <c r="AC19" i="2"/>
  <c r="P19" i="2"/>
  <c r="AG19" i="2" s="1"/>
  <c r="AG18" i="2"/>
  <c r="AD18" i="2"/>
  <c r="AF18" i="2" s="1"/>
  <c r="AC18" i="2"/>
  <c r="P18" i="2"/>
  <c r="AD17" i="2"/>
  <c r="AF17" i="2" s="1"/>
  <c r="AC17" i="2"/>
  <c r="AG17" i="2" s="1"/>
  <c r="AB15" i="2"/>
  <c r="AD15" i="2" s="1"/>
  <c r="P15" i="2"/>
  <c r="AE15" i="2" s="1"/>
  <c r="AG14" i="2"/>
  <c r="AF14" i="2"/>
  <c r="AE14" i="2"/>
  <c r="AD14" i="2"/>
  <c r="AB14" i="2"/>
  <c r="P14" i="2"/>
  <c r="AE13" i="2"/>
  <c r="X13" i="2"/>
  <c r="W13" i="2"/>
  <c r="AF13" i="2" s="1"/>
  <c r="AB11" i="2"/>
  <c r="AD11" i="2" s="1"/>
  <c r="P11" i="2"/>
  <c r="AG10" i="2"/>
  <c r="AB10" i="2"/>
  <c r="AD10" i="2" s="1"/>
  <c r="P10" i="2"/>
  <c r="AF10" i="2" s="1"/>
  <c r="AG9" i="2"/>
  <c r="AD9" i="2"/>
  <c r="AF9" i="2" s="1"/>
  <c r="AG8" i="2"/>
  <c r="AD8" i="2"/>
  <c r="AE8" i="2" s="1"/>
  <c r="AG7" i="2"/>
  <c r="AF7" i="2"/>
  <c r="AE7" i="2"/>
  <c r="AD7" i="2"/>
  <c r="AG6" i="2"/>
  <c r="AD6" i="2"/>
  <c r="AF6" i="2" s="1"/>
  <c r="AG5" i="2"/>
  <c r="AD5" i="2"/>
  <c r="AE5" i="2" s="1"/>
  <c r="AG4" i="2"/>
  <c r="AD4" i="2"/>
  <c r="AE4" i="2" s="1"/>
  <c r="AG3" i="2"/>
  <c r="AF3" i="2"/>
  <c r="AE3" i="2"/>
  <c r="AD3" i="2"/>
  <c r="AG2" i="2"/>
  <c r="AD2" i="2"/>
  <c r="AF2" i="2" s="1"/>
  <c r="AB31" i="1"/>
  <c r="AD31" i="1" s="1"/>
  <c r="P31" i="1"/>
  <c r="AD30" i="1"/>
  <c r="AF30" i="1" s="1"/>
  <c r="AC30" i="1"/>
  <c r="AG30" i="1" s="1"/>
  <c r="T30" i="1"/>
  <c r="AD29" i="1"/>
  <c r="AE29" i="1" s="1"/>
  <c r="AC29" i="1"/>
  <c r="AG29" i="1" s="1"/>
  <c r="T29" i="1"/>
  <c r="AD28" i="1"/>
  <c r="AF28" i="1" s="1"/>
  <c r="AC28" i="1"/>
  <c r="AG28" i="1" s="1"/>
  <c r="T28" i="1"/>
  <c r="AB27" i="1"/>
  <c r="AD27" i="1" s="1"/>
  <c r="P27" i="1"/>
  <c r="AB26" i="1"/>
  <c r="AD26" i="1" s="1"/>
  <c r="P26" i="1"/>
  <c r="AG26" i="1" s="1"/>
  <c r="AB25" i="1"/>
  <c r="AD25" i="1" s="1"/>
  <c r="P25" i="1"/>
  <c r="AB24" i="1"/>
  <c r="AD24" i="1" s="1"/>
  <c r="P24" i="1"/>
  <c r="AB11" i="1"/>
  <c r="AD11" i="1" s="1"/>
  <c r="P11" i="1"/>
  <c r="AB14" i="1"/>
  <c r="AD14" i="1" s="1"/>
  <c r="P14" i="1"/>
  <c r="AG14" i="1" s="1"/>
  <c r="AB13" i="1"/>
  <c r="AD13" i="1" s="1"/>
  <c r="P13" i="1"/>
  <c r="AD21" i="1"/>
  <c r="AE21" i="1" s="1"/>
  <c r="AD22" i="1"/>
  <c r="AE22" i="1" s="1"/>
  <c r="AD23" i="1"/>
  <c r="AF23" i="1" s="1"/>
  <c r="AC21" i="1"/>
  <c r="AG21" i="1" s="1"/>
  <c r="AC22" i="1"/>
  <c r="AG22" i="1" s="1"/>
  <c r="AC23" i="1"/>
  <c r="AG23" i="1" s="1"/>
  <c r="T21" i="1"/>
  <c r="T22" i="1"/>
  <c r="T23" i="1"/>
  <c r="AC20" i="1"/>
  <c r="AG20" i="1" s="1"/>
  <c r="AD20" i="1"/>
  <c r="AE20" i="1" s="1"/>
  <c r="T20" i="1"/>
  <c r="P16" i="1"/>
  <c r="P19" i="1"/>
  <c r="AC19" i="1"/>
  <c r="AB19" i="1"/>
  <c r="AD19" i="1" s="1"/>
  <c r="AC18" i="1"/>
  <c r="AB18" i="1"/>
  <c r="AD18" i="1" s="1"/>
  <c r="P18" i="1"/>
  <c r="AC17" i="1"/>
  <c r="AD17" i="1"/>
  <c r="P17" i="1"/>
  <c r="AC16" i="1"/>
  <c r="AD16" i="1" s="1"/>
  <c r="AC15" i="1"/>
  <c r="AG15" i="1" s="1"/>
  <c r="AD15" i="1"/>
  <c r="AE15" i="1" s="1"/>
  <c r="AE12" i="1"/>
  <c r="X12" i="1"/>
  <c r="W12" i="1"/>
  <c r="P10" i="1"/>
  <c r="AB10" i="1"/>
  <c r="AD10" i="1" s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2" i="1"/>
  <c r="AE2" i="1" s="1"/>
  <c r="AG9" i="1"/>
  <c r="AG3" i="1"/>
  <c r="AG4" i="1"/>
  <c r="AG5" i="1"/>
  <c r="AG6" i="1"/>
  <c r="AG7" i="1"/>
  <c r="AG8" i="1"/>
  <c r="AG2" i="1"/>
  <c r="AF31" i="1" l="1"/>
  <c r="AF21" i="2"/>
  <c r="AE11" i="2"/>
  <c r="AF20" i="2"/>
  <c r="AE30" i="2"/>
  <c r="AF30" i="2"/>
  <c r="AF8" i="2"/>
  <c r="AE28" i="2"/>
  <c r="AF4" i="2"/>
  <c r="AF11" i="2"/>
  <c r="AE21" i="2"/>
  <c r="AF15" i="2"/>
  <c r="AE19" i="2"/>
  <c r="AG21" i="2"/>
  <c r="AE24" i="2"/>
  <c r="AG33" i="2"/>
  <c r="AE36" i="2"/>
  <c r="AF29" i="2"/>
  <c r="AG29" i="2"/>
  <c r="AF35" i="2"/>
  <c r="AG28" i="2"/>
  <c r="AF5" i="2"/>
  <c r="Y13" i="2"/>
  <c r="AG13" i="2" s="1"/>
  <c r="AE17" i="2"/>
  <c r="AE2" i="2"/>
  <c r="AE6" i="2"/>
  <c r="AF22" i="2"/>
  <c r="AE18" i="2"/>
  <c r="AE33" i="2"/>
  <c r="AG11" i="2"/>
  <c r="AE9" i="2"/>
  <c r="AE37" i="2"/>
  <c r="AE23" i="2"/>
  <c r="AG15" i="2"/>
  <c r="AE10" i="2"/>
  <c r="AE20" i="2"/>
  <c r="AF37" i="2"/>
  <c r="AF19" i="2"/>
  <c r="AG24" i="1"/>
  <c r="AG31" i="1"/>
  <c r="AG25" i="1"/>
  <c r="AE28" i="1"/>
  <c r="AG27" i="1"/>
  <c r="AF24" i="1"/>
  <c r="AG18" i="1"/>
  <c r="AE31" i="1"/>
  <c r="AE30" i="1"/>
  <c r="AF29" i="1"/>
  <c r="AE26" i="1"/>
  <c r="AE27" i="1"/>
  <c r="AF27" i="1"/>
  <c r="AE24" i="1"/>
  <c r="AF26" i="1"/>
  <c r="AE25" i="1"/>
  <c r="AF25" i="1"/>
  <c r="AE11" i="1"/>
  <c r="AF11" i="1"/>
  <c r="AG11" i="1"/>
  <c r="AE14" i="1"/>
  <c r="AF14" i="1"/>
  <c r="AG13" i="1"/>
  <c r="AF13" i="1"/>
  <c r="AE13" i="1"/>
  <c r="AF22" i="1"/>
  <c r="AG19" i="1"/>
  <c r="AF21" i="1"/>
  <c r="AE23" i="1"/>
  <c r="AF20" i="1"/>
  <c r="AF16" i="1"/>
  <c r="AG17" i="1"/>
  <c r="AF19" i="1"/>
  <c r="AE19" i="1"/>
  <c r="AE18" i="1"/>
  <c r="AF18" i="1"/>
  <c r="AG16" i="1"/>
  <c r="AE16" i="1"/>
  <c r="AE17" i="1"/>
  <c r="AF17" i="1"/>
  <c r="AF12" i="1"/>
  <c r="AF15" i="1"/>
  <c r="Y12" i="1"/>
  <c r="AG12" i="1" s="1"/>
  <c r="AG10" i="1"/>
  <c r="AF10" i="1"/>
  <c r="AE10" i="1"/>
  <c r="AF9" i="1"/>
  <c r="AF2" i="1"/>
  <c r="AF8" i="1"/>
  <c r="AF7" i="1"/>
  <c r="AF6" i="1"/>
  <c r="AF5" i="1"/>
  <c r="AF4" i="1"/>
  <c r="AF3" i="1"/>
</calcChain>
</file>

<file path=xl/sharedStrings.xml><?xml version="1.0" encoding="utf-8"?>
<sst xmlns="http://schemas.openxmlformats.org/spreadsheetml/2006/main" count="522" uniqueCount="129">
  <si>
    <t>Rajoo et al. (2021)</t>
  </si>
  <si>
    <t>Addressing psychosocial issues caused by the COVID-19 lockdown: Can urban greeneries help?</t>
  </si>
  <si>
    <t>sd_pre</t>
  </si>
  <si>
    <t>sd_post</t>
  </si>
  <si>
    <t>pooled_sd</t>
  </si>
  <si>
    <t>author_year</t>
  </si>
  <si>
    <t>title</t>
  </si>
  <si>
    <t>study_design</t>
  </si>
  <si>
    <t>sample size</t>
  </si>
  <si>
    <t>Weng et al. (2024)</t>
  </si>
  <si>
    <t>Pre-Post (Within-Subjects)</t>
  </si>
  <si>
    <t>outcome_assessment</t>
  </si>
  <si>
    <t>Total Mood Disturbance (TMD)</t>
  </si>
  <si>
    <t>m_pre</t>
  </si>
  <si>
    <t>m_post</t>
  </si>
  <si>
    <t>m_change</t>
  </si>
  <si>
    <t>sd_change</t>
  </si>
  <si>
    <t>site</t>
  </si>
  <si>
    <t>s1</t>
  </si>
  <si>
    <t>s2</t>
  </si>
  <si>
    <t>Broadleaf Forest Valley</t>
  </si>
  <si>
    <t>Grassland Slopes</t>
  </si>
  <si>
    <t>Mixed Broadleaf and Coniferous Forest Valley</t>
  </si>
  <si>
    <t>s3</t>
  </si>
  <si>
    <t>s4</t>
  </si>
  <si>
    <t>Broadleaf Ridge Forest</t>
  </si>
  <si>
    <t>s5</t>
  </si>
  <si>
    <t>Mixed Broadleaf and Coniferous Forest Slopes</t>
  </si>
  <si>
    <t>Rock-Bedded Streamscape</t>
  </si>
  <si>
    <t>Broadleaf Forest Streamside</t>
  </si>
  <si>
    <t>Tea Gardens of the Valley</t>
  </si>
  <si>
    <t>s6</t>
  </si>
  <si>
    <t>s7</t>
  </si>
  <si>
    <t>s8</t>
  </si>
  <si>
    <t>Quantitative Analysis of Physiological and Psychological Impacts of Visual and Auditory Elements in Wuyishan National Park Using Eye-Tracking</t>
  </si>
  <si>
    <t>smd_effctsize</t>
  </si>
  <si>
    <t>standard_error</t>
  </si>
  <si>
    <t>upper_ci</t>
  </si>
  <si>
    <t>lower_ci</t>
  </si>
  <si>
    <t>Wood et al. (2015)</t>
  </si>
  <si>
    <t>A Case–Control Study of the Health and Well-being Benefits of Allotment Gardening</t>
  </si>
  <si>
    <t>Pre-Post</t>
  </si>
  <si>
    <t>Depression, Anxiety, and Stress Scale (DASS-21)</t>
  </si>
  <si>
    <t>Marques et al. (2021)</t>
  </si>
  <si>
    <t>Home gardens can be more important than other urban green infrastructure for mental well-being during COVID-19 pandemics</t>
  </si>
  <si>
    <t>Home Gardens (private residential gardens)</t>
  </si>
  <si>
    <t>Urban residential (Rio de Janeiro, Brazil)</t>
  </si>
  <si>
    <t>md</t>
  </si>
  <si>
    <t>t</t>
  </si>
  <si>
    <t>df</t>
  </si>
  <si>
    <t>cohen d</t>
  </si>
  <si>
    <t>group</t>
  </si>
  <si>
    <t>Ward Thompson (2016)</t>
  </si>
  <si>
    <t>High Stress, High Deprivation</t>
  </si>
  <si>
    <t>Mitigating Stress and Supporting Health in Deprived Urban Communities: The Importance of Green Space and the Social Environment</t>
  </si>
  <si>
    <t>between groups</t>
  </si>
  <si>
    <t>Perceived Stress Scale (PSS)</t>
  </si>
  <si>
    <t>c3 (high exposure), c4 (low exposure)</t>
  </si>
  <si>
    <t>m_high</t>
  </si>
  <si>
    <t>m_low</t>
  </si>
  <si>
    <t>n_high</t>
  </si>
  <si>
    <t>n_low</t>
  </si>
  <si>
    <t>sd_high</t>
  </si>
  <si>
    <t>sd_low</t>
  </si>
  <si>
    <t>group_high</t>
  </si>
  <si>
    <t>High (65.8%) green space</t>
  </si>
  <si>
    <t>Low (49.5%) Green Space</t>
  </si>
  <si>
    <t>group_low</t>
  </si>
  <si>
    <t>Zhang et al. (2023)</t>
  </si>
  <si>
    <t>The restorative effects of short-term exposure to nature in immersive virtual environments (IVEs) as evidenced by participants' brain activities</t>
  </si>
  <si>
    <t>Controlled experimental (between-groups)</t>
  </si>
  <si>
    <t>urban forest</t>
  </si>
  <si>
    <t>indoor</t>
  </si>
  <si>
    <t>Perceived Stress Scale (PSS-14)</t>
  </si>
  <si>
    <t>Heilmayr &amp; Miller (2021)</t>
  </si>
  <si>
    <t>Nature Exposure Achieves Comparable Health and Well-Being Improvements as Best Practice, Positive Psychology Interventions</t>
  </si>
  <si>
    <t>Pre-post (Within-subjects)</t>
  </si>
  <si>
    <t>Bianchi et al. (2024)</t>
  </si>
  <si>
    <t>Exploring the Connections Between Nature Exposure and Stress During COVID-19 Using Latent Profile Analysis</t>
  </si>
  <si>
    <t>Pre-post (Within-subject)</t>
  </si>
  <si>
    <t>n_pre</t>
  </si>
  <si>
    <t>n_post</t>
  </si>
  <si>
    <t>Perceived Stress Scale (PSS-10)</t>
  </si>
  <si>
    <t>Pre-post (Follow-up)</t>
  </si>
  <si>
    <t>Jin et al. (2022)</t>
  </si>
  <si>
    <t>Exploring Stress Recovery Effects of Different Environmental Exposure Settings</t>
  </si>
  <si>
    <t>Between-groups (cross-sectional)</t>
  </si>
  <si>
    <t>forest</t>
  </si>
  <si>
    <t>plaza</t>
  </si>
  <si>
    <t>md_high_low</t>
  </si>
  <si>
    <t>waterside</t>
  </si>
  <si>
    <t>lawn</t>
  </si>
  <si>
    <t>green street</t>
  </si>
  <si>
    <t>Pre-post (within-group)</t>
  </si>
  <si>
    <t>Nature Therapy Group</t>
  </si>
  <si>
    <t>Nature-Exercise Group</t>
  </si>
  <si>
    <t>Yin et al. (2023)</t>
  </si>
  <si>
    <t>Effects of blue space exposure in urban and natural environments on psychological and physiological responses</t>
  </si>
  <si>
    <t>Total Mood Disturbance (TMD) (calculated)</t>
  </si>
  <si>
    <t>Lei et al. (2021)</t>
  </si>
  <si>
    <t>A quantitative study for indoor workplace biophilic design to improve health and productivity performance</t>
  </si>
  <si>
    <t>Pre-post (within-subjects)</t>
  </si>
  <si>
    <t>Skin Conductance Level (SCL, μS)</t>
  </si>
  <si>
    <t>Koivisto et al. (2024)</t>
  </si>
  <si>
    <t>A short simulated nature experience as an effective way to promote restoration from work-related stress</t>
  </si>
  <si>
    <t>Skin Conductance Response (SCR)</t>
  </si>
  <si>
    <t>Elsadek et al. (2024)</t>
  </si>
  <si>
    <t>High-rise window views: Evaluating physiological and psychological impacts of green, blue, and built environments</t>
  </si>
  <si>
    <t>Skin Conductance (SC, μS)</t>
  </si>
  <si>
    <t>EEG Alpha wave (Total power, dB)</t>
  </si>
  <si>
    <t>Fukumoto et al. (2024)</t>
  </si>
  <si>
    <t>The effects of different designs of indoor biophilic greening on psychological and physiological responses and cognitive performance of office workers</t>
  </si>
  <si>
    <t>EEG Alpha wave power (ROI-4)</t>
  </si>
  <si>
    <t>Between-groups (Tropical vs. Control)</t>
  </si>
  <si>
    <t>tropical</t>
  </si>
  <si>
    <t>control</t>
  </si>
  <si>
    <t>Between-groups (GW vs Control)</t>
  </si>
  <si>
    <t>EEG Alpha relative power (O1)</t>
  </si>
  <si>
    <t>green + water</t>
  </si>
  <si>
    <t>Hassan &amp; Deshun (2023)</t>
  </si>
  <si>
    <t>Promoting adult health: the neurophysiological benefits of watering plants and engaging in mental tasks within designed environments</t>
  </si>
  <si>
    <t>Between-groups (Gardening vs. Mental)</t>
  </si>
  <si>
    <t>Gardening task</t>
  </si>
  <si>
    <t>mental task (control)</t>
  </si>
  <si>
    <t>EEG Alpha wave power</t>
  </si>
  <si>
    <t>Within-subject (Nature vs Control)</t>
  </si>
  <si>
    <t>EEG Lower Alpha (8–10 Hz)</t>
  </si>
  <si>
    <t>nature condition</t>
  </si>
  <si>
    <t>control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</si>
</sst>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2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>
      <alignment vertical="center"/>
    </xf>
    <xf numFmtId="2" fontId="0" fillId="2" borderId="0" xfId="0" applyNumberFormat="1" applyFill="1" applyAlignment="1"/>
    <xf numFmtId="168" fontId="0" fillId="0" borderId="0" xfId="0" applyNumberFormat="1" applyAlignment="1"/>
    <xf numFmtId="168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3BB-E792-4E3C-94E0-9D22DDFE4048}">
  <dimension ref="A1:AG32"/>
  <sheetViews>
    <sheetView tabSelected="1" workbookViewId="0">
      <selection activeCell="B23" sqref="B23"/>
    </sheetView>
  </sheetViews>
  <sheetFormatPr defaultRowHeight="14.5" x14ac:dyDescent="0.35"/>
  <cols>
    <col min="1" max="1" width="8.08984375" customWidth="1"/>
    <col min="2" max="4" width="17.26953125" customWidth="1"/>
    <col min="5" max="5" width="20.08984375" customWidth="1"/>
    <col min="6" max="6" width="32.7265625" style="1" customWidth="1"/>
    <col min="7" max="7" width="33.453125" customWidth="1"/>
    <col min="8" max="12" width="11.90625" customWidth="1"/>
    <col min="13" max="13" width="41" customWidth="1"/>
    <col min="14" max="14" width="7.08984375" customWidth="1"/>
    <col min="15" max="15" width="7" customWidth="1"/>
    <col min="16" max="16" width="9.1796875" customWidth="1"/>
    <col min="17" max="19" width="9.54296875" customWidth="1"/>
    <col min="20" max="20" width="13" customWidth="1"/>
    <col min="21" max="22" width="9.54296875" customWidth="1"/>
    <col min="23" max="23" width="5.90625" customWidth="1"/>
    <col min="24" max="24" width="7.08984375" customWidth="1"/>
    <col min="25" max="25" width="8" customWidth="1"/>
    <col min="26" max="26" width="6.1796875" customWidth="1"/>
    <col min="27" max="29" width="16" customWidth="1"/>
    <col min="30" max="30" width="12.90625" customWidth="1"/>
    <col min="31" max="31" width="7.6328125" customWidth="1"/>
    <col min="32" max="32" width="8.08984375" customWidth="1"/>
    <col min="33" max="33" width="11.90625" style="3" customWidth="1"/>
    <col min="34" max="36" width="17.26953125" customWidth="1"/>
    <col min="40" max="40" width="19.90625" customWidth="1"/>
  </cols>
  <sheetData>
    <row r="1" spans="1:33" s="7" customFormat="1" x14ac:dyDescent="0.35">
      <c r="A1" s="7" t="s">
        <v>17</v>
      </c>
      <c r="B1" s="7" t="s">
        <v>51</v>
      </c>
      <c r="C1" s="7" t="s">
        <v>64</v>
      </c>
      <c r="D1" s="7" t="s">
        <v>67</v>
      </c>
      <c r="E1" s="7" t="s">
        <v>5</v>
      </c>
      <c r="F1" s="7" t="s">
        <v>6</v>
      </c>
      <c r="G1" s="8" t="s">
        <v>7</v>
      </c>
      <c r="H1" s="8" t="s">
        <v>8</v>
      </c>
      <c r="I1" s="8" t="s">
        <v>60</v>
      </c>
      <c r="J1" s="8" t="s">
        <v>61</v>
      </c>
      <c r="K1" s="8" t="s">
        <v>80</v>
      </c>
      <c r="L1" s="8" t="s">
        <v>81</v>
      </c>
      <c r="M1" s="8" t="s">
        <v>11</v>
      </c>
      <c r="N1" s="7" t="s">
        <v>13</v>
      </c>
      <c r="O1" s="7" t="s">
        <v>14</v>
      </c>
      <c r="P1" s="7" t="s">
        <v>15</v>
      </c>
      <c r="Q1" s="7" t="s">
        <v>47</v>
      </c>
      <c r="R1" s="7" t="s">
        <v>58</v>
      </c>
      <c r="S1" s="7" t="s">
        <v>59</v>
      </c>
      <c r="T1" s="7" t="s">
        <v>89</v>
      </c>
      <c r="U1" s="7" t="s">
        <v>62</v>
      </c>
      <c r="V1" s="7" t="s">
        <v>63</v>
      </c>
      <c r="W1" s="7" t="s">
        <v>48</v>
      </c>
      <c r="X1" s="7" t="s">
        <v>49</v>
      </c>
      <c r="Y1" s="7" t="s">
        <v>50</v>
      </c>
      <c r="Z1" s="7" t="s">
        <v>2</v>
      </c>
      <c r="AA1" s="7" t="s">
        <v>3</v>
      </c>
      <c r="AB1" s="7" t="s">
        <v>16</v>
      </c>
      <c r="AC1" s="7" t="s">
        <v>4</v>
      </c>
      <c r="AD1" s="7" t="s">
        <v>36</v>
      </c>
      <c r="AE1" s="7" t="s">
        <v>38</v>
      </c>
      <c r="AF1" s="7" t="s">
        <v>37</v>
      </c>
      <c r="AG1" s="9" t="s">
        <v>35</v>
      </c>
    </row>
    <row r="2" spans="1:33" s="5" customFormat="1" x14ac:dyDescent="0.35">
      <c r="A2" s="5" t="s">
        <v>18</v>
      </c>
      <c r="B2" s="5" t="s">
        <v>21</v>
      </c>
      <c r="E2" s="5" t="s">
        <v>9</v>
      </c>
      <c r="F2" s="5" t="s">
        <v>34</v>
      </c>
      <c r="G2" s="5" t="s">
        <v>10</v>
      </c>
      <c r="H2" s="4">
        <v>41</v>
      </c>
      <c r="I2" s="4"/>
      <c r="J2" s="4"/>
      <c r="K2" s="4"/>
      <c r="L2" s="4"/>
      <c r="M2" s="5" t="s">
        <v>12</v>
      </c>
      <c r="N2" s="10"/>
      <c r="O2" s="10"/>
      <c r="P2" s="10">
        <v>-0.24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>
        <v>6.14</v>
      </c>
      <c r="AC2" s="10"/>
      <c r="AD2" s="10">
        <f>AB2/SQRT(H2)</f>
        <v>0.95890689799604123</v>
      </c>
      <c r="AE2" s="10">
        <f>P2 - (1.96 *AD2)</f>
        <v>-2.119457520072241</v>
      </c>
      <c r="AF2" s="10">
        <f>P2 + (1.96 *AD2)</f>
        <v>1.6394575200722408</v>
      </c>
      <c r="AG2" s="10">
        <f>P2/AB2</f>
        <v>-3.908794788273616E-2</v>
      </c>
    </row>
    <row r="3" spans="1:33" s="5" customFormat="1" x14ac:dyDescent="0.35">
      <c r="A3" s="5" t="s">
        <v>19</v>
      </c>
      <c r="B3" s="5" t="s">
        <v>20</v>
      </c>
      <c r="E3" s="5" t="s">
        <v>9</v>
      </c>
      <c r="F3" s="5" t="s">
        <v>34</v>
      </c>
      <c r="G3" s="5" t="s">
        <v>10</v>
      </c>
      <c r="H3" s="4">
        <v>41</v>
      </c>
      <c r="I3" s="4"/>
      <c r="J3" s="4"/>
      <c r="K3" s="4"/>
      <c r="L3" s="4"/>
      <c r="M3" s="5" t="s">
        <v>12</v>
      </c>
      <c r="N3" s="10"/>
      <c r="O3" s="10"/>
      <c r="P3" s="10">
        <v>0.28999999999999998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>
        <v>6.23</v>
      </c>
      <c r="AC3" s="10"/>
      <c r="AD3" s="10">
        <f t="shared" ref="AD3:AD11" si="0">AB3/SQRT(H3)</f>
        <v>0.97296253656601583</v>
      </c>
      <c r="AE3" s="10">
        <f t="shared" ref="AE3:AE11" si="1">P3 - (1.96 *AD3)</f>
        <v>-1.6170065716693909</v>
      </c>
      <c r="AF3" s="10">
        <f t="shared" ref="AF3:AF11" si="2">P3 + (1.96 *AD3)</f>
        <v>2.197006571669391</v>
      </c>
      <c r="AG3" s="10">
        <f t="shared" ref="AG3:AG11" si="3">P3/AB3</f>
        <v>4.6548956661316206E-2</v>
      </c>
    </row>
    <row r="4" spans="1:33" s="5" customFormat="1" x14ac:dyDescent="0.35">
      <c r="A4" s="5" t="s">
        <v>23</v>
      </c>
      <c r="B4" s="5" t="s">
        <v>22</v>
      </c>
      <c r="E4" s="5" t="s">
        <v>9</v>
      </c>
      <c r="F4" s="5" t="s">
        <v>34</v>
      </c>
      <c r="G4" s="5" t="s">
        <v>10</v>
      </c>
      <c r="H4" s="4">
        <v>41</v>
      </c>
      <c r="I4" s="4"/>
      <c r="J4" s="4"/>
      <c r="K4" s="4"/>
      <c r="L4" s="4"/>
      <c r="M4" s="5" t="s">
        <v>12</v>
      </c>
      <c r="N4" s="10"/>
      <c r="O4" s="10"/>
      <c r="P4" s="10">
        <v>-3.1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>
        <v>5.26</v>
      </c>
      <c r="AC4" s="10"/>
      <c r="AD4" s="10">
        <f t="shared" si="0"/>
        <v>0.82147398753406786</v>
      </c>
      <c r="AE4" s="10">
        <f t="shared" si="1"/>
        <v>-4.7100890155667727</v>
      </c>
      <c r="AF4" s="10">
        <f t="shared" si="2"/>
        <v>-1.489910984433227</v>
      </c>
      <c r="AG4" s="10">
        <f t="shared" si="3"/>
        <v>-0.58935361216730042</v>
      </c>
    </row>
    <row r="5" spans="1:33" s="5" customFormat="1" x14ac:dyDescent="0.35">
      <c r="A5" s="5" t="s">
        <v>24</v>
      </c>
      <c r="B5" s="5" t="s">
        <v>25</v>
      </c>
      <c r="E5" s="5" t="s">
        <v>9</v>
      </c>
      <c r="F5" s="5" t="s">
        <v>34</v>
      </c>
      <c r="G5" s="5" t="s">
        <v>10</v>
      </c>
      <c r="H5" s="4">
        <v>41</v>
      </c>
      <c r="I5" s="4"/>
      <c r="J5" s="4"/>
      <c r="K5" s="4"/>
      <c r="L5" s="4"/>
      <c r="M5" s="5" t="s">
        <v>12</v>
      </c>
      <c r="N5" s="10"/>
      <c r="O5" s="10"/>
      <c r="P5" s="10">
        <v>-2.98</v>
      </c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>
        <v>4.59</v>
      </c>
      <c r="AC5" s="10"/>
      <c r="AD5" s="10">
        <f t="shared" si="0"/>
        <v>0.71683756706870183</v>
      </c>
      <c r="AE5" s="10">
        <f t="shared" si="1"/>
        <v>-4.3850016314546556</v>
      </c>
      <c r="AF5" s="10">
        <f t="shared" si="2"/>
        <v>-1.5749983685453444</v>
      </c>
      <c r="AG5" s="10">
        <f t="shared" si="3"/>
        <v>-0.64923747276688459</v>
      </c>
    </row>
    <row r="6" spans="1:33" s="5" customFormat="1" x14ac:dyDescent="0.35">
      <c r="A6" s="5" t="s">
        <v>26</v>
      </c>
      <c r="B6" s="5" t="s">
        <v>27</v>
      </c>
      <c r="E6" s="5" t="s">
        <v>9</v>
      </c>
      <c r="F6" s="5" t="s">
        <v>34</v>
      </c>
      <c r="G6" s="5" t="s">
        <v>10</v>
      </c>
      <c r="H6" s="4">
        <v>41</v>
      </c>
      <c r="I6" s="4"/>
      <c r="J6" s="4"/>
      <c r="K6" s="4"/>
      <c r="L6" s="4"/>
      <c r="M6" s="5" t="s">
        <v>12</v>
      </c>
      <c r="N6" s="10"/>
      <c r="O6" s="10"/>
      <c r="P6" s="10">
        <v>-1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>
        <v>6.14</v>
      </c>
      <c r="AC6" s="10"/>
      <c r="AD6" s="10">
        <f t="shared" si="0"/>
        <v>0.95890689799604123</v>
      </c>
      <c r="AE6" s="10">
        <f t="shared" si="1"/>
        <v>-2.8794575200722408</v>
      </c>
      <c r="AF6" s="10">
        <f t="shared" si="2"/>
        <v>0.87945752007224076</v>
      </c>
      <c r="AG6" s="10">
        <f t="shared" si="3"/>
        <v>-0.16286644951140067</v>
      </c>
    </row>
    <row r="7" spans="1:33" s="5" customFormat="1" x14ac:dyDescent="0.35">
      <c r="A7" s="5" t="s">
        <v>31</v>
      </c>
      <c r="B7" s="5" t="s">
        <v>30</v>
      </c>
      <c r="E7" s="5" t="s">
        <v>9</v>
      </c>
      <c r="F7" s="5" t="s">
        <v>34</v>
      </c>
      <c r="G7" s="5" t="s">
        <v>10</v>
      </c>
      <c r="H7" s="4">
        <v>41</v>
      </c>
      <c r="I7" s="4"/>
      <c r="J7" s="4"/>
      <c r="K7" s="4"/>
      <c r="L7" s="4"/>
      <c r="M7" s="5" t="s">
        <v>12</v>
      </c>
      <c r="N7" s="10"/>
      <c r="O7" s="10"/>
      <c r="P7" s="10">
        <v>-2.5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>
        <v>5.6</v>
      </c>
      <c r="AC7" s="10"/>
      <c r="AD7" s="10">
        <f t="shared" si="0"/>
        <v>0.87457306657619394</v>
      </c>
      <c r="AE7" s="10">
        <f t="shared" si="1"/>
        <v>-4.2141632104893398</v>
      </c>
      <c r="AF7" s="10">
        <f t="shared" si="2"/>
        <v>-0.78583678951065994</v>
      </c>
      <c r="AG7" s="10">
        <f t="shared" si="3"/>
        <v>-0.44642857142857145</v>
      </c>
    </row>
    <row r="8" spans="1:33" s="5" customFormat="1" x14ac:dyDescent="0.35">
      <c r="A8" s="5" t="s">
        <v>32</v>
      </c>
      <c r="B8" s="5" t="s">
        <v>29</v>
      </c>
      <c r="E8" s="5" t="s">
        <v>9</v>
      </c>
      <c r="F8" s="5" t="s">
        <v>34</v>
      </c>
      <c r="G8" s="5" t="s">
        <v>10</v>
      </c>
      <c r="H8" s="4">
        <v>41</v>
      </c>
      <c r="I8" s="4"/>
      <c r="J8" s="4"/>
      <c r="K8" s="4"/>
      <c r="L8" s="4"/>
      <c r="M8" s="5" t="s">
        <v>12</v>
      </c>
      <c r="N8" s="10"/>
      <c r="O8" s="10"/>
      <c r="P8" s="10">
        <v>-3.32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>
        <v>5.45</v>
      </c>
      <c r="AC8" s="10"/>
      <c r="AD8" s="10">
        <f t="shared" si="0"/>
        <v>0.85114700229290308</v>
      </c>
      <c r="AE8" s="10">
        <f t="shared" si="1"/>
        <v>-4.9882481244940902</v>
      </c>
      <c r="AF8" s="10">
        <f t="shared" si="2"/>
        <v>-1.6517518755059097</v>
      </c>
      <c r="AG8" s="10">
        <f t="shared" si="3"/>
        <v>-0.60917431192660543</v>
      </c>
    </row>
    <row r="9" spans="1:33" s="5" customFormat="1" x14ac:dyDescent="0.35">
      <c r="A9" s="5" t="s">
        <v>33</v>
      </c>
      <c r="B9" s="5" t="s">
        <v>28</v>
      </c>
      <c r="E9" s="5" t="s">
        <v>9</v>
      </c>
      <c r="F9" s="5" t="s">
        <v>34</v>
      </c>
      <c r="G9" s="5" t="s">
        <v>10</v>
      </c>
      <c r="H9" s="4">
        <v>41</v>
      </c>
      <c r="I9" s="4"/>
      <c r="J9" s="4"/>
      <c r="K9" s="4"/>
      <c r="L9" s="4"/>
      <c r="M9" s="5" t="s">
        <v>12</v>
      </c>
      <c r="N9" s="10"/>
      <c r="O9" s="10"/>
      <c r="P9" s="10">
        <v>-4.2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>
        <v>4.51</v>
      </c>
      <c r="AC9" s="10"/>
      <c r="AD9" s="10">
        <f t="shared" si="0"/>
        <v>0.70434366611761334</v>
      </c>
      <c r="AE9" s="10">
        <f t="shared" si="1"/>
        <v>-5.5805135855905226</v>
      </c>
      <c r="AF9" s="10">
        <f t="shared" si="2"/>
        <v>-2.8194864144094778</v>
      </c>
      <c r="AG9" s="10">
        <f t="shared" si="3"/>
        <v>-0.93126385809312651</v>
      </c>
    </row>
    <row r="10" spans="1:33" s="5" customFormat="1" x14ac:dyDescent="0.35">
      <c r="E10" s="5" t="s">
        <v>39</v>
      </c>
      <c r="F10" s="5" t="s">
        <v>40</v>
      </c>
      <c r="G10" s="5" t="s">
        <v>41</v>
      </c>
      <c r="H10" s="4">
        <v>136</v>
      </c>
      <c r="I10" s="4"/>
      <c r="J10" s="4"/>
      <c r="K10" s="4"/>
      <c r="L10" s="4"/>
      <c r="M10" s="5" t="s">
        <v>12</v>
      </c>
      <c r="N10" s="10">
        <v>143.6</v>
      </c>
      <c r="O10" s="10">
        <v>138.69999999999999</v>
      </c>
      <c r="P10" s="10">
        <f>N10-O10</f>
        <v>4.9000000000000057</v>
      </c>
      <c r="Q10" s="10"/>
      <c r="R10" s="10"/>
      <c r="S10" s="10"/>
      <c r="T10" s="10"/>
      <c r="U10" s="10"/>
      <c r="V10" s="10"/>
      <c r="W10" s="10"/>
      <c r="X10" s="10"/>
      <c r="Y10" s="10"/>
      <c r="Z10" s="10">
        <v>16.899999999999999</v>
      </c>
      <c r="AA10" s="10">
        <v>15.1</v>
      </c>
      <c r="AB10" s="10">
        <f>SQRT(Z10^2 + AA10^2 - 2 * 0.5 *Z10 *AA10)</f>
        <v>16.075758146973968</v>
      </c>
      <c r="AC10" s="10"/>
      <c r="AD10" s="10">
        <f t="shared" si="0"/>
        <v>1.3784848886495975</v>
      </c>
      <c r="AE10" s="10">
        <f t="shared" si="1"/>
        <v>2.1981696182467947</v>
      </c>
      <c r="AF10" s="10">
        <f t="shared" si="2"/>
        <v>7.6018303817532171</v>
      </c>
      <c r="AG10" s="10">
        <f t="shared" si="3"/>
        <v>0.304806775220263</v>
      </c>
    </row>
    <row r="11" spans="1:33" s="5" customFormat="1" x14ac:dyDescent="0.35">
      <c r="E11" s="4" t="s">
        <v>96</v>
      </c>
      <c r="F11" s="4" t="s">
        <v>97</v>
      </c>
      <c r="G11" s="4" t="s">
        <v>93</v>
      </c>
      <c r="H11" s="4">
        <v>20</v>
      </c>
      <c r="I11" s="4"/>
      <c r="J11" s="4"/>
      <c r="K11" s="4"/>
      <c r="L11" s="4"/>
      <c r="M11" s="4" t="s">
        <v>98</v>
      </c>
      <c r="N11" s="10">
        <v>10.45</v>
      </c>
      <c r="O11" s="10">
        <v>1.95</v>
      </c>
      <c r="P11" s="10">
        <f>O11-N11</f>
        <v>-8.5</v>
      </c>
      <c r="Q11" s="10"/>
      <c r="R11" s="10"/>
      <c r="S11" s="10"/>
      <c r="T11" s="10"/>
      <c r="U11" s="10"/>
      <c r="V11" s="10"/>
      <c r="W11" s="10"/>
      <c r="X11" s="10"/>
      <c r="Y11" s="10"/>
      <c r="Z11" s="10">
        <v>5.32</v>
      </c>
      <c r="AA11" s="10">
        <v>4.26</v>
      </c>
      <c r="AB11" s="10">
        <f>SQRT((Z11^2+AA11^2)/2)</f>
        <v>4.8192323040085965</v>
      </c>
      <c r="AC11" s="10"/>
      <c r="AD11" s="10">
        <f t="shared" si="0"/>
        <v>1.0776131031126153</v>
      </c>
      <c r="AE11" s="10">
        <f t="shared" si="1"/>
        <v>-10.612121682100726</v>
      </c>
      <c r="AF11" s="10">
        <f t="shared" si="2"/>
        <v>-6.3878783178992737</v>
      </c>
      <c r="AG11" s="10">
        <f t="shared" si="3"/>
        <v>-1.7637663975919509</v>
      </c>
    </row>
    <row r="12" spans="1:33" s="5" customFormat="1" x14ac:dyDescent="0.35">
      <c r="A12" s="5" t="s">
        <v>45</v>
      </c>
      <c r="B12" s="5" t="s">
        <v>46</v>
      </c>
      <c r="E12" s="4" t="s">
        <v>43</v>
      </c>
      <c r="F12" s="5" t="s">
        <v>44</v>
      </c>
      <c r="G12" s="5" t="s">
        <v>55</v>
      </c>
      <c r="H12" s="4">
        <v>173</v>
      </c>
      <c r="I12" s="4"/>
      <c r="J12" s="4"/>
      <c r="K12" s="4"/>
      <c r="L12" s="4"/>
      <c r="M12" s="5" t="s">
        <v>42</v>
      </c>
      <c r="N12" s="10"/>
      <c r="O12" s="10"/>
      <c r="P12" s="10"/>
      <c r="Q12" s="10">
        <v>-10.997</v>
      </c>
      <c r="R12" s="10"/>
      <c r="S12" s="10"/>
      <c r="T12" s="10"/>
      <c r="U12" s="10"/>
      <c r="V12" s="10"/>
      <c r="W12" s="10">
        <f>Q12/AD12</f>
        <v>-2.7911167512690356</v>
      </c>
      <c r="X12" s="10">
        <f>H12-2</f>
        <v>171</v>
      </c>
      <c r="Y12" s="10">
        <f>(2*W12)/SQRT(X12)</f>
        <v>-0.42688406520720268</v>
      </c>
      <c r="Z12" s="10"/>
      <c r="AA12" s="10"/>
      <c r="AB12" s="10"/>
      <c r="AC12" s="10"/>
      <c r="AD12" s="10">
        <v>3.94</v>
      </c>
      <c r="AE12" s="10">
        <f>Q12-(1.96 * AD12)</f>
        <v>-18.7194</v>
      </c>
      <c r="AF12" s="10">
        <f>W12+(1.96 * AE12)</f>
        <v>-39.481140751269038</v>
      </c>
      <c r="AG12" s="10">
        <f>Y12</f>
        <v>-0.42688406520720268</v>
      </c>
    </row>
    <row r="13" spans="1:33" s="5" customFormat="1" x14ac:dyDescent="0.35">
      <c r="B13" s="5" t="s">
        <v>95</v>
      </c>
      <c r="E13" s="4" t="s">
        <v>0</v>
      </c>
      <c r="F13" s="4" t="s">
        <v>1</v>
      </c>
      <c r="G13" s="4" t="s">
        <v>93</v>
      </c>
      <c r="H13" s="4">
        <v>15</v>
      </c>
      <c r="I13" s="4"/>
      <c r="J13" s="4"/>
      <c r="K13" s="4"/>
      <c r="L13" s="4"/>
      <c r="M13" s="5" t="s">
        <v>42</v>
      </c>
      <c r="N13" s="10">
        <v>13.13</v>
      </c>
      <c r="O13" s="10">
        <v>11.27</v>
      </c>
      <c r="P13" s="10">
        <f>O13-N13</f>
        <v>-1.8600000000000012</v>
      </c>
      <c r="Q13" s="10"/>
      <c r="R13" s="10"/>
      <c r="S13" s="10"/>
      <c r="T13" s="10"/>
      <c r="U13" s="10"/>
      <c r="V13" s="10"/>
      <c r="W13" s="10"/>
      <c r="X13" s="10"/>
      <c r="Y13" s="10"/>
      <c r="Z13" s="10">
        <v>3.96</v>
      </c>
      <c r="AA13" s="10">
        <v>4.41</v>
      </c>
      <c r="AB13" s="10">
        <f>SQRT((Z13^2+AA13^2)/2)</f>
        <v>4.1910440226750181</v>
      </c>
      <c r="AC13" s="10"/>
      <c r="AD13" s="10">
        <f>AB13/SQRT(H13)</f>
        <v>1.0821229135361656</v>
      </c>
      <c r="AE13" s="10">
        <f>P13-(1.96*AD13)</f>
        <v>-3.9809609105308859</v>
      </c>
      <c r="AF13" s="10">
        <f>P13+(1.96*AD13)</f>
        <v>0.26096091053088344</v>
      </c>
      <c r="AG13" s="10">
        <f>P13/AB13</f>
        <v>-0.44380349858812002</v>
      </c>
    </row>
    <row r="14" spans="1:33" s="5" customFormat="1" x14ac:dyDescent="0.35">
      <c r="B14" s="5" t="s">
        <v>94</v>
      </c>
      <c r="E14" s="4" t="s">
        <v>0</v>
      </c>
      <c r="F14" s="4" t="s">
        <v>1</v>
      </c>
      <c r="G14" s="4" t="s">
        <v>93</v>
      </c>
      <c r="H14" s="4">
        <v>15</v>
      </c>
      <c r="I14" s="4"/>
      <c r="J14" s="4"/>
      <c r="K14" s="4"/>
      <c r="L14" s="4"/>
      <c r="M14" s="5" t="s">
        <v>42</v>
      </c>
      <c r="N14" s="10">
        <v>12.13</v>
      </c>
      <c r="O14" s="10">
        <v>7.67</v>
      </c>
      <c r="P14" s="10">
        <f>O14-N14</f>
        <v>-4.4600000000000009</v>
      </c>
      <c r="Q14" s="10"/>
      <c r="R14" s="10"/>
      <c r="S14" s="10"/>
      <c r="T14" s="10"/>
      <c r="U14" s="10"/>
      <c r="V14" s="10"/>
      <c r="W14" s="10"/>
      <c r="X14" s="10"/>
      <c r="Y14" s="10"/>
      <c r="Z14" s="10">
        <v>5.1100000000000003</v>
      </c>
      <c r="AA14" s="10">
        <v>3.48</v>
      </c>
      <c r="AB14" s="10">
        <f>SQRT((Z14^2+AA14^2)/2)</f>
        <v>4.3716415681068828</v>
      </c>
      <c r="AC14" s="10"/>
      <c r="AD14" s="10">
        <f>AB14/SQRT(H14)</f>
        <v>1.1287529992577356</v>
      </c>
      <c r="AE14" s="10">
        <f>P14-(1.96*AD14)</f>
        <v>-6.6723558785451633</v>
      </c>
      <c r="AF14" s="10">
        <f>P14+(1.96*AD14)</f>
        <v>-2.2476441214548388</v>
      </c>
      <c r="AG14" s="10">
        <f>P14/AB14</f>
        <v>-1.0202117283671501</v>
      </c>
    </row>
    <row r="15" spans="1:33" s="5" customFormat="1" x14ac:dyDescent="0.35">
      <c r="A15" s="5" t="s">
        <v>57</v>
      </c>
      <c r="B15" s="5" t="s">
        <v>53</v>
      </c>
      <c r="C15" s="5" t="s">
        <v>65</v>
      </c>
      <c r="D15" s="5" t="s">
        <v>66</v>
      </c>
      <c r="E15" s="5" t="s">
        <v>52</v>
      </c>
      <c r="F15" s="5" t="s">
        <v>54</v>
      </c>
      <c r="G15" s="5" t="s">
        <v>55</v>
      </c>
      <c r="I15" s="5">
        <v>99</v>
      </c>
      <c r="J15" s="5">
        <v>106</v>
      </c>
      <c r="M15" s="5" t="s">
        <v>56</v>
      </c>
      <c r="N15" s="10"/>
      <c r="O15" s="10"/>
      <c r="P15" s="10"/>
      <c r="Q15" s="10"/>
      <c r="R15" s="10">
        <v>13.2</v>
      </c>
      <c r="S15" s="10">
        <v>14</v>
      </c>
      <c r="T15" s="10"/>
      <c r="U15" s="10">
        <v>6.8</v>
      </c>
      <c r="V15" s="10">
        <v>5.2</v>
      </c>
      <c r="W15" s="10"/>
      <c r="X15" s="10"/>
      <c r="Y15" s="10"/>
      <c r="Z15" s="10">
        <v>1.9</v>
      </c>
      <c r="AA15" s="10"/>
      <c r="AB15" s="10"/>
      <c r="AC15" s="10">
        <f>SQRT(((I15-1)*U15^2+(J15-1)*V15^2)/(I15+J15-2))</f>
        <v>6.0256921193537076</v>
      </c>
      <c r="AD15" s="10">
        <f>SQRT((U15^2/I15)+(V15^2/J15))</f>
        <v>0.84980294580175975</v>
      </c>
      <c r="AE15" s="10">
        <f>(R15-S15)-(1.96 * AD15)</f>
        <v>-2.4656137737714499</v>
      </c>
      <c r="AF15" s="10">
        <f>(R15-S15)+(1.96 * AD15)</f>
        <v>0.86561377377144844</v>
      </c>
      <c r="AG15" s="10">
        <f>(R15-S15)/AC15</f>
        <v>-0.13276483168307074</v>
      </c>
    </row>
    <row r="16" spans="1:33" s="5" customFormat="1" x14ac:dyDescent="0.35">
      <c r="C16" s="5" t="s">
        <v>71</v>
      </c>
      <c r="D16" s="5" t="s">
        <v>72</v>
      </c>
      <c r="E16" s="4" t="s">
        <v>68</v>
      </c>
      <c r="F16" s="4" t="s">
        <v>69</v>
      </c>
      <c r="G16" s="4" t="s">
        <v>70</v>
      </c>
      <c r="H16" s="5">
        <v>25</v>
      </c>
      <c r="M16" s="5" t="s">
        <v>73</v>
      </c>
      <c r="N16" s="10">
        <v>26.24</v>
      </c>
      <c r="O16" s="10">
        <v>23.48</v>
      </c>
      <c r="P16" s="10">
        <f>O16-N16</f>
        <v>-2.759999999999998</v>
      </c>
      <c r="Q16" s="10"/>
      <c r="R16" s="10"/>
      <c r="S16" s="10"/>
      <c r="T16" s="10"/>
      <c r="U16" s="10"/>
      <c r="V16" s="10"/>
      <c r="W16" s="10"/>
      <c r="X16" s="10"/>
      <c r="Y16" s="10"/>
      <c r="Z16" s="10">
        <v>5.22</v>
      </c>
      <c r="AA16" s="10">
        <v>4.6399999999999997</v>
      </c>
      <c r="AB16" s="10"/>
      <c r="AC16" s="10">
        <f>SQRT((Z16^2 + AA16^2)/2)</f>
        <v>4.9385220461186563</v>
      </c>
      <c r="AD16" s="10">
        <f>AC16/SQRT(H16)</f>
        <v>0.98770440922373126</v>
      </c>
      <c r="AE16" s="10">
        <f>P16-(1.96*AD16)</f>
        <v>-4.6959006420785112</v>
      </c>
      <c r="AF16" s="10">
        <f>P16+(1.96*AD16)</f>
        <v>-0.82409935792148481</v>
      </c>
      <c r="AG16" s="10">
        <f>P16/AC16</f>
        <v>-0.55887165719330356</v>
      </c>
    </row>
    <row r="17" spans="3:33" s="5" customFormat="1" x14ac:dyDescent="0.35">
      <c r="E17" s="4" t="s">
        <v>74</v>
      </c>
      <c r="F17" s="5" t="s">
        <v>75</v>
      </c>
      <c r="G17" s="5" t="s">
        <v>76</v>
      </c>
      <c r="H17" s="5">
        <v>37</v>
      </c>
      <c r="M17" s="4" t="s">
        <v>73</v>
      </c>
      <c r="N17" s="10">
        <v>2.7</v>
      </c>
      <c r="O17" s="10">
        <v>2.5499999999999998</v>
      </c>
      <c r="P17" s="10">
        <f>O17-N17</f>
        <v>-0.15000000000000036</v>
      </c>
      <c r="Q17" s="10"/>
      <c r="R17" s="10"/>
      <c r="S17" s="10"/>
      <c r="T17" s="10"/>
      <c r="U17" s="10"/>
      <c r="V17" s="10"/>
      <c r="W17" s="10"/>
      <c r="X17" s="10"/>
      <c r="Y17" s="10"/>
      <c r="Z17" s="10">
        <v>0.61</v>
      </c>
      <c r="AA17" s="10">
        <v>0.48</v>
      </c>
      <c r="AB17" s="10">
        <v>0.44</v>
      </c>
      <c r="AC17" s="10">
        <f>SQRT((Z17^2 + AA17^2)/2)</f>
        <v>0.54886246000250372</v>
      </c>
      <c r="AD17" s="10">
        <f>AB17/SQRT(H17)</f>
        <v>7.2335554414357212E-2</v>
      </c>
      <c r="AE17" s="10">
        <f>P17-(1.96*AD17)</f>
        <v>-0.29177768665214049</v>
      </c>
      <c r="AF17" s="10">
        <f>P17+(1.96*AD17)</f>
        <v>-8.2223133478602217E-3</v>
      </c>
      <c r="AG17" s="10">
        <f>P17/AC17</f>
        <v>-0.27329251120456682</v>
      </c>
    </row>
    <row r="18" spans="3:33" s="5" customFormat="1" x14ac:dyDescent="0.35">
      <c r="E18" s="4" t="s">
        <v>77</v>
      </c>
      <c r="F18" s="4" t="s">
        <v>78</v>
      </c>
      <c r="G18" s="4" t="s">
        <v>79</v>
      </c>
      <c r="K18" s="5">
        <v>419</v>
      </c>
      <c r="L18" s="5">
        <v>262</v>
      </c>
      <c r="M18" s="4" t="s">
        <v>82</v>
      </c>
      <c r="N18" s="10">
        <v>17</v>
      </c>
      <c r="O18" s="10">
        <v>16</v>
      </c>
      <c r="P18" s="10">
        <f>O18-N18</f>
        <v>-1</v>
      </c>
      <c r="Q18" s="10"/>
      <c r="R18" s="10"/>
      <c r="S18" s="10"/>
      <c r="T18" s="10"/>
      <c r="U18" s="10"/>
      <c r="V18" s="10"/>
      <c r="W18" s="10"/>
      <c r="X18" s="10"/>
      <c r="Y18" s="10"/>
      <c r="Z18" s="10">
        <v>7.7</v>
      </c>
      <c r="AA18" s="10">
        <v>7.5</v>
      </c>
      <c r="AB18" s="10">
        <f>SQRT((Z18^2 + AA18^2)/2)</f>
        <v>7.6006578662639459</v>
      </c>
      <c r="AC18" s="10">
        <f>SQRT((Z18^2 + AA18^2)/2)</f>
        <v>7.6006578662639459</v>
      </c>
      <c r="AD18" s="10">
        <f>AB18/SQRT(L18)</f>
        <v>0.46957021115708225</v>
      </c>
      <c r="AE18" s="10">
        <f>P18-(1.96*AD18)</f>
        <v>-1.9203576138678811</v>
      </c>
      <c r="AF18" s="10">
        <f>P18+(1.96*AD18)</f>
        <v>-7.9642386132118825E-2</v>
      </c>
      <c r="AG18" s="10">
        <f>P18/AC18</f>
        <v>-0.13156755870285522</v>
      </c>
    </row>
    <row r="19" spans="3:33" s="5" customFormat="1" x14ac:dyDescent="0.35">
      <c r="E19" s="4" t="s">
        <v>77</v>
      </c>
      <c r="F19" s="4" t="s">
        <v>78</v>
      </c>
      <c r="G19" s="4" t="s">
        <v>83</v>
      </c>
      <c r="K19" s="5">
        <v>419</v>
      </c>
      <c r="L19" s="5">
        <v>155</v>
      </c>
      <c r="M19" s="4" t="s">
        <v>82</v>
      </c>
      <c r="N19" s="10">
        <v>17</v>
      </c>
      <c r="O19" s="10">
        <v>16</v>
      </c>
      <c r="P19" s="10">
        <f>O19-N19</f>
        <v>-1</v>
      </c>
      <c r="Q19" s="10"/>
      <c r="R19" s="10"/>
      <c r="S19" s="10"/>
      <c r="T19" s="10"/>
      <c r="U19" s="10"/>
      <c r="V19" s="10"/>
      <c r="W19" s="10"/>
      <c r="X19" s="10"/>
      <c r="Y19" s="10"/>
      <c r="Z19" s="10">
        <v>7.7</v>
      </c>
      <c r="AA19" s="10">
        <v>8.8000000000000007</v>
      </c>
      <c r="AB19" s="10">
        <f>SQRT((Z19^2 + AA19^2)/2)</f>
        <v>8.2683130081050997</v>
      </c>
      <c r="AC19" s="10">
        <f>SQRT((Z19^2 + AA19^2)/2)</f>
        <v>8.2683130081050997</v>
      </c>
      <c r="AD19" s="10">
        <f>AB19/SQRT(L19)</f>
        <v>0.664126882552598</v>
      </c>
      <c r="AE19" s="10">
        <f>P19-(1.96*AD19)</f>
        <v>-2.3016886898030924</v>
      </c>
      <c r="AF19" s="10">
        <f>P19+(1.96*AD19)</f>
        <v>0.30168868980309216</v>
      </c>
      <c r="AG19" s="10">
        <f>P19/AC19</f>
        <v>-0.12094365549777078</v>
      </c>
    </row>
    <row r="20" spans="3:33" s="5" customFormat="1" x14ac:dyDescent="0.35">
      <c r="C20" s="5" t="s">
        <v>87</v>
      </c>
      <c r="D20" s="5" t="s">
        <v>88</v>
      </c>
      <c r="E20" s="5" t="s">
        <v>84</v>
      </c>
      <c r="F20" s="4" t="s">
        <v>85</v>
      </c>
      <c r="G20" s="4" t="s">
        <v>86</v>
      </c>
      <c r="I20" s="5">
        <v>25</v>
      </c>
      <c r="J20" s="5">
        <v>25</v>
      </c>
      <c r="M20" s="4" t="s">
        <v>82</v>
      </c>
      <c r="N20" s="10"/>
      <c r="O20" s="10"/>
      <c r="P20" s="10"/>
      <c r="Q20" s="10"/>
      <c r="R20" s="10">
        <v>13.16</v>
      </c>
      <c r="S20" s="10">
        <v>12.84</v>
      </c>
      <c r="T20" s="10">
        <f>R20-S20</f>
        <v>0.32000000000000028</v>
      </c>
      <c r="U20" s="10">
        <v>5.16</v>
      </c>
      <c r="V20" s="10">
        <v>5.39</v>
      </c>
      <c r="W20" s="10"/>
      <c r="X20" s="10"/>
      <c r="Y20" s="10"/>
      <c r="Z20" s="10"/>
      <c r="AA20" s="10"/>
      <c r="AB20" s="10"/>
      <c r="AC20" s="10">
        <f>SQRT(((I20-1)*U20^2+(J20-1)*V20^2)/(I20+J20-2))</f>
        <v>5.2762534055899932</v>
      </c>
      <c r="AD20" s="10">
        <f>SQRT((U20^2/I20)+(V20^2/J20))</f>
        <v>1.4923498249405198</v>
      </c>
      <c r="AE20" s="10">
        <f>(R20-S20) - (1.96*AD20)</f>
        <v>-2.6050056568834186</v>
      </c>
      <c r="AF20" s="10">
        <f>(R20-S20) + (1.96*AD20)</f>
        <v>3.2450056568834191</v>
      </c>
      <c r="AG20" s="10">
        <f>(R20-S20)/AC20</f>
        <v>6.0649096129646134E-2</v>
      </c>
    </row>
    <row r="21" spans="3:33" s="5" customFormat="1" x14ac:dyDescent="0.35">
      <c r="C21" s="5" t="s">
        <v>90</v>
      </c>
      <c r="D21" s="5" t="s">
        <v>88</v>
      </c>
      <c r="E21" s="5" t="s">
        <v>84</v>
      </c>
      <c r="F21" s="4" t="s">
        <v>85</v>
      </c>
      <c r="G21" s="4" t="s">
        <v>86</v>
      </c>
      <c r="I21" s="5">
        <v>25</v>
      </c>
      <c r="J21" s="5">
        <v>25</v>
      </c>
      <c r="M21" s="4" t="s">
        <v>82</v>
      </c>
      <c r="N21" s="10"/>
      <c r="O21" s="10"/>
      <c r="P21" s="10"/>
      <c r="Q21" s="10"/>
      <c r="R21" s="10">
        <v>13.48</v>
      </c>
      <c r="S21" s="10">
        <v>12.84</v>
      </c>
      <c r="T21" s="10">
        <f t="shared" ref="T21:T23" si="4">R21-S21</f>
        <v>0.64000000000000057</v>
      </c>
      <c r="U21" s="10">
        <v>4.0999999999999996</v>
      </c>
      <c r="V21" s="10">
        <v>5.39</v>
      </c>
      <c r="W21" s="10"/>
      <c r="X21" s="10"/>
      <c r="Y21" s="10"/>
      <c r="Z21" s="10"/>
      <c r="AA21" s="10"/>
      <c r="AB21" s="10"/>
      <c r="AC21" s="10">
        <f t="shared" ref="AC21:AC23" si="5">SQRT(((I21-1)*U21^2+(J21-1)*V21^2)/(I21+J21-2))</f>
        <v>4.7886375933035481</v>
      </c>
      <c r="AD21" s="10">
        <f t="shared" ref="AD21:AD23" si="6">SQRT((U21^2/I21)+(V21^2/J21))</f>
        <v>1.3544312459479071</v>
      </c>
      <c r="AE21" s="10">
        <f t="shared" ref="AE21:AE23" si="7">(R21-S21) - (1.96*AD21)</f>
        <v>-2.0146852420578973</v>
      </c>
      <c r="AF21" s="10">
        <f t="shared" ref="AF21:AF23" si="8">(R21-S21) + (1.96*AD21)</f>
        <v>3.2946852420578985</v>
      </c>
      <c r="AG21" s="10">
        <f t="shared" ref="AG21:AG23" si="9">(R21-S21)/AC21</f>
        <v>0.13364970464563436</v>
      </c>
    </row>
    <row r="22" spans="3:33" s="5" customFormat="1" x14ac:dyDescent="0.35">
      <c r="C22" s="5" t="s">
        <v>91</v>
      </c>
      <c r="D22" s="5" t="s">
        <v>88</v>
      </c>
      <c r="E22" s="5" t="s">
        <v>84</v>
      </c>
      <c r="F22" s="4" t="s">
        <v>85</v>
      </c>
      <c r="G22" s="4" t="s">
        <v>86</v>
      </c>
      <c r="I22" s="5">
        <v>25</v>
      </c>
      <c r="J22" s="5">
        <v>25</v>
      </c>
      <c r="M22" s="4" t="s">
        <v>82</v>
      </c>
      <c r="N22" s="10"/>
      <c r="O22" s="10"/>
      <c r="P22" s="10"/>
      <c r="Q22" s="10"/>
      <c r="R22" s="10">
        <v>14.28</v>
      </c>
      <c r="S22" s="10">
        <v>12.84</v>
      </c>
      <c r="T22" s="10">
        <f t="shared" si="4"/>
        <v>1.4399999999999995</v>
      </c>
      <c r="U22" s="10">
        <v>4.97</v>
      </c>
      <c r="V22" s="10">
        <v>5.39</v>
      </c>
      <c r="W22" s="10"/>
      <c r="X22" s="10"/>
      <c r="Y22" s="10"/>
      <c r="Z22" s="10"/>
      <c r="AA22" s="10"/>
      <c r="AB22" s="10"/>
      <c r="AC22" s="10">
        <f t="shared" si="5"/>
        <v>5.1842550091599469</v>
      </c>
      <c r="AD22" s="10">
        <f t="shared" si="6"/>
        <v>1.46632874895093</v>
      </c>
      <c r="AE22" s="10">
        <f t="shared" si="7"/>
        <v>-1.4340043479438234</v>
      </c>
      <c r="AF22" s="10">
        <f t="shared" si="8"/>
        <v>4.3140043479438219</v>
      </c>
      <c r="AG22" s="10">
        <f t="shared" si="9"/>
        <v>0.27776411412164237</v>
      </c>
    </row>
    <row r="23" spans="3:33" s="5" customFormat="1" x14ac:dyDescent="0.35">
      <c r="C23" s="5" t="s">
        <v>92</v>
      </c>
      <c r="D23" s="5" t="s">
        <v>88</v>
      </c>
      <c r="E23" s="5" t="s">
        <v>84</v>
      </c>
      <c r="F23" s="4" t="s">
        <v>85</v>
      </c>
      <c r="G23" s="4" t="s">
        <v>86</v>
      </c>
      <c r="I23" s="5">
        <v>25</v>
      </c>
      <c r="J23" s="5">
        <v>25</v>
      </c>
      <c r="M23" s="4" t="s">
        <v>82</v>
      </c>
      <c r="N23" s="10"/>
      <c r="O23" s="10"/>
      <c r="P23" s="10"/>
      <c r="Q23" s="10"/>
      <c r="R23" s="10">
        <v>13.96</v>
      </c>
      <c r="S23" s="10">
        <v>12.84</v>
      </c>
      <c r="T23" s="10">
        <f t="shared" si="4"/>
        <v>1.120000000000001</v>
      </c>
      <c r="U23" s="10">
        <v>5.57</v>
      </c>
      <c r="V23" s="10">
        <v>5.39</v>
      </c>
      <c r="W23" s="10"/>
      <c r="X23" s="10"/>
      <c r="Y23" s="10"/>
      <c r="Z23" s="10"/>
      <c r="AA23" s="10"/>
      <c r="AB23" s="10"/>
      <c r="AC23" s="10">
        <f t="shared" si="5"/>
        <v>5.4807390012661612</v>
      </c>
      <c r="AD23" s="10">
        <f t="shared" si="6"/>
        <v>1.5501870854835555</v>
      </c>
      <c r="AE23" s="10">
        <f t="shared" si="7"/>
        <v>-1.9183666875477678</v>
      </c>
      <c r="AF23" s="10">
        <f t="shared" si="8"/>
        <v>4.1583666875477698</v>
      </c>
      <c r="AG23" s="10">
        <f t="shared" si="9"/>
        <v>0.20435200430840775</v>
      </c>
    </row>
    <row r="24" spans="3:33" s="5" customFormat="1" x14ac:dyDescent="0.35">
      <c r="E24" s="4" t="s">
        <v>99</v>
      </c>
      <c r="F24" s="4" t="s">
        <v>100</v>
      </c>
      <c r="G24" s="4" t="s">
        <v>101</v>
      </c>
      <c r="H24" s="5">
        <v>15</v>
      </c>
      <c r="M24" s="4" t="s">
        <v>102</v>
      </c>
      <c r="N24" s="10">
        <v>13.63</v>
      </c>
      <c r="O24" s="10">
        <v>5.38</v>
      </c>
      <c r="P24" s="10">
        <f>O24-N24</f>
        <v>-8.25</v>
      </c>
      <c r="Q24" s="10"/>
      <c r="R24" s="10"/>
      <c r="S24" s="10"/>
      <c r="T24" s="10"/>
      <c r="U24" s="10"/>
      <c r="V24" s="10"/>
      <c r="W24" s="10"/>
      <c r="X24" s="10"/>
      <c r="Y24" s="10"/>
      <c r="Z24" s="10">
        <v>8.2799999999999994</v>
      </c>
      <c r="AA24" s="10">
        <v>4.8600000000000003</v>
      </c>
      <c r="AB24" s="10">
        <f>SQRT((Z24^2 + AA24^2)/2)</f>
        <v>6.7888879796325998</v>
      </c>
      <c r="AC24" s="10"/>
      <c r="AD24" s="10">
        <f>AB24/SQRT(H24)</f>
        <v>1.7528833389589851</v>
      </c>
      <c r="AE24" s="10">
        <f>P24-(1.96*AD24)</f>
        <v>-11.685651344359611</v>
      </c>
      <c r="AF24" s="10">
        <f>P24+(1.96*AD24)</f>
        <v>-4.8143486556403889</v>
      </c>
      <c r="AG24" s="10">
        <f>P24/AB24</f>
        <v>-1.2152211120217176</v>
      </c>
    </row>
    <row r="25" spans="3:33" s="5" customFormat="1" x14ac:dyDescent="0.35">
      <c r="E25" s="4" t="s">
        <v>103</v>
      </c>
      <c r="F25" s="4" t="s">
        <v>104</v>
      </c>
      <c r="G25" s="4" t="s">
        <v>101</v>
      </c>
      <c r="H25" s="5">
        <v>29</v>
      </c>
      <c r="M25" s="4" t="s">
        <v>105</v>
      </c>
      <c r="N25" s="10">
        <v>21.97</v>
      </c>
      <c r="O25" s="10">
        <v>15.38</v>
      </c>
      <c r="P25" s="10">
        <f>O25-N25</f>
        <v>-6.5899999999999981</v>
      </c>
      <c r="Q25" s="10"/>
      <c r="R25" s="10"/>
      <c r="S25" s="10"/>
      <c r="T25" s="10"/>
      <c r="U25" s="10"/>
      <c r="V25" s="10"/>
      <c r="W25" s="10"/>
      <c r="X25" s="10"/>
      <c r="Y25" s="10"/>
      <c r="Z25" s="10">
        <v>15.94</v>
      </c>
      <c r="AA25" s="10">
        <v>16.010000000000002</v>
      </c>
      <c r="AB25" s="10">
        <f>SQRT((Z25^2 + AA25^2)/2)</f>
        <v>15.975038341112048</v>
      </c>
      <c r="AC25" s="10"/>
      <c r="AD25" s="10">
        <f>AB25/SQRT(H25)</f>
        <v>2.9664901471441718</v>
      </c>
      <c r="AE25" s="10">
        <f>P25-(1.96*AD25)</f>
        <v>-12.404320688402574</v>
      </c>
      <c r="AF25" s="10">
        <f>P25+(1.96*AD25)</f>
        <v>-0.77567931159742187</v>
      </c>
      <c r="AG25" s="10">
        <f>P25/AB25</f>
        <v>-0.41251857174204798</v>
      </c>
    </row>
    <row r="26" spans="3:33" s="5" customFormat="1" x14ac:dyDescent="0.35">
      <c r="E26" s="4" t="s">
        <v>106</v>
      </c>
      <c r="F26" s="4" t="s">
        <v>107</v>
      </c>
      <c r="G26" s="4" t="s">
        <v>101</v>
      </c>
      <c r="H26" s="5">
        <v>45</v>
      </c>
      <c r="M26" s="4" t="s">
        <v>108</v>
      </c>
      <c r="N26" s="10">
        <v>3.09</v>
      </c>
      <c r="O26" s="10">
        <v>1.65</v>
      </c>
      <c r="P26" s="10">
        <f>O26-N26</f>
        <v>-1.44</v>
      </c>
      <c r="Q26" s="10"/>
      <c r="R26" s="10"/>
      <c r="S26" s="10"/>
      <c r="T26" s="10"/>
      <c r="U26" s="10"/>
      <c r="V26" s="10"/>
      <c r="W26" s="10"/>
      <c r="X26" s="10"/>
      <c r="Y26" s="10"/>
      <c r="Z26" s="10">
        <v>0.15</v>
      </c>
      <c r="AA26" s="10">
        <v>0.09</v>
      </c>
      <c r="AB26" s="10">
        <f>SQRT((Z26^2 + AA26^2)/2)</f>
        <v>0.12369316876852982</v>
      </c>
      <c r="AC26" s="10"/>
      <c r="AD26" s="10">
        <f>AB26/SQRT(H26)</f>
        <v>1.8439088914585774E-2</v>
      </c>
      <c r="AE26" s="10">
        <f>P26-(1.96*AD26)</f>
        <v>-1.4761406142725881</v>
      </c>
      <c r="AF26" s="10">
        <f>P26+(1.96*AD26)</f>
        <v>-1.4038593857274118</v>
      </c>
      <c r="AG26" s="10">
        <f>P26/AB26</f>
        <v>-11.641710001743983</v>
      </c>
    </row>
    <row r="27" spans="3:33" s="5" customFormat="1" x14ac:dyDescent="0.35">
      <c r="E27" s="4" t="s">
        <v>99</v>
      </c>
      <c r="F27" s="4" t="s">
        <v>100</v>
      </c>
      <c r="G27" s="4" t="s">
        <v>101</v>
      </c>
      <c r="H27" s="5">
        <v>15</v>
      </c>
      <c r="M27" s="4" t="s">
        <v>109</v>
      </c>
      <c r="N27" s="10">
        <v>49.6</v>
      </c>
      <c r="O27" s="10">
        <v>77.94</v>
      </c>
      <c r="P27" s="10">
        <f>O27-N27</f>
        <v>28.339999999999996</v>
      </c>
      <c r="Q27" s="10"/>
      <c r="R27" s="10"/>
      <c r="S27" s="10"/>
      <c r="T27" s="10"/>
      <c r="U27" s="10"/>
      <c r="V27" s="10"/>
      <c r="W27" s="10"/>
      <c r="X27" s="10"/>
      <c r="Y27" s="10"/>
      <c r="Z27" s="10">
        <v>24.62</v>
      </c>
      <c r="AA27" s="10">
        <v>23.98</v>
      </c>
      <c r="AB27" s="10">
        <f>SQRT((Z27^2 + AA27^2)/2)</f>
        <v>24.302106904546363</v>
      </c>
      <c r="AC27" s="10"/>
      <c r="AD27" s="10">
        <f>AB27/SQRT(H27)</f>
        <v>6.2747770212706895</v>
      </c>
      <c r="AE27" s="10">
        <f>P27-(1.96*AD27)</f>
        <v>16.041437038309446</v>
      </c>
      <c r="AF27" s="10">
        <f>P27+(1.96*AD27)</f>
        <v>40.638562961690546</v>
      </c>
      <c r="AG27" s="10">
        <f>P27/AB27</f>
        <v>1.1661540339409104</v>
      </c>
    </row>
    <row r="28" spans="3:33" s="5" customFormat="1" x14ac:dyDescent="0.35">
      <c r="C28" s="5" t="s">
        <v>114</v>
      </c>
      <c r="D28" s="5" t="s">
        <v>115</v>
      </c>
      <c r="E28" s="4" t="s">
        <v>110</v>
      </c>
      <c r="F28" s="4" t="s">
        <v>111</v>
      </c>
      <c r="G28" s="4" t="s">
        <v>113</v>
      </c>
      <c r="I28" s="5">
        <v>18</v>
      </c>
      <c r="J28" s="5">
        <v>18</v>
      </c>
      <c r="M28" s="4" t="s">
        <v>112</v>
      </c>
      <c r="N28" s="10"/>
      <c r="O28" s="10"/>
      <c r="P28" s="10"/>
      <c r="Q28" s="10"/>
      <c r="R28" s="10">
        <v>36.39</v>
      </c>
      <c r="S28" s="10">
        <v>37.979999999999997</v>
      </c>
      <c r="T28" s="10">
        <f t="shared" ref="T28:T30" si="10">R28-S28</f>
        <v>-1.5899999999999963</v>
      </c>
      <c r="U28" s="10">
        <v>3.68</v>
      </c>
      <c r="V28" s="10">
        <v>4.8099999999999996</v>
      </c>
      <c r="W28" s="10"/>
      <c r="X28" s="10"/>
      <c r="Y28" s="10"/>
      <c r="Z28" s="10"/>
      <c r="AA28" s="10"/>
      <c r="AB28" s="10"/>
      <c r="AC28" s="10">
        <f t="shared" ref="AC28" si="11">SQRT(((I28-1)*U28^2+(J28-1)*V28^2)/(I28+J28-2))</f>
        <v>4.2824350549658075</v>
      </c>
      <c r="AD28" s="10">
        <f t="shared" ref="AD28" si="12">SQRT((U28^2/I28)+(V28^2/J28))</f>
        <v>1.4274783516552692</v>
      </c>
      <c r="AE28" s="10">
        <f t="shared" ref="AE28" si="13">(R28-S28) - (1.96*AD28)</f>
        <v>-4.3878575692443231</v>
      </c>
      <c r="AF28" s="10">
        <f t="shared" ref="AF28" si="14">(R28-S28) + (1.96*AD28)</f>
        <v>1.207857569244331</v>
      </c>
      <c r="AG28" s="10">
        <f t="shared" ref="AG28" si="15">(R28-S28)/AC28</f>
        <v>-0.3712840894472576</v>
      </c>
    </row>
    <row r="29" spans="3:33" s="5" customFormat="1" x14ac:dyDescent="0.35">
      <c r="C29" s="5" t="s">
        <v>118</v>
      </c>
      <c r="D29" s="5" t="s">
        <v>115</v>
      </c>
      <c r="E29" s="4" t="s">
        <v>106</v>
      </c>
      <c r="F29" s="4" t="s">
        <v>107</v>
      </c>
      <c r="G29" s="4" t="s">
        <v>116</v>
      </c>
      <c r="I29" s="5">
        <v>45</v>
      </c>
      <c r="J29" s="5">
        <v>45</v>
      </c>
      <c r="M29" s="4" t="s">
        <v>117</v>
      </c>
      <c r="N29" s="10"/>
      <c r="O29" s="10"/>
      <c r="P29" s="10"/>
      <c r="Q29" s="10"/>
      <c r="R29" s="10">
        <v>0.23</v>
      </c>
      <c r="S29" s="10">
        <v>0.14000000000000001</v>
      </c>
      <c r="T29" s="10">
        <f t="shared" si="10"/>
        <v>0.09</v>
      </c>
      <c r="U29" s="10">
        <v>0.02</v>
      </c>
      <c r="V29" s="10">
        <v>0.03</v>
      </c>
      <c r="W29" s="10"/>
      <c r="X29" s="10"/>
      <c r="Y29" s="10"/>
      <c r="Z29" s="10"/>
      <c r="AA29" s="10"/>
      <c r="AB29" s="10"/>
      <c r="AC29" s="10">
        <f t="shared" ref="AC29" si="16">SQRT(((I29-1)*U29^2+(J29-1)*V29^2)/(I29+J29-2))</f>
        <v>2.5495097567963924E-2</v>
      </c>
      <c r="AD29" s="10">
        <f t="shared" ref="AD29" si="17">SQRT((U29^2/I29)+(V29^2/J29))</f>
        <v>5.3748384988656995E-3</v>
      </c>
      <c r="AE29" s="10">
        <f t="shared" ref="AE29" si="18">(R29-S29) - (1.96*AD29)</f>
        <v>7.9465316542223219E-2</v>
      </c>
      <c r="AF29" s="10">
        <f t="shared" ref="AF29" si="19">(R29-S29) + (1.96*AD29)</f>
        <v>0.10053468345777677</v>
      </c>
      <c r="AG29" s="10">
        <f t="shared" ref="AG29" si="20">(R29-S29)/AC29</f>
        <v>3.5300904324873126</v>
      </c>
    </row>
    <row r="30" spans="3:33" s="5" customFormat="1" x14ac:dyDescent="0.35">
      <c r="C30" s="5" t="s">
        <v>122</v>
      </c>
      <c r="D30" s="5" t="s">
        <v>123</v>
      </c>
      <c r="E30" s="4" t="s">
        <v>119</v>
      </c>
      <c r="F30" s="4" t="s">
        <v>120</v>
      </c>
      <c r="G30" s="4" t="s">
        <v>121</v>
      </c>
      <c r="I30" s="5">
        <v>25</v>
      </c>
      <c r="J30" s="5">
        <v>25</v>
      </c>
      <c r="M30" s="4" t="s">
        <v>124</v>
      </c>
      <c r="N30" s="10"/>
      <c r="O30" s="10"/>
      <c r="P30" s="10"/>
      <c r="Q30" s="10"/>
      <c r="R30" s="10">
        <v>28326.92</v>
      </c>
      <c r="S30" s="11">
        <v>23618.74</v>
      </c>
      <c r="T30" s="10">
        <f t="shared" si="10"/>
        <v>4708.1799999999967</v>
      </c>
      <c r="U30" s="10">
        <v>2956.05</v>
      </c>
      <c r="V30" s="10">
        <v>2501.16</v>
      </c>
      <c r="W30" s="10"/>
      <c r="X30" s="10"/>
      <c r="Y30" s="10"/>
      <c r="Z30" s="10"/>
      <c r="AA30" s="10"/>
      <c r="AB30" s="10"/>
      <c r="AC30" s="10">
        <f t="shared" ref="AC30" si="21">SQRT(((I30-1)*U30^2+(J30-1)*V30^2)/(I30+J30-2))</f>
        <v>2738.0680185214537</v>
      </c>
      <c r="AD30" s="10">
        <f t="shared" ref="AD30" si="22">SQRT((U30^2/I30)+(V30^2/J30))</f>
        <v>774.44258529861327</v>
      </c>
      <c r="AE30" s="10">
        <f t="shared" ref="AE30" si="23">(R30-S30) - (1.96*AD30)</f>
        <v>3190.2725328147144</v>
      </c>
      <c r="AF30" s="10">
        <f t="shared" ref="AF30" si="24">(R30-S30) + (1.96*AD30)</f>
        <v>6226.0874671852789</v>
      </c>
      <c r="AG30" s="10">
        <f t="shared" ref="AG30" si="25">(R30-S30)/AC30</f>
        <v>1.7195263113085102</v>
      </c>
    </row>
    <row r="31" spans="3:33" s="5" customFormat="1" x14ac:dyDescent="0.35">
      <c r="C31" s="5" t="s">
        <v>127</v>
      </c>
      <c r="D31" s="5" t="s">
        <v>128</v>
      </c>
      <c r="E31" s="4" t="s">
        <v>103</v>
      </c>
      <c r="F31" s="4" t="s">
        <v>104</v>
      </c>
      <c r="G31" s="4" t="s">
        <v>125</v>
      </c>
      <c r="H31" s="5">
        <v>26</v>
      </c>
      <c r="M31" s="4" t="s">
        <v>126</v>
      </c>
      <c r="N31" s="10">
        <v>3.37</v>
      </c>
      <c r="O31" s="10">
        <v>4.13</v>
      </c>
      <c r="P31" s="10">
        <f>O31-N31</f>
        <v>0.75999999999999979</v>
      </c>
      <c r="Q31" s="10"/>
      <c r="R31" s="10"/>
      <c r="S31" s="11"/>
      <c r="T31" s="10"/>
      <c r="U31" s="10"/>
      <c r="V31" s="10"/>
      <c r="W31" s="10"/>
      <c r="X31" s="10"/>
      <c r="Y31" s="10"/>
      <c r="Z31" s="10">
        <v>1.18</v>
      </c>
      <c r="AA31" s="10">
        <v>1.97</v>
      </c>
      <c r="AB31" s="10">
        <f>SQRT((Z31^2 + AA31^2)/2)</f>
        <v>1.6237764624479565</v>
      </c>
      <c r="AC31" s="10"/>
      <c r="AD31" s="10">
        <f>AB31/SQRT(H31)</f>
        <v>0.31844876414364587</v>
      </c>
      <c r="AE31" s="10">
        <f>P31-(1.96*AD31)</f>
        <v>0.13584042227845394</v>
      </c>
      <c r="AF31" s="10">
        <f>P31+(1.96*AD31)</f>
        <v>1.3841595777215456</v>
      </c>
      <c r="AG31" s="10">
        <f>P31/AB31</f>
        <v>0.46804472017918447</v>
      </c>
    </row>
    <row r="32" spans="3:33" x14ac:dyDescent="0.35">
      <c r="E32" s="2"/>
      <c r="F32" s="2"/>
      <c r="G32" s="2"/>
      <c r="M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42C1-A3E2-44AE-BB1F-99C9873B39C0}">
  <dimension ref="A1:AG37"/>
  <sheetViews>
    <sheetView workbookViewId="0">
      <selection sqref="A1:AG37"/>
    </sheetView>
  </sheetViews>
  <sheetFormatPr defaultRowHeight="14.5" x14ac:dyDescent="0.35"/>
  <sheetData>
    <row r="1" spans="1:33" x14ac:dyDescent="0.35">
      <c r="A1" s="7" t="s">
        <v>17</v>
      </c>
      <c r="B1" s="7" t="s">
        <v>51</v>
      </c>
      <c r="C1" s="7" t="s">
        <v>64</v>
      </c>
      <c r="D1" s="7" t="s">
        <v>67</v>
      </c>
      <c r="E1" s="7" t="s">
        <v>5</v>
      </c>
      <c r="F1" s="7" t="s">
        <v>6</v>
      </c>
      <c r="G1" s="8" t="s">
        <v>7</v>
      </c>
      <c r="H1" s="8" t="s">
        <v>8</v>
      </c>
      <c r="I1" s="8" t="s">
        <v>60</v>
      </c>
      <c r="J1" s="8" t="s">
        <v>61</v>
      </c>
      <c r="K1" s="8" t="s">
        <v>80</v>
      </c>
      <c r="L1" s="8" t="s">
        <v>81</v>
      </c>
      <c r="M1" s="8" t="s">
        <v>11</v>
      </c>
      <c r="N1" s="7" t="s">
        <v>13</v>
      </c>
      <c r="O1" s="7" t="s">
        <v>14</v>
      </c>
      <c r="P1" s="7" t="s">
        <v>15</v>
      </c>
      <c r="Q1" s="7" t="s">
        <v>47</v>
      </c>
      <c r="R1" s="7" t="s">
        <v>58</v>
      </c>
      <c r="S1" s="7" t="s">
        <v>59</v>
      </c>
      <c r="T1" s="7" t="s">
        <v>89</v>
      </c>
      <c r="U1" s="7" t="s">
        <v>62</v>
      </c>
      <c r="V1" s="7" t="s">
        <v>63</v>
      </c>
      <c r="W1" s="7" t="s">
        <v>48</v>
      </c>
      <c r="X1" s="7" t="s">
        <v>49</v>
      </c>
      <c r="Y1" s="7" t="s">
        <v>50</v>
      </c>
      <c r="Z1" s="7" t="s">
        <v>2</v>
      </c>
      <c r="AA1" s="7" t="s">
        <v>3</v>
      </c>
      <c r="AB1" s="7" t="s">
        <v>16</v>
      </c>
      <c r="AC1" s="7" t="s">
        <v>4</v>
      </c>
      <c r="AD1" s="7" t="s">
        <v>36</v>
      </c>
      <c r="AE1" s="7" t="s">
        <v>38</v>
      </c>
      <c r="AF1" s="7" t="s">
        <v>37</v>
      </c>
      <c r="AG1" s="9" t="s">
        <v>35</v>
      </c>
    </row>
    <row r="2" spans="1:33" x14ac:dyDescent="0.35">
      <c r="A2" s="5" t="s">
        <v>18</v>
      </c>
      <c r="B2" s="5" t="s">
        <v>21</v>
      </c>
      <c r="C2" s="5"/>
      <c r="D2" s="5"/>
      <c r="E2" s="5" t="s">
        <v>9</v>
      </c>
      <c r="F2" s="5" t="s">
        <v>34</v>
      </c>
      <c r="G2" s="5" t="s">
        <v>10</v>
      </c>
      <c r="H2" s="4">
        <v>41</v>
      </c>
      <c r="I2" s="4"/>
      <c r="J2" s="4"/>
      <c r="K2" s="4"/>
      <c r="L2" s="4"/>
      <c r="M2" s="5" t="s">
        <v>12</v>
      </c>
      <c r="N2" s="6"/>
      <c r="O2" s="6"/>
      <c r="P2" s="6">
        <v>-0.24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>
        <v>6.14</v>
      </c>
      <c r="AC2" s="6"/>
      <c r="AD2" s="6">
        <f>AB2/SQRT(H2)</f>
        <v>0.95890689799604123</v>
      </c>
      <c r="AE2" s="6">
        <f>P2 - (1.96 *AD2)</f>
        <v>-2.119457520072241</v>
      </c>
      <c r="AF2" s="6">
        <f>P2 + (1.96 *AD2)</f>
        <v>1.6394575200722408</v>
      </c>
      <c r="AG2" s="6">
        <f>P2/AB2</f>
        <v>-3.908794788273616E-2</v>
      </c>
    </row>
    <row r="3" spans="1:33" x14ac:dyDescent="0.35">
      <c r="A3" s="5" t="s">
        <v>19</v>
      </c>
      <c r="B3" s="5" t="s">
        <v>20</v>
      </c>
      <c r="C3" s="5"/>
      <c r="D3" s="5"/>
      <c r="E3" s="5" t="s">
        <v>9</v>
      </c>
      <c r="F3" s="5" t="s">
        <v>34</v>
      </c>
      <c r="G3" s="5" t="s">
        <v>10</v>
      </c>
      <c r="H3" s="4">
        <v>41</v>
      </c>
      <c r="I3" s="4"/>
      <c r="J3" s="4"/>
      <c r="K3" s="4"/>
      <c r="L3" s="4"/>
      <c r="M3" s="5" t="s">
        <v>12</v>
      </c>
      <c r="N3" s="6"/>
      <c r="O3" s="6"/>
      <c r="P3" s="6">
        <v>0.28999999999999998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>
        <v>6.23</v>
      </c>
      <c r="AC3" s="6"/>
      <c r="AD3" s="6">
        <f t="shared" ref="AD3:AD11" si="0">AB3/SQRT(H3)</f>
        <v>0.97296253656601583</v>
      </c>
      <c r="AE3" s="6">
        <f t="shared" ref="AE3:AE11" si="1">P3 - (1.96 *AD3)</f>
        <v>-1.6170065716693909</v>
      </c>
      <c r="AF3" s="6">
        <f t="shared" ref="AF3:AF11" si="2">P3 + (1.96 *AD3)</f>
        <v>2.197006571669391</v>
      </c>
      <c r="AG3" s="6">
        <f t="shared" ref="AG3:AG11" si="3">P3/AB3</f>
        <v>4.6548956661316206E-2</v>
      </c>
    </row>
    <row r="4" spans="1:33" x14ac:dyDescent="0.35">
      <c r="A4" s="5" t="s">
        <v>23</v>
      </c>
      <c r="B4" s="5" t="s">
        <v>22</v>
      </c>
      <c r="C4" s="5"/>
      <c r="D4" s="5"/>
      <c r="E4" s="5" t="s">
        <v>9</v>
      </c>
      <c r="F4" s="5" t="s">
        <v>34</v>
      </c>
      <c r="G4" s="5" t="s">
        <v>10</v>
      </c>
      <c r="H4" s="4">
        <v>41</v>
      </c>
      <c r="I4" s="4"/>
      <c r="J4" s="4"/>
      <c r="K4" s="4"/>
      <c r="L4" s="4"/>
      <c r="M4" s="5" t="s">
        <v>12</v>
      </c>
      <c r="N4" s="6"/>
      <c r="O4" s="6"/>
      <c r="P4" s="6">
        <v>-3.1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>
        <v>5.26</v>
      </c>
      <c r="AC4" s="6"/>
      <c r="AD4" s="6">
        <f t="shared" si="0"/>
        <v>0.82147398753406786</v>
      </c>
      <c r="AE4" s="6">
        <f t="shared" si="1"/>
        <v>-4.7100890155667727</v>
      </c>
      <c r="AF4" s="6">
        <f t="shared" si="2"/>
        <v>-1.489910984433227</v>
      </c>
      <c r="AG4" s="6">
        <f t="shared" si="3"/>
        <v>-0.58935361216730042</v>
      </c>
    </row>
    <row r="5" spans="1:33" x14ac:dyDescent="0.35">
      <c r="A5" s="5" t="s">
        <v>24</v>
      </c>
      <c r="B5" s="5" t="s">
        <v>25</v>
      </c>
      <c r="C5" s="5"/>
      <c r="D5" s="5"/>
      <c r="E5" s="5" t="s">
        <v>9</v>
      </c>
      <c r="F5" s="5" t="s">
        <v>34</v>
      </c>
      <c r="G5" s="5" t="s">
        <v>10</v>
      </c>
      <c r="H5" s="4">
        <v>41</v>
      </c>
      <c r="I5" s="4"/>
      <c r="J5" s="4"/>
      <c r="K5" s="4"/>
      <c r="L5" s="4"/>
      <c r="M5" s="5" t="s">
        <v>12</v>
      </c>
      <c r="N5" s="6"/>
      <c r="O5" s="6"/>
      <c r="P5" s="6">
        <v>-2.98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>
        <v>4.59</v>
      </c>
      <c r="AC5" s="6"/>
      <c r="AD5" s="6">
        <f t="shared" si="0"/>
        <v>0.71683756706870183</v>
      </c>
      <c r="AE5" s="6">
        <f t="shared" si="1"/>
        <v>-4.3850016314546556</v>
      </c>
      <c r="AF5" s="6">
        <f t="shared" si="2"/>
        <v>-1.5749983685453444</v>
      </c>
      <c r="AG5" s="6">
        <f t="shared" si="3"/>
        <v>-0.64923747276688459</v>
      </c>
    </row>
    <row r="6" spans="1:33" x14ac:dyDescent="0.35">
      <c r="A6" s="5" t="s">
        <v>26</v>
      </c>
      <c r="B6" s="5" t="s">
        <v>27</v>
      </c>
      <c r="C6" s="5"/>
      <c r="D6" s="5"/>
      <c r="E6" s="5" t="s">
        <v>9</v>
      </c>
      <c r="F6" s="5" t="s">
        <v>34</v>
      </c>
      <c r="G6" s="5" t="s">
        <v>10</v>
      </c>
      <c r="H6" s="4">
        <v>41</v>
      </c>
      <c r="I6" s="4"/>
      <c r="J6" s="4"/>
      <c r="K6" s="4"/>
      <c r="L6" s="4"/>
      <c r="M6" s="5" t="s">
        <v>12</v>
      </c>
      <c r="N6" s="6"/>
      <c r="O6" s="6"/>
      <c r="P6" s="6">
        <v>-1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v>6.14</v>
      </c>
      <c r="AC6" s="6"/>
      <c r="AD6" s="6">
        <f t="shared" si="0"/>
        <v>0.95890689799604123</v>
      </c>
      <c r="AE6" s="6">
        <f t="shared" si="1"/>
        <v>-2.8794575200722408</v>
      </c>
      <c r="AF6" s="6">
        <f t="shared" si="2"/>
        <v>0.87945752007224076</v>
      </c>
      <c r="AG6" s="6">
        <f t="shared" si="3"/>
        <v>-0.16286644951140067</v>
      </c>
    </row>
    <row r="7" spans="1:33" x14ac:dyDescent="0.35">
      <c r="A7" s="5" t="s">
        <v>31</v>
      </c>
      <c r="B7" s="5" t="s">
        <v>30</v>
      </c>
      <c r="C7" s="5"/>
      <c r="D7" s="5"/>
      <c r="E7" s="5" t="s">
        <v>9</v>
      </c>
      <c r="F7" s="5" t="s">
        <v>34</v>
      </c>
      <c r="G7" s="5" t="s">
        <v>10</v>
      </c>
      <c r="H7" s="4">
        <v>41</v>
      </c>
      <c r="I7" s="4"/>
      <c r="J7" s="4"/>
      <c r="K7" s="4"/>
      <c r="L7" s="4"/>
      <c r="M7" s="5" t="s">
        <v>12</v>
      </c>
      <c r="N7" s="6"/>
      <c r="O7" s="6"/>
      <c r="P7" s="6">
        <v>-2.5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5.6</v>
      </c>
      <c r="AC7" s="6"/>
      <c r="AD7" s="6">
        <f t="shared" si="0"/>
        <v>0.87457306657619394</v>
      </c>
      <c r="AE7" s="6">
        <f t="shared" si="1"/>
        <v>-4.2141632104893398</v>
      </c>
      <c r="AF7" s="6">
        <f t="shared" si="2"/>
        <v>-0.78583678951065994</v>
      </c>
      <c r="AG7" s="6">
        <f t="shared" si="3"/>
        <v>-0.44642857142857145</v>
      </c>
    </row>
    <row r="8" spans="1:33" x14ac:dyDescent="0.35">
      <c r="A8" s="5" t="s">
        <v>32</v>
      </c>
      <c r="B8" s="5" t="s">
        <v>29</v>
      </c>
      <c r="C8" s="5"/>
      <c r="D8" s="5"/>
      <c r="E8" s="5" t="s">
        <v>9</v>
      </c>
      <c r="F8" s="5" t="s">
        <v>34</v>
      </c>
      <c r="G8" s="5" t="s">
        <v>10</v>
      </c>
      <c r="H8" s="4">
        <v>41</v>
      </c>
      <c r="I8" s="4"/>
      <c r="J8" s="4"/>
      <c r="K8" s="4"/>
      <c r="L8" s="4"/>
      <c r="M8" s="5" t="s">
        <v>12</v>
      </c>
      <c r="N8" s="6"/>
      <c r="O8" s="6"/>
      <c r="P8" s="6">
        <v>-3.32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>
        <v>5.45</v>
      </c>
      <c r="AC8" s="6"/>
      <c r="AD8" s="6">
        <f t="shared" si="0"/>
        <v>0.85114700229290308</v>
      </c>
      <c r="AE8" s="6">
        <f t="shared" si="1"/>
        <v>-4.9882481244940902</v>
      </c>
      <c r="AF8" s="6">
        <f t="shared" si="2"/>
        <v>-1.6517518755059097</v>
      </c>
      <c r="AG8" s="6">
        <f t="shared" si="3"/>
        <v>-0.60917431192660543</v>
      </c>
    </row>
    <row r="9" spans="1:33" x14ac:dyDescent="0.35">
      <c r="A9" s="5" t="s">
        <v>33</v>
      </c>
      <c r="B9" s="5" t="s">
        <v>28</v>
      </c>
      <c r="C9" s="5"/>
      <c r="D9" s="5"/>
      <c r="E9" s="5" t="s">
        <v>9</v>
      </c>
      <c r="F9" s="5" t="s">
        <v>34</v>
      </c>
      <c r="G9" s="5" t="s">
        <v>10</v>
      </c>
      <c r="H9" s="4">
        <v>41</v>
      </c>
      <c r="I9" s="4"/>
      <c r="J9" s="4"/>
      <c r="K9" s="4"/>
      <c r="L9" s="4"/>
      <c r="M9" s="5" t="s">
        <v>12</v>
      </c>
      <c r="N9" s="6"/>
      <c r="O9" s="6"/>
      <c r="P9" s="6">
        <v>-4.2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>
        <v>4.51</v>
      </c>
      <c r="AC9" s="6"/>
      <c r="AD9" s="6">
        <f t="shared" si="0"/>
        <v>0.70434366611761334</v>
      </c>
      <c r="AE9" s="6">
        <f t="shared" si="1"/>
        <v>-5.5805135855905226</v>
      </c>
      <c r="AF9" s="6">
        <f t="shared" si="2"/>
        <v>-2.8194864144094778</v>
      </c>
      <c r="AG9" s="6">
        <f t="shared" si="3"/>
        <v>-0.93126385809312651</v>
      </c>
    </row>
    <row r="10" spans="1:33" x14ac:dyDescent="0.35">
      <c r="A10" s="5"/>
      <c r="B10" s="5"/>
      <c r="C10" s="5"/>
      <c r="D10" s="5"/>
      <c r="E10" s="5" t="s">
        <v>39</v>
      </c>
      <c r="F10" s="5" t="s">
        <v>40</v>
      </c>
      <c r="G10" s="5" t="s">
        <v>41</v>
      </c>
      <c r="H10" s="4">
        <v>136</v>
      </c>
      <c r="I10" s="4"/>
      <c r="J10" s="4"/>
      <c r="K10" s="4"/>
      <c r="L10" s="4"/>
      <c r="M10" s="5" t="s">
        <v>12</v>
      </c>
      <c r="N10" s="6">
        <v>143.6</v>
      </c>
      <c r="O10" s="6">
        <v>138.69999999999999</v>
      </c>
      <c r="P10" s="6">
        <f>N10-O10</f>
        <v>4.9000000000000057</v>
      </c>
      <c r="Q10" s="6"/>
      <c r="R10" s="6"/>
      <c r="S10" s="6"/>
      <c r="T10" s="6"/>
      <c r="U10" s="6"/>
      <c r="V10" s="6"/>
      <c r="W10" s="6"/>
      <c r="X10" s="6"/>
      <c r="Y10" s="6"/>
      <c r="Z10" s="6">
        <v>16.899999999999999</v>
      </c>
      <c r="AA10" s="6">
        <v>15.1</v>
      </c>
      <c r="AB10" s="6">
        <f>SQRT(Z10^2 + AA10^2 - 2 * 0.5 *Z10 *AA10)</f>
        <v>16.075758146973968</v>
      </c>
      <c r="AC10" s="6"/>
      <c r="AD10" s="6">
        <f t="shared" si="0"/>
        <v>1.3784848886495975</v>
      </c>
      <c r="AE10" s="6">
        <f t="shared" si="1"/>
        <v>2.1981696182467947</v>
      </c>
      <c r="AF10" s="6">
        <f t="shared" si="2"/>
        <v>7.6018303817532171</v>
      </c>
      <c r="AG10" s="6">
        <f t="shared" si="3"/>
        <v>0.304806775220263</v>
      </c>
    </row>
    <row r="11" spans="1:33" x14ac:dyDescent="0.35">
      <c r="A11" s="5"/>
      <c r="B11" s="5"/>
      <c r="C11" s="5"/>
      <c r="D11" s="5"/>
      <c r="E11" s="4" t="s">
        <v>96</v>
      </c>
      <c r="F11" s="4" t="s">
        <v>97</v>
      </c>
      <c r="G11" s="4" t="s">
        <v>93</v>
      </c>
      <c r="H11" s="4">
        <v>20</v>
      </c>
      <c r="I11" s="4"/>
      <c r="J11" s="4"/>
      <c r="K11" s="4"/>
      <c r="L11" s="4"/>
      <c r="M11" s="4" t="s">
        <v>98</v>
      </c>
      <c r="N11" s="6">
        <v>10.45</v>
      </c>
      <c r="O11" s="6">
        <v>1.95</v>
      </c>
      <c r="P11" s="6">
        <f>O11-N11</f>
        <v>-8.5</v>
      </c>
      <c r="Q11" s="6"/>
      <c r="R11" s="6"/>
      <c r="S11" s="6"/>
      <c r="T11" s="6"/>
      <c r="U11" s="6"/>
      <c r="V11" s="6"/>
      <c r="W11" s="6"/>
      <c r="X11" s="6"/>
      <c r="Y11" s="6"/>
      <c r="Z11" s="6">
        <v>5.32</v>
      </c>
      <c r="AA11" s="6">
        <v>4.26</v>
      </c>
      <c r="AB11" s="6">
        <f>SQRT((Z11^2+AA11^2)/2)</f>
        <v>4.8192323040085965</v>
      </c>
      <c r="AC11" s="6"/>
      <c r="AD11" s="6">
        <f t="shared" si="0"/>
        <v>1.0776131031126153</v>
      </c>
      <c r="AE11" s="6">
        <f t="shared" si="1"/>
        <v>-10.612121682100726</v>
      </c>
      <c r="AF11" s="6">
        <f t="shared" si="2"/>
        <v>-6.3878783178992737</v>
      </c>
      <c r="AG11" s="6">
        <f t="shared" si="3"/>
        <v>-1.7637663975919509</v>
      </c>
    </row>
    <row r="12" spans="1:33" x14ac:dyDescent="0.35">
      <c r="A12" s="7" t="s">
        <v>17</v>
      </c>
      <c r="B12" s="7" t="s">
        <v>51</v>
      </c>
      <c r="C12" s="7" t="s">
        <v>64</v>
      </c>
      <c r="D12" s="7" t="s">
        <v>67</v>
      </c>
      <c r="E12" s="7" t="s">
        <v>5</v>
      </c>
      <c r="F12" s="7" t="s">
        <v>6</v>
      </c>
      <c r="G12" s="8" t="s">
        <v>7</v>
      </c>
      <c r="H12" s="8" t="s">
        <v>8</v>
      </c>
      <c r="I12" s="8" t="s">
        <v>60</v>
      </c>
      <c r="J12" s="8" t="s">
        <v>61</v>
      </c>
      <c r="K12" s="8" t="s">
        <v>80</v>
      </c>
      <c r="L12" s="8" t="s">
        <v>81</v>
      </c>
      <c r="M12" s="8" t="s">
        <v>11</v>
      </c>
      <c r="N12" s="7" t="s">
        <v>13</v>
      </c>
      <c r="O12" s="7" t="s">
        <v>14</v>
      </c>
      <c r="P12" s="7" t="s">
        <v>15</v>
      </c>
      <c r="Q12" s="7" t="s">
        <v>47</v>
      </c>
      <c r="R12" s="7" t="s">
        <v>58</v>
      </c>
      <c r="S12" s="7" t="s">
        <v>59</v>
      </c>
      <c r="T12" s="7" t="s">
        <v>89</v>
      </c>
      <c r="U12" s="7" t="s">
        <v>62</v>
      </c>
      <c r="V12" s="7" t="s">
        <v>63</v>
      </c>
      <c r="W12" s="7" t="s">
        <v>48</v>
      </c>
      <c r="X12" s="7" t="s">
        <v>49</v>
      </c>
      <c r="Y12" s="7" t="s">
        <v>50</v>
      </c>
      <c r="Z12" s="7" t="s">
        <v>2</v>
      </c>
      <c r="AA12" s="7" t="s">
        <v>3</v>
      </c>
      <c r="AB12" s="7" t="s">
        <v>16</v>
      </c>
      <c r="AC12" s="7" t="s">
        <v>4</v>
      </c>
      <c r="AD12" s="7" t="s">
        <v>36</v>
      </c>
      <c r="AE12" s="7" t="s">
        <v>38</v>
      </c>
      <c r="AF12" s="7" t="s">
        <v>37</v>
      </c>
      <c r="AG12" s="9" t="s">
        <v>35</v>
      </c>
    </row>
    <row r="13" spans="1:33" x14ac:dyDescent="0.35">
      <c r="A13" s="5" t="s">
        <v>45</v>
      </c>
      <c r="B13" s="5" t="s">
        <v>46</v>
      </c>
      <c r="C13" s="5"/>
      <c r="D13" s="5"/>
      <c r="E13" s="4" t="s">
        <v>43</v>
      </c>
      <c r="F13" s="5" t="s">
        <v>44</v>
      </c>
      <c r="G13" s="5" t="s">
        <v>55</v>
      </c>
      <c r="H13" s="4">
        <v>173</v>
      </c>
      <c r="I13" s="4"/>
      <c r="J13" s="4"/>
      <c r="K13" s="4"/>
      <c r="L13" s="4"/>
      <c r="M13" s="5" t="s">
        <v>42</v>
      </c>
      <c r="N13" s="6"/>
      <c r="O13" s="6"/>
      <c r="P13" s="6"/>
      <c r="Q13" s="6">
        <v>-10.997</v>
      </c>
      <c r="R13" s="6"/>
      <c r="S13" s="6"/>
      <c r="T13" s="6"/>
      <c r="U13" s="6"/>
      <c r="V13" s="6"/>
      <c r="W13" s="6">
        <f>Q13/AD13</f>
        <v>-2.7911167512690356</v>
      </c>
      <c r="X13" s="6">
        <f>H13-2</f>
        <v>171</v>
      </c>
      <c r="Y13" s="6">
        <f>(2*W13)/SQRT(X13)</f>
        <v>-0.42688406520720268</v>
      </c>
      <c r="Z13" s="6"/>
      <c r="AA13" s="6"/>
      <c r="AB13" s="6"/>
      <c r="AC13" s="6"/>
      <c r="AD13" s="6">
        <v>3.94</v>
      </c>
      <c r="AE13" s="6">
        <f>Q13-(1.96 * AD13)</f>
        <v>-18.7194</v>
      </c>
      <c r="AF13" s="6">
        <f>W13+(1.96 * AE13)</f>
        <v>-39.481140751269038</v>
      </c>
      <c r="AG13" s="6">
        <f>Y13</f>
        <v>-0.42688406520720268</v>
      </c>
    </row>
    <row r="14" spans="1:33" x14ac:dyDescent="0.35">
      <c r="A14" s="5"/>
      <c r="B14" s="5" t="s">
        <v>95</v>
      </c>
      <c r="C14" s="5"/>
      <c r="D14" s="5"/>
      <c r="E14" s="4" t="s">
        <v>0</v>
      </c>
      <c r="F14" s="4" t="s">
        <v>1</v>
      </c>
      <c r="G14" s="4" t="s">
        <v>93</v>
      </c>
      <c r="H14" s="4">
        <v>15</v>
      </c>
      <c r="I14" s="4"/>
      <c r="J14" s="4"/>
      <c r="K14" s="4"/>
      <c r="L14" s="4"/>
      <c r="M14" s="5" t="s">
        <v>42</v>
      </c>
      <c r="N14" s="6">
        <v>13.13</v>
      </c>
      <c r="O14" s="6">
        <v>11.27</v>
      </c>
      <c r="P14" s="6">
        <f>O14-N14</f>
        <v>-1.8600000000000012</v>
      </c>
      <c r="Q14" s="6"/>
      <c r="R14" s="6"/>
      <c r="S14" s="6"/>
      <c r="T14" s="6"/>
      <c r="U14" s="6"/>
      <c r="V14" s="6"/>
      <c r="W14" s="6"/>
      <c r="X14" s="6"/>
      <c r="Y14" s="6"/>
      <c r="Z14" s="6">
        <v>3.96</v>
      </c>
      <c r="AA14" s="6">
        <v>4.41</v>
      </c>
      <c r="AB14" s="6">
        <f>SQRT((Z14^2+AA14^2)/2)</f>
        <v>4.1910440226750181</v>
      </c>
      <c r="AC14" s="6"/>
      <c r="AD14" s="6">
        <f>AB14/SQRT(H14)</f>
        <v>1.0821229135361656</v>
      </c>
      <c r="AE14" s="6">
        <f>P14-(1.96*AD14)</f>
        <v>-3.9809609105308859</v>
      </c>
      <c r="AF14" s="6">
        <f>P14+(1.96*AD14)</f>
        <v>0.26096091053088344</v>
      </c>
      <c r="AG14" s="6">
        <f>P14/AB14</f>
        <v>-0.44380349858812002</v>
      </c>
    </row>
    <row r="15" spans="1:33" x14ac:dyDescent="0.35">
      <c r="A15" s="5"/>
      <c r="B15" s="5" t="s">
        <v>94</v>
      </c>
      <c r="C15" s="5"/>
      <c r="D15" s="5"/>
      <c r="E15" s="4" t="s">
        <v>0</v>
      </c>
      <c r="F15" s="4" t="s">
        <v>1</v>
      </c>
      <c r="G15" s="4" t="s">
        <v>93</v>
      </c>
      <c r="H15" s="4">
        <v>15</v>
      </c>
      <c r="I15" s="4"/>
      <c r="J15" s="4"/>
      <c r="K15" s="4"/>
      <c r="L15" s="4"/>
      <c r="M15" s="5" t="s">
        <v>42</v>
      </c>
      <c r="N15" s="6">
        <v>12.13</v>
      </c>
      <c r="O15" s="6">
        <v>7.67</v>
      </c>
      <c r="P15" s="6">
        <f>O15-N15</f>
        <v>-4.4600000000000009</v>
      </c>
      <c r="Q15" s="6"/>
      <c r="R15" s="6"/>
      <c r="S15" s="6"/>
      <c r="T15" s="6"/>
      <c r="U15" s="6"/>
      <c r="V15" s="6"/>
      <c r="W15" s="6"/>
      <c r="X15" s="6"/>
      <c r="Y15" s="6"/>
      <c r="Z15" s="6">
        <v>5.1100000000000003</v>
      </c>
      <c r="AA15" s="6">
        <v>3.48</v>
      </c>
      <c r="AB15" s="6">
        <f>SQRT((Z15^2+AA15^2)/2)</f>
        <v>4.3716415681068828</v>
      </c>
      <c r="AC15" s="6"/>
      <c r="AD15" s="6">
        <f>AB15/SQRT(H15)</f>
        <v>1.1287529992577356</v>
      </c>
      <c r="AE15" s="6">
        <f>P15-(1.96*AD15)</f>
        <v>-6.6723558785451633</v>
      </c>
      <c r="AF15" s="6">
        <f>P15+(1.96*AD15)</f>
        <v>-2.2476441214548388</v>
      </c>
      <c r="AG15" s="6">
        <f>P15/AB15</f>
        <v>-1.0202117283671501</v>
      </c>
    </row>
    <row r="16" spans="1:33" x14ac:dyDescent="0.35">
      <c r="A16" s="7" t="s">
        <v>17</v>
      </c>
      <c r="B16" s="7" t="s">
        <v>51</v>
      </c>
      <c r="C16" s="7" t="s">
        <v>64</v>
      </c>
      <c r="D16" s="7" t="s">
        <v>67</v>
      </c>
      <c r="E16" s="7" t="s">
        <v>5</v>
      </c>
      <c r="F16" s="7" t="s">
        <v>6</v>
      </c>
      <c r="G16" s="8" t="s">
        <v>7</v>
      </c>
      <c r="H16" s="8" t="s">
        <v>8</v>
      </c>
      <c r="I16" s="8" t="s">
        <v>60</v>
      </c>
      <c r="J16" s="8" t="s">
        <v>61</v>
      </c>
      <c r="K16" s="8" t="s">
        <v>80</v>
      </c>
      <c r="L16" s="8" t="s">
        <v>81</v>
      </c>
      <c r="M16" s="8" t="s">
        <v>11</v>
      </c>
      <c r="N16" s="7" t="s">
        <v>13</v>
      </c>
      <c r="O16" s="7" t="s">
        <v>14</v>
      </c>
      <c r="P16" s="7" t="s">
        <v>15</v>
      </c>
      <c r="Q16" s="7" t="s">
        <v>47</v>
      </c>
      <c r="R16" s="7" t="s">
        <v>58</v>
      </c>
      <c r="S16" s="7" t="s">
        <v>59</v>
      </c>
      <c r="T16" s="7" t="s">
        <v>89</v>
      </c>
      <c r="U16" s="7" t="s">
        <v>62</v>
      </c>
      <c r="V16" s="7" t="s">
        <v>63</v>
      </c>
      <c r="W16" s="7" t="s">
        <v>48</v>
      </c>
      <c r="X16" s="7" t="s">
        <v>49</v>
      </c>
      <c r="Y16" s="7" t="s">
        <v>50</v>
      </c>
      <c r="Z16" s="7" t="s">
        <v>2</v>
      </c>
      <c r="AA16" s="7" t="s">
        <v>3</v>
      </c>
      <c r="AB16" s="7" t="s">
        <v>16</v>
      </c>
      <c r="AC16" s="7" t="s">
        <v>4</v>
      </c>
      <c r="AD16" s="7" t="s">
        <v>36</v>
      </c>
      <c r="AE16" s="7" t="s">
        <v>38</v>
      </c>
      <c r="AF16" s="7" t="s">
        <v>37</v>
      </c>
      <c r="AG16" s="9" t="s">
        <v>35</v>
      </c>
    </row>
    <row r="17" spans="1:33" x14ac:dyDescent="0.35">
      <c r="A17" s="5" t="s">
        <v>57</v>
      </c>
      <c r="B17" s="5" t="s">
        <v>53</v>
      </c>
      <c r="C17" s="5" t="s">
        <v>65</v>
      </c>
      <c r="D17" s="5" t="s">
        <v>66</v>
      </c>
      <c r="E17" s="5" t="s">
        <v>52</v>
      </c>
      <c r="F17" s="5" t="s">
        <v>54</v>
      </c>
      <c r="G17" s="5" t="s">
        <v>55</v>
      </c>
      <c r="H17" s="5"/>
      <c r="I17" s="5">
        <v>99</v>
      </c>
      <c r="J17" s="5">
        <v>106</v>
      </c>
      <c r="K17" s="5"/>
      <c r="L17" s="5"/>
      <c r="M17" s="5" t="s">
        <v>56</v>
      </c>
      <c r="N17" s="5"/>
      <c r="O17" s="5"/>
      <c r="P17" s="5"/>
      <c r="Q17" s="5"/>
      <c r="R17" s="5">
        <v>13.2</v>
      </c>
      <c r="S17" s="5">
        <v>14</v>
      </c>
      <c r="T17" s="5"/>
      <c r="U17" s="5">
        <v>6.8</v>
      </c>
      <c r="V17" s="5">
        <v>5.2</v>
      </c>
      <c r="W17" s="5"/>
      <c r="X17" s="5"/>
      <c r="Y17" s="5"/>
      <c r="Z17" s="5">
        <v>1.9</v>
      </c>
      <c r="AA17" s="5"/>
      <c r="AB17" s="5"/>
      <c r="AC17" s="5">
        <f>SQRT(((I17-1)*U17^2+(J17-1)*V17^2)/(I17+J17-2))</f>
        <v>6.0256921193537076</v>
      </c>
      <c r="AD17" s="5">
        <f>SQRT((U17^2/I17)+(V17^2/J17))</f>
        <v>0.84980294580175975</v>
      </c>
      <c r="AE17" s="6">
        <f>(R17-S17)-(1.96 * AD17)</f>
        <v>-2.4656137737714499</v>
      </c>
      <c r="AF17" s="6">
        <f>(R17-S17)+(1.96 * AD17)</f>
        <v>0.86561377377144844</v>
      </c>
      <c r="AG17" s="6">
        <f>(R17-S17)/AC17</f>
        <v>-0.13276483168307074</v>
      </c>
    </row>
    <row r="18" spans="1:33" x14ac:dyDescent="0.35">
      <c r="A18" s="5"/>
      <c r="B18" s="5"/>
      <c r="C18" s="5" t="s">
        <v>71</v>
      </c>
      <c r="D18" s="5" t="s">
        <v>72</v>
      </c>
      <c r="E18" s="4" t="s">
        <v>68</v>
      </c>
      <c r="F18" s="4" t="s">
        <v>69</v>
      </c>
      <c r="G18" s="4" t="s">
        <v>70</v>
      </c>
      <c r="H18" s="5">
        <v>25</v>
      </c>
      <c r="I18" s="5"/>
      <c r="J18" s="5"/>
      <c r="K18" s="5"/>
      <c r="L18" s="5"/>
      <c r="M18" s="5" t="s">
        <v>73</v>
      </c>
      <c r="N18" s="5">
        <v>26.24</v>
      </c>
      <c r="O18" s="5">
        <v>23.48</v>
      </c>
      <c r="P18" s="5">
        <f>O18-N18</f>
        <v>-2.759999999999998</v>
      </c>
      <c r="Q18" s="5"/>
      <c r="R18" s="5"/>
      <c r="S18" s="5"/>
      <c r="T18" s="5"/>
      <c r="U18" s="5"/>
      <c r="V18" s="5"/>
      <c r="W18" s="5"/>
      <c r="X18" s="5"/>
      <c r="Y18" s="5"/>
      <c r="Z18" s="5">
        <v>5.22</v>
      </c>
      <c r="AA18" s="5">
        <v>4.6399999999999997</v>
      </c>
      <c r="AB18" s="5"/>
      <c r="AC18" s="5">
        <f>SQRT((Z18^2 + AA18^2)/2)</f>
        <v>4.9385220461186563</v>
      </c>
      <c r="AD18" s="5">
        <f>AC18/SQRT(H18)</f>
        <v>0.98770440922373126</v>
      </c>
      <c r="AE18" s="6">
        <f>P18-(1.96*AD18)</f>
        <v>-4.6959006420785112</v>
      </c>
      <c r="AF18" s="6">
        <f>P18+(1.96*AD18)</f>
        <v>-0.82409935792148481</v>
      </c>
      <c r="AG18" s="6">
        <f>P18/AC18</f>
        <v>-0.55887165719330356</v>
      </c>
    </row>
    <row r="19" spans="1:33" x14ac:dyDescent="0.35">
      <c r="A19" s="5"/>
      <c r="B19" s="5"/>
      <c r="C19" s="5"/>
      <c r="D19" s="5"/>
      <c r="E19" s="4" t="s">
        <v>74</v>
      </c>
      <c r="F19" s="5" t="s">
        <v>75</v>
      </c>
      <c r="G19" s="5" t="s">
        <v>76</v>
      </c>
      <c r="H19" s="5">
        <v>37</v>
      </c>
      <c r="I19" s="5"/>
      <c r="J19" s="5"/>
      <c r="K19" s="5"/>
      <c r="L19" s="5"/>
      <c r="M19" s="4" t="s">
        <v>73</v>
      </c>
      <c r="N19" s="5">
        <v>2.7</v>
      </c>
      <c r="O19" s="5">
        <v>2.5499999999999998</v>
      </c>
      <c r="P19" s="5">
        <f>O19-N19</f>
        <v>-0.15000000000000036</v>
      </c>
      <c r="Q19" s="5"/>
      <c r="R19" s="5"/>
      <c r="S19" s="5"/>
      <c r="T19" s="5"/>
      <c r="U19" s="5"/>
      <c r="V19" s="5"/>
      <c r="W19" s="5"/>
      <c r="X19" s="5"/>
      <c r="Y19" s="5"/>
      <c r="Z19" s="5">
        <v>0.61</v>
      </c>
      <c r="AA19" s="5">
        <v>0.48</v>
      </c>
      <c r="AB19" s="5">
        <v>0.44</v>
      </c>
      <c r="AC19" s="5">
        <f>SQRT((Z19^2 + AA19^2)/2)</f>
        <v>0.54886246000250372</v>
      </c>
      <c r="AD19" s="5">
        <f>AB19/SQRT(H19)</f>
        <v>7.2335554414357212E-2</v>
      </c>
      <c r="AE19" s="6">
        <f>P19-(1.96*AD19)</f>
        <v>-0.29177768665214049</v>
      </c>
      <c r="AF19" s="6">
        <f>P19+(1.96*AD19)</f>
        <v>-8.2223133478602217E-3</v>
      </c>
      <c r="AG19" s="6">
        <f>P19/AC19</f>
        <v>-0.27329251120456682</v>
      </c>
    </row>
    <row r="20" spans="1:33" x14ac:dyDescent="0.35">
      <c r="A20" s="5"/>
      <c r="B20" s="5"/>
      <c r="C20" s="5"/>
      <c r="D20" s="5"/>
      <c r="E20" s="4" t="s">
        <v>77</v>
      </c>
      <c r="F20" s="4" t="s">
        <v>78</v>
      </c>
      <c r="G20" s="4" t="s">
        <v>79</v>
      </c>
      <c r="H20" s="5"/>
      <c r="I20" s="5"/>
      <c r="J20" s="5"/>
      <c r="K20" s="5">
        <v>419</v>
      </c>
      <c r="L20" s="5">
        <v>262</v>
      </c>
      <c r="M20" s="4" t="s">
        <v>82</v>
      </c>
      <c r="N20" s="5">
        <v>17</v>
      </c>
      <c r="O20" s="5">
        <v>16</v>
      </c>
      <c r="P20" s="5">
        <f>O20-N20</f>
        <v>-1</v>
      </c>
      <c r="Q20" s="5"/>
      <c r="R20" s="5"/>
      <c r="S20" s="5"/>
      <c r="T20" s="5"/>
      <c r="U20" s="5"/>
      <c r="V20" s="5"/>
      <c r="W20" s="5"/>
      <c r="X20" s="5"/>
      <c r="Y20" s="5"/>
      <c r="Z20" s="5">
        <v>7.7</v>
      </c>
      <c r="AA20" s="5">
        <v>7.5</v>
      </c>
      <c r="AB20" s="5">
        <f>SQRT((Z20^2 + AA20^2)/2)</f>
        <v>7.6006578662639459</v>
      </c>
      <c r="AC20" s="5">
        <f>SQRT((Z20^2 + AA20^2)/2)</f>
        <v>7.6006578662639459</v>
      </c>
      <c r="AD20" s="5">
        <f>AB20/SQRT(L20)</f>
        <v>0.46957021115708225</v>
      </c>
      <c r="AE20" s="6">
        <f>P20-(1.96*AD20)</f>
        <v>-1.9203576138678811</v>
      </c>
      <c r="AF20" s="6">
        <f>P20+(1.96*AD20)</f>
        <v>-7.9642386132118825E-2</v>
      </c>
      <c r="AG20" s="6">
        <f>P20/AC20</f>
        <v>-0.13156755870285522</v>
      </c>
    </row>
    <row r="21" spans="1:33" x14ac:dyDescent="0.35">
      <c r="A21" s="5"/>
      <c r="B21" s="5"/>
      <c r="C21" s="5"/>
      <c r="D21" s="5"/>
      <c r="E21" s="4" t="s">
        <v>77</v>
      </c>
      <c r="F21" s="4" t="s">
        <v>78</v>
      </c>
      <c r="G21" s="4" t="s">
        <v>83</v>
      </c>
      <c r="H21" s="5"/>
      <c r="I21" s="5"/>
      <c r="J21" s="5"/>
      <c r="K21" s="5">
        <v>419</v>
      </c>
      <c r="L21" s="5">
        <v>155</v>
      </c>
      <c r="M21" s="4" t="s">
        <v>82</v>
      </c>
      <c r="N21" s="5">
        <v>17</v>
      </c>
      <c r="O21" s="5">
        <v>16</v>
      </c>
      <c r="P21" s="5">
        <f>O21-N21</f>
        <v>-1</v>
      </c>
      <c r="Q21" s="5"/>
      <c r="R21" s="5"/>
      <c r="S21" s="5"/>
      <c r="T21" s="5"/>
      <c r="U21" s="5"/>
      <c r="V21" s="5"/>
      <c r="W21" s="5"/>
      <c r="X21" s="5"/>
      <c r="Y21" s="5"/>
      <c r="Z21" s="5">
        <v>7.7</v>
      </c>
      <c r="AA21" s="5">
        <v>8.8000000000000007</v>
      </c>
      <c r="AB21" s="5">
        <f>SQRT((Z21^2 + AA21^2)/2)</f>
        <v>8.2683130081050997</v>
      </c>
      <c r="AC21" s="5">
        <f>SQRT((Z21^2 + AA21^2)/2)</f>
        <v>8.2683130081050997</v>
      </c>
      <c r="AD21" s="5">
        <f>AB21/SQRT(L21)</f>
        <v>0.664126882552598</v>
      </c>
      <c r="AE21" s="6">
        <f>P21-(1.96*AD21)</f>
        <v>-2.3016886898030924</v>
      </c>
      <c r="AF21" s="6">
        <f>P21+(1.96*AD21)</f>
        <v>0.30168868980309216</v>
      </c>
      <c r="AG21" s="6">
        <f>P21/AC21</f>
        <v>-0.12094365549777078</v>
      </c>
    </row>
    <row r="22" spans="1:33" x14ac:dyDescent="0.35">
      <c r="A22" s="5"/>
      <c r="B22" s="5"/>
      <c r="C22" s="5" t="s">
        <v>87</v>
      </c>
      <c r="D22" s="5" t="s">
        <v>88</v>
      </c>
      <c r="E22" s="5" t="s">
        <v>84</v>
      </c>
      <c r="F22" s="4" t="s">
        <v>85</v>
      </c>
      <c r="G22" s="4" t="s">
        <v>86</v>
      </c>
      <c r="H22" s="5"/>
      <c r="I22" s="5">
        <v>25</v>
      </c>
      <c r="J22" s="5">
        <v>25</v>
      </c>
      <c r="K22" s="5"/>
      <c r="L22" s="5"/>
      <c r="M22" s="4" t="s">
        <v>82</v>
      </c>
      <c r="N22" s="5"/>
      <c r="O22" s="5"/>
      <c r="P22" s="5"/>
      <c r="Q22" s="5"/>
      <c r="R22" s="5">
        <v>13.16</v>
      </c>
      <c r="S22" s="5">
        <v>12.84</v>
      </c>
      <c r="T22" s="5">
        <f>R22-S22</f>
        <v>0.32000000000000028</v>
      </c>
      <c r="U22" s="5">
        <v>5.16</v>
      </c>
      <c r="V22" s="5">
        <v>5.39</v>
      </c>
      <c r="W22" s="5"/>
      <c r="X22" s="5"/>
      <c r="Y22" s="5"/>
      <c r="Z22" s="5"/>
      <c r="AA22" s="5"/>
      <c r="AB22" s="5"/>
      <c r="AC22" s="5">
        <f>SQRT(((I22-1)*U22^2+(J22-1)*V22^2)/(I22+J22-2))</f>
        <v>5.2762534055899932</v>
      </c>
      <c r="AD22" s="5">
        <f>SQRT((U22^2/I22)+(V22^2/J22))</f>
        <v>1.4923498249405198</v>
      </c>
      <c r="AE22" s="6">
        <f>(R22-S22) - (1.96*AD22)</f>
        <v>-2.6050056568834186</v>
      </c>
      <c r="AF22" s="5">
        <f>(R22-S22) + (1.96*AD22)</f>
        <v>3.2450056568834191</v>
      </c>
      <c r="AG22" s="6">
        <f>(R22-S22)/AC22</f>
        <v>6.0649096129646134E-2</v>
      </c>
    </row>
    <row r="23" spans="1:33" x14ac:dyDescent="0.35">
      <c r="A23" s="5"/>
      <c r="B23" s="5"/>
      <c r="C23" s="5" t="s">
        <v>90</v>
      </c>
      <c r="D23" s="5" t="s">
        <v>88</v>
      </c>
      <c r="E23" s="5" t="s">
        <v>84</v>
      </c>
      <c r="F23" s="4" t="s">
        <v>85</v>
      </c>
      <c r="G23" s="4" t="s">
        <v>86</v>
      </c>
      <c r="H23" s="5"/>
      <c r="I23" s="5">
        <v>25</v>
      </c>
      <c r="J23" s="5">
        <v>25</v>
      </c>
      <c r="K23" s="5"/>
      <c r="L23" s="5"/>
      <c r="M23" s="4" t="s">
        <v>82</v>
      </c>
      <c r="N23" s="5"/>
      <c r="O23" s="5"/>
      <c r="P23" s="5"/>
      <c r="Q23" s="5"/>
      <c r="R23" s="5">
        <v>13.48</v>
      </c>
      <c r="S23" s="5">
        <v>12.84</v>
      </c>
      <c r="T23" s="5">
        <f t="shared" ref="T23:T25" si="4">R23-S23</f>
        <v>0.64000000000000057</v>
      </c>
      <c r="U23" s="5">
        <v>4.0999999999999996</v>
      </c>
      <c r="V23" s="5">
        <v>5.39</v>
      </c>
      <c r="W23" s="5"/>
      <c r="X23" s="5"/>
      <c r="Y23" s="5"/>
      <c r="Z23" s="5"/>
      <c r="AA23" s="5"/>
      <c r="AB23" s="5"/>
      <c r="AC23" s="5">
        <f t="shared" ref="AC23:AC25" si="5">SQRT(((I23-1)*U23^2+(J23-1)*V23^2)/(I23+J23-2))</f>
        <v>4.7886375933035481</v>
      </c>
      <c r="AD23" s="5">
        <f t="shared" ref="AD23:AD25" si="6">SQRT((U23^2/I23)+(V23^2/J23))</f>
        <v>1.3544312459479071</v>
      </c>
      <c r="AE23" s="6">
        <f t="shared" ref="AE23:AE25" si="7">(R23-S23) - (1.96*AD23)</f>
        <v>-2.0146852420578973</v>
      </c>
      <c r="AF23" s="5">
        <f t="shared" ref="AF23:AF25" si="8">(R23-S23) + (1.96*AD23)</f>
        <v>3.2946852420578985</v>
      </c>
      <c r="AG23" s="6">
        <f t="shared" ref="AG23:AG25" si="9">(R23-S23)/AC23</f>
        <v>0.13364970464563436</v>
      </c>
    </row>
    <row r="24" spans="1:33" x14ac:dyDescent="0.35">
      <c r="A24" s="5"/>
      <c r="B24" s="5"/>
      <c r="C24" s="5" t="s">
        <v>91</v>
      </c>
      <c r="D24" s="5" t="s">
        <v>88</v>
      </c>
      <c r="E24" s="5" t="s">
        <v>84</v>
      </c>
      <c r="F24" s="4" t="s">
        <v>85</v>
      </c>
      <c r="G24" s="4" t="s">
        <v>86</v>
      </c>
      <c r="H24" s="5"/>
      <c r="I24" s="5">
        <v>25</v>
      </c>
      <c r="J24" s="5">
        <v>25</v>
      </c>
      <c r="K24" s="5"/>
      <c r="L24" s="5"/>
      <c r="M24" s="4" t="s">
        <v>82</v>
      </c>
      <c r="N24" s="5"/>
      <c r="O24" s="5"/>
      <c r="P24" s="5"/>
      <c r="Q24" s="5"/>
      <c r="R24" s="5">
        <v>14.28</v>
      </c>
      <c r="S24" s="5">
        <v>12.84</v>
      </c>
      <c r="T24" s="5">
        <f t="shared" si="4"/>
        <v>1.4399999999999995</v>
      </c>
      <c r="U24" s="5">
        <v>4.97</v>
      </c>
      <c r="V24" s="5">
        <v>5.39</v>
      </c>
      <c r="W24" s="5"/>
      <c r="X24" s="5"/>
      <c r="Y24" s="5"/>
      <c r="Z24" s="5"/>
      <c r="AA24" s="5"/>
      <c r="AB24" s="5"/>
      <c r="AC24" s="5">
        <f t="shared" si="5"/>
        <v>5.1842550091599469</v>
      </c>
      <c r="AD24" s="5">
        <f t="shared" si="6"/>
        <v>1.46632874895093</v>
      </c>
      <c r="AE24" s="6">
        <f t="shared" si="7"/>
        <v>-1.4340043479438234</v>
      </c>
      <c r="AF24" s="5">
        <f t="shared" si="8"/>
        <v>4.3140043479438219</v>
      </c>
      <c r="AG24" s="6">
        <f t="shared" si="9"/>
        <v>0.27776411412164237</v>
      </c>
    </row>
    <row r="25" spans="1:33" x14ac:dyDescent="0.35">
      <c r="A25" s="5"/>
      <c r="B25" s="5"/>
      <c r="C25" s="5" t="s">
        <v>92</v>
      </c>
      <c r="D25" s="5" t="s">
        <v>88</v>
      </c>
      <c r="E25" s="5" t="s">
        <v>84</v>
      </c>
      <c r="F25" s="4" t="s">
        <v>85</v>
      </c>
      <c r="G25" s="4" t="s">
        <v>86</v>
      </c>
      <c r="H25" s="5"/>
      <c r="I25" s="5">
        <v>25</v>
      </c>
      <c r="J25" s="5">
        <v>25</v>
      </c>
      <c r="K25" s="5"/>
      <c r="L25" s="5"/>
      <c r="M25" s="4" t="s">
        <v>82</v>
      </c>
      <c r="N25" s="5"/>
      <c r="O25" s="5"/>
      <c r="P25" s="5"/>
      <c r="Q25" s="5"/>
      <c r="R25" s="5">
        <v>13.96</v>
      </c>
      <c r="S25" s="5">
        <v>12.84</v>
      </c>
      <c r="T25" s="5">
        <f t="shared" si="4"/>
        <v>1.120000000000001</v>
      </c>
      <c r="U25" s="5">
        <v>5.57</v>
      </c>
      <c r="V25" s="5">
        <v>5.39</v>
      </c>
      <c r="W25" s="5"/>
      <c r="X25" s="5"/>
      <c r="Y25" s="5"/>
      <c r="Z25" s="5"/>
      <c r="AA25" s="5"/>
      <c r="AB25" s="5"/>
      <c r="AC25" s="5">
        <f t="shared" si="5"/>
        <v>5.4807390012661612</v>
      </c>
      <c r="AD25" s="5">
        <f t="shared" si="6"/>
        <v>1.5501870854835555</v>
      </c>
      <c r="AE25" s="6">
        <f t="shared" si="7"/>
        <v>-1.9183666875477678</v>
      </c>
      <c r="AF25" s="5">
        <f t="shared" si="8"/>
        <v>4.1583666875477698</v>
      </c>
      <c r="AG25" s="6">
        <f t="shared" si="9"/>
        <v>0.20435200430840775</v>
      </c>
    </row>
    <row r="26" spans="1:33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</row>
    <row r="27" spans="1:33" x14ac:dyDescent="0.35">
      <c r="A27" s="7" t="s">
        <v>17</v>
      </c>
      <c r="B27" s="7" t="s">
        <v>51</v>
      </c>
      <c r="C27" s="7" t="s">
        <v>64</v>
      </c>
      <c r="D27" s="7" t="s">
        <v>67</v>
      </c>
      <c r="E27" s="7" t="s">
        <v>5</v>
      </c>
      <c r="F27" s="7" t="s">
        <v>6</v>
      </c>
      <c r="G27" s="8" t="s">
        <v>7</v>
      </c>
      <c r="H27" s="8" t="s">
        <v>8</v>
      </c>
      <c r="I27" s="8" t="s">
        <v>60</v>
      </c>
      <c r="J27" s="8" t="s">
        <v>61</v>
      </c>
      <c r="K27" s="8" t="s">
        <v>80</v>
      </c>
      <c r="L27" s="8" t="s">
        <v>81</v>
      </c>
      <c r="M27" s="8" t="s">
        <v>11</v>
      </c>
      <c r="N27" s="7" t="s">
        <v>13</v>
      </c>
      <c r="O27" s="7" t="s">
        <v>14</v>
      </c>
      <c r="P27" s="7" t="s">
        <v>15</v>
      </c>
      <c r="Q27" s="7" t="s">
        <v>47</v>
      </c>
      <c r="R27" s="7" t="s">
        <v>58</v>
      </c>
      <c r="S27" s="7" t="s">
        <v>59</v>
      </c>
      <c r="T27" s="7" t="s">
        <v>89</v>
      </c>
      <c r="U27" s="7" t="s">
        <v>62</v>
      </c>
      <c r="V27" s="7" t="s">
        <v>63</v>
      </c>
      <c r="W27" s="7" t="s">
        <v>48</v>
      </c>
      <c r="X27" s="7" t="s">
        <v>49</v>
      </c>
      <c r="Y27" s="7" t="s">
        <v>50</v>
      </c>
      <c r="Z27" s="7" t="s">
        <v>2</v>
      </c>
      <c r="AA27" s="7" t="s">
        <v>3</v>
      </c>
      <c r="AB27" s="7" t="s">
        <v>16</v>
      </c>
      <c r="AC27" s="7" t="s">
        <v>4</v>
      </c>
      <c r="AD27" s="7" t="s">
        <v>36</v>
      </c>
      <c r="AE27" s="7" t="s">
        <v>38</v>
      </c>
      <c r="AF27" s="7" t="s">
        <v>37</v>
      </c>
      <c r="AG27" s="9" t="s">
        <v>35</v>
      </c>
    </row>
    <row r="28" spans="1:33" x14ac:dyDescent="0.35">
      <c r="A28" s="5"/>
      <c r="B28" s="5"/>
      <c r="C28" s="5"/>
      <c r="D28" s="5"/>
      <c r="E28" s="4" t="s">
        <v>99</v>
      </c>
      <c r="F28" s="4" t="s">
        <v>100</v>
      </c>
      <c r="G28" s="4" t="s">
        <v>101</v>
      </c>
      <c r="H28" s="5">
        <v>15</v>
      </c>
      <c r="I28" s="5"/>
      <c r="J28" s="5"/>
      <c r="K28" s="5"/>
      <c r="L28" s="5"/>
      <c r="M28" s="4" t="s">
        <v>102</v>
      </c>
      <c r="N28" s="5">
        <v>13.63</v>
      </c>
      <c r="O28" s="5">
        <v>5.38</v>
      </c>
      <c r="P28" s="5">
        <f>O28-N28</f>
        <v>-8.25</v>
      </c>
      <c r="Q28" s="5"/>
      <c r="R28" s="5"/>
      <c r="S28" s="5"/>
      <c r="T28" s="5"/>
      <c r="U28" s="5"/>
      <c r="V28" s="5"/>
      <c r="W28" s="5"/>
      <c r="X28" s="5"/>
      <c r="Y28" s="5"/>
      <c r="Z28" s="5">
        <v>8.2799999999999994</v>
      </c>
      <c r="AA28" s="5">
        <v>4.8600000000000003</v>
      </c>
      <c r="AB28" s="5">
        <f>SQRT((Z28^2 + AA28^2)/2)</f>
        <v>6.7888879796325998</v>
      </c>
      <c r="AC28" s="5"/>
      <c r="AD28" s="5">
        <f>AB28/SQRT(H28)</f>
        <v>1.7528833389589851</v>
      </c>
      <c r="AE28" s="5">
        <f>P28-(1.96*AD28)</f>
        <v>-11.685651344359611</v>
      </c>
      <c r="AF28" s="5">
        <f>P28+(1.96*AD28)</f>
        <v>-4.8143486556403889</v>
      </c>
      <c r="AG28" s="6">
        <f>P28/AB28</f>
        <v>-1.2152211120217176</v>
      </c>
    </row>
    <row r="29" spans="1:33" x14ac:dyDescent="0.35">
      <c r="A29" s="5"/>
      <c r="B29" s="5"/>
      <c r="C29" s="5"/>
      <c r="D29" s="5"/>
      <c r="E29" s="4" t="s">
        <v>103</v>
      </c>
      <c r="F29" s="4" t="s">
        <v>104</v>
      </c>
      <c r="G29" s="4" t="s">
        <v>101</v>
      </c>
      <c r="H29" s="5">
        <v>29</v>
      </c>
      <c r="I29" s="5"/>
      <c r="J29" s="5"/>
      <c r="K29" s="5"/>
      <c r="L29" s="5"/>
      <c r="M29" s="4" t="s">
        <v>105</v>
      </c>
      <c r="N29" s="5">
        <v>21.97</v>
      </c>
      <c r="O29" s="5">
        <v>15.38</v>
      </c>
      <c r="P29" s="5">
        <f>O29-N29</f>
        <v>-6.5899999999999981</v>
      </c>
      <c r="Q29" s="5"/>
      <c r="R29" s="5"/>
      <c r="S29" s="5"/>
      <c r="T29" s="5"/>
      <c r="U29" s="5"/>
      <c r="V29" s="5"/>
      <c r="W29" s="5"/>
      <c r="X29" s="5"/>
      <c r="Y29" s="5"/>
      <c r="Z29" s="5">
        <v>15.94</v>
      </c>
      <c r="AA29" s="5">
        <v>16.010000000000002</v>
      </c>
      <c r="AB29" s="5">
        <f>SQRT((Z29^2 + AA29^2)/2)</f>
        <v>15.975038341112048</v>
      </c>
      <c r="AC29" s="5"/>
      <c r="AD29" s="5">
        <f>AB29/SQRT(H29)</f>
        <v>2.9664901471441718</v>
      </c>
      <c r="AE29" s="5">
        <f>P29-(1.96*AD29)</f>
        <v>-12.404320688402574</v>
      </c>
      <c r="AF29" s="5">
        <f>P29+(1.96*AD29)</f>
        <v>-0.77567931159742187</v>
      </c>
      <c r="AG29" s="6">
        <f>P29/AB29</f>
        <v>-0.41251857174204798</v>
      </c>
    </row>
    <row r="30" spans="1:33" x14ac:dyDescent="0.35">
      <c r="A30" s="5"/>
      <c r="B30" s="5"/>
      <c r="C30" s="5"/>
      <c r="D30" s="5"/>
      <c r="E30" s="4" t="s">
        <v>106</v>
      </c>
      <c r="F30" s="4" t="s">
        <v>107</v>
      </c>
      <c r="G30" s="4" t="s">
        <v>101</v>
      </c>
      <c r="H30" s="5">
        <v>45</v>
      </c>
      <c r="I30" s="5"/>
      <c r="J30" s="5"/>
      <c r="K30" s="5"/>
      <c r="L30" s="5"/>
      <c r="M30" s="4" t="s">
        <v>108</v>
      </c>
      <c r="N30" s="5">
        <v>3.09</v>
      </c>
      <c r="O30" s="5">
        <v>1.65</v>
      </c>
      <c r="P30" s="5">
        <f>O30-N30</f>
        <v>-1.44</v>
      </c>
      <c r="Q30" s="5"/>
      <c r="R30" s="5"/>
      <c r="S30" s="5"/>
      <c r="T30" s="5"/>
      <c r="U30" s="5"/>
      <c r="V30" s="5"/>
      <c r="W30" s="5"/>
      <c r="X30" s="5"/>
      <c r="Y30" s="5"/>
      <c r="Z30" s="5">
        <v>0.15</v>
      </c>
      <c r="AA30" s="5">
        <v>0.09</v>
      </c>
      <c r="AB30" s="5">
        <f>SQRT((Z30^2 + AA30^2)/2)</f>
        <v>0.12369316876852982</v>
      </c>
      <c r="AC30" s="5"/>
      <c r="AD30" s="5">
        <f>AB30/SQRT(H30)</f>
        <v>1.8439088914585774E-2</v>
      </c>
      <c r="AE30" s="5">
        <f>P30-(1.96*AD30)</f>
        <v>-1.4761406142725881</v>
      </c>
      <c r="AF30" s="5">
        <f>P30+(1.96*AD30)</f>
        <v>-1.4038593857274118</v>
      </c>
      <c r="AG30" s="6">
        <f>P30/AB30</f>
        <v>-11.641710001743983</v>
      </c>
    </row>
    <row r="31" spans="1:33" x14ac:dyDescent="0.35">
      <c r="A31" s="5"/>
      <c r="B31" s="5"/>
      <c r="C31" s="5"/>
      <c r="D31" s="5"/>
      <c r="E31" s="4"/>
      <c r="F31" s="4"/>
      <c r="G31" s="4"/>
      <c r="H31" s="5"/>
      <c r="I31" s="5"/>
      <c r="J31" s="5"/>
      <c r="K31" s="5"/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</row>
    <row r="32" spans="1:33" x14ac:dyDescent="0.35">
      <c r="A32" s="7" t="s">
        <v>17</v>
      </c>
      <c r="B32" s="7" t="s">
        <v>51</v>
      </c>
      <c r="C32" s="7" t="s">
        <v>64</v>
      </c>
      <c r="D32" s="7" t="s">
        <v>67</v>
      </c>
      <c r="E32" s="7" t="s">
        <v>5</v>
      </c>
      <c r="F32" s="7" t="s">
        <v>6</v>
      </c>
      <c r="G32" s="8" t="s">
        <v>7</v>
      </c>
      <c r="H32" s="8" t="s">
        <v>8</v>
      </c>
      <c r="I32" s="8" t="s">
        <v>60</v>
      </c>
      <c r="J32" s="8" t="s">
        <v>61</v>
      </c>
      <c r="K32" s="8" t="s">
        <v>80</v>
      </c>
      <c r="L32" s="8" t="s">
        <v>81</v>
      </c>
      <c r="M32" s="8" t="s">
        <v>11</v>
      </c>
      <c r="N32" s="7" t="s">
        <v>13</v>
      </c>
      <c r="O32" s="7" t="s">
        <v>14</v>
      </c>
      <c r="P32" s="7" t="s">
        <v>15</v>
      </c>
      <c r="Q32" s="7" t="s">
        <v>47</v>
      </c>
      <c r="R32" s="7" t="s">
        <v>58</v>
      </c>
      <c r="S32" s="7" t="s">
        <v>59</v>
      </c>
      <c r="T32" s="7" t="s">
        <v>89</v>
      </c>
      <c r="U32" s="7" t="s">
        <v>62</v>
      </c>
      <c r="V32" s="7" t="s">
        <v>63</v>
      </c>
      <c r="W32" s="7" t="s">
        <v>48</v>
      </c>
      <c r="X32" s="7" t="s">
        <v>49</v>
      </c>
      <c r="Y32" s="7" t="s">
        <v>50</v>
      </c>
      <c r="Z32" s="7" t="s">
        <v>2</v>
      </c>
      <c r="AA32" s="7" t="s">
        <v>3</v>
      </c>
      <c r="AB32" s="7" t="s">
        <v>16</v>
      </c>
      <c r="AC32" s="7" t="s">
        <v>4</v>
      </c>
      <c r="AD32" s="7" t="s">
        <v>36</v>
      </c>
      <c r="AE32" s="7" t="s">
        <v>38</v>
      </c>
      <c r="AF32" s="7" t="s">
        <v>37</v>
      </c>
      <c r="AG32" s="9" t="s">
        <v>35</v>
      </c>
    </row>
    <row r="33" spans="1:33" x14ac:dyDescent="0.35">
      <c r="A33" s="5"/>
      <c r="B33" s="5"/>
      <c r="C33" s="5"/>
      <c r="D33" s="5"/>
      <c r="E33" s="4" t="s">
        <v>99</v>
      </c>
      <c r="F33" s="4" t="s">
        <v>100</v>
      </c>
      <c r="G33" s="4" t="s">
        <v>101</v>
      </c>
      <c r="H33" s="5">
        <v>15</v>
      </c>
      <c r="I33" s="5"/>
      <c r="J33" s="5"/>
      <c r="K33" s="5"/>
      <c r="L33" s="5"/>
      <c r="M33" s="4" t="s">
        <v>109</v>
      </c>
      <c r="N33" s="5">
        <v>49.6</v>
      </c>
      <c r="O33" s="5">
        <v>77.94</v>
      </c>
      <c r="P33" s="5">
        <f>O33-N33</f>
        <v>28.339999999999996</v>
      </c>
      <c r="Q33" s="5"/>
      <c r="R33" s="5"/>
      <c r="S33" s="5"/>
      <c r="T33" s="5"/>
      <c r="U33" s="5"/>
      <c r="V33" s="5"/>
      <c r="W33" s="5"/>
      <c r="X33" s="5"/>
      <c r="Y33" s="5"/>
      <c r="Z33" s="5">
        <v>24.62</v>
      </c>
      <c r="AA33" s="5">
        <v>23.98</v>
      </c>
      <c r="AB33" s="5">
        <f>SQRT((Z33^2 + AA33^2)/2)</f>
        <v>24.302106904546363</v>
      </c>
      <c r="AC33" s="5"/>
      <c r="AD33" s="5">
        <f>AB33/SQRT(H33)</f>
        <v>6.2747770212706895</v>
      </c>
      <c r="AE33" s="5">
        <f>P33-(1.96*AD33)</f>
        <v>16.041437038309446</v>
      </c>
      <c r="AF33" s="5">
        <f>P33+(1.96*AD33)</f>
        <v>40.638562961690546</v>
      </c>
      <c r="AG33" s="6">
        <f>P33/AB33</f>
        <v>1.1661540339409104</v>
      </c>
    </row>
    <row r="34" spans="1:33" x14ac:dyDescent="0.35">
      <c r="A34" s="5"/>
      <c r="B34" s="5"/>
      <c r="C34" s="5" t="s">
        <v>114</v>
      </c>
      <c r="D34" s="5" t="s">
        <v>115</v>
      </c>
      <c r="E34" s="4" t="s">
        <v>110</v>
      </c>
      <c r="F34" s="4" t="s">
        <v>111</v>
      </c>
      <c r="G34" s="4" t="s">
        <v>113</v>
      </c>
      <c r="H34" s="5"/>
      <c r="I34" s="5">
        <v>18</v>
      </c>
      <c r="J34" s="5">
        <v>18</v>
      </c>
      <c r="K34" s="5"/>
      <c r="L34" s="5"/>
      <c r="M34" s="4" t="s">
        <v>112</v>
      </c>
      <c r="N34" s="5"/>
      <c r="O34" s="5"/>
      <c r="P34" s="5"/>
      <c r="Q34" s="5"/>
      <c r="R34" s="5">
        <v>36.39</v>
      </c>
      <c r="S34" s="5">
        <v>37.979999999999997</v>
      </c>
      <c r="T34" s="5">
        <f t="shared" ref="T34:T36" si="10">R34-S34</f>
        <v>-1.5899999999999963</v>
      </c>
      <c r="U34" s="5">
        <v>3.68</v>
      </c>
      <c r="V34" s="5">
        <v>4.8099999999999996</v>
      </c>
      <c r="W34" s="5"/>
      <c r="X34" s="5"/>
      <c r="Y34" s="5"/>
      <c r="Z34" s="5"/>
      <c r="AA34" s="5"/>
      <c r="AB34" s="5"/>
      <c r="AC34" s="5">
        <f t="shared" ref="AC34:AC36" si="11">SQRT(((I34-1)*U34^2+(J34-1)*V34^2)/(I34+J34-2))</f>
        <v>4.2824350549658075</v>
      </c>
      <c r="AD34" s="5">
        <f t="shared" ref="AD34:AD36" si="12">SQRT((U34^2/I34)+(V34^2/J34))</f>
        <v>1.4274783516552692</v>
      </c>
      <c r="AE34" s="5">
        <f t="shared" ref="AE34:AE36" si="13">(R34-S34) - (1.96*AD34)</f>
        <v>-4.3878575692443231</v>
      </c>
      <c r="AF34" s="5">
        <f t="shared" ref="AF34:AF36" si="14">(R34-S34) + (1.96*AD34)</f>
        <v>1.207857569244331</v>
      </c>
      <c r="AG34" s="6">
        <f t="shared" ref="AG34:AG36" si="15">(R34-S34)/AC34</f>
        <v>-0.3712840894472576</v>
      </c>
    </row>
    <row r="35" spans="1:33" x14ac:dyDescent="0.35">
      <c r="A35" s="5"/>
      <c r="B35" s="5"/>
      <c r="C35" s="5" t="s">
        <v>118</v>
      </c>
      <c r="D35" s="5" t="s">
        <v>115</v>
      </c>
      <c r="E35" s="4" t="s">
        <v>106</v>
      </c>
      <c r="F35" s="4" t="s">
        <v>107</v>
      </c>
      <c r="G35" s="4" t="s">
        <v>116</v>
      </c>
      <c r="H35" s="5"/>
      <c r="I35" s="5">
        <v>45</v>
      </c>
      <c r="J35" s="5">
        <v>45</v>
      </c>
      <c r="K35" s="5"/>
      <c r="L35" s="5"/>
      <c r="M35" s="4" t="s">
        <v>117</v>
      </c>
      <c r="N35" s="5"/>
      <c r="O35" s="5"/>
      <c r="P35" s="5"/>
      <c r="Q35" s="5"/>
      <c r="R35" s="5">
        <v>0.23</v>
      </c>
      <c r="S35" s="5">
        <v>0.14000000000000001</v>
      </c>
      <c r="T35" s="5">
        <f t="shared" si="10"/>
        <v>0.09</v>
      </c>
      <c r="U35" s="5">
        <v>0.02</v>
      </c>
      <c r="V35" s="5">
        <v>0.03</v>
      </c>
      <c r="W35" s="5"/>
      <c r="X35" s="5"/>
      <c r="Y35" s="5"/>
      <c r="Z35" s="5"/>
      <c r="AA35" s="5"/>
      <c r="AB35" s="5"/>
      <c r="AC35" s="5">
        <f t="shared" si="11"/>
        <v>2.5495097567963924E-2</v>
      </c>
      <c r="AD35" s="5">
        <f t="shared" si="12"/>
        <v>5.3748384988656995E-3</v>
      </c>
      <c r="AE35" s="5">
        <f t="shared" si="13"/>
        <v>7.9465316542223219E-2</v>
      </c>
      <c r="AF35" s="5">
        <f t="shared" si="14"/>
        <v>0.10053468345777677</v>
      </c>
      <c r="AG35" s="6">
        <f t="shared" si="15"/>
        <v>3.5300904324873126</v>
      </c>
    </row>
    <row r="36" spans="1:33" x14ac:dyDescent="0.35">
      <c r="A36" s="5"/>
      <c r="B36" s="5"/>
      <c r="C36" s="5" t="s">
        <v>122</v>
      </c>
      <c r="D36" s="5" t="s">
        <v>123</v>
      </c>
      <c r="E36" s="4" t="s">
        <v>119</v>
      </c>
      <c r="F36" s="4" t="s">
        <v>120</v>
      </c>
      <c r="G36" s="4" t="s">
        <v>121</v>
      </c>
      <c r="H36" s="5"/>
      <c r="I36" s="5">
        <v>25</v>
      </c>
      <c r="J36" s="5">
        <v>25</v>
      </c>
      <c r="K36" s="5"/>
      <c r="L36" s="5"/>
      <c r="M36" s="4" t="s">
        <v>124</v>
      </c>
      <c r="N36" s="5"/>
      <c r="O36" s="5"/>
      <c r="P36" s="5"/>
      <c r="Q36" s="5"/>
      <c r="R36" s="5">
        <v>28326.92</v>
      </c>
      <c r="S36" s="4">
        <v>23618.74</v>
      </c>
      <c r="T36" s="5">
        <f t="shared" si="10"/>
        <v>4708.1799999999967</v>
      </c>
      <c r="U36" s="5">
        <v>2956.05</v>
      </c>
      <c r="V36" s="5">
        <v>2501.16</v>
      </c>
      <c r="W36" s="5"/>
      <c r="X36" s="5"/>
      <c r="Y36" s="5"/>
      <c r="Z36" s="5"/>
      <c r="AA36" s="5"/>
      <c r="AB36" s="5"/>
      <c r="AC36" s="5">
        <f t="shared" si="11"/>
        <v>2738.0680185214537</v>
      </c>
      <c r="AD36" s="5">
        <f t="shared" si="12"/>
        <v>774.44258529861327</v>
      </c>
      <c r="AE36" s="5">
        <f t="shared" si="13"/>
        <v>3190.2725328147144</v>
      </c>
      <c r="AF36" s="5">
        <f t="shared" si="14"/>
        <v>6226.0874671852789</v>
      </c>
      <c r="AG36" s="6">
        <f t="shared" si="15"/>
        <v>1.7195263113085102</v>
      </c>
    </row>
    <row r="37" spans="1:33" x14ac:dyDescent="0.35">
      <c r="A37" s="5"/>
      <c r="B37" s="5"/>
      <c r="C37" s="5" t="s">
        <v>127</v>
      </c>
      <c r="D37" s="5" t="s">
        <v>128</v>
      </c>
      <c r="E37" s="4" t="s">
        <v>103</v>
      </c>
      <c r="F37" s="4" t="s">
        <v>104</v>
      </c>
      <c r="G37" s="4" t="s">
        <v>125</v>
      </c>
      <c r="H37" s="5">
        <v>26</v>
      </c>
      <c r="I37" s="5"/>
      <c r="J37" s="5"/>
      <c r="K37" s="5"/>
      <c r="L37" s="5"/>
      <c r="M37" s="4" t="s">
        <v>126</v>
      </c>
      <c r="N37" s="5">
        <v>3.37</v>
      </c>
      <c r="O37" s="5">
        <v>4.13</v>
      </c>
      <c r="P37" s="5">
        <f>O37-N37</f>
        <v>0.75999999999999979</v>
      </c>
      <c r="Q37" s="5"/>
      <c r="R37" s="5"/>
      <c r="S37" s="4"/>
      <c r="T37" s="5"/>
      <c r="U37" s="5"/>
      <c r="V37" s="5"/>
      <c r="W37" s="5"/>
      <c r="X37" s="5"/>
      <c r="Y37" s="5"/>
      <c r="Z37" s="5">
        <v>1.18</v>
      </c>
      <c r="AA37" s="5">
        <v>1.97</v>
      </c>
      <c r="AB37" s="5">
        <f>SQRT((Z37^2 + AA37^2)/2)</f>
        <v>1.6237764624479565</v>
      </c>
      <c r="AC37" s="5"/>
      <c r="AD37" s="5">
        <f>AB37/SQRT(H37)</f>
        <v>0.31844876414364587</v>
      </c>
      <c r="AE37" s="5">
        <f>P37-(1.96*AD37)</f>
        <v>0.13584042227845394</v>
      </c>
      <c r="AF37" s="5">
        <f>P37+(1.96*AD37)</f>
        <v>1.3841595777215456</v>
      </c>
      <c r="AG37" s="6">
        <f>P37/AB37</f>
        <v>0.46804472017918447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 Malibary</dc:creator>
  <cp:lastModifiedBy>Salem Malibary</cp:lastModifiedBy>
  <dcterms:created xsi:type="dcterms:W3CDTF">2025-03-17T12:54:13Z</dcterms:created>
  <dcterms:modified xsi:type="dcterms:W3CDTF">2025-03-24T22:58:45Z</dcterms:modified>
</cp:coreProperties>
</file>