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06"/>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69f\AC\Temp\"/>
    </mc:Choice>
  </mc:AlternateContent>
  <xr:revisionPtr revIDLastSave="793" documentId="8_{BFB0F562-77FA-40B6-B4BD-306D194A459D}" xr6:coauthVersionLast="45" xr6:coauthVersionMax="45" xr10:uidLastSave="{F7B8D926-C9F0-437E-9668-CB083B97BC7A}"/>
  <bookViews>
    <workbookView xWindow="-105" yWindow="-105" windowWidth="20715" windowHeight="13275" xr2:uid="{B6650B38-6489-4EEE-A517-B27425BA8976}"/>
  </bookViews>
  <sheets>
    <sheet name="study case 8Y" sheetId="1" r:id="rId1"/>
    <sheet name="Population Weight" sheetId="2" r:id="rId2"/>
  </sheets>
  <definedNames>
    <definedName name="solver_adj" localSheetId="0" hidden="1">'study case 8Y'!$S$53</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'study case 8Y'!$T$55</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3</definedName>
    <definedName name="solver_val" localSheetId="0" hidden="1">0</definedName>
    <definedName name="solver_ver" localSheetId="0" hidden="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16" i="1" l="1"/>
  <c r="O214" i="1"/>
  <c r="O209" i="1"/>
  <c r="O210" i="1"/>
  <c r="O211" i="1"/>
  <c r="O212" i="1"/>
  <c r="O213" i="1"/>
  <c r="O208" i="1"/>
  <c r="O207" i="1"/>
  <c r="M209" i="1"/>
  <c r="M210" i="1"/>
  <c r="M211" i="1"/>
  <c r="M212" i="1"/>
  <c r="M213" i="1"/>
  <c r="M208" i="1"/>
  <c r="M195" i="1"/>
  <c r="T206" i="1"/>
  <c r="K210" i="1"/>
  <c r="K212" i="1"/>
  <c r="K208" i="1"/>
  <c r="K207" i="1"/>
  <c r="I212" i="1"/>
  <c r="I213" i="1"/>
  <c r="K213" i="1" s="1"/>
  <c r="I209" i="1"/>
  <c r="K209" i="1" s="1"/>
  <c r="I210" i="1"/>
  <c r="I211" i="1"/>
  <c r="K211" i="1" s="1"/>
  <c r="I208" i="1"/>
  <c r="G209" i="1"/>
  <c r="G210" i="1"/>
  <c r="G211" i="1"/>
  <c r="G212" i="1"/>
  <c r="G208" i="1"/>
  <c r="E213" i="1"/>
  <c r="G213" i="1" s="1"/>
  <c r="E210" i="1"/>
  <c r="E211" i="1"/>
  <c r="E212" i="1"/>
  <c r="E209" i="1"/>
  <c r="E208" i="1"/>
  <c r="C207" i="1"/>
  <c r="C208" i="1"/>
  <c r="C209" i="1"/>
  <c r="C210" i="1"/>
  <c r="C211" i="1"/>
  <c r="C212" i="1"/>
  <c r="C213" i="1"/>
  <c r="O196" i="1"/>
  <c r="O197" i="1"/>
  <c r="O198" i="1"/>
  <c r="O199" i="1"/>
  <c r="O200" i="1"/>
  <c r="O195" i="1"/>
  <c r="O194" i="1"/>
  <c r="M196" i="1"/>
  <c r="M197" i="1"/>
  <c r="M198" i="1"/>
  <c r="M199" i="1"/>
  <c r="M200" i="1"/>
  <c r="T193" i="1"/>
  <c r="D151" i="1"/>
  <c r="E195" i="1" s="1"/>
  <c r="G195" i="1" s="1"/>
  <c r="I195" i="1" s="1"/>
  <c r="K195" i="1" s="1"/>
  <c r="C196" i="1"/>
  <c r="C197" i="1"/>
  <c r="C198" i="1"/>
  <c r="C199" i="1"/>
  <c r="C200" i="1"/>
  <c r="C195" i="1"/>
  <c r="M163" i="1"/>
  <c r="M164" i="1"/>
  <c r="M165" i="1"/>
  <c r="M166" i="1"/>
  <c r="M167" i="1"/>
  <c r="M162" i="1"/>
  <c r="M176" i="1"/>
  <c r="M177" i="1"/>
  <c r="O177" i="1" s="1"/>
  <c r="M178" i="1"/>
  <c r="M179" i="1"/>
  <c r="M180" i="1"/>
  <c r="M181" i="1"/>
  <c r="M175" i="1"/>
  <c r="T173" i="1"/>
  <c r="O176" i="1"/>
  <c r="O178" i="1"/>
  <c r="O179" i="1"/>
  <c r="O180" i="1"/>
  <c r="O181" i="1"/>
  <c r="O175" i="1"/>
  <c r="O174" i="1"/>
  <c r="K176" i="1"/>
  <c r="K177" i="1"/>
  <c r="K178" i="1"/>
  <c r="K179" i="1"/>
  <c r="K180" i="1"/>
  <c r="K181" i="1"/>
  <c r="K174" i="1"/>
  <c r="I176" i="1"/>
  <c r="I177" i="1"/>
  <c r="I178" i="1"/>
  <c r="I179" i="1"/>
  <c r="I180" i="1"/>
  <c r="I181" i="1"/>
  <c r="I175" i="1"/>
  <c r="K175" i="1" s="1"/>
  <c r="G176" i="1"/>
  <c r="G177" i="1"/>
  <c r="G178" i="1"/>
  <c r="G179" i="1"/>
  <c r="G180" i="1"/>
  <c r="G181" i="1"/>
  <c r="G175" i="1"/>
  <c r="E181" i="1"/>
  <c r="E177" i="1"/>
  <c r="E178" i="1"/>
  <c r="E179" i="1"/>
  <c r="E180" i="1"/>
  <c r="E176" i="1"/>
  <c r="E175" i="1"/>
  <c r="E163" i="1"/>
  <c r="E162" i="1"/>
  <c r="C176" i="1"/>
  <c r="C177" i="1"/>
  <c r="C178" i="1"/>
  <c r="C179" i="1"/>
  <c r="C180" i="1"/>
  <c r="C181" i="1"/>
  <c r="C175" i="1"/>
  <c r="C174" i="1"/>
  <c r="O164" i="1"/>
  <c r="O165" i="1"/>
  <c r="O166" i="1"/>
  <c r="O167" i="1"/>
  <c r="O161" i="1"/>
  <c r="K161" i="1"/>
  <c r="O201" i="1" l="1"/>
  <c r="O203" i="1" s="1"/>
  <c r="C194" i="1"/>
  <c r="K194" i="1" s="1"/>
  <c r="E199" i="1"/>
  <c r="G199" i="1" s="1"/>
  <c r="I199" i="1" s="1"/>
  <c r="K199" i="1" s="1"/>
  <c r="E200" i="1"/>
  <c r="G200" i="1" s="1"/>
  <c r="I200" i="1" s="1"/>
  <c r="K200" i="1" s="1"/>
  <c r="E198" i="1"/>
  <c r="G198" i="1" s="1"/>
  <c r="I198" i="1" s="1"/>
  <c r="K198" i="1" s="1"/>
  <c r="E197" i="1"/>
  <c r="G197" i="1" s="1"/>
  <c r="I197" i="1" s="1"/>
  <c r="K197" i="1" s="1"/>
  <c r="E196" i="1"/>
  <c r="G196" i="1" s="1"/>
  <c r="I196" i="1" s="1"/>
  <c r="K196" i="1" s="1"/>
  <c r="O182" i="1"/>
  <c r="O184" i="1" s="1"/>
  <c r="K164" i="1"/>
  <c r="K165" i="1"/>
  <c r="K166" i="1"/>
  <c r="K167" i="1"/>
  <c r="G162" i="1"/>
  <c r="I162" i="1" s="1"/>
  <c r="K162" i="1" s="1"/>
  <c r="G163" i="1"/>
  <c r="I163" i="1" s="1"/>
  <c r="K163" i="1" s="1"/>
  <c r="O163" i="1" s="1"/>
  <c r="E164" i="1"/>
  <c r="G164" i="1" s="1"/>
  <c r="I164" i="1" s="1"/>
  <c r="E165" i="1"/>
  <c r="G165" i="1" s="1"/>
  <c r="I165" i="1" s="1"/>
  <c r="E166" i="1"/>
  <c r="G166" i="1" s="1"/>
  <c r="I166" i="1" s="1"/>
  <c r="E167" i="1"/>
  <c r="G167" i="1" s="1"/>
  <c r="I167" i="1" s="1"/>
  <c r="C161" i="1"/>
  <c r="U157" i="1"/>
  <c r="C167" i="1"/>
  <c r="C163" i="1"/>
  <c r="C164" i="1"/>
  <c r="C165" i="1"/>
  <c r="C166" i="1"/>
  <c r="C162" i="1"/>
  <c r="O162" i="1" l="1"/>
  <c r="O168" i="1" s="1"/>
  <c r="O170" i="1" s="1"/>
  <c r="T160" i="1"/>
  <c r="AA13" i="1"/>
  <c r="Y5" i="1"/>
  <c r="P39" i="1"/>
  <c r="I43" i="1" s="1"/>
  <c r="I46" i="1" s="1"/>
  <c r="Q39" i="1"/>
  <c r="AA14" i="1"/>
  <c r="AA15" i="1"/>
  <c r="S14" i="1"/>
  <c r="S15" i="1"/>
  <c r="S13" i="1"/>
  <c r="AA6" i="1"/>
  <c r="AA7" i="1"/>
  <c r="AA8" i="1"/>
  <c r="AA5" i="1"/>
  <c r="S6" i="1"/>
  <c r="S7" i="1"/>
  <c r="S8" i="1"/>
  <c r="S5" i="1"/>
  <c r="G55" i="1" l="1"/>
  <c r="I72" i="1"/>
  <c r="D72" i="1"/>
  <c r="B72" i="1"/>
  <c r="I55" i="1"/>
  <c r="T53" i="1"/>
  <c r="T55" i="1" s="1"/>
  <c r="E55" i="1"/>
  <c r="C43" i="1"/>
  <c r="C46" i="1" s="1"/>
  <c r="C50" i="1" s="1"/>
  <c r="G72" i="1"/>
  <c r="E43" i="1"/>
  <c r="P53" i="1"/>
  <c r="P55" i="1" s="1"/>
  <c r="C49" i="1"/>
  <c r="C48" i="1"/>
  <c r="C47" i="1"/>
  <c r="E46" i="1"/>
  <c r="G43" i="1"/>
  <c r="G46" i="1" s="1"/>
  <c r="C55" i="1"/>
  <c r="C58" i="1" s="1"/>
  <c r="E58" i="1"/>
  <c r="I47" i="1"/>
  <c r="I50" i="1"/>
  <c r="I51" i="1"/>
  <c r="I49" i="1"/>
  <c r="I48" i="1"/>
  <c r="I53" i="1" l="1"/>
  <c r="C61" i="1"/>
  <c r="C62" i="1"/>
  <c r="C60" i="1"/>
  <c r="C63" i="1"/>
  <c r="C59" i="1"/>
  <c r="C65" i="1" s="1"/>
  <c r="C51" i="1"/>
  <c r="C53" i="1"/>
  <c r="E49" i="1"/>
  <c r="G48" i="1"/>
  <c r="E47" i="1"/>
  <c r="E48" i="1"/>
  <c r="E50" i="1"/>
  <c r="E51" i="1"/>
  <c r="G47" i="1"/>
  <c r="G51" i="1"/>
  <c r="G50" i="1"/>
  <c r="G58" i="1"/>
  <c r="G49" i="1"/>
  <c r="I58" i="1"/>
  <c r="E59" i="1"/>
  <c r="E61" i="1"/>
  <c r="E62" i="1"/>
  <c r="E60" i="1"/>
  <c r="E63" i="1"/>
  <c r="E65" i="1" l="1"/>
  <c r="G53" i="1"/>
  <c r="G61" i="1"/>
  <c r="E53" i="1"/>
  <c r="G60" i="1"/>
  <c r="G63" i="1"/>
  <c r="G62" i="1"/>
  <c r="G59" i="1"/>
  <c r="I60" i="1"/>
  <c r="I61" i="1"/>
  <c r="I62" i="1"/>
  <c r="I63" i="1"/>
  <c r="I59" i="1"/>
  <c r="I65" i="1" s="1"/>
  <c r="G65" i="1" l="1"/>
  <c r="D73" i="1"/>
  <c r="B73" i="1"/>
  <c r="I73" i="1"/>
  <c r="G73" i="1"/>
</calcChain>
</file>

<file path=xl/sharedStrings.xml><?xml version="1.0" encoding="utf-8"?>
<sst xmlns="http://schemas.openxmlformats.org/spreadsheetml/2006/main" count="330" uniqueCount="179">
  <si>
    <t>CASE STUDY TEAM 8Y</t>
  </si>
  <si>
    <t>: The children of Billy and Rachel can walk to school in 3 min (0.1 miles) to Lewis E Rowe Elementary School</t>
  </si>
  <si>
    <t>Billy (Working Father in Las Vegas)</t>
  </si>
  <si>
    <t>Trip #</t>
  </si>
  <si>
    <t>Trip Purpose</t>
  </si>
  <si>
    <t xml:space="preserve">Trip Start Time </t>
  </si>
  <si>
    <t xml:space="preserve">Start Location </t>
  </si>
  <si>
    <t>End Location</t>
  </si>
  <si>
    <t>Trip Distance (mi)</t>
  </si>
  <si>
    <t>Drive*</t>
  </si>
  <si>
    <t>Walk</t>
  </si>
  <si>
    <t>Taxi**</t>
  </si>
  <si>
    <t>Public Transit*****</t>
  </si>
  <si>
    <t>Uber/Lyft***</t>
  </si>
  <si>
    <t xml:space="preserve">BikeShare**** </t>
  </si>
  <si>
    <t>ScootherShare</t>
  </si>
  <si>
    <r>
      <rPr>
        <b/>
        <sz val="11"/>
        <color theme="1"/>
        <rFont val="Calibri"/>
        <family val="2"/>
        <scheme val="minor"/>
      </rPr>
      <t>Education</t>
    </r>
    <r>
      <rPr>
        <sz val="11"/>
        <color theme="1"/>
        <rFont val="Calibri"/>
        <family val="2"/>
        <scheme val="minor"/>
      </rPr>
      <t>: Bachelor in IE</t>
    </r>
  </si>
  <si>
    <t>t (min)</t>
  </si>
  <si>
    <t>Expense</t>
  </si>
  <si>
    <t>walk (mi)</t>
  </si>
  <si>
    <r>
      <rPr>
        <b/>
        <sz val="11"/>
        <color theme="1"/>
        <rFont val="Calibri"/>
        <family val="2"/>
        <scheme val="minor"/>
      </rPr>
      <t>Income</t>
    </r>
    <r>
      <rPr>
        <sz val="11"/>
        <color theme="1"/>
        <rFont val="Calibri"/>
        <family val="2"/>
        <scheme val="minor"/>
      </rPr>
      <t>: $90,000 /yr (20 work days a month)</t>
    </r>
  </si>
  <si>
    <t>Commute</t>
  </si>
  <si>
    <t>6:40am</t>
  </si>
  <si>
    <t xml:space="preserve">Home </t>
  </si>
  <si>
    <t>Work</t>
  </si>
  <si>
    <t>N/A</t>
  </si>
  <si>
    <t>Home Address: 2480 University Circle Las Vegas, NV 89119</t>
  </si>
  <si>
    <t>Return Home</t>
  </si>
  <si>
    <t>3:30pm</t>
  </si>
  <si>
    <r>
      <rPr>
        <b/>
        <sz val="11"/>
        <color theme="1"/>
        <rFont val="Calibri"/>
        <family val="2"/>
        <scheme val="minor"/>
      </rPr>
      <t>Work</t>
    </r>
    <r>
      <rPr>
        <sz val="11"/>
        <color theme="1"/>
        <rFont val="Calibri"/>
        <family val="2"/>
        <scheme val="minor"/>
      </rPr>
      <t>: UNLV - South Maryland Parkway, Las Vegas</t>
    </r>
  </si>
  <si>
    <t>Leisure</t>
  </si>
  <si>
    <t>10:00pm</t>
  </si>
  <si>
    <t>Casino</t>
  </si>
  <si>
    <r>
      <rPr>
        <b/>
        <sz val="11"/>
        <color theme="1"/>
        <rFont val="Calibri"/>
        <family val="2"/>
        <scheme val="minor"/>
      </rPr>
      <t>Other Locations</t>
    </r>
    <r>
      <rPr>
        <sz val="11"/>
        <color theme="1"/>
        <rFont val="Calibri"/>
        <family val="2"/>
        <scheme val="minor"/>
      </rPr>
      <t>: Hard Rock Hotal and Casino Las Vegas</t>
    </r>
  </si>
  <si>
    <t>12:00pm</t>
  </si>
  <si>
    <r>
      <rPr>
        <b/>
        <sz val="11"/>
        <color theme="1"/>
        <rFont val="Calibri"/>
        <family val="2"/>
        <scheme val="minor"/>
      </rPr>
      <t>Casino Address</t>
    </r>
    <r>
      <rPr>
        <sz val="11"/>
        <color theme="1"/>
        <rFont val="Calibri"/>
        <family val="2"/>
        <scheme val="minor"/>
      </rPr>
      <t>: 4455 Paradise Rd, Las Vegas, NV 89169</t>
    </r>
  </si>
  <si>
    <t>Rachel (Working Mother in Las Vegas)</t>
  </si>
  <si>
    <t>Public Transit</t>
  </si>
  <si>
    <t>BikeShare**** (/mo)</t>
  </si>
  <si>
    <r>
      <rPr>
        <b/>
        <sz val="11"/>
        <color theme="1"/>
        <rFont val="Calibri"/>
        <family val="2"/>
        <scheme val="minor"/>
      </rPr>
      <t>Education</t>
    </r>
    <r>
      <rPr>
        <sz val="11"/>
        <color theme="1"/>
        <rFont val="Calibri"/>
        <family val="2"/>
        <scheme val="minor"/>
      </rPr>
      <t>: Bachelor in Nursing</t>
    </r>
  </si>
  <si>
    <r>
      <rPr>
        <b/>
        <sz val="11"/>
        <color theme="1"/>
        <rFont val="Calibri"/>
        <family val="2"/>
        <scheme val="minor"/>
      </rPr>
      <t>Income</t>
    </r>
    <r>
      <rPr>
        <sz val="11"/>
        <color theme="1"/>
        <rFont val="Calibri"/>
        <family val="2"/>
        <scheme val="minor"/>
      </rPr>
      <t>: $55,000 /yr (23 work days a month)</t>
    </r>
  </si>
  <si>
    <t>8:00am</t>
  </si>
  <si>
    <r>
      <rPr>
        <b/>
        <sz val="11"/>
        <color theme="1"/>
        <rFont val="Calibri"/>
        <family val="2"/>
        <scheme val="minor"/>
      </rPr>
      <t>Home Address</t>
    </r>
    <r>
      <rPr>
        <sz val="11"/>
        <color theme="1"/>
        <rFont val="Calibri"/>
        <family val="2"/>
        <scheme val="minor"/>
      </rPr>
      <t>: 2480 University Circle Las Vegas, NY 89119</t>
    </r>
  </si>
  <si>
    <t>Groceries</t>
  </si>
  <si>
    <t>4:15pm</t>
  </si>
  <si>
    <t>Supermarket</t>
  </si>
  <si>
    <r>
      <rPr>
        <b/>
        <sz val="11"/>
        <color theme="1"/>
        <rFont val="Calibri"/>
        <family val="2"/>
        <scheme val="minor"/>
      </rPr>
      <t>Work</t>
    </r>
    <r>
      <rPr>
        <sz val="11"/>
        <color theme="1"/>
        <rFont val="Calibri"/>
        <family val="2"/>
        <scheme val="minor"/>
      </rPr>
      <t>: Desert Springs Hospital Medical Center</t>
    </r>
  </si>
  <si>
    <t>4:45pm</t>
  </si>
  <si>
    <r>
      <rPr>
        <b/>
        <sz val="11"/>
        <color theme="1"/>
        <rFont val="Calibri"/>
        <family val="2"/>
        <scheme val="minor"/>
      </rPr>
      <t>Other Locations</t>
    </r>
    <r>
      <rPr>
        <sz val="11"/>
        <color theme="1"/>
        <rFont val="Calibri"/>
        <family val="2"/>
        <scheme val="minor"/>
      </rPr>
      <t>: Mariana's Supermarket</t>
    </r>
  </si>
  <si>
    <r>
      <rPr>
        <b/>
        <sz val="11"/>
        <color theme="1"/>
        <rFont val="Calibri"/>
        <family val="2"/>
        <scheme val="minor"/>
      </rPr>
      <t>Market Address</t>
    </r>
    <r>
      <rPr>
        <sz val="11"/>
        <color theme="1"/>
        <rFont val="Calibri"/>
        <family val="2"/>
        <scheme val="minor"/>
      </rPr>
      <t>: 4151 Eastern Ave, Las Vegas, NV 89119</t>
    </r>
  </si>
  <si>
    <r>
      <t>* Driving cost of our private vehicle can be calculated from gas  price ($/gal) and the fuel economy of the car (mi/gal) and parking. In our example, the driving cost is calculated as  (For trip 1 of Billy) 2.8 mi * (1.8 gal/100 mi) * ($3.301/gal) = $0.163704, assuming 2020 Toyota Prius Eco 1.8 L, 4 cyl, Automatic (variable gear ratios), regular gasonline. Fuel economy of a car can be found from (</t>
    </r>
    <r>
      <rPr>
        <u/>
        <sz val="11"/>
        <color theme="1"/>
        <rFont val="Calibri"/>
        <family val="2"/>
        <scheme val="minor"/>
      </rPr>
      <t>https://www.fueleconomy.gov/feg/PowerSearch.do?action=noform&amp;path=1&amp;year1=2020&amp;year2=2020&amp;make=Toyota&amp;baseModel=Prius&amp;srchtyp=ymm</t>
    </r>
    <r>
      <rPr>
        <sz val="11"/>
        <color theme="1"/>
        <rFont val="Calibri"/>
        <family val="2"/>
        <scheme val="minor"/>
      </rPr>
      <t>). The average gas price in Las Vegas can be found from the following link (</t>
    </r>
    <r>
      <rPr>
        <u/>
        <sz val="11"/>
        <color theme="1"/>
        <rFont val="Calibri"/>
        <family val="2"/>
        <scheme val="minor"/>
      </rPr>
      <t>https://www.gasbuddy.com/USA/NV</t>
    </r>
    <r>
      <rPr>
        <sz val="11"/>
        <color theme="1"/>
        <rFont val="Calibri"/>
        <family val="2"/>
        <scheme val="minor"/>
      </rPr>
      <t>). For Billy Parking cost at University is $60/yr ($60/yr * 1yr/12months * 1month/20days = $0.25/day) (</t>
    </r>
    <r>
      <rPr>
        <u/>
        <sz val="11"/>
        <color theme="1"/>
        <rFont val="Calibri"/>
        <family val="2"/>
        <scheme val="minor"/>
      </rPr>
      <t>https://www.unlv.edu/news/release/parking-fee-unlv</t>
    </r>
    <r>
      <rPr>
        <sz val="11"/>
        <color theme="1"/>
        <rFont val="Calibri"/>
        <family val="2"/>
        <scheme val="minor"/>
      </rPr>
      <t>), at the casino it is FREE (</t>
    </r>
    <r>
      <rPr>
        <u/>
        <sz val="11"/>
        <color theme="1"/>
        <rFont val="Calibri"/>
        <family val="2"/>
        <scheme val="minor"/>
      </rPr>
      <t>https://en.parkopedia.com/parking/garage/hard_rock_hotel_and_casino_paradise_parking/89169/las_vegas/?arriving=201911142030&amp;leaving=201911142230</t>
    </r>
    <r>
      <rPr>
        <sz val="11"/>
        <color theme="1"/>
        <rFont val="Calibri"/>
        <family val="2"/>
        <scheme val="minor"/>
      </rPr>
      <t xml:space="preserve">). For Rachel the parking rate at the Hospital is FREE. </t>
    </r>
  </si>
  <si>
    <r>
      <t>** The expenses for the taxi's are calculated using the following website (</t>
    </r>
    <r>
      <rPr>
        <u/>
        <sz val="11"/>
        <color theme="1"/>
        <rFont val="Calibri"/>
        <family val="2"/>
        <scheme val="minor"/>
      </rPr>
      <t>https://www.acablv.com/fare-information-calc/</t>
    </r>
    <r>
      <rPr>
        <sz val="11"/>
        <color theme="1"/>
        <rFont val="Calibri"/>
        <family val="2"/>
        <scheme val="minor"/>
      </rPr>
      <t>)</t>
    </r>
  </si>
  <si>
    <t>***** For public transit the cost is zero but we have to consider the time of walking to the bus stands and waiting times. We have the distances from the bus stands so we can calculate the time took to walk by using the average walking speed of a person which is 3.1 mi/hr. (For Billy trip 1 ) walk time = 0.9 mi / (3.1 mi/hr) * (60 min/hr)=  17.42 min</t>
  </si>
  <si>
    <r>
      <t>*** Uber/Lyft the base fair will be $2.00, $1.10/mi, and service fee of $1.70 (</t>
    </r>
    <r>
      <rPr>
        <u/>
        <sz val="11"/>
        <color theme="1"/>
        <rFont val="Calibri"/>
        <family val="2"/>
        <scheme val="minor"/>
      </rPr>
      <t>http://www.alvia.com/uber-city/uber-las-vegas-2/</t>
    </r>
    <r>
      <rPr>
        <sz val="11"/>
        <color theme="1"/>
        <rFont val="Calibri"/>
        <family val="2"/>
        <scheme val="minor"/>
      </rPr>
      <t>)</t>
    </r>
  </si>
  <si>
    <r>
      <t>****The Bikeshare service in las Vegas is $15/mo. So $15/mo * 1mo/20 days = $0.75/day (</t>
    </r>
    <r>
      <rPr>
        <u/>
        <sz val="11"/>
        <color theme="1"/>
        <rFont val="Calibri"/>
        <family val="2"/>
        <scheme val="minor"/>
      </rPr>
      <t>https://bikeshare.rtcsnv.com/</t>
    </r>
    <r>
      <rPr>
        <sz val="11"/>
        <color theme="1"/>
        <rFont val="Calibri"/>
        <family val="2"/>
        <scheme val="minor"/>
      </rPr>
      <t>). 30 days pass has unlimited 30 min ride. $4 every 30 min after the first 30 min.</t>
    </r>
  </si>
  <si>
    <r>
      <t xml:space="preserve">(PartI-Step2) PROBLEMS: </t>
    </r>
    <r>
      <rPr>
        <b/>
        <sz val="11"/>
        <color theme="1"/>
        <rFont val="Calibri"/>
        <family val="2"/>
        <scheme val="minor"/>
      </rPr>
      <t xml:space="preserve">Billy </t>
    </r>
    <r>
      <rPr>
        <sz val="11"/>
        <color theme="1"/>
        <rFont val="Calibri"/>
        <family val="2"/>
        <scheme val="minor"/>
      </rPr>
      <t>(1) Billy has to arrive on work on time everyday and same for the kids (2) Needs to conveniently carry all Billy's material which is pretty heavy (3) Billy needs to account fior finding a spot to park his bike and lock it up (2 extra minutes) (4) If the weather is bad Billy will leave his bike overnight and find a type of transportation home</t>
    </r>
  </si>
  <si>
    <r>
      <t xml:space="preserve">(PartI-Step2) PROBLEMS: </t>
    </r>
    <r>
      <rPr>
        <b/>
        <sz val="11"/>
        <color theme="1"/>
        <rFont val="Calibri"/>
        <family val="2"/>
        <scheme val="minor"/>
      </rPr>
      <t>Rachel</t>
    </r>
    <r>
      <rPr>
        <sz val="11"/>
        <color theme="1"/>
        <rFont val="Calibri"/>
        <family val="2"/>
        <scheme val="minor"/>
      </rPr>
      <t xml:space="preserve"> (1) Needs to make sure car has enough gas to drive to work, the grocery store, and back. (2) Waits and watches the kids walk across the field to school everyday. (3) If the weather is bad, she will need to drive and drop the kids up at school and also pick them up. (4) Deal with Billy's gambling issues</t>
    </r>
  </si>
  <si>
    <r>
      <t>(PartI-Step2) Feasible Transportations: (</t>
    </r>
    <r>
      <rPr>
        <b/>
        <sz val="11"/>
        <color theme="1"/>
        <rFont val="Calibri"/>
        <family val="2"/>
        <scheme val="minor"/>
      </rPr>
      <t>Billy</t>
    </r>
    <r>
      <rPr>
        <sz val="11"/>
        <color theme="1"/>
        <rFont val="Calibri"/>
        <family val="2"/>
        <scheme val="minor"/>
      </rPr>
      <t>) Billy will participate in the bike sharing option. Since work is so close for him, he can easily bike to and from work. Also, if there is every traffic, he can easily avoid this on the bike. Also, if the weather is ever bad, he can easily get on the public transportation for free and ride home. At night, he will be using Uber/Lyft to get there. If he knows he will not be consuming alcohol, he can drive to and from the casino.</t>
    </r>
  </si>
  <si>
    <r>
      <t>(PartI-Step2) Feasible Transportations: (</t>
    </r>
    <r>
      <rPr>
        <b/>
        <sz val="11"/>
        <color theme="1"/>
        <rFont val="Calibri"/>
        <family val="2"/>
        <scheme val="minor"/>
      </rPr>
      <t>Rachel</t>
    </r>
    <r>
      <rPr>
        <sz val="11"/>
        <color theme="1"/>
        <rFont val="Calibri"/>
        <family val="2"/>
        <scheme val="minor"/>
      </rPr>
      <t xml:space="preserve">) Rachel will walk to work each day because she is so close to the hospital. When the weather is bad, she can drive her car. When work ends, she will go straight to the grocery store. If she walked that day, she will take an Uber/Lyft or take public transportation. If she drove that day, she will drive the car to the grocery store. </t>
    </r>
  </si>
  <si>
    <t>★The monetary value of time can be calculated based on the annual income (assuming 40 working hrs per week and 50 working weeks in a year). The typical days will be repeated 300 days in a year.</t>
  </si>
  <si>
    <t xml:space="preserve">Billy </t>
  </si>
  <si>
    <t>Rachel</t>
  </si>
  <si>
    <t>[$/min]</t>
  </si>
  <si>
    <t xml:space="preserve">Calculating the AW for feasible transporations: Study period of 5 years </t>
  </si>
  <si>
    <t>inflation rate (/yr)</t>
  </si>
  <si>
    <t>★For the driving option we must consider vehicle purchase, insurance, and maintenance costs</t>
  </si>
  <si>
    <t>Billy</t>
  </si>
  <si>
    <t>Drive</t>
  </si>
  <si>
    <t>Uber/Lyft</t>
  </si>
  <si>
    <t>BikeShare</t>
  </si>
  <si>
    <t>Purchase Cost</t>
  </si>
  <si>
    <r>
      <t xml:space="preserve">from </t>
    </r>
    <r>
      <rPr>
        <u/>
        <sz val="11"/>
        <color theme="1"/>
        <rFont val="Calibri"/>
        <family val="2"/>
        <scheme val="minor"/>
      </rPr>
      <t>https://www.toyota.com/prius/</t>
    </r>
  </si>
  <si>
    <t>Initial (I)</t>
  </si>
  <si>
    <t>Annual Maintenance Cost</t>
  </si>
  <si>
    <r>
      <t>from</t>
    </r>
    <r>
      <rPr>
        <u/>
        <sz val="11"/>
        <color theme="1"/>
        <rFont val="Calibri"/>
        <family val="2"/>
        <scheme val="minor"/>
      </rPr>
      <t xml:space="preserve"> https://repairpal.com/toyota/prius</t>
    </r>
  </si>
  <si>
    <t>Annual Insurance Cost</t>
  </si>
  <si>
    <r>
      <t xml:space="preserve">from </t>
    </r>
    <r>
      <rPr>
        <u/>
        <sz val="11"/>
        <color theme="1"/>
        <rFont val="Calibri"/>
        <family val="2"/>
        <scheme val="minor"/>
      </rPr>
      <t>https://www.thezebra.com/auto-insurance/vehicles/toyota/prius/</t>
    </r>
  </si>
  <si>
    <t>EOY</t>
  </si>
  <si>
    <t>CashFlow</t>
  </si>
  <si>
    <t>★For "Drive", the purchase cost will be included in the initial year (or year 0 for the cash flow), and the annual expenses will be the sum of the annual maintenance cost, annual insurance, and the expenses calculated in the table above.</t>
  </si>
  <si>
    <t xml:space="preserve">Sensitivity Analysis I </t>
  </si>
  <si>
    <t xml:space="preserve">: Breakeven unit price </t>
  </si>
  <si>
    <t>(1) BikeShare: B(z)</t>
  </si>
  <si>
    <t>(2) Drive: D(z)</t>
  </si>
  <si>
    <t>(1) Walk: W(z)</t>
  </si>
  <si>
    <t>(2) Uber/Lyft: U(z)</t>
  </si>
  <si>
    <t>(A/P,3%,5)</t>
  </si>
  <si>
    <t>y</t>
  </si>
  <si>
    <t>D</t>
  </si>
  <si>
    <t>B</t>
  </si>
  <si>
    <t>z</t>
  </si>
  <si>
    <t>U</t>
  </si>
  <si>
    <t>W</t>
  </si>
  <si>
    <t>AW</t>
  </si>
  <si>
    <t>delta</t>
  </si>
  <si>
    <t>D-B</t>
  </si>
  <si>
    <t>U-W</t>
  </si>
  <si>
    <t>similarly</t>
  </si>
  <si>
    <t>For this we use the solver; however, the solver returns "there is no feasible solution." Thus, there is no breakeven point.</t>
  </si>
  <si>
    <t>For Sensitivity analysis for Billy we will compare (1) BikeShare and (2) Drive. For Rachel we will compare (1) Walk and (2) Uber/Lyft</t>
  </si>
  <si>
    <t xml:space="preserve">For Car (1.8 gal/100mi) * ($3.301/gal) = $0.059418/mi </t>
  </si>
  <si>
    <t>: variable (y) is going to be [$/mi]</t>
  </si>
  <si>
    <t>For Uber/Lyft it is $1.1/mi (noted above)</t>
  </si>
  <si>
    <t>For Bike Share and walk the price is independent of y</t>
  </si>
  <si>
    <t>: variable (z) is going to be [$/min]</t>
  </si>
  <si>
    <t>Billy: 0.75</t>
  </si>
  <si>
    <t xml:space="preserve">Sensitivity Analysis II: We will raise the study period by 200% and inflation rate by 200% and see their sensitivity. </t>
  </si>
  <si>
    <t>Rachel: 0.458333</t>
  </si>
  <si>
    <t xml:space="preserve">We will use Rachel's case: </t>
  </si>
  <si>
    <t xml:space="preserve">Even if we use variable (y) the two functions will not intersect since (in the case of drive of Billy)  </t>
  </si>
  <si>
    <t>(A/P,3%,10)</t>
  </si>
  <si>
    <t>(A/P,6%,5)</t>
  </si>
  <si>
    <t>% Change</t>
  </si>
  <si>
    <t>where D = Drive Annual worth, PC = Car Purchase Cost, E = Total expense per day, MT = Monetary Time</t>
  </si>
  <si>
    <t>Now from this analysis we can tell that the study period has lower sensitivity than the inflation rate. This means that a long term transportation means is much more better to consider like a car, or something that is not affected by inflation rate. On the other hand, Uber/Lyft is highly sensitive to type of transportations mean and is varies its price by infrastructure and many other variables, which includes the inflation rate; and therefore, such unsteady means should be rather avoided to use for a major means of transportation in the long run.</t>
  </si>
  <si>
    <t>M&amp;O = Maintenance &amp; Operation, INS = Insurance, f = Inflation Rate, B(y) = Bike Share Annual Worth</t>
  </si>
  <si>
    <t>PART 2:</t>
  </si>
  <si>
    <t>Step 1:</t>
  </si>
  <si>
    <t>From an investor's perspective, one mode of transportation that would be useful to invest in would be a scootershare company. At the moment there are no scooters readily available for the citizens of Las Vegas to use. Scootershares are growly radidly in many large cities and they are very proftibable, as stated by "Here's Why Scooter Start-ups are Suddenly Worth Billions". Lime has a net worth of around $1.1 billion and they make an estimated mid-to-high 20 dollars per scooter per day. (https://www.cnbc.com/2018/07/11/lime-bird-spin-why-scooter-start-ups-are-suddenly-worth-billions.html)</t>
  </si>
  <si>
    <t>Second mode of transportation is investing into UBER/Lyft since they are already established companies and help place more cars available in Las Vegas so customers don't have to wait as much. Uber's net worth is estimated at about $75.5 billion dollars (https://www.entrepreneur.com/article/333583)</t>
  </si>
  <si>
    <t>The final investment option will be into Rivian. Rivian is an electric truck and SUV company working to keep individuals adventurous, but also cognizant of the environment. Their emissions free vehicles  will be great for Las Vegas. The smaller Carbon Footprint will be great for a big city like Las Vegas, but the adventure vehicles will be great to utilize out west. We want to invest money in a dealership right outside of Las Vegas. We will also invest in advertising so that the population knows about the company.</t>
  </si>
  <si>
    <t>Step 2:</t>
  </si>
  <si>
    <t>MODE1</t>
  </si>
  <si>
    <t>eScooter</t>
  </si>
  <si>
    <t>From research we have first determined the investment cost for our business as $10M (source from https://techcrunch.com/2019/01/09/e-scooter-startup-bird-is-raising-another-300m/).   This market is targetting the population above 18 years old and at most under 64 years. This is 61.8% of the population of Las Vegas and the estimated population is 398390 people (https://www.census.gov/data.html). Now we have found a credible source (specificly about Louisville Kentucky) which argues the cost per ride and revenue that eScooters make, and we will estimate our costs and revenues based on those information scaled by the populational difference of Las Vegas and Louisville/Jefferson County KY. First of all, the population that is the target of our market in Louisville KY is 475223 (https://factfinder.census.gov/faces/tableservices/jsf/pages/productview.xhtml?src=bkmk). "Bird charges $1 to unlock a scooter and $0.15 per minute. At 18 minutes, the average trip generated $3.70 in revenue (note that this, based on three months of data in Louisville, is nearly identical to the $3.65 in revenue per ride Bird reportedly told investors it was averaging as of June). At 3.49 rides per day, the average scooter generated $12.91 in revenue per day" And according to the same source, "Bird spent $1.72 per ride on charging costs. It spent another $0.51 per ride, on average, on repairs. Credit-card fees cost $0.41 per ride. Customer support adds $0.06 per ride. Insurance is $0.05 per ride. This adds up to $2.75 in what you could consider operating costs per ride." (source: https://qz.com/1561654/how-long-does-a-scooter-last-less-than-a-month-louisville-data-suggests/). We will deploy 5,000 (arbitrarily decided by the fact that Austin, TX has 14,000 and Paris, France 20,000, and from the fact that there are multiple companies deplying scooters (source: https://www.bloomberg.com/news/articles/2019-07-20/why-e-scooters-are-on-the-rise-along-with-injuries-quicktake). Referring to another source, Denver Colorado has 4832 average number of electric scooter rides a day (source: https://www.denvergov.org/content/denvergov/en/denver-council-district-13/news/2019/electric-scooter-data---survey-results-.html). Based on this, we can approximate the average number of rides for Las Vegas as (4832 rides/day) * (398390 ppl [population of 18~65 yr in Las Vegas]) / (492350 ppl [population of 18~65 yr in Denver]) = 3910 rides/day (source of Denver's population: https://factfinder.census.gov/faces/tableservices/jsf/pages/productview.xhtml?src=bkmk.). Also, we must consider the number of electric scooters in Denver, which is 2850 (source: https://www.denverpost.com/2019/06/24/denver-scooters-lime-bird-lyft-uber-razor/). Thus, the number for Las Vegas is modified by, (3910 rides/day) * (5,000 electric scooters) / (2850 dockless vehicles in Denver) = 6860 rides/day. For safety measures, let it be assumed that night rides are prohibited. Therefore the net revenue per year is going to be (6860 rides/day) * ($3.70 [average cost per ride]) * (365 days/year) = $9,264,430/yr. The total operation cost will be ($2.75/ride)  * (6860 rides/day) * (365 days/year) = $6,885,725/yr. Finally, from the MACRS official class life and recovery period table, the description #36.0 "Mfg. of Electronic Components, Products, &amp; Systems" the class life, GDS, and ADS are 6 years, 5 years, and 6 years respectively.</t>
  </si>
  <si>
    <t>Initial Investment</t>
  </si>
  <si>
    <t xml:space="preserve">Annual Revenue </t>
  </si>
  <si>
    <t>Annual O&amp;M cost</t>
  </si>
  <si>
    <t>GDS life [years]</t>
  </si>
  <si>
    <t>ADS life [years]</t>
  </si>
  <si>
    <t>MODE2</t>
  </si>
  <si>
    <t>What we have to consider for this analysis is the stock prices of each company Lyft and Uber, their IPOs, their dividend, and other benefits and disbenefits that result in monetary gain or loss.  First of all, we shall spell out the values that are clear; the IPO of Uber and Lyft is $45 a share and $70-72 a share respectively (sources: &lt;1&gt; https://www.investopedia.com/what-you-need-to-know-about-lyft-s-ipo-4589886 &lt;2&gt; https://www.nytimes.com/2019/05/09/technology/uber-ipo-stock-price.html). There is no expected dividend from Uber and Lyft because they are far from a profitable business; and this is obvious because neither have a positive free-cash flow (sources: &lt;1&gt; https://www.suredividend.com/uber-stock/ &lt;2&gt; https://www.suredividend.com/lyft-dividend/). Now, let's look at the total number of shares of Uber and Lyft. Uber is currently 1,705.82M and Lyft is 286.46M (sources: &lt;1&gt; https://markets.businessinsider.com/stocks/uber-stock  &lt;2&gt; https://markets.businessinsider.com/stocks/lyft-stock ). The current stock price of each company is Uber: $29.60 and Lyft: $48.98 a share (sources: &lt;1&gt; https://finance.yahoo.com/quote/UBER/  &lt;2&gt; https://finance.yahoo.com/quote/LYFT?p=LYFT ). The current stock prices are considerably lower than the IPOs which is very concerning. From the MACRS class life table the investment of Uber/Lyft best described by #41.0 Motor Transport-Passengers, and the class life, GDS, and ADS are 8 years, 5 years, and 8 years respectively (source: https://cs.thomsonreuters.com/ua/fixa/cs_us_en/ass_life_tbl/hid_help_asset_lives.htm). Say we will buy 2M stocks for each company the initial investment will be (2M) * ($29.60/share [status quo of Uber]) * + (2M) * ($48.98/share [status quo of Lyft]) =  $157.16M. Since there are no dividend there is no actual annual revenue. The loss will be all accounted for in the salvage value which may turn out as a positive or negative depending on the stock market. The annual EBITDA of Uber from 2016 to 2018 is $-2,607M, $-3,570M, $-2,676M respectively. Lyft is also in the negatives. There is a high chance of resulting in a deficit by investing in Uber and Lyft.</t>
  </si>
  <si>
    <t>initial Investment</t>
  </si>
  <si>
    <t>It goes without saying that this is a poor investment option, and we clearly do not have to conduct ATCF analysis. Unless something extemely radical occurs to Ubers business that skyrockets their earnings.</t>
  </si>
  <si>
    <t>Salvage/Book Value</t>
  </si>
  <si>
    <t>(negatives)</t>
  </si>
  <si>
    <t xml:space="preserve">MODE3 </t>
  </si>
  <si>
    <t>Rivian</t>
  </si>
  <si>
    <t>Annual Revenue</t>
  </si>
  <si>
    <t>After Tax Cash Flows</t>
  </si>
  <si>
    <t xml:space="preserve">Federal Corporate Tax Rate </t>
  </si>
  <si>
    <t>State Corporate Tax Rate (*NV does not have but has MBT tax rate)</t>
  </si>
  <si>
    <t xml:space="preserve">Effective tax rate </t>
  </si>
  <si>
    <t>source: https://tradingeconomics.com/united-states/corporate-tax-rate</t>
  </si>
  <si>
    <t>source: https://www.upcounsel.com/nevada-llc-tax-rate</t>
  </si>
  <si>
    <t>r_k (GDS)</t>
  </si>
  <si>
    <t>BTCF</t>
  </si>
  <si>
    <t>d</t>
  </si>
  <si>
    <t>TI</t>
  </si>
  <si>
    <t>T</t>
  </si>
  <si>
    <t>ATCF</t>
  </si>
  <si>
    <t>NaN</t>
  </si>
  <si>
    <t>6 hypothetical people</t>
  </si>
  <si>
    <t>Age</t>
  </si>
  <si>
    <t>Weight</t>
  </si>
  <si>
    <t>The total population of the city is  644,644 people. 24.1% of the population is under 18 and 14.1% of the population is over 65. This leaves a large portion of the population between about 20 and 60, meaning Rachel and Billy have a higher weight. Also, the male to female ratio is even, so neither gender has a higher weight. All data according to https://www.census.gov/data.html.</t>
  </si>
  <si>
    <t>Ben</t>
  </si>
  <si>
    <t>Ava</t>
  </si>
  <si>
    <t>Julie</t>
  </si>
  <si>
    <t>Ed</t>
  </si>
  <si>
    <t>IRR &gt;= MARR</t>
  </si>
  <si>
    <t>builtin IRR function used</t>
  </si>
  <si>
    <t>(P/F, 9%, k)</t>
  </si>
  <si>
    <t>PW</t>
  </si>
  <si>
    <t>SUM</t>
  </si>
  <si>
    <t>(A/P, 9%, 6)</t>
  </si>
  <si>
    <t>As discussed, this alternative is very radical and has a very high chance of causing considerable deficit. Therefore, we will rule this out.</t>
  </si>
  <si>
    <t xml:space="preserve">GDS </t>
  </si>
  <si>
    <t>ADS</t>
  </si>
  <si>
    <t>(P/F, 10%, k)</t>
  </si>
  <si>
    <t>(A/P, 10%, 7)</t>
  </si>
  <si>
    <t>For MODE1 ADS is selected because it has a higher AW</t>
  </si>
  <si>
    <t>MODE3</t>
  </si>
  <si>
    <t>GDS</t>
  </si>
  <si>
    <t>First we will estimate the initial investment by going over the breakdown of the costs of embraking a car dealership in Las Vegas.
(1) Business registration costs are $150 for filing fee and $500 for the business license (https://www.bizfilings.com/state-guide/nevada/incorporation-requirements). 
(2) Business location fee will be arbitarily set. Say we will buy lease of land of 5 acres. The cost for land will be ($1,000/half acres) * 10 = $10,000/mo  (https://land-surveyors.promatcher.com/cost/las-vegas-nv-land-surveyors-costs-prices.aspx). Initially will pay a deposit of 3 months worth = $30,000
(3) Acountant fee of $400 (https://www.cbtnews.com/cost-analysis-opening-auto-dealership/)
(4) Auto dealer bond $100,000 (https://www.suretybonds.org/auto-dealer-bonds/nevada)
(5) Insurance $350,000 (https://www.cbtnews.com/cost-analysis-opening-auto-dealership/). And after that the cost will be $25,000/ yr (https://www.marsh.com/ca/en/programs-insights/the-true-cost-of-dealership-insurance.html)
(6) Inventory: Initially we will buy (there are only 2 models) model R1T and model R1S model. 10 of each for sale, display, and demo. R1T is $69,000 and R1S is $72,500. Thus total is $1,415,000
(7) Payroll $69,000/per employee a year (https://www.carprousa.com/Car-Dealerships-Behind-the-Numbers/a/53). 5  employees
(8) Other equipment cost $20,000   (9) Have to invest in the building/facility roughly  ($2,481,100/21,000 S.F.) * (65430 S.F [1.5 acres equivalent]) = $7,730,398 . Also add fee for garage = $7,730,398 + $1,000,000 = $8,730,398 (source: https://www.rsmeans.com/model-pages/car-dealership.aspx)
Summing (1)-(6),(8), (9) = $10,145,398
The yearly cost will be roughly the sum of (2)*(12mo/yr)+(5)+(7)*5+(Additional inventory cost of $10,000,000) = $10,490,000
This dealership sets a goal to sell at least one every two days so the annual revenue will at least be (($69,000 + $72,500)/2 [average price of the 2 models]) * 365days/yr / 2 = $12,911,875
from MACRS class life table class life, GDS, and ADS are 3 years, 5 years, 5 years respectively</t>
  </si>
  <si>
    <t xml:space="preserve">ADS </t>
  </si>
  <si>
    <t>(P/F, 8%, k)</t>
  </si>
  <si>
    <t>(A/P, 8%, 6)</t>
  </si>
  <si>
    <t>For MODE3 GDS is selected because it has a higher 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</si>
</sst>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7" formatCode="&quot;$&quot;#,##0.00_);\(&quot;$&quot;#,##0.00\)"/>
    <numFmt numFmtId="8" formatCode="&quot;$&quot;#,##0.00_);[Red]\(&quot;$&quot;#,##0.00\)"/>
    <numFmt numFmtId="44" formatCode="_(&quot;$&quot;* #,##0.00_);_(&quot;$&quot;* \(#,##0.00\);_(&quot;$&quot;* &quot;-&quot;??_);_(@_)"/>
    <numFmt numFmtId="164" formatCode="&quot;$&quot;#,##0.00"/>
    <numFmt numFmtId="165" formatCode="#,##0.0000"/>
    <numFmt numFmtId="166" formatCode="0.0%"/>
    <numFmt numFmtId="172" formatCode="0.00000000"/>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Arial"/>
      <family val="2"/>
    </font>
    <font>
      <b/>
      <sz val="14"/>
      <color theme="1"/>
      <name val="Calibri"/>
      <family val="2"/>
      <scheme val="minor"/>
    </font>
    <font>
      <u/>
      <sz val="11"/>
      <color theme="1"/>
      <name val="Calibri"/>
      <family val="2"/>
      <scheme val="minor"/>
    </font>
    <font>
      <sz val="11"/>
      <color rgb="FF000000"/>
      <name val="Calibri"/>
      <family val="2"/>
    </font>
    <font>
      <sz val="11"/>
      <color rgb="FF000000"/>
      <name val="Calibri"/>
      <family val="2"/>
      <scheme val="minor"/>
    </font>
  </fonts>
  <fills count="4">
    <fill>
      <patternFill patternType="none"/>
    </fill>
    <fill>
      <patternFill patternType="gray125"/>
    </fill>
    <fill>
      <patternFill patternType="solid">
        <fgColor rgb="FF000000"/>
        <bgColor indexed="64"/>
      </patternFill>
    </fill>
    <fill>
      <patternFill patternType="solid">
        <fgColor rgb="FFFFFF00"/>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double">
        <color indexed="64"/>
      </left>
      <right/>
      <top style="double">
        <color indexed="64"/>
      </top>
      <bottom style="double">
        <color indexed="64"/>
      </bottom>
      <diagonal/>
    </border>
    <border>
      <left style="thin">
        <color indexed="64"/>
      </left>
      <right style="thin">
        <color indexed="64"/>
      </right>
      <top style="mediumDashDot">
        <color indexed="64"/>
      </top>
      <bottom style="thin">
        <color indexed="64"/>
      </bottom>
      <diagonal/>
    </border>
    <border>
      <left style="mediumDashDot">
        <color indexed="64"/>
      </left>
      <right style="double">
        <color indexed="64"/>
      </right>
      <top style="mediumDashDot">
        <color indexed="64"/>
      </top>
      <bottom/>
      <diagonal/>
    </border>
    <border>
      <left style="mediumDashDot">
        <color indexed="64"/>
      </left>
      <right style="thin">
        <color indexed="64"/>
      </right>
      <top style="thin">
        <color indexed="64"/>
      </top>
      <bottom style="thin">
        <color indexed="64"/>
      </bottom>
      <diagonal/>
    </border>
    <border>
      <left style="double">
        <color indexed="64"/>
      </left>
      <right/>
      <top style="mediumDashDot">
        <color indexed="64"/>
      </top>
      <bottom/>
      <diagonal/>
    </border>
    <border>
      <left style="thin">
        <color indexed="64"/>
      </left>
      <right style="thin">
        <color indexed="64"/>
      </right>
      <top style="thin">
        <color indexed="64"/>
      </top>
      <bottom style="mediumDashDot">
        <color indexed="64"/>
      </bottom>
      <diagonal/>
    </border>
    <border>
      <left style="mediumDashDot">
        <color indexed="64"/>
      </left>
      <right style="double">
        <color indexed="64"/>
      </right>
      <top style="mediumDashDot">
        <color indexed="64"/>
      </top>
      <bottom style="mediumDashDot">
        <color indexed="64"/>
      </bottom>
      <diagonal/>
    </border>
    <border>
      <left style="double">
        <color indexed="64"/>
      </left>
      <right style="mediumDashDot">
        <color indexed="64"/>
      </right>
      <top style="mediumDashDot">
        <color indexed="64"/>
      </top>
      <bottom style="mediumDashDot">
        <color indexed="64"/>
      </bottom>
      <diagonal/>
    </border>
    <border>
      <left style="slantDashDot">
        <color indexed="64"/>
      </left>
      <right style="slantDashDot">
        <color indexed="64"/>
      </right>
      <top style="slantDashDot">
        <color indexed="64"/>
      </top>
      <bottom style="slantDashDot">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medium">
        <color indexed="64"/>
      </left>
      <right/>
      <top style="medium">
        <color indexed="64"/>
      </top>
      <bottom style="medium">
        <color indexed="64"/>
      </bottom>
      <diagonal/>
    </border>
    <border>
      <left/>
      <right/>
      <top style="thin">
        <color indexed="64"/>
      </top>
      <bottom style="mediumDashed">
        <color indexed="64"/>
      </bottom>
      <diagonal/>
    </border>
    <border>
      <left style="mediumDashed">
        <color indexed="64"/>
      </left>
      <right/>
      <top/>
      <bottom/>
      <diagonal/>
    </border>
    <border>
      <left style="medium">
        <color indexed="64"/>
      </left>
      <right style="mediumDashed">
        <color indexed="64"/>
      </right>
      <top style="medium">
        <color indexed="64"/>
      </top>
      <bottom style="medium">
        <color indexed="64"/>
      </bottom>
      <diagonal/>
    </border>
    <border>
      <left style="mediumDashed">
        <color indexed="64"/>
      </left>
      <right style="mediumDashed">
        <color indexed="64"/>
      </right>
      <top style="mediumDashed">
        <color indexed="64"/>
      </top>
      <bottom style="mediumDashed">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76">
    <xf numFmtId="0" fontId="0" fillId="0" borderId="0" xfId="0"/>
    <xf numFmtId="164" fontId="0" fillId="0" borderId="1" xfId="0" applyNumberFormat="1" applyBorder="1"/>
    <xf numFmtId="0" fontId="0" fillId="0" borderId="1" xfId="0" applyBorder="1" applyAlignment="1">
      <alignment horizontal="center" vertical="top"/>
    </xf>
    <xf numFmtId="164" fontId="0" fillId="0" borderId="1" xfId="0" applyNumberFormat="1" applyBorder="1" applyAlignment="1">
      <alignment horizontal="center" vertical="top"/>
    </xf>
    <xf numFmtId="9" fontId="0" fillId="0" borderId="1" xfId="0" applyNumberFormat="1" applyBorder="1"/>
    <xf numFmtId="165" fontId="0" fillId="0" borderId="7" xfId="0" applyNumberFormat="1" applyBorder="1" applyAlignment="1">
      <alignment horizontal="center"/>
    </xf>
    <xf numFmtId="0" fontId="0" fillId="0" borderId="8" xfId="0" applyBorder="1"/>
    <xf numFmtId="0" fontId="0" fillId="0" borderId="7" xfId="0" applyBorder="1"/>
    <xf numFmtId="0" fontId="0" fillId="0" borderId="0" xfId="0" applyFont="1"/>
    <xf numFmtId="0" fontId="0" fillId="0" borderId="13" xfId="0" applyBorder="1"/>
    <xf numFmtId="164" fontId="0" fillId="0" borderId="15" xfId="0" applyNumberFormat="1" applyBorder="1" applyAlignment="1">
      <alignment horizontal="center"/>
    </xf>
    <xf numFmtId="0" fontId="0" fillId="0" borderId="15" xfId="0" applyBorder="1" applyAlignment="1">
      <alignment horizontal="center"/>
    </xf>
    <xf numFmtId="0" fontId="0" fillId="0" borderId="18" xfId="0" applyBorder="1"/>
    <xf numFmtId="0" fontId="0" fillId="0" borderId="19" xfId="0" applyBorder="1"/>
    <xf numFmtId="0" fontId="0" fillId="0" borderId="20" xfId="0" applyBorder="1"/>
    <xf numFmtId="0" fontId="0" fillId="0" borderId="21" xfId="0" applyBorder="1"/>
    <xf numFmtId="0" fontId="0" fillId="0" borderId="23" xfId="0" applyBorder="1"/>
    <xf numFmtId="0" fontId="0" fillId="0" borderId="26" xfId="0" applyBorder="1"/>
    <xf numFmtId="164" fontId="0" fillId="0" borderId="0" xfId="0" applyNumberFormat="1" applyBorder="1"/>
    <xf numFmtId="0" fontId="0" fillId="0" borderId="4" xfId="0" applyBorder="1"/>
    <xf numFmtId="0" fontId="0" fillId="0" borderId="27" xfId="0" applyBorder="1"/>
    <xf numFmtId="0" fontId="0" fillId="0" borderId="9" xfId="0" applyBorder="1"/>
    <xf numFmtId="0" fontId="0" fillId="0" borderId="28" xfId="0" applyBorder="1"/>
    <xf numFmtId="0" fontId="0" fillId="0" borderId="29" xfId="0" applyBorder="1"/>
    <xf numFmtId="8" fontId="0" fillId="0" borderId="0" xfId="0" applyNumberFormat="1" applyBorder="1"/>
    <xf numFmtId="0" fontId="0" fillId="0" borderId="30" xfId="0" applyBorder="1"/>
    <xf numFmtId="0" fontId="0" fillId="0" borderId="2" xfId="0" applyBorder="1"/>
    <xf numFmtId="0" fontId="0" fillId="0" borderId="3" xfId="0" applyBorder="1"/>
    <xf numFmtId="0" fontId="0" fillId="0" borderId="25" xfId="0" applyBorder="1"/>
    <xf numFmtId="0" fontId="0" fillId="0" borderId="22" xfId="0" applyBorder="1"/>
    <xf numFmtId="0" fontId="0" fillId="0" borderId="0" xfId="0" applyBorder="1"/>
    <xf numFmtId="0" fontId="6" fillId="0" borderId="0" xfId="0" applyFont="1"/>
    <xf numFmtId="0" fontId="2" fillId="0" borderId="1" xfId="0" applyFont="1" applyBorder="1"/>
    <xf numFmtId="0" fontId="6" fillId="0" borderId="32" xfId="0" applyFont="1" applyBorder="1"/>
    <xf numFmtId="0" fontId="0" fillId="2" borderId="0" xfId="0" applyFill="1"/>
    <xf numFmtId="0" fontId="6" fillId="0" borderId="0" xfId="0" applyFont="1" applyAlignment="1"/>
    <xf numFmtId="6" fontId="0" fillId="0" borderId="1" xfId="0" applyNumberFormat="1" applyBorder="1"/>
    <xf numFmtId="38" fontId="0" fillId="0" borderId="1" xfId="0" applyNumberFormat="1" applyBorder="1"/>
    <xf numFmtId="0" fontId="6" fillId="0" borderId="43" xfId="0" applyFont="1" applyBorder="1"/>
    <xf numFmtId="0" fontId="0" fillId="0" borderId="44" xfId="0" applyBorder="1"/>
    <xf numFmtId="0" fontId="0" fillId="0" borderId="45" xfId="0" applyBorder="1"/>
    <xf numFmtId="0" fontId="0" fillId="0" borderId="46" xfId="0" applyBorder="1"/>
    <xf numFmtId="0" fontId="0" fillId="0" borderId="47" xfId="0" applyBorder="1"/>
    <xf numFmtId="0" fontId="2" fillId="0" borderId="48" xfId="0" applyFont="1" applyBorder="1"/>
    <xf numFmtId="0" fontId="0" fillId="0" borderId="1" xfId="0" applyBorder="1"/>
    <xf numFmtId="0" fontId="2" fillId="0" borderId="1" xfId="0" applyFont="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164" fontId="0" fillId="0" borderId="7" xfId="0" applyNumberFormat="1" applyBorder="1" applyAlignment="1">
      <alignment horizontal="center"/>
    </xf>
    <xf numFmtId="0" fontId="0" fillId="0" borderId="7" xfId="0" applyBorder="1" applyAlignment="1">
      <alignment horizontal="center"/>
    </xf>
    <xf numFmtId="0" fontId="0" fillId="0" borderId="22" xfId="0" applyBorder="1" applyAlignment="1"/>
    <xf numFmtId="0" fontId="0" fillId="0" borderId="0" xfId="0" applyBorder="1" applyAlignment="1"/>
    <xf numFmtId="0" fontId="2" fillId="0" borderId="6" xfId="0" applyFont="1" applyBorder="1" applyAlignment="1">
      <alignment horizontal="center"/>
    </xf>
    <xf numFmtId="6" fontId="0" fillId="0" borderId="32" xfId="0" applyNumberFormat="1" applyBorder="1"/>
    <xf numFmtId="0" fontId="0" fillId="0" borderId="32" xfId="0" applyBorder="1"/>
    <xf numFmtId="0" fontId="0" fillId="0" borderId="49" xfId="0" applyBorder="1"/>
    <xf numFmtId="0" fontId="0" fillId="0" borderId="32" xfId="0" applyBorder="1" applyAlignment="1">
      <alignment horizontal="center"/>
    </xf>
    <xf numFmtId="10" fontId="0" fillId="0" borderId="32" xfId="0" applyNumberFormat="1" applyBorder="1"/>
    <xf numFmtId="0" fontId="0" fillId="0" borderId="61" xfId="0" applyBorder="1" applyAlignment="1">
      <alignment horizontal="center"/>
    </xf>
    <xf numFmtId="0" fontId="0" fillId="0" borderId="63" xfId="0" applyBorder="1" applyAlignment="1">
      <alignment horizontal="center"/>
    </xf>
    <xf numFmtId="0" fontId="0" fillId="0" borderId="62" xfId="0" applyBorder="1" applyAlignment="1">
      <alignment horizontal="center"/>
    </xf>
    <xf numFmtId="0" fontId="0" fillId="0" borderId="32" xfId="0" applyBorder="1" applyAlignment="1">
      <alignment horizontal="center"/>
    </xf>
    <xf numFmtId="0" fontId="0" fillId="0" borderId="1" xfId="0" applyBorder="1" applyAlignment="1"/>
    <xf numFmtId="0" fontId="2" fillId="0" borderId="1" xfId="0" applyFont="1" applyBorder="1" applyAlignment="1">
      <alignment horizontal="center"/>
    </xf>
    <xf numFmtId="0" fontId="0" fillId="0" borderId="1" xfId="0" applyBorder="1" applyAlignment="1">
      <alignment horizontal="center"/>
    </xf>
    <xf numFmtId="0" fontId="4" fillId="0" borderId="1" xfId="0" applyFont="1" applyBorder="1" applyAlignment="1">
      <alignment horizontal="center"/>
    </xf>
    <xf numFmtId="0" fontId="3" fillId="0" borderId="1" xfId="0" applyFont="1" applyBorder="1" applyAlignment="1">
      <alignment horizontal="center"/>
    </xf>
    <xf numFmtId="0" fontId="2" fillId="0" borderId="1" xfId="0" applyFont="1" applyBorder="1" applyAlignment="1"/>
    <xf numFmtId="0" fontId="0" fillId="0" borderId="1" xfId="0" applyBorder="1" applyAlignment="1">
      <alignment horizontal="left" vertical="top" wrapText="1"/>
    </xf>
    <xf numFmtId="0" fontId="0" fillId="0" borderId="2" xfId="0" applyBorder="1" applyAlignment="1"/>
    <xf numFmtId="0" fontId="0" fillId="0" borderId="3" xfId="0" applyBorder="1" applyAlignment="1"/>
    <xf numFmtId="0" fontId="0" fillId="0" borderId="2" xfId="0" applyBorder="1" applyAlignment="1">
      <alignment horizontal="center"/>
    </xf>
    <xf numFmtId="0" fontId="0" fillId="0" borderId="3" xfId="0" applyBorder="1" applyAlignment="1">
      <alignment horizontal="center"/>
    </xf>
    <xf numFmtId="164" fontId="0" fillId="0" borderId="1" xfId="0" applyNumberFormat="1" applyBorder="1" applyAlignment="1">
      <alignment horizontal="center"/>
    </xf>
    <xf numFmtId="0" fontId="0" fillId="0" borderId="5" xfId="0" applyBorder="1" applyAlignment="1">
      <alignment horizontal="center" vertical="center"/>
    </xf>
    <xf numFmtId="0" fontId="0" fillId="0" borderId="1" xfId="0" applyBorder="1" applyAlignment="1">
      <alignment horizontal="left"/>
    </xf>
    <xf numFmtId="164" fontId="2" fillId="0" borderId="6" xfId="0" applyNumberFormat="1" applyFont="1" applyBorder="1" applyAlignment="1">
      <alignment horizontal="center"/>
    </xf>
    <xf numFmtId="0" fontId="0" fillId="0" borderId="8" xfId="0" applyBorder="1" applyAlignment="1">
      <alignment horizontal="center"/>
    </xf>
    <xf numFmtId="0" fontId="0" fillId="0" borderId="11" xfId="0" applyBorder="1" applyAlignment="1">
      <alignment horizontal="center"/>
    </xf>
    <xf numFmtId="0" fontId="0" fillId="0" borderId="1" xfId="0" applyBorder="1" applyAlignment="1">
      <alignment horizontal="right"/>
    </xf>
    <xf numFmtId="0" fontId="0" fillId="0" borderId="7" xfId="0" applyBorder="1" applyAlignment="1">
      <alignment horizontal="right"/>
    </xf>
    <xf numFmtId="164" fontId="2" fillId="0" borderId="10" xfId="0" applyNumberFormat="1" applyFont="1" applyBorder="1" applyAlignment="1">
      <alignment horizontal="center"/>
    </xf>
    <xf numFmtId="164" fontId="2" fillId="0" borderId="12" xfId="0" applyNumberFormat="1" applyFont="1" applyBorder="1" applyAlignment="1">
      <alignment horizontal="center"/>
    </xf>
    <xf numFmtId="164" fontId="2" fillId="0" borderId="14" xfId="0" applyNumberFormat="1" applyFont="1" applyBorder="1" applyAlignment="1">
      <alignment horizontal="center"/>
    </xf>
    <xf numFmtId="164" fontId="0" fillId="0" borderId="7" xfId="0" applyNumberFormat="1" applyBorder="1" applyAlignment="1">
      <alignment horizontal="center"/>
    </xf>
    <xf numFmtId="0" fontId="0" fillId="0" borderId="7"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31" xfId="0" applyBorder="1" applyAlignment="1">
      <alignment horizontal="center"/>
    </xf>
    <xf numFmtId="0" fontId="0" fillId="0" borderId="22" xfId="0" applyBorder="1" applyAlignment="1"/>
    <xf numFmtId="0" fontId="0" fillId="0" borderId="0" xfId="0" applyBorder="1" applyAlignment="1"/>
    <xf numFmtId="0" fontId="0" fillId="0" borderId="22" xfId="0" applyBorder="1" applyAlignment="1">
      <alignment horizontal="left"/>
    </xf>
    <xf numFmtId="0" fontId="0" fillId="0" borderId="0" xfId="0" applyBorder="1" applyAlignment="1">
      <alignment horizontal="left"/>
    </xf>
    <xf numFmtId="0" fontId="0" fillId="0" borderId="23" xfId="0" applyBorder="1" applyAlignment="1">
      <alignment horizontal="left"/>
    </xf>
    <xf numFmtId="0" fontId="0" fillId="0" borderId="22" xfId="0" applyBorder="1" applyAlignment="1">
      <alignment horizontal="center"/>
    </xf>
    <xf numFmtId="0" fontId="0" fillId="0" borderId="0" xfId="0" applyBorder="1" applyAlignment="1">
      <alignment horizontal="center"/>
    </xf>
    <xf numFmtId="0" fontId="2" fillId="0" borderId="6" xfId="0" applyFont="1" applyBorder="1" applyAlignment="1">
      <alignment horizontal="center"/>
    </xf>
    <xf numFmtId="0" fontId="2" fillId="0" borderId="10" xfId="0" applyFont="1" applyBorder="1" applyAlignment="1">
      <alignment horizontal="center"/>
    </xf>
    <xf numFmtId="164" fontId="2" fillId="0" borderId="16" xfId="0" applyNumberFormat="1" applyFont="1" applyBorder="1" applyAlignment="1">
      <alignment horizontal="center"/>
    </xf>
    <xf numFmtId="0" fontId="2" fillId="0" borderId="17" xfId="0" applyFont="1" applyBorder="1" applyAlignment="1">
      <alignment horizontal="center"/>
    </xf>
    <xf numFmtId="10" fontId="0" fillId="0" borderId="1" xfId="2" applyNumberFormat="1" applyFont="1" applyBorder="1" applyAlignment="1">
      <alignment horizontal="center"/>
    </xf>
    <xf numFmtId="7" fontId="0" fillId="0" borderId="1" xfId="1" applyNumberFormat="1" applyFont="1" applyBorder="1" applyAlignment="1">
      <alignment horizontal="center"/>
    </xf>
    <xf numFmtId="0" fontId="6" fillId="0" borderId="41" xfId="0" applyFont="1" applyBorder="1" applyAlignment="1">
      <alignment horizontal="left" vertical="top" wrapText="1"/>
    </xf>
    <xf numFmtId="0" fontId="6" fillId="0" borderId="4" xfId="0" applyFont="1" applyBorder="1" applyAlignment="1">
      <alignment horizontal="left" vertical="top" wrapText="1"/>
    </xf>
    <xf numFmtId="0" fontId="6" fillId="0" borderId="27" xfId="0" applyFont="1" applyBorder="1" applyAlignment="1">
      <alignment horizontal="left" vertical="top" wrapText="1"/>
    </xf>
    <xf numFmtId="0" fontId="6" fillId="0" borderId="42" xfId="0" applyFont="1" applyBorder="1" applyAlignment="1">
      <alignment horizontal="left" vertical="top" wrapText="1"/>
    </xf>
    <xf numFmtId="0" fontId="6" fillId="0" borderId="28" xfId="0" applyFont="1" applyBorder="1" applyAlignment="1">
      <alignment horizontal="left" vertical="top" wrapText="1"/>
    </xf>
    <xf numFmtId="0" fontId="6" fillId="0" borderId="29" xfId="0" applyFont="1" applyBorder="1" applyAlignment="1">
      <alignment horizontal="left" vertical="top" wrapText="1"/>
    </xf>
    <xf numFmtId="0" fontId="6" fillId="0" borderId="33" xfId="0" applyFont="1" applyBorder="1" applyAlignment="1">
      <alignment horizontal="left" vertical="top"/>
    </xf>
    <xf numFmtId="0" fontId="6" fillId="0" borderId="34" xfId="0" applyFont="1" applyBorder="1" applyAlignment="1">
      <alignment horizontal="left" vertical="top"/>
    </xf>
    <xf numFmtId="0" fontId="6" fillId="0" borderId="35" xfId="0" applyFont="1" applyBorder="1" applyAlignment="1">
      <alignment horizontal="left" vertical="top"/>
    </xf>
    <xf numFmtId="0" fontId="6" fillId="0" borderId="38" xfId="0" applyFont="1" applyBorder="1" applyAlignment="1">
      <alignment horizontal="left" vertical="top"/>
    </xf>
    <xf numFmtId="0" fontId="6" fillId="0" borderId="39" xfId="0" applyFont="1" applyBorder="1" applyAlignment="1">
      <alignment horizontal="left" vertical="top"/>
    </xf>
    <xf numFmtId="0" fontId="6" fillId="0" borderId="40" xfId="0" applyFont="1" applyBorder="1" applyAlignment="1">
      <alignment horizontal="left" vertical="top"/>
    </xf>
    <xf numFmtId="0" fontId="0" fillId="0" borderId="41" xfId="0" applyBorder="1" applyAlignment="1">
      <alignment horizontal="left" vertical="top" wrapText="1"/>
    </xf>
    <xf numFmtId="0" fontId="0" fillId="0" borderId="4" xfId="0" applyBorder="1" applyAlignment="1">
      <alignment horizontal="left" vertical="top" wrapText="1"/>
    </xf>
    <xf numFmtId="0" fontId="0" fillId="0" borderId="27" xfId="0" applyBorder="1" applyAlignment="1">
      <alignment horizontal="left" vertical="top" wrapText="1"/>
    </xf>
    <xf numFmtId="0" fontId="0" fillId="0" borderId="42" xfId="0" applyBorder="1" applyAlignment="1">
      <alignment horizontal="left" vertical="top" wrapText="1"/>
    </xf>
    <xf numFmtId="0" fontId="0" fillId="0" borderId="28" xfId="0" applyBorder="1" applyAlignment="1">
      <alignment horizontal="left" vertical="top" wrapText="1"/>
    </xf>
    <xf numFmtId="0" fontId="0" fillId="0" borderId="29" xfId="0" applyBorder="1" applyAlignment="1">
      <alignment horizontal="left" vertical="top" wrapText="1"/>
    </xf>
    <xf numFmtId="0" fontId="0" fillId="0" borderId="24" xfId="0" applyBorder="1" applyAlignment="1"/>
    <xf numFmtId="0" fontId="0" fillId="0" borderId="25" xfId="0" applyBorder="1" applyAlignment="1"/>
    <xf numFmtId="0" fontId="0" fillId="0" borderId="22"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0"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26" xfId="0" applyBorder="1" applyAlignment="1">
      <alignment horizontal="left" vertical="top" wrapText="1"/>
    </xf>
    <xf numFmtId="0" fontId="2" fillId="0" borderId="58" xfId="0" applyFont="1" applyBorder="1" applyAlignment="1">
      <alignment horizontal="center"/>
    </xf>
    <xf numFmtId="0" fontId="2" fillId="0" borderId="59" xfId="0" applyFont="1" applyBorder="1" applyAlignment="1">
      <alignment horizontal="center"/>
    </xf>
    <xf numFmtId="0" fontId="2" fillId="0" borderId="60" xfId="0" applyFont="1" applyBorder="1" applyAlignment="1">
      <alignment horizontal="center"/>
    </xf>
    <xf numFmtId="0" fontId="0" fillId="0" borderId="50" xfId="0" applyBorder="1" applyAlignment="1">
      <alignment horizontal="left" vertical="top" wrapText="1"/>
    </xf>
    <xf numFmtId="0" fontId="0" fillId="0" borderId="51" xfId="0" applyBorder="1" applyAlignment="1">
      <alignment horizontal="left" vertical="top" wrapText="1"/>
    </xf>
    <xf numFmtId="0" fontId="0" fillId="0" borderId="52" xfId="0" applyBorder="1" applyAlignment="1">
      <alignment horizontal="left" vertical="top" wrapText="1"/>
    </xf>
    <xf numFmtId="0" fontId="0" fillId="0" borderId="53" xfId="0" applyBorder="1" applyAlignment="1">
      <alignment horizontal="left" vertical="top" wrapText="1"/>
    </xf>
    <xf numFmtId="0" fontId="0" fillId="0" borderId="54" xfId="0" applyBorder="1" applyAlignment="1">
      <alignment horizontal="left" vertical="top" wrapText="1"/>
    </xf>
    <xf numFmtId="0" fontId="0" fillId="0" borderId="55" xfId="0" applyBorder="1" applyAlignment="1">
      <alignment horizontal="left" vertical="top" wrapText="1"/>
    </xf>
    <xf numFmtId="0" fontId="0" fillId="0" borderId="56" xfId="0" applyBorder="1" applyAlignment="1">
      <alignment horizontal="left" vertical="top" wrapText="1"/>
    </xf>
    <xf numFmtId="0" fontId="0" fillId="0" borderId="57" xfId="0" applyBorder="1" applyAlignment="1">
      <alignment horizontal="left" vertical="top" wrapText="1"/>
    </xf>
    <xf numFmtId="0" fontId="0" fillId="0" borderId="33" xfId="0" applyBorder="1" applyAlignment="1">
      <alignment horizontal="left" vertical="top" wrapText="1"/>
    </xf>
    <xf numFmtId="0" fontId="0" fillId="0" borderId="34" xfId="0" applyBorder="1" applyAlignment="1">
      <alignment horizontal="left" vertical="top" wrapText="1"/>
    </xf>
    <xf numFmtId="0" fontId="0" fillId="0" borderId="35" xfId="0" applyBorder="1" applyAlignment="1">
      <alignment horizontal="left" vertical="top" wrapText="1"/>
    </xf>
    <xf numFmtId="0" fontId="0" fillId="0" borderId="36" xfId="0" applyBorder="1" applyAlignment="1">
      <alignment horizontal="left" vertical="top"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2" xfId="0" applyBorder="1" applyAlignment="1"/>
    <xf numFmtId="10" fontId="0" fillId="0" borderId="1" xfId="0" applyNumberFormat="1" applyBorder="1" applyAlignment="1">
      <alignment horizontal="center"/>
    </xf>
    <xf numFmtId="0" fontId="2" fillId="0" borderId="61" xfId="0" applyFont="1" applyBorder="1" applyAlignment="1">
      <alignment horizontal="center"/>
    </xf>
    <xf numFmtId="0" fontId="2" fillId="0" borderId="62" xfId="0" applyFont="1" applyBorder="1" applyAlignment="1">
      <alignment horizontal="center"/>
    </xf>
    <xf numFmtId="0" fontId="6" fillId="0" borderId="33" xfId="0" applyFont="1" applyBorder="1" applyAlignment="1">
      <alignment horizontal="left" vertical="top" wrapText="1"/>
    </xf>
    <xf numFmtId="0" fontId="6" fillId="0" borderId="34" xfId="0" applyFont="1" applyBorder="1" applyAlignment="1">
      <alignment horizontal="left" vertical="top" wrapText="1"/>
    </xf>
    <xf numFmtId="0" fontId="6" fillId="0" borderId="35" xfId="0" applyFont="1" applyBorder="1" applyAlignment="1">
      <alignment horizontal="left" vertical="top" wrapText="1"/>
    </xf>
    <xf numFmtId="0" fontId="6" fillId="0" borderId="36" xfId="0" applyFont="1" applyBorder="1" applyAlignment="1">
      <alignment horizontal="left" vertical="top" wrapText="1"/>
    </xf>
    <xf numFmtId="0" fontId="6" fillId="0" borderId="0" xfId="0" applyFont="1" applyBorder="1" applyAlignment="1">
      <alignment horizontal="left" vertical="top" wrapText="1"/>
    </xf>
    <xf numFmtId="0" fontId="6" fillId="0" borderId="37" xfId="0" applyFont="1" applyBorder="1" applyAlignment="1">
      <alignment horizontal="left" vertical="top" wrapText="1"/>
    </xf>
    <xf numFmtId="0" fontId="6" fillId="0" borderId="38" xfId="0" applyFont="1" applyBorder="1" applyAlignment="1">
      <alignment horizontal="left" vertical="top" wrapText="1"/>
    </xf>
    <xf numFmtId="0" fontId="6" fillId="0" borderId="39" xfId="0" applyFont="1" applyBorder="1" applyAlignment="1">
      <alignment horizontal="left" vertical="top" wrapText="1"/>
    </xf>
    <xf numFmtId="0" fontId="6" fillId="0" borderId="40" xfId="0" applyFont="1" applyBorder="1" applyAlignment="1">
      <alignment horizontal="left" vertical="top" wrapText="1"/>
    </xf>
    <xf numFmtId="9" fontId="0" fillId="0" borderId="32" xfId="0" applyNumberFormat="1" applyBorder="1"/>
    <xf numFmtId="166" fontId="0" fillId="0" borderId="32" xfId="0" applyNumberFormat="1" applyBorder="1"/>
    <xf numFmtId="6" fontId="0" fillId="0" borderId="32" xfId="0" applyNumberFormat="1" applyBorder="1" applyAlignment="1">
      <alignment horizontal="center"/>
    </xf>
    <xf numFmtId="8" fontId="0" fillId="0" borderId="32" xfId="0" applyNumberFormat="1" applyBorder="1" applyAlignment="1">
      <alignment horizontal="center"/>
    </xf>
    <xf numFmtId="0" fontId="2" fillId="0" borderId="49" xfId="0" applyFont="1" applyBorder="1" applyAlignment="1">
      <alignment horizontal="center"/>
    </xf>
    <xf numFmtId="8" fontId="0" fillId="0" borderId="0" xfId="0" applyNumberFormat="1"/>
    <xf numFmtId="0" fontId="0" fillId="0" borderId="49" xfId="0" applyBorder="1" applyAlignment="1">
      <alignment horizontal="center"/>
    </xf>
    <xf numFmtId="2" fontId="0" fillId="0" borderId="32" xfId="0" applyNumberFormat="1" applyBorder="1" applyAlignment="1">
      <alignment horizontal="center"/>
    </xf>
    <xf numFmtId="164" fontId="0" fillId="0" borderId="32" xfId="0" applyNumberFormat="1" applyBorder="1" applyAlignment="1">
      <alignment horizontal="center"/>
    </xf>
    <xf numFmtId="172" fontId="0" fillId="0" borderId="32" xfId="0" applyNumberFormat="1" applyBorder="1" applyAlignment="1">
      <alignment horizontal="center"/>
    </xf>
    <xf numFmtId="6" fontId="7" fillId="3" borderId="32" xfId="0" applyNumberFormat="1" applyFont="1" applyFill="1" applyBorder="1" applyAlignment="1">
      <alignment horizontal="center"/>
    </xf>
    <xf numFmtId="0" fontId="7" fillId="3" borderId="32" xfId="0" applyFont="1" applyFill="1" applyBorder="1" applyAlignment="1">
      <alignment horizontal="center"/>
    </xf>
    <xf numFmtId="6" fontId="0" fillId="3" borderId="32" xfId="0" applyNumberFormat="1" applyFill="1" applyBorder="1" applyAlignment="1">
      <alignment horizontal="center"/>
    </xf>
    <xf numFmtId="0" fontId="0" fillId="3" borderId="32" xfId="0" applyFill="1" applyBorder="1" applyAlignment="1">
      <alignment horizontal="center"/>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38100</xdr:colOff>
      <xdr:row>37</xdr:row>
      <xdr:rowOff>104775</xdr:rowOff>
    </xdr:from>
    <xdr:to>
      <xdr:col>13</xdr:col>
      <xdr:colOff>581025</xdr:colOff>
      <xdr:row>38</xdr:row>
      <xdr:rowOff>95250</xdr:rowOff>
    </xdr:to>
    <xdr:sp macro="" textlink="">
      <xdr:nvSpPr>
        <xdr:cNvPr id="2" name="Arrow: Right 1">
          <a:extLst>
            <a:ext uri="{FF2B5EF4-FFF2-40B4-BE49-F238E27FC236}">
              <a16:creationId xmlns:a16="http://schemas.microsoft.com/office/drawing/2014/main" id="{44DD8263-40B8-46F5-B0A4-30A8F10340C9}"/>
            </a:ext>
          </a:extLst>
        </xdr:cNvPr>
        <xdr:cNvSpPr/>
      </xdr:nvSpPr>
      <xdr:spPr>
        <a:xfrm>
          <a:off x="7962900" y="7200900"/>
          <a:ext cx="542925" cy="18097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28575</xdr:colOff>
      <xdr:row>40</xdr:row>
      <xdr:rowOff>28575</xdr:rowOff>
    </xdr:from>
    <xdr:to>
      <xdr:col>7</xdr:col>
      <xdr:colOff>581025</xdr:colOff>
      <xdr:row>40</xdr:row>
      <xdr:rowOff>152400</xdr:rowOff>
    </xdr:to>
    <xdr:sp macro="" textlink="">
      <xdr:nvSpPr>
        <xdr:cNvPr id="3" name="Arrow: Right 2">
          <a:extLst>
            <a:ext uri="{FF2B5EF4-FFF2-40B4-BE49-F238E27FC236}">
              <a16:creationId xmlns:a16="http://schemas.microsoft.com/office/drawing/2014/main" id="{0F3FDD04-EABB-4761-B807-B9F9BB14459B}"/>
            </a:ext>
          </a:extLst>
        </xdr:cNvPr>
        <xdr:cNvSpPr/>
      </xdr:nvSpPr>
      <xdr:spPr>
        <a:xfrm>
          <a:off x="4295775" y="7696200"/>
          <a:ext cx="552450" cy="12382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390525</xdr:colOff>
      <xdr:row>61</xdr:row>
      <xdr:rowOff>180975</xdr:rowOff>
    </xdr:from>
    <xdr:to>
      <xdr:col>18</xdr:col>
      <xdr:colOff>600075</xdr:colOff>
      <xdr:row>63</xdr:row>
      <xdr:rowOff>0</xdr:rowOff>
    </xdr:to>
    <xdr:sp macro="" textlink="">
      <xdr:nvSpPr>
        <xdr:cNvPr id="4" name="Arrow: Right 3">
          <a:extLst>
            <a:ext uri="{FF2B5EF4-FFF2-40B4-BE49-F238E27FC236}">
              <a16:creationId xmlns:a16="http://schemas.microsoft.com/office/drawing/2014/main" id="{35660905-2F2F-44A7-8670-610E0DE7988C}"/>
            </a:ext>
          </a:extLst>
        </xdr:cNvPr>
        <xdr:cNvSpPr/>
      </xdr:nvSpPr>
      <xdr:spPr>
        <a:xfrm>
          <a:off x="10934700" y="11925300"/>
          <a:ext cx="885825" cy="20002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371475</xdr:colOff>
      <xdr:row>65</xdr:row>
      <xdr:rowOff>85725</xdr:rowOff>
    </xdr:from>
    <xdr:to>
      <xdr:col>18</xdr:col>
      <xdr:colOff>581025</xdr:colOff>
      <xdr:row>66</xdr:row>
      <xdr:rowOff>104775</xdr:rowOff>
    </xdr:to>
    <xdr:sp macro="" textlink="">
      <xdr:nvSpPr>
        <xdr:cNvPr id="5" name="Arrow: Right 4">
          <a:extLst>
            <a:ext uri="{FF2B5EF4-FFF2-40B4-BE49-F238E27FC236}">
              <a16:creationId xmlns:a16="http://schemas.microsoft.com/office/drawing/2014/main" id="{2ED03A77-D290-4094-9985-C24D5CCEBC9A}"/>
            </a:ext>
          </a:extLst>
        </xdr:cNvPr>
        <xdr:cNvSpPr/>
      </xdr:nvSpPr>
      <xdr:spPr>
        <a:xfrm>
          <a:off x="10801350" y="12658725"/>
          <a:ext cx="885825" cy="21907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oneCellAnchor>
    <xdr:from>
      <xdr:col>14</xdr:col>
      <xdr:colOff>466725</xdr:colOff>
      <xdr:row>69</xdr:row>
      <xdr:rowOff>119062</xdr:rowOff>
    </xdr:from>
    <xdr:ext cx="5744714" cy="597599"/>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2629D10F-4B80-49F0-94C1-030CEBB04035}"/>
                </a:ext>
              </a:extLst>
            </xdr:cNvPr>
            <xdr:cNvSpPr txBox="1"/>
          </xdr:nvSpPr>
          <xdr:spPr>
            <a:xfrm>
              <a:off x="9067800" y="13482637"/>
              <a:ext cx="5744714"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𝑀𝑖𝑛</m:t>
                    </m:r>
                    <m:d>
                      <m:dPr>
                        <m:ctrlPr>
                          <a:rPr lang="en-US" sz="1100" b="0" i="1">
                            <a:latin typeface="Cambria Math" panose="02040503050406030204" pitchFamily="18" charset="0"/>
                          </a:rPr>
                        </m:ctrlPr>
                      </m:dPr>
                      <m:e>
                        <m:r>
                          <a:rPr lang="en-US" sz="1100" b="0" i="1">
                            <a:latin typeface="Cambria Math" panose="02040503050406030204" pitchFamily="18" charset="0"/>
                          </a:rPr>
                          <m:t>𝐷</m:t>
                        </m:r>
                        <m:d>
                          <m:dPr>
                            <m:ctrlPr>
                              <a:rPr lang="en-US" sz="1100" b="0" i="1">
                                <a:latin typeface="Cambria Math" panose="02040503050406030204" pitchFamily="18" charset="0"/>
                              </a:rPr>
                            </m:ctrlPr>
                          </m:dPr>
                          <m:e>
                            <m:r>
                              <a:rPr lang="en-US" sz="1100" b="0" i="1">
                                <a:latin typeface="Cambria Math" panose="02040503050406030204" pitchFamily="18" charset="0"/>
                              </a:rPr>
                              <m:t>𝑦</m:t>
                            </m:r>
                          </m:e>
                        </m:d>
                      </m:e>
                    </m:d>
                    <m:func>
                      <m:funcPr>
                        <m:ctrlPr>
                          <a:rPr lang="en-US" sz="1100" i="1">
                            <a:latin typeface="Cambria Math" panose="02040503050406030204" pitchFamily="18" charset="0"/>
                          </a:rPr>
                        </m:ctrlPr>
                      </m:funcPr>
                      <m:fName>
                        <m:r>
                          <a:rPr lang="en-US" sz="1100" b="0" i="1">
                            <a:latin typeface="Cambria Math" panose="02040503050406030204" pitchFamily="18" charset="0"/>
                          </a:rPr>
                          <m:t>=</m:t>
                        </m:r>
                        <m:limLow>
                          <m:limLowPr>
                            <m:ctrlPr>
                              <a:rPr lang="en-US" sz="1100" i="1">
                                <a:latin typeface="Cambria Math" panose="02040503050406030204" pitchFamily="18" charset="0"/>
                              </a:rPr>
                            </m:ctrlPr>
                          </m:limLowPr>
                          <m:e>
                            <m:r>
                              <m:rPr>
                                <m:sty m:val="p"/>
                              </m:rPr>
                              <a:rPr lang="en-US" sz="1100" i="0">
                                <a:latin typeface="Cambria Math" panose="02040503050406030204" pitchFamily="18" charset="0"/>
                              </a:rPr>
                              <m:t>lim</m:t>
                            </m:r>
                          </m:e>
                          <m:lim>
                            <m:r>
                              <a:rPr lang="en-US" sz="1100" b="0" i="1">
                                <a:latin typeface="Cambria Math" panose="02040503050406030204" pitchFamily="18" charset="0"/>
                              </a:rPr>
                              <m:t>𝑦</m:t>
                            </m:r>
                            <m:r>
                              <a:rPr lang="en-US" sz="1100" b="0" i="1">
                                <a:latin typeface="Cambria Math" panose="02040503050406030204" pitchFamily="18" charset="0"/>
                                <a:ea typeface="Cambria Math" panose="02040503050406030204" pitchFamily="18" charset="0"/>
                              </a:rPr>
                              <m:t>→∞</m:t>
                            </m:r>
                          </m:lim>
                        </m:limLow>
                      </m:fName>
                      <m:e>
                        <m:eqArr>
                          <m:eqArrPr>
                            <m:ctrlPr>
                              <a:rPr lang="en-US" sz="1100" b="0" i="1">
                                <a:latin typeface="Cambria Math" panose="02040503050406030204" pitchFamily="18" charset="0"/>
                              </a:rPr>
                            </m:ctrlPr>
                          </m:eqArrPr>
                          <m:e>
                            <m:r>
                              <a:rPr lang="en-US" sz="1100" b="0" i="1">
                                <a:latin typeface="Cambria Math" panose="02040503050406030204" pitchFamily="18" charset="0"/>
                              </a:rPr>
                              <m:t>𝐷</m:t>
                            </m:r>
                            <m:d>
                              <m:dPr>
                                <m:ctrlPr>
                                  <a:rPr lang="en-US" sz="1100" b="0" i="1">
                                    <a:latin typeface="Cambria Math" panose="02040503050406030204" pitchFamily="18" charset="0"/>
                                  </a:rPr>
                                </m:ctrlPr>
                              </m:dPr>
                              <m:e>
                                <m:r>
                                  <a:rPr lang="en-US" sz="1100" b="0" i="1">
                                    <a:latin typeface="Cambria Math" panose="02040503050406030204" pitchFamily="18" charset="0"/>
                                  </a:rPr>
                                  <m:t>𝑦</m:t>
                                </m:r>
                              </m:e>
                            </m:d>
                            <m:r>
                              <a:rPr lang="en-US" sz="1100" b="0" i="1">
                                <a:latin typeface="Cambria Math" panose="02040503050406030204" pitchFamily="18" charset="0"/>
                              </a:rPr>
                              <m:t>=</m:t>
                            </m:r>
                            <m:d>
                              <m:dPr>
                                <m:ctrlPr>
                                  <a:rPr lang="en-US" sz="1100" b="0" i="1">
                                    <a:latin typeface="Cambria Math" panose="02040503050406030204" pitchFamily="18" charset="0"/>
                                  </a:rPr>
                                </m:ctrlPr>
                              </m:dPr>
                              <m:e>
                                <m:r>
                                  <a:rPr lang="en-US" sz="1100" b="0" i="1">
                                    <a:latin typeface="Cambria Math" panose="02040503050406030204" pitchFamily="18" charset="0"/>
                                  </a:rPr>
                                  <m:t> </m:t>
                                </m:r>
                                <m:d>
                                  <m:dPr>
                                    <m:ctrlPr>
                                      <a:rPr lang="en-US" sz="1100" b="0" i="1">
                                        <a:latin typeface="Cambria Math" panose="02040503050406030204" pitchFamily="18" charset="0"/>
                                      </a:rPr>
                                    </m:ctrlPr>
                                  </m:dPr>
                                  <m:e>
                                    <m:r>
                                      <a:rPr lang="en-US" sz="1100" b="0" i="1">
                                        <a:latin typeface="Cambria Math" panose="02040503050406030204" pitchFamily="18" charset="0"/>
                                      </a:rPr>
                                      <m:t>𝑃𝐶</m:t>
                                    </m:r>
                                    <m:r>
                                      <a:rPr lang="en-US" sz="1100" b="0" i="1">
                                        <a:latin typeface="Cambria Math" panose="02040503050406030204" pitchFamily="18" charset="0"/>
                                      </a:rPr>
                                      <m:t>+</m:t>
                                    </m:r>
                                    <m:d>
                                      <m:dPr>
                                        <m:ctrlPr>
                                          <a:rPr lang="en-US" sz="1100" b="0" i="1">
                                            <a:latin typeface="Cambria Math" panose="02040503050406030204" pitchFamily="18" charset="0"/>
                                          </a:rPr>
                                        </m:ctrlPr>
                                      </m:dPr>
                                      <m:e>
                                        <m:r>
                                          <a:rPr lang="en-US" sz="1100" b="0" i="1">
                                            <a:latin typeface="Cambria Math" panose="02040503050406030204" pitchFamily="18" charset="0"/>
                                          </a:rPr>
                                          <m:t> </m:t>
                                        </m:r>
                                        <m:f>
                                          <m:fPr>
                                            <m:ctrlPr>
                                              <a:rPr lang="en-US" sz="1100" b="0" i="1">
                                                <a:latin typeface="Cambria Math" panose="02040503050406030204" pitchFamily="18" charset="0"/>
                                              </a:rPr>
                                            </m:ctrlPr>
                                          </m:fPr>
                                          <m:num>
                                            <m:r>
                                              <a:rPr lang="en-US" sz="1100" b="0" i="1">
                                                <a:latin typeface="Cambria Math" panose="02040503050406030204" pitchFamily="18" charset="0"/>
                                              </a:rPr>
                                              <m:t>𝐸</m:t>
                                            </m:r>
                                          </m:num>
                                          <m:den>
                                            <m:r>
                                              <a:rPr lang="en-US" sz="1100" b="0" i="1">
                                                <a:latin typeface="Cambria Math" panose="02040503050406030204" pitchFamily="18" charset="0"/>
                                              </a:rPr>
                                              <m:t>𝑦</m:t>
                                            </m:r>
                                          </m:den>
                                        </m:f>
                                        <m:r>
                                          <a:rPr lang="en-US" sz="1100" b="0" i="1">
                                            <a:latin typeface="Cambria Math" panose="02040503050406030204" pitchFamily="18" charset="0"/>
                                          </a:rPr>
                                          <m:t>+</m:t>
                                        </m:r>
                                        <m:r>
                                          <a:rPr lang="en-US" sz="1100" b="0" i="1">
                                            <a:latin typeface="Cambria Math" panose="02040503050406030204" pitchFamily="18" charset="0"/>
                                          </a:rPr>
                                          <m:t>𝑀𝑇</m:t>
                                        </m:r>
                                        <m:r>
                                          <a:rPr lang="en-US" sz="1100" b="0" i="1">
                                            <a:latin typeface="Cambria Math" panose="02040503050406030204" pitchFamily="18" charset="0"/>
                                          </a:rPr>
                                          <m:t>∗</m:t>
                                        </m:r>
                                        <m:r>
                                          <a:rPr lang="en-US" sz="1100" b="0" i="1">
                                            <a:latin typeface="Cambria Math" panose="02040503050406030204" pitchFamily="18" charset="0"/>
                                          </a:rPr>
                                          <m:t>𝑧</m:t>
                                        </m:r>
                                      </m:e>
                                    </m:d>
                                    <m:r>
                                      <a:rPr lang="en-US" sz="1100" b="0" i="1">
                                        <a:latin typeface="Cambria Math" panose="02040503050406030204" pitchFamily="18" charset="0"/>
                                      </a:rPr>
                                      <m:t>∗300</m:t>
                                    </m:r>
                                    <m:r>
                                      <a:rPr lang="en-US" sz="1100" b="0" i="1">
                                        <a:latin typeface="Cambria Math" panose="02040503050406030204" pitchFamily="18" charset="0"/>
                                      </a:rPr>
                                      <m:t>𝑑𝑎𝑦𝑠</m:t>
                                    </m:r>
                                    <m:r>
                                      <a:rPr lang="en-US" sz="1100" b="0" i="1">
                                        <a:latin typeface="Cambria Math" panose="02040503050406030204" pitchFamily="18" charset="0"/>
                                      </a:rPr>
                                      <m:t>+</m:t>
                                    </m:r>
                                    <m:r>
                                      <a:rPr lang="en-US" sz="1100" b="0" i="1">
                                        <a:latin typeface="Cambria Math" panose="02040503050406030204" pitchFamily="18" charset="0"/>
                                      </a:rPr>
                                      <m:t>𝑀</m:t>
                                    </m:r>
                                    <m:r>
                                      <a:rPr lang="en-US" sz="1100" b="0" i="1">
                                        <a:latin typeface="Cambria Math" panose="02040503050406030204" pitchFamily="18" charset="0"/>
                                      </a:rPr>
                                      <m:t>&amp;</m:t>
                                    </m:r>
                                    <m:r>
                                      <a:rPr lang="en-US" sz="1100" b="0" i="1">
                                        <a:latin typeface="Cambria Math" panose="02040503050406030204" pitchFamily="18" charset="0"/>
                                      </a:rPr>
                                      <m:t>𝑂</m:t>
                                    </m:r>
                                    <m:r>
                                      <a:rPr lang="en-US" sz="1100" b="0" i="1">
                                        <a:latin typeface="Cambria Math" panose="02040503050406030204" pitchFamily="18" charset="0"/>
                                      </a:rPr>
                                      <m:t>+</m:t>
                                    </m:r>
                                    <m:r>
                                      <a:rPr lang="en-US" sz="1100" b="0" i="1">
                                        <a:latin typeface="Cambria Math" panose="02040503050406030204" pitchFamily="18" charset="0"/>
                                      </a:rPr>
                                      <m:t>𝐼𝑁𝑆</m:t>
                                    </m:r>
                                  </m:e>
                                </m:d>
                                <m:r>
                                  <a:rPr lang="en-US" sz="1100" b="0" i="1">
                                    <a:latin typeface="Cambria Math" panose="02040503050406030204" pitchFamily="18" charset="0"/>
                                  </a:rPr>
                                  <m:t>∗6</m:t>
                                </m:r>
                                <m:r>
                                  <a:rPr lang="en-US" sz="1100" b="0" i="1">
                                    <a:latin typeface="Cambria Math" panose="02040503050406030204" pitchFamily="18" charset="0"/>
                                  </a:rPr>
                                  <m:t>𝑦𝑟𝑠</m:t>
                                </m:r>
                              </m:e>
                            </m:d>
                            <m:r>
                              <a:rPr lang="en-US" sz="1100" b="0" i="1">
                                <a:latin typeface="Cambria Math" panose="02040503050406030204" pitchFamily="18" charset="0"/>
                              </a:rPr>
                              <m:t>∗</m:t>
                            </m:r>
                            <m:r>
                              <a:rPr lang="en-US" sz="1100" b="0" i="1">
                                <a:latin typeface="Cambria Math" panose="02040503050406030204" pitchFamily="18" charset="0"/>
                              </a:rPr>
                              <m:t>𝑓</m:t>
                            </m:r>
                            <m:r>
                              <a:rPr lang="en-US" sz="1100" b="0" i="1">
                                <a:latin typeface="Cambria Math" panose="02040503050406030204" pitchFamily="18" charset="0"/>
                              </a:rPr>
                              <m:t>&amp;&amp;&amp;&amp;&amp;&amp;&amp;&amp;&amp;&amp;&amp;&amp;&amp;&amp;</m:t>
                            </m:r>
                          </m:e>
                          <m:e>
                            <m:r>
                              <a:rPr lang="en-US" sz="1100" b="0" i="1">
                                <a:latin typeface="Cambria Math" panose="02040503050406030204" pitchFamily="18" charset="0"/>
                              </a:rPr>
                              <m:t>  </m:t>
                            </m:r>
                          </m:e>
                        </m:eqArr>
                      </m:e>
                    </m:func>
                  </m:oMath>
                </m:oMathPara>
              </a14:m>
              <a:endParaRPr lang="en-US" sz="1100"/>
            </a:p>
            <a:p>
              <a:r>
                <a:rPr lang="en-US" sz="1100"/>
                <a:t>                                                 </a:t>
              </a:r>
              <a:r>
                <a:rPr lang="en-US" sz="1100">
                  <a:latin typeface="Cambria Math" panose="02040503050406030204" pitchFamily="18" charset="0"/>
                  <a:ea typeface="Cambria Math" panose="02040503050406030204" pitchFamily="18" charset="0"/>
                </a:rPr>
                <a:t>= </a:t>
              </a:r>
              <a:r>
                <a:rPr lang="en-US" sz="1100" baseline="0">
                  <a:latin typeface="Cambria Math" panose="02040503050406030204" pitchFamily="18" charset="0"/>
                  <a:ea typeface="Cambria Math" panose="02040503050406030204" pitchFamily="18" charset="0"/>
                </a:rPr>
                <a:t> </a:t>
              </a:r>
              <a14:m>
                <m:oMath xmlns:m="http://schemas.openxmlformats.org/officeDocument/2006/math">
                  <m:d>
                    <m:dPr>
                      <m:ctrlPr>
                        <a:rPr lang="en-US" sz="1100" b="0" i="1">
                          <a:solidFill>
                            <a:schemeClr val="tx1"/>
                          </a:solidFill>
                          <a:effectLst/>
                          <a:latin typeface="Cambria Math" panose="02040503050406030204" pitchFamily="18" charset="0"/>
                          <a:ea typeface="Cambria Math" panose="02040503050406030204" pitchFamily="18" charset="0"/>
                          <a:cs typeface="+mn-cs"/>
                        </a:rPr>
                      </m:ctrlPr>
                    </m:dPr>
                    <m:e>
                      <m:r>
                        <a:rPr lang="en-US" sz="1100" b="0" i="1">
                          <a:solidFill>
                            <a:schemeClr val="tx1"/>
                          </a:solidFill>
                          <a:effectLst/>
                          <a:latin typeface="Cambria Math" panose="02040503050406030204" pitchFamily="18" charset="0"/>
                          <a:ea typeface="Cambria Math" panose="02040503050406030204" pitchFamily="18" charset="0"/>
                          <a:cs typeface="+mn-cs"/>
                        </a:rPr>
                        <m:t> </m:t>
                      </m:r>
                      <m:d>
                        <m:dPr>
                          <m:ctrlPr>
                            <a:rPr lang="en-US" sz="1100" b="0" i="1">
                              <a:solidFill>
                                <a:schemeClr val="tx1"/>
                              </a:solidFill>
                              <a:effectLst/>
                              <a:latin typeface="Cambria Math" panose="02040503050406030204" pitchFamily="18" charset="0"/>
                              <a:ea typeface="Cambria Math" panose="02040503050406030204" pitchFamily="18" charset="0"/>
                              <a:cs typeface="+mn-cs"/>
                            </a:rPr>
                          </m:ctrlPr>
                        </m:dPr>
                        <m:e>
                          <m:r>
                            <a:rPr lang="en-US" sz="1100" b="0" i="1">
                              <a:solidFill>
                                <a:schemeClr val="tx1"/>
                              </a:solidFill>
                              <a:effectLst/>
                              <a:latin typeface="Cambria Math" panose="02040503050406030204" pitchFamily="18" charset="0"/>
                              <a:ea typeface="Cambria Math" panose="02040503050406030204" pitchFamily="18" charset="0"/>
                              <a:cs typeface="+mn-cs"/>
                            </a:rPr>
                            <m:t> </m:t>
                          </m:r>
                          <m:r>
                            <a:rPr lang="en-US" sz="1100" b="0" i="1">
                              <a:solidFill>
                                <a:schemeClr val="tx1"/>
                              </a:solidFill>
                              <a:effectLst/>
                              <a:latin typeface="Cambria Math" panose="02040503050406030204" pitchFamily="18" charset="0"/>
                              <a:ea typeface="Cambria Math" panose="02040503050406030204" pitchFamily="18" charset="0"/>
                              <a:cs typeface="+mn-cs"/>
                            </a:rPr>
                            <m:t>𝑃𝐶</m:t>
                          </m:r>
                          <m:r>
                            <a:rPr lang="en-US" sz="1100" b="0" i="1">
                              <a:solidFill>
                                <a:schemeClr val="tx1"/>
                              </a:solidFill>
                              <a:effectLst/>
                              <a:latin typeface="Cambria Math" panose="02040503050406030204" pitchFamily="18" charset="0"/>
                              <a:ea typeface="Cambria Math" panose="02040503050406030204" pitchFamily="18" charset="0"/>
                              <a:cs typeface="+mn-cs"/>
                            </a:rPr>
                            <m:t>+</m:t>
                          </m:r>
                          <m:d>
                            <m:dPr>
                              <m:ctrlPr>
                                <a:rPr lang="en-US" sz="1100" b="0" i="1">
                                  <a:solidFill>
                                    <a:schemeClr val="tx1"/>
                                  </a:solidFill>
                                  <a:effectLst/>
                                  <a:latin typeface="Cambria Math" panose="02040503050406030204" pitchFamily="18" charset="0"/>
                                  <a:ea typeface="Cambria Math" panose="02040503050406030204" pitchFamily="18" charset="0"/>
                                  <a:cs typeface="+mn-cs"/>
                                </a:rPr>
                              </m:ctrlPr>
                            </m:dPr>
                            <m:e>
                              <m:r>
                                <a:rPr lang="en-US" sz="1100" b="0" i="1">
                                  <a:solidFill>
                                    <a:schemeClr val="tx1"/>
                                  </a:solidFill>
                                  <a:effectLst/>
                                  <a:latin typeface="Cambria Math" panose="02040503050406030204" pitchFamily="18" charset="0"/>
                                  <a:ea typeface="Cambria Math" panose="02040503050406030204" pitchFamily="18" charset="0"/>
                                  <a:cs typeface="+mn-cs"/>
                                </a:rPr>
                                <m:t> </m:t>
                              </m:r>
                              <m:r>
                                <a:rPr lang="en-US" sz="1100" b="0" i="1">
                                  <a:solidFill>
                                    <a:schemeClr val="tx1"/>
                                  </a:solidFill>
                                  <a:effectLst/>
                                  <a:latin typeface="Cambria Math" panose="02040503050406030204" pitchFamily="18" charset="0"/>
                                  <a:ea typeface="Cambria Math" panose="02040503050406030204" pitchFamily="18" charset="0"/>
                                  <a:cs typeface="+mn-cs"/>
                                </a:rPr>
                                <m:t>𝑀𝑇</m:t>
                              </m:r>
                              <m:r>
                                <a:rPr lang="en-US" sz="1100" b="0" i="1">
                                  <a:solidFill>
                                    <a:schemeClr val="tx1"/>
                                  </a:solidFill>
                                  <a:effectLst/>
                                  <a:latin typeface="Cambria Math" panose="02040503050406030204" pitchFamily="18" charset="0"/>
                                  <a:ea typeface="Cambria Math" panose="02040503050406030204" pitchFamily="18" charset="0"/>
                                  <a:cs typeface="+mn-cs"/>
                                </a:rPr>
                                <m:t>∗</m:t>
                              </m:r>
                              <m:r>
                                <a:rPr lang="en-US" sz="1100" b="0" i="1">
                                  <a:solidFill>
                                    <a:schemeClr val="tx1"/>
                                  </a:solidFill>
                                  <a:effectLst/>
                                  <a:latin typeface="Cambria Math" panose="02040503050406030204" pitchFamily="18" charset="0"/>
                                  <a:ea typeface="Cambria Math" panose="02040503050406030204" pitchFamily="18" charset="0"/>
                                  <a:cs typeface="+mn-cs"/>
                                </a:rPr>
                                <m:t>𝑧</m:t>
                              </m:r>
                            </m:e>
                          </m:d>
                          <m:r>
                            <a:rPr lang="en-US" sz="1100" b="0" i="1">
                              <a:solidFill>
                                <a:schemeClr val="tx1"/>
                              </a:solidFill>
                              <a:effectLst/>
                              <a:latin typeface="Cambria Math" panose="02040503050406030204" pitchFamily="18" charset="0"/>
                              <a:ea typeface="Cambria Math" panose="02040503050406030204" pitchFamily="18" charset="0"/>
                              <a:cs typeface="+mn-cs"/>
                            </a:rPr>
                            <m:t>∗300</m:t>
                          </m:r>
                          <m:r>
                            <a:rPr lang="en-US" sz="1100" b="0" i="1">
                              <a:solidFill>
                                <a:schemeClr val="tx1"/>
                              </a:solidFill>
                              <a:effectLst/>
                              <a:latin typeface="Cambria Math" panose="02040503050406030204" pitchFamily="18" charset="0"/>
                              <a:ea typeface="Cambria Math" panose="02040503050406030204" pitchFamily="18" charset="0"/>
                              <a:cs typeface="+mn-cs"/>
                            </a:rPr>
                            <m:t>𝑑𝑎𝑦𝑠</m:t>
                          </m:r>
                          <m:r>
                            <a:rPr lang="en-US" sz="1100" b="0" i="1">
                              <a:solidFill>
                                <a:schemeClr val="tx1"/>
                              </a:solidFill>
                              <a:effectLst/>
                              <a:latin typeface="Cambria Math" panose="02040503050406030204" pitchFamily="18" charset="0"/>
                              <a:ea typeface="Cambria Math" panose="02040503050406030204" pitchFamily="18" charset="0"/>
                              <a:cs typeface="+mn-cs"/>
                            </a:rPr>
                            <m:t>+</m:t>
                          </m:r>
                          <m:r>
                            <a:rPr lang="en-US" sz="1100" b="0" i="1">
                              <a:solidFill>
                                <a:schemeClr val="tx1"/>
                              </a:solidFill>
                              <a:effectLst/>
                              <a:latin typeface="Cambria Math" panose="02040503050406030204" pitchFamily="18" charset="0"/>
                              <a:ea typeface="Cambria Math" panose="02040503050406030204" pitchFamily="18" charset="0"/>
                              <a:cs typeface="+mn-cs"/>
                            </a:rPr>
                            <m:t>𝑀</m:t>
                          </m:r>
                          <m:r>
                            <a:rPr lang="en-US" sz="1100" b="0" i="1">
                              <a:solidFill>
                                <a:schemeClr val="tx1"/>
                              </a:solidFill>
                              <a:effectLst/>
                              <a:latin typeface="Cambria Math" panose="02040503050406030204" pitchFamily="18" charset="0"/>
                              <a:ea typeface="Cambria Math" panose="02040503050406030204" pitchFamily="18" charset="0"/>
                              <a:cs typeface="+mn-cs"/>
                            </a:rPr>
                            <m:t>&amp;</m:t>
                          </m:r>
                          <m:r>
                            <a:rPr lang="en-US" sz="1100" b="0" i="1">
                              <a:solidFill>
                                <a:schemeClr val="tx1"/>
                              </a:solidFill>
                              <a:effectLst/>
                              <a:latin typeface="Cambria Math" panose="02040503050406030204" pitchFamily="18" charset="0"/>
                              <a:ea typeface="Cambria Math" panose="02040503050406030204" pitchFamily="18" charset="0"/>
                              <a:cs typeface="+mn-cs"/>
                            </a:rPr>
                            <m:t>𝑂</m:t>
                          </m:r>
                          <m:r>
                            <a:rPr lang="en-US" sz="1100" b="0" i="1">
                              <a:solidFill>
                                <a:schemeClr val="tx1"/>
                              </a:solidFill>
                              <a:effectLst/>
                              <a:latin typeface="Cambria Math" panose="02040503050406030204" pitchFamily="18" charset="0"/>
                              <a:ea typeface="Cambria Math" panose="02040503050406030204" pitchFamily="18" charset="0"/>
                              <a:cs typeface="+mn-cs"/>
                            </a:rPr>
                            <m:t>+</m:t>
                          </m:r>
                          <m:r>
                            <a:rPr lang="en-US" sz="1100" b="0" i="1">
                              <a:solidFill>
                                <a:schemeClr val="tx1"/>
                              </a:solidFill>
                              <a:effectLst/>
                              <a:latin typeface="Cambria Math" panose="02040503050406030204" pitchFamily="18" charset="0"/>
                              <a:ea typeface="Cambria Math" panose="02040503050406030204" pitchFamily="18" charset="0"/>
                              <a:cs typeface="+mn-cs"/>
                            </a:rPr>
                            <m:t>𝐼𝑁𝑆</m:t>
                          </m:r>
                        </m:e>
                      </m:d>
                      <m:r>
                        <a:rPr lang="en-US" sz="1100" b="0" i="1">
                          <a:solidFill>
                            <a:schemeClr val="tx1"/>
                          </a:solidFill>
                          <a:effectLst/>
                          <a:latin typeface="Cambria Math" panose="02040503050406030204" pitchFamily="18" charset="0"/>
                          <a:ea typeface="Cambria Math" panose="02040503050406030204" pitchFamily="18" charset="0"/>
                          <a:cs typeface="+mn-cs"/>
                        </a:rPr>
                        <m:t>∗6</m:t>
                      </m:r>
                      <m:r>
                        <a:rPr lang="en-US" sz="1100" b="0" i="1">
                          <a:solidFill>
                            <a:schemeClr val="tx1"/>
                          </a:solidFill>
                          <a:effectLst/>
                          <a:latin typeface="Cambria Math" panose="02040503050406030204" pitchFamily="18" charset="0"/>
                          <a:ea typeface="Cambria Math" panose="02040503050406030204" pitchFamily="18" charset="0"/>
                          <a:cs typeface="+mn-cs"/>
                        </a:rPr>
                        <m:t>𝑦𝑟𝑠</m:t>
                      </m:r>
                    </m:e>
                  </m:d>
                  <m:r>
                    <a:rPr lang="en-US" sz="1100" b="0" i="1">
                      <a:solidFill>
                        <a:schemeClr val="tx1"/>
                      </a:solidFill>
                      <a:effectLst/>
                      <a:latin typeface="Cambria Math" panose="02040503050406030204" pitchFamily="18" charset="0"/>
                      <a:ea typeface="Cambria Math" panose="02040503050406030204" pitchFamily="18" charset="0"/>
                      <a:cs typeface="+mn-cs"/>
                    </a:rPr>
                    <m:t>∗</m:t>
                  </m:r>
                  <m:r>
                    <a:rPr lang="en-US" sz="1100" b="0" i="1">
                      <a:solidFill>
                        <a:schemeClr val="tx1"/>
                      </a:solidFill>
                      <a:effectLst/>
                      <a:latin typeface="Cambria Math" panose="02040503050406030204" pitchFamily="18" charset="0"/>
                      <a:ea typeface="Cambria Math" panose="02040503050406030204" pitchFamily="18" charset="0"/>
                      <a:cs typeface="+mn-cs"/>
                    </a:rPr>
                    <m:t>𝑓</m:t>
                  </m:r>
                  <m:r>
                    <a:rPr lang="en-US" sz="1100" b="0" i="1">
                      <a:solidFill>
                        <a:schemeClr val="tx1"/>
                      </a:solidFill>
                      <a:effectLst/>
                      <a:latin typeface="Cambria Math" panose="02040503050406030204" pitchFamily="18" charset="0"/>
                      <a:ea typeface="Cambria Math" panose="02040503050406030204" pitchFamily="18" charset="0"/>
                      <a:cs typeface="+mn-cs"/>
                    </a:rPr>
                    <m:t>&gt;</m:t>
                  </m:r>
                  <m:r>
                    <a:rPr lang="en-US" sz="1100" b="0" i="1">
                      <a:solidFill>
                        <a:schemeClr val="tx1"/>
                      </a:solidFill>
                      <a:effectLst/>
                      <a:latin typeface="Cambria Math" panose="02040503050406030204" pitchFamily="18" charset="0"/>
                      <a:ea typeface="Cambria Math" panose="02040503050406030204" pitchFamily="18" charset="0"/>
                      <a:cs typeface="+mn-cs"/>
                    </a:rPr>
                    <m:t>𝐵</m:t>
                  </m:r>
                  <m:d>
                    <m:dPr>
                      <m:ctrlPr>
                        <a:rPr lang="en-US" sz="1100" b="0" i="1">
                          <a:solidFill>
                            <a:schemeClr val="tx1"/>
                          </a:solidFill>
                          <a:effectLst/>
                          <a:latin typeface="Cambria Math" panose="02040503050406030204" pitchFamily="18" charset="0"/>
                          <a:ea typeface="Cambria Math" panose="02040503050406030204" pitchFamily="18" charset="0"/>
                          <a:cs typeface="+mn-cs"/>
                        </a:rPr>
                      </m:ctrlPr>
                    </m:dPr>
                    <m:e>
                      <m:r>
                        <a:rPr lang="en-US" sz="1100" b="0" i="1">
                          <a:solidFill>
                            <a:schemeClr val="tx1"/>
                          </a:solidFill>
                          <a:effectLst/>
                          <a:latin typeface="Cambria Math" panose="02040503050406030204" pitchFamily="18" charset="0"/>
                          <a:ea typeface="Cambria Math" panose="02040503050406030204" pitchFamily="18" charset="0"/>
                          <a:cs typeface="+mn-cs"/>
                        </a:rPr>
                        <m:t>𝑦</m:t>
                      </m:r>
                    </m:e>
                  </m:d>
                </m:oMath>
              </a14:m>
              <a:endParaRPr lang="en-US" sz="1100">
                <a:latin typeface="Cambria Math" panose="02040503050406030204" pitchFamily="18" charset="0"/>
                <a:ea typeface="Cambria Math" panose="02040503050406030204" pitchFamily="18" charset="0"/>
              </a:endParaRPr>
            </a:p>
          </xdr:txBody>
        </xdr:sp>
      </mc:Choice>
      <mc:Fallback xmlns="">
        <xdr:sp macro="" textlink="">
          <xdr:nvSpPr>
            <xdr:cNvPr id="6" name="TextBox 5">
              <a:extLst>
                <a:ext uri="{FF2B5EF4-FFF2-40B4-BE49-F238E27FC236}">
                  <a16:creationId xmlns:a16="http://schemas.microsoft.com/office/drawing/2014/main" id="{2629D10F-4B80-49F0-94C1-030CEBB04035}"/>
                </a:ext>
              </a:extLst>
            </xdr:cNvPr>
            <xdr:cNvSpPr txBox="1"/>
          </xdr:nvSpPr>
          <xdr:spPr>
            <a:xfrm>
              <a:off x="9067800" y="13482637"/>
              <a:ext cx="5744714"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𝑀𝑖𝑛(𝐷(𝑦))  〖=</a:t>
              </a:r>
              <a:r>
                <a:rPr lang="en-US" sz="1100" i="0">
                  <a:latin typeface="Cambria Math" panose="02040503050406030204" pitchFamily="18" charset="0"/>
                </a:rPr>
                <a:t>lim_(</a:t>
              </a:r>
              <a:r>
                <a:rPr lang="en-US" sz="1100" b="0" i="0">
                  <a:latin typeface="Cambria Math" panose="02040503050406030204" pitchFamily="18" charset="0"/>
                </a:rPr>
                <a:t>𝑦</a:t>
              </a:r>
              <a:r>
                <a:rPr lang="en-US" sz="1100" b="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rPr>
                <a:t>𝐷(𝑦)=( (𝑃𝐶+( 𝐸/𝑦+𝑀𝑇∗𝑧)∗300𝑑𝑎𝑦𝑠+𝑀&amp;𝑂+𝐼𝑁𝑆)∗6𝑦𝑟𝑠)∗𝑓&amp;&amp;&amp;&amp;&amp;&amp;&amp;&amp;&amp;&amp;&amp;&amp;&amp;&amp;@  )</a:t>
              </a:r>
              <a:endParaRPr lang="en-US" sz="1100"/>
            </a:p>
            <a:p>
              <a:r>
                <a:rPr lang="en-US" sz="1100"/>
                <a:t>                                                 </a:t>
              </a:r>
              <a:r>
                <a:rPr lang="en-US" sz="1100">
                  <a:latin typeface="Cambria Math" panose="02040503050406030204" pitchFamily="18" charset="0"/>
                  <a:ea typeface="Cambria Math" panose="02040503050406030204" pitchFamily="18" charset="0"/>
                </a:rPr>
                <a:t>= </a:t>
              </a:r>
              <a:r>
                <a:rPr lang="en-US" sz="1100" baseline="0">
                  <a:latin typeface="Cambria Math" panose="02040503050406030204" pitchFamily="18" charset="0"/>
                  <a:ea typeface="Cambria Math" panose="02040503050406030204" pitchFamily="18" charset="0"/>
                </a:rPr>
                <a:t> </a:t>
              </a:r>
              <a:r>
                <a:rPr lang="en-US" sz="1100" b="0" i="0">
                  <a:solidFill>
                    <a:schemeClr val="tx1"/>
                  </a:solidFill>
                  <a:effectLst/>
                  <a:latin typeface="Cambria Math" panose="02040503050406030204" pitchFamily="18" charset="0"/>
                  <a:ea typeface="Cambria Math" panose="02040503050406030204" pitchFamily="18" charset="0"/>
                  <a:cs typeface="+mn-cs"/>
                </a:rPr>
                <a:t>( ( 𝑃𝐶+( 𝑀𝑇∗𝑧)∗300𝑑𝑎𝑦𝑠+𝑀&amp;𝑂+𝐼𝑁𝑆)∗6𝑦𝑟𝑠)∗𝑓&gt;𝐵(𝑦)</a:t>
              </a:r>
              <a:endParaRPr lang="en-US" sz="1100">
                <a:latin typeface="Cambria Math" panose="02040503050406030204" pitchFamily="18" charset="0"/>
                <a:ea typeface="Cambria Math" panose="02040503050406030204" pitchFamily="18" charset="0"/>
              </a:endParaRPr>
            </a:p>
          </xdr:txBody>
        </xdr:sp>
      </mc:Fallback>
    </mc:AlternateContent>
    <xdr:clientData/>
  </xdr:oneCellAnchor>
  <xdr:twoCellAnchor>
    <xdr:from>
      <xdr:col>14</xdr:col>
      <xdr:colOff>514350</xdr:colOff>
      <xdr:row>55</xdr:row>
      <xdr:rowOff>28576</xdr:rowOff>
    </xdr:from>
    <xdr:to>
      <xdr:col>15</xdr:col>
      <xdr:colOff>95250</xdr:colOff>
      <xdr:row>57</xdr:row>
      <xdr:rowOff>152400</xdr:rowOff>
    </xdr:to>
    <xdr:sp macro="" textlink="">
      <xdr:nvSpPr>
        <xdr:cNvPr id="7" name="Arrow: Down 6">
          <a:extLst>
            <a:ext uri="{FF2B5EF4-FFF2-40B4-BE49-F238E27FC236}">
              <a16:creationId xmlns:a16="http://schemas.microsoft.com/office/drawing/2014/main" id="{E1B9890A-FD1C-49AC-9460-3A376AB96B46}"/>
            </a:ext>
          </a:extLst>
        </xdr:cNvPr>
        <xdr:cNvSpPr/>
      </xdr:nvSpPr>
      <xdr:spPr>
        <a:xfrm>
          <a:off x="9115425" y="10620376"/>
          <a:ext cx="190500" cy="504824"/>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514350</xdr:colOff>
      <xdr:row>55</xdr:row>
      <xdr:rowOff>38101</xdr:rowOff>
    </xdr:from>
    <xdr:to>
      <xdr:col>19</xdr:col>
      <xdr:colOff>95250</xdr:colOff>
      <xdr:row>57</xdr:row>
      <xdr:rowOff>161925</xdr:rowOff>
    </xdr:to>
    <xdr:sp macro="" textlink="">
      <xdr:nvSpPr>
        <xdr:cNvPr id="8" name="Arrow: Down 7">
          <a:extLst>
            <a:ext uri="{FF2B5EF4-FFF2-40B4-BE49-F238E27FC236}">
              <a16:creationId xmlns:a16="http://schemas.microsoft.com/office/drawing/2014/main" id="{113A5DE9-175D-45A5-97E4-7EF6E8911B54}"/>
            </a:ext>
          </a:extLst>
        </xdr:cNvPr>
        <xdr:cNvSpPr/>
      </xdr:nvSpPr>
      <xdr:spPr>
        <a:xfrm>
          <a:off x="11734800" y="10629901"/>
          <a:ext cx="190500" cy="504824"/>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203343</xdr:colOff>
      <xdr:row>131</xdr:row>
      <xdr:rowOff>69565</xdr:rowOff>
    </xdr:from>
    <xdr:to>
      <xdr:col>5</xdr:col>
      <xdr:colOff>481601</xdr:colOff>
      <xdr:row>132</xdr:row>
      <xdr:rowOff>85618</xdr:rowOff>
    </xdr:to>
    <xdr:sp macro="" textlink="">
      <xdr:nvSpPr>
        <xdr:cNvPr id="9" name="Arrow: Right 8">
          <a:extLst>
            <a:ext uri="{FF2B5EF4-FFF2-40B4-BE49-F238E27FC236}">
              <a16:creationId xmlns:a16="http://schemas.microsoft.com/office/drawing/2014/main" id="{1C167447-AEA6-4017-9453-EA4CDE726619}"/>
            </a:ext>
          </a:extLst>
        </xdr:cNvPr>
        <xdr:cNvSpPr/>
      </xdr:nvSpPr>
      <xdr:spPr>
        <a:xfrm>
          <a:off x="3146461" y="24160323"/>
          <a:ext cx="925744" cy="197992"/>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76200</xdr:colOff>
      <xdr:row>184</xdr:row>
      <xdr:rowOff>180975</xdr:rowOff>
    </xdr:from>
    <xdr:to>
      <xdr:col>2</xdr:col>
      <xdr:colOff>542925</xdr:colOff>
      <xdr:row>187</xdr:row>
      <xdr:rowOff>66675</xdr:rowOff>
    </xdr:to>
    <xdr:sp macro="" textlink="">
      <xdr:nvSpPr>
        <xdr:cNvPr id="15" name="Star: 5 Points 14">
          <a:extLst>
            <a:ext uri="{FF2B5EF4-FFF2-40B4-BE49-F238E27FC236}">
              <a16:creationId xmlns:a16="http://schemas.microsoft.com/office/drawing/2014/main" id="{BEB1FFDC-2833-4F00-ACB2-223BC6AB3CCD}"/>
            </a:ext>
            <a:ext uri="{147F2762-F138-4A5C-976F-8EAC2B608ADB}">
              <a16:predDERef xmlns:a16="http://schemas.microsoft.com/office/drawing/2014/main" pred="{1C167447-AEA6-4017-9453-EA4CDE726619}"/>
            </a:ext>
          </a:extLst>
        </xdr:cNvPr>
        <xdr:cNvSpPr/>
      </xdr:nvSpPr>
      <xdr:spPr>
        <a:xfrm>
          <a:off x="1295400" y="35290125"/>
          <a:ext cx="466725" cy="457200"/>
        </a:xfrm>
        <a:prstGeom prst="star5">
          <a:avLst/>
        </a:prstGeom>
        <a:solidFill>
          <a:srgbClr val="000000"/>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ctr"/>
        <a:lstStyle/>
        <a:p>
          <a:pPr algn="ctr"/>
          <a:endParaRPr lang="en-US"/>
        </a:p>
      </xdr:txBody>
    </xdr:sp>
    <xdr:clientData/>
  </xdr:twoCellAnchor>
  <xdr:twoCellAnchor>
    <xdr:from>
      <xdr:col>2</xdr:col>
      <xdr:colOff>85725</xdr:colOff>
      <xdr:row>216</xdr:row>
      <xdr:rowOff>171450</xdr:rowOff>
    </xdr:from>
    <xdr:to>
      <xdr:col>2</xdr:col>
      <xdr:colOff>552450</xdr:colOff>
      <xdr:row>219</xdr:row>
      <xdr:rowOff>76200</xdr:rowOff>
    </xdr:to>
    <xdr:sp macro="" textlink="">
      <xdr:nvSpPr>
        <xdr:cNvPr id="18" name="Star: 5 Points 14">
          <a:extLst>
            <a:ext uri="{FF2B5EF4-FFF2-40B4-BE49-F238E27FC236}">
              <a16:creationId xmlns:a16="http://schemas.microsoft.com/office/drawing/2014/main" id="{FEB7C7A4-6BFB-4BB6-8455-840D7ED61B7D}"/>
            </a:ext>
            <a:ext uri="{147F2762-F138-4A5C-976F-8EAC2B608ADB}">
              <a16:predDERef xmlns:a16="http://schemas.microsoft.com/office/drawing/2014/main" pred="{BEB1FFDC-2833-4F00-ACB2-223BC6AB3CCD}"/>
            </a:ext>
          </a:extLst>
        </xdr:cNvPr>
        <xdr:cNvSpPr/>
      </xdr:nvSpPr>
      <xdr:spPr>
        <a:xfrm>
          <a:off x="1304925" y="41271825"/>
          <a:ext cx="466725" cy="476250"/>
        </a:xfrm>
        <a:prstGeom prst="star5">
          <a:avLst/>
        </a:prstGeom>
        <a:solidFill>
          <a:srgbClr val="000000"/>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ct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D339A-63AF-462C-8107-7AC8D01CFBA8}">
  <dimension ref="A1:AE220"/>
  <sheetViews>
    <sheetView tabSelected="1" topLeftCell="A155" zoomScale="89" zoomScaleNormal="64" workbookViewId="0">
      <selection activeCell="K162" sqref="K162:L167"/>
    </sheetView>
  </sheetViews>
  <sheetFormatPr defaultRowHeight="14.25" x14ac:dyDescent="0.25"/>
  <cols>
    <col min="4" max="4" width="14" bestFit="1" customWidth="1"/>
    <col min="7" max="7" width="10.140625" bestFit="1" customWidth="1"/>
    <col min="16" max="16" width="10.140625" bestFit="1" customWidth="1"/>
    <col min="17" max="17" width="9.85546875" bestFit="1" customWidth="1"/>
    <col min="18" max="18" width="13.7109375" customWidth="1"/>
    <col min="28" max="28" width="9.85546875" customWidth="1"/>
  </cols>
  <sheetData>
    <row r="1" spans="1:31" ht="18.75" x14ac:dyDescent="0.3">
      <c r="A1" s="65" t="s">
        <v>0</v>
      </c>
      <c r="B1" s="65"/>
      <c r="C1" s="65"/>
      <c r="D1" s="66" t="s">
        <v>1</v>
      </c>
      <c r="E1" s="66"/>
      <c r="F1" s="66"/>
      <c r="G1" s="66"/>
      <c r="H1" s="66"/>
      <c r="I1" s="66"/>
      <c r="J1" s="66"/>
      <c r="K1" s="66"/>
      <c r="L1" s="66"/>
      <c r="M1" s="66"/>
      <c r="N1" s="66"/>
    </row>
    <row r="3" spans="1:31" ht="15" x14ac:dyDescent="0.25">
      <c r="A3" s="67" t="s">
        <v>2</v>
      </c>
      <c r="B3" s="67"/>
      <c r="C3" s="67"/>
      <c r="D3" s="67"/>
      <c r="E3" s="67"/>
      <c r="F3" s="67"/>
      <c r="G3" s="45" t="s">
        <v>3</v>
      </c>
      <c r="H3" s="63" t="s">
        <v>4</v>
      </c>
      <c r="I3" s="63"/>
      <c r="J3" s="63" t="s">
        <v>5</v>
      </c>
      <c r="K3" s="63"/>
      <c r="L3" s="63" t="s">
        <v>6</v>
      </c>
      <c r="M3" s="63"/>
      <c r="N3" s="63" t="s">
        <v>7</v>
      </c>
      <c r="O3" s="63"/>
      <c r="P3" s="63" t="s">
        <v>8</v>
      </c>
      <c r="Q3" s="63"/>
      <c r="R3" s="63" t="s">
        <v>9</v>
      </c>
      <c r="S3" s="63"/>
      <c r="T3" s="63" t="s">
        <v>10</v>
      </c>
      <c r="U3" s="63"/>
      <c r="V3" s="63" t="s">
        <v>11</v>
      </c>
      <c r="W3" s="63"/>
      <c r="X3" s="63" t="s">
        <v>12</v>
      </c>
      <c r="Y3" s="63"/>
      <c r="Z3" s="63" t="s">
        <v>13</v>
      </c>
      <c r="AA3" s="63"/>
      <c r="AB3" s="63" t="s">
        <v>14</v>
      </c>
      <c r="AC3" s="63"/>
      <c r="AD3" s="63" t="s">
        <v>15</v>
      </c>
      <c r="AE3" s="63"/>
    </row>
    <row r="4" spans="1:31" ht="15" x14ac:dyDescent="0.25">
      <c r="A4" s="62" t="s">
        <v>16</v>
      </c>
      <c r="B4" s="62"/>
      <c r="C4" s="62"/>
      <c r="D4" s="62"/>
      <c r="E4" s="62"/>
      <c r="F4" s="62"/>
      <c r="G4" s="44"/>
      <c r="H4" s="64"/>
      <c r="I4" s="64"/>
      <c r="J4" s="64"/>
      <c r="K4" s="64"/>
      <c r="L4" s="64"/>
      <c r="M4" s="64"/>
      <c r="N4" s="64"/>
      <c r="O4" s="64"/>
      <c r="P4" s="64"/>
      <c r="Q4" s="64"/>
      <c r="R4" s="46" t="s">
        <v>17</v>
      </c>
      <c r="S4" s="46" t="s">
        <v>18</v>
      </c>
      <c r="T4" s="46" t="s">
        <v>17</v>
      </c>
      <c r="U4" s="46" t="s">
        <v>18</v>
      </c>
      <c r="V4" s="46" t="s">
        <v>17</v>
      </c>
      <c r="W4" s="46" t="s">
        <v>18</v>
      </c>
      <c r="X4" s="46" t="s">
        <v>17</v>
      </c>
      <c r="Y4" s="46" t="s">
        <v>19</v>
      </c>
      <c r="Z4" s="44" t="s">
        <v>17</v>
      </c>
      <c r="AA4" s="44" t="s">
        <v>18</v>
      </c>
      <c r="AB4" s="46" t="s">
        <v>17</v>
      </c>
      <c r="AC4" s="46" t="s">
        <v>18</v>
      </c>
      <c r="AD4" s="46" t="s">
        <v>17</v>
      </c>
      <c r="AE4" s="46" t="s">
        <v>18</v>
      </c>
    </row>
    <row r="5" spans="1:31" ht="15" x14ac:dyDescent="0.25">
      <c r="A5" s="62" t="s">
        <v>20</v>
      </c>
      <c r="B5" s="62"/>
      <c r="C5" s="62"/>
      <c r="D5" s="62"/>
      <c r="E5" s="62"/>
      <c r="F5" s="62"/>
      <c r="G5" s="46">
        <v>1</v>
      </c>
      <c r="H5" s="64" t="s">
        <v>21</v>
      </c>
      <c r="I5" s="64"/>
      <c r="J5" s="64" t="s">
        <v>22</v>
      </c>
      <c r="K5" s="64"/>
      <c r="L5" s="64" t="s">
        <v>23</v>
      </c>
      <c r="M5" s="64"/>
      <c r="N5" s="64" t="s">
        <v>24</v>
      </c>
      <c r="O5" s="64"/>
      <c r="P5" s="64">
        <v>2.8</v>
      </c>
      <c r="Q5" s="64"/>
      <c r="R5" s="46">
        <v>11</v>
      </c>
      <c r="S5" s="47">
        <f>P5*1.8/100*3.301</f>
        <v>0.1663704</v>
      </c>
      <c r="T5" s="46">
        <v>23</v>
      </c>
      <c r="U5" s="47">
        <v>0</v>
      </c>
      <c r="V5" s="46">
        <v>10</v>
      </c>
      <c r="W5" s="47">
        <v>11.56</v>
      </c>
      <c r="X5" s="46">
        <v>11</v>
      </c>
      <c r="Y5" s="46">
        <f>0.9</f>
        <v>0.9</v>
      </c>
      <c r="Z5" s="2">
        <v>7</v>
      </c>
      <c r="AA5" s="3">
        <f>2+1.7+1.1*P5</f>
        <v>6.78</v>
      </c>
      <c r="AB5" s="46">
        <v>10</v>
      </c>
      <c r="AC5" s="47">
        <v>0.75</v>
      </c>
      <c r="AD5" s="64" t="s">
        <v>25</v>
      </c>
      <c r="AE5" s="64"/>
    </row>
    <row r="6" spans="1:31" ht="15" x14ac:dyDescent="0.25">
      <c r="A6" s="62" t="s">
        <v>26</v>
      </c>
      <c r="B6" s="62"/>
      <c r="C6" s="62"/>
      <c r="D6" s="62"/>
      <c r="E6" s="62"/>
      <c r="F6" s="62"/>
      <c r="G6" s="46">
        <v>2</v>
      </c>
      <c r="H6" s="64" t="s">
        <v>27</v>
      </c>
      <c r="I6" s="64"/>
      <c r="J6" s="64" t="s">
        <v>28</v>
      </c>
      <c r="K6" s="64"/>
      <c r="L6" s="64" t="s">
        <v>24</v>
      </c>
      <c r="M6" s="64"/>
      <c r="N6" s="64" t="s">
        <v>23</v>
      </c>
      <c r="O6" s="64"/>
      <c r="P6" s="64">
        <v>2.8</v>
      </c>
      <c r="Q6" s="64"/>
      <c r="R6" s="46">
        <v>6</v>
      </c>
      <c r="S6" s="47">
        <f t="shared" ref="S6:S8" si="0">P6*1.8/100*3.301</f>
        <v>0.1663704</v>
      </c>
      <c r="T6" s="46">
        <v>23</v>
      </c>
      <c r="U6" s="47">
        <v>0</v>
      </c>
      <c r="V6" s="46">
        <v>10</v>
      </c>
      <c r="W6" s="47">
        <v>11.56</v>
      </c>
      <c r="X6" s="46">
        <v>9</v>
      </c>
      <c r="Y6" s="46">
        <v>0.9</v>
      </c>
      <c r="Z6" s="2">
        <v>8</v>
      </c>
      <c r="AA6" s="3">
        <f t="shared" ref="AA6:AA8" si="1">2+1.7+1.1*P6</f>
        <v>6.78</v>
      </c>
      <c r="AB6" s="46">
        <v>10</v>
      </c>
      <c r="AC6" s="47">
        <v>0</v>
      </c>
      <c r="AD6" s="64" t="s">
        <v>25</v>
      </c>
      <c r="AE6" s="64"/>
    </row>
    <row r="7" spans="1:31" ht="15" x14ac:dyDescent="0.25">
      <c r="A7" s="62" t="s">
        <v>29</v>
      </c>
      <c r="B7" s="62"/>
      <c r="C7" s="62"/>
      <c r="D7" s="62"/>
      <c r="E7" s="62"/>
      <c r="F7" s="62"/>
      <c r="G7" s="46">
        <v>3</v>
      </c>
      <c r="H7" s="64" t="s">
        <v>30</v>
      </c>
      <c r="I7" s="64"/>
      <c r="J7" s="64" t="s">
        <v>31</v>
      </c>
      <c r="K7" s="64"/>
      <c r="L7" s="64" t="s">
        <v>23</v>
      </c>
      <c r="M7" s="64"/>
      <c r="N7" s="64" t="s">
        <v>32</v>
      </c>
      <c r="O7" s="64"/>
      <c r="P7" s="64">
        <v>2.4</v>
      </c>
      <c r="Q7" s="64"/>
      <c r="R7" s="46">
        <v>8</v>
      </c>
      <c r="S7" s="47">
        <f t="shared" si="0"/>
        <v>0.14260320000000001</v>
      </c>
      <c r="T7" s="46">
        <v>34</v>
      </c>
      <c r="U7" s="47">
        <v>0</v>
      </c>
      <c r="V7" s="46">
        <v>10</v>
      </c>
      <c r="W7" s="47">
        <v>10.43</v>
      </c>
      <c r="X7" s="46">
        <v>20</v>
      </c>
      <c r="Y7" s="46">
        <v>1</v>
      </c>
      <c r="Z7" s="2">
        <v>11</v>
      </c>
      <c r="AA7" s="3">
        <f t="shared" si="1"/>
        <v>6.34</v>
      </c>
      <c r="AB7" s="46">
        <v>0</v>
      </c>
      <c r="AC7" s="47">
        <v>0</v>
      </c>
      <c r="AD7" s="64" t="s">
        <v>25</v>
      </c>
      <c r="AE7" s="64"/>
    </row>
    <row r="8" spans="1:31" ht="15" x14ac:dyDescent="0.25">
      <c r="A8" s="62" t="s">
        <v>33</v>
      </c>
      <c r="B8" s="62"/>
      <c r="C8" s="62"/>
      <c r="D8" s="62"/>
      <c r="E8" s="62"/>
      <c r="F8" s="62"/>
      <c r="G8" s="46">
        <v>4</v>
      </c>
      <c r="H8" s="64" t="s">
        <v>27</v>
      </c>
      <c r="I8" s="64"/>
      <c r="J8" s="64" t="s">
        <v>34</v>
      </c>
      <c r="K8" s="64"/>
      <c r="L8" s="64" t="s">
        <v>32</v>
      </c>
      <c r="M8" s="64"/>
      <c r="N8" s="64" t="s">
        <v>23</v>
      </c>
      <c r="O8" s="64"/>
      <c r="P8" s="64">
        <v>2.4</v>
      </c>
      <c r="Q8" s="64"/>
      <c r="R8" s="46">
        <v>8</v>
      </c>
      <c r="S8" s="47">
        <f t="shared" si="0"/>
        <v>0.14260320000000001</v>
      </c>
      <c r="T8" s="46">
        <v>34</v>
      </c>
      <c r="U8" s="47">
        <v>0</v>
      </c>
      <c r="V8" s="46">
        <v>10</v>
      </c>
      <c r="W8" s="47">
        <v>10.43</v>
      </c>
      <c r="X8" s="46">
        <v>15</v>
      </c>
      <c r="Y8" s="46">
        <v>0.9</v>
      </c>
      <c r="Z8" s="2">
        <v>10</v>
      </c>
      <c r="AA8" s="3">
        <f t="shared" si="1"/>
        <v>6.34</v>
      </c>
      <c r="AB8" s="46">
        <v>0</v>
      </c>
      <c r="AC8" s="47">
        <v>0</v>
      </c>
      <c r="AD8" s="64" t="s">
        <v>25</v>
      </c>
      <c r="AE8" s="64"/>
    </row>
    <row r="9" spans="1:31" ht="15" x14ac:dyDescent="0.25">
      <c r="A9" s="62" t="s">
        <v>35</v>
      </c>
      <c r="B9" s="62"/>
      <c r="C9" s="62"/>
      <c r="D9" s="62"/>
      <c r="E9" s="62"/>
      <c r="F9" s="62"/>
      <c r="G9" s="46"/>
      <c r="H9" s="64"/>
      <c r="I9" s="64"/>
      <c r="J9" s="64"/>
      <c r="K9" s="64"/>
      <c r="L9" s="64"/>
      <c r="M9" s="64"/>
      <c r="N9" s="64"/>
      <c r="O9" s="64"/>
      <c r="P9" s="69"/>
      <c r="Q9" s="70"/>
      <c r="R9" s="44"/>
      <c r="S9" s="1"/>
      <c r="T9" s="44"/>
      <c r="U9" s="1"/>
      <c r="V9" s="44"/>
      <c r="W9" s="1"/>
      <c r="X9" s="44"/>
      <c r="Y9" s="44"/>
      <c r="Z9" s="44"/>
      <c r="AA9" s="1"/>
      <c r="AB9" s="44"/>
      <c r="AC9" s="1"/>
      <c r="AD9" s="69"/>
      <c r="AE9" s="70"/>
    </row>
    <row r="11" spans="1:31" ht="15" x14ac:dyDescent="0.25">
      <c r="A11" s="67" t="s">
        <v>36</v>
      </c>
      <c r="B11" s="67"/>
      <c r="C11" s="67"/>
      <c r="D11" s="67"/>
      <c r="E11" s="67"/>
      <c r="F11" s="67"/>
      <c r="G11" s="45" t="s">
        <v>3</v>
      </c>
      <c r="H11" s="63" t="s">
        <v>4</v>
      </c>
      <c r="I11" s="63"/>
      <c r="J11" s="63" t="s">
        <v>5</v>
      </c>
      <c r="K11" s="63"/>
      <c r="L11" s="63" t="s">
        <v>6</v>
      </c>
      <c r="M11" s="63"/>
      <c r="N11" s="63" t="s">
        <v>7</v>
      </c>
      <c r="O11" s="63"/>
      <c r="P11" s="63" t="s">
        <v>8</v>
      </c>
      <c r="Q11" s="63"/>
      <c r="R11" s="63" t="s">
        <v>9</v>
      </c>
      <c r="S11" s="63"/>
      <c r="T11" s="63" t="s">
        <v>10</v>
      </c>
      <c r="U11" s="63"/>
      <c r="V11" s="63" t="s">
        <v>11</v>
      </c>
      <c r="W11" s="63"/>
      <c r="X11" s="63" t="s">
        <v>37</v>
      </c>
      <c r="Y11" s="63"/>
      <c r="Z11" s="63" t="s">
        <v>13</v>
      </c>
      <c r="AA11" s="63"/>
      <c r="AB11" s="63" t="s">
        <v>38</v>
      </c>
      <c r="AC11" s="63"/>
      <c r="AD11" s="63" t="s">
        <v>15</v>
      </c>
      <c r="AE11" s="63"/>
    </row>
    <row r="12" spans="1:31" ht="15" x14ac:dyDescent="0.25">
      <c r="A12" s="62" t="s">
        <v>39</v>
      </c>
      <c r="B12" s="62"/>
      <c r="C12" s="62"/>
      <c r="D12" s="62"/>
      <c r="E12" s="62"/>
      <c r="F12" s="62"/>
      <c r="G12" s="44"/>
      <c r="H12" s="64"/>
      <c r="I12" s="64"/>
      <c r="J12" s="64"/>
      <c r="K12" s="64"/>
      <c r="L12" s="64"/>
      <c r="M12" s="64"/>
      <c r="N12" s="64"/>
      <c r="O12" s="64"/>
      <c r="P12" s="64"/>
      <c r="Q12" s="64"/>
      <c r="R12" s="46" t="s">
        <v>17</v>
      </c>
      <c r="S12" s="46" t="s">
        <v>18</v>
      </c>
      <c r="T12" s="46" t="s">
        <v>17</v>
      </c>
      <c r="U12" s="46" t="s">
        <v>18</v>
      </c>
      <c r="V12" s="46" t="s">
        <v>17</v>
      </c>
      <c r="W12" s="46" t="s">
        <v>18</v>
      </c>
      <c r="X12" s="46" t="s">
        <v>17</v>
      </c>
      <c r="Y12" s="46" t="s">
        <v>19</v>
      </c>
      <c r="Z12" s="44" t="s">
        <v>17</v>
      </c>
      <c r="AA12" s="44" t="s">
        <v>18</v>
      </c>
      <c r="AB12" s="46" t="s">
        <v>17</v>
      </c>
      <c r="AC12" s="46" t="s">
        <v>18</v>
      </c>
      <c r="AD12" s="46" t="s">
        <v>17</v>
      </c>
      <c r="AE12" s="46" t="s">
        <v>18</v>
      </c>
    </row>
    <row r="13" spans="1:31" ht="15" x14ac:dyDescent="0.25">
      <c r="A13" s="62" t="s">
        <v>40</v>
      </c>
      <c r="B13" s="62"/>
      <c r="C13" s="62"/>
      <c r="D13" s="62"/>
      <c r="E13" s="62"/>
      <c r="F13" s="62"/>
      <c r="G13" s="46">
        <v>1</v>
      </c>
      <c r="H13" s="64" t="s">
        <v>21</v>
      </c>
      <c r="I13" s="64"/>
      <c r="J13" s="64" t="s">
        <v>41</v>
      </c>
      <c r="K13" s="64"/>
      <c r="L13" s="64" t="s">
        <v>23</v>
      </c>
      <c r="M13" s="64"/>
      <c r="N13" s="64" t="s">
        <v>24</v>
      </c>
      <c r="O13" s="64"/>
      <c r="P13" s="64">
        <v>0.4</v>
      </c>
      <c r="Q13" s="64"/>
      <c r="R13" s="46">
        <v>8</v>
      </c>
      <c r="S13" s="47">
        <f>P13*1.8/100*3.301</f>
        <v>2.3767200000000002E-2</v>
      </c>
      <c r="T13" s="46">
        <v>8</v>
      </c>
      <c r="U13" s="47">
        <v>0</v>
      </c>
      <c r="V13" s="46">
        <v>7</v>
      </c>
      <c r="W13" s="47">
        <v>4.74</v>
      </c>
      <c r="X13" s="46">
        <v>9</v>
      </c>
      <c r="Y13" s="46">
        <v>0.4</v>
      </c>
      <c r="Z13" s="46">
        <v>5</v>
      </c>
      <c r="AA13" s="47">
        <f>2+1.7+1.1*P13</f>
        <v>4.1400000000000006</v>
      </c>
      <c r="AB13" s="46">
        <v>0</v>
      </c>
      <c r="AC13" s="47">
        <v>0.75</v>
      </c>
      <c r="AD13" s="64" t="s">
        <v>25</v>
      </c>
      <c r="AE13" s="64"/>
    </row>
    <row r="14" spans="1:31" ht="15" x14ac:dyDescent="0.25">
      <c r="A14" s="62" t="s">
        <v>42</v>
      </c>
      <c r="B14" s="62"/>
      <c r="C14" s="62"/>
      <c r="D14" s="62"/>
      <c r="E14" s="62"/>
      <c r="F14" s="62"/>
      <c r="G14" s="46">
        <v>2</v>
      </c>
      <c r="H14" s="64" t="s">
        <v>43</v>
      </c>
      <c r="I14" s="64"/>
      <c r="J14" s="64" t="s">
        <v>44</v>
      </c>
      <c r="K14" s="64"/>
      <c r="L14" s="64" t="s">
        <v>24</v>
      </c>
      <c r="M14" s="64"/>
      <c r="N14" s="64" t="s">
        <v>45</v>
      </c>
      <c r="O14" s="64"/>
      <c r="P14" s="64">
        <v>0.6</v>
      </c>
      <c r="Q14" s="64"/>
      <c r="R14" s="46">
        <v>3</v>
      </c>
      <c r="S14" s="47">
        <f t="shared" ref="S14:S15" si="2">P14*1.8/100*3.301</f>
        <v>3.5650800000000003E-2</v>
      </c>
      <c r="T14" s="46">
        <v>6</v>
      </c>
      <c r="U14" s="47">
        <v>0</v>
      </c>
      <c r="V14" s="46">
        <v>5</v>
      </c>
      <c r="W14" s="47">
        <v>5.31</v>
      </c>
      <c r="X14" s="46">
        <v>11</v>
      </c>
      <c r="Y14" s="46">
        <v>0.5</v>
      </c>
      <c r="Z14" s="46">
        <v>6</v>
      </c>
      <c r="AA14" s="47">
        <f t="shared" ref="AA14:AA15" si="3">2+1.7+1.1*P14</f>
        <v>4.3600000000000003</v>
      </c>
      <c r="AB14" s="46">
        <v>0</v>
      </c>
      <c r="AC14" s="47">
        <v>0</v>
      </c>
      <c r="AD14" s="64" t="s">
        <v>25</v>
      </c>
      <c r="AE14" s="64"/>
    </row>
    <row r="15" spans="1:31" ht="15" x14ac:dyDescent="0.25">
      <c r="A15" s="62" t="s">
        <v>46</v>
      </c>
      <c r="B15" s="62"/>
      <c r="C15" s="62"/>
      <c r="D15" s="62"/>
      <c r="E15" s="62"/>
      <c r="F15" s="62"/>
      <c r="G15" s="46">
        <v>3</v>
      </c>
      <c r="H15" s="64" t="s">
        <v>27</v>
      </c>
      <c r="I15" s="64"/>
      <c r="J15" s="64" t="s">
        <v>47</v>
      </c>
      <c r="K15" s="64"/>
      <c r="L15" s="64" t="s">
        <v>45</v>
      </c>
      <c r="M15" s="64"/>
      <c r="N15" s="64" t="s">
        <v>23</v>
      </c>
      <c r="O15" s="64"/>
      <c r="P15" s="64">
        <v>1</v>
      </c>
      <c r="Q15" s="64"/>
      <c r="R15" s="46">
        <v>5</v>
      </c>
      <c r="S15" s="47">
        <f t="shared" si="2"/>
        <v>5.9418000000000012E-2</v>
      </c>
      <c r="T15" s="46">
        <v>14</v>
      </c>
      <c r="U15" s="47">
        <v>0</v>
      </c>
      <c r="V15" s="46">
        <v>13</v>
      </c>
      <c r="W15" s="47">
        <v>6.45</v>
      </c>
      <c r="X15" s="46">
        <v>18</v>
      </c>
      <c r="Y15" s="46">
        <v>0.8</v>
      </c>
      <c r="Z15" s="46">
        <v>7</v>
      </c>
      <c r="AA15" s="47">
        <f t="shared" si="3"/>
        <v>4.8000000000000007</v>
      </c>
      <c r="AB15" s="46">
        <v>0</v>
      </c>
      <c r="AC15" s="47">
        <v>0</v>
      </c>
      <c r="AD15" s="64" t="s">
        <v>25</v>
      </c>
      <c r="AE15" s="64"/>
    </row>
    <row r="16" spans="1:31" ht="15" x14ac:dyDescent="0.25">
      <c r="A16" s="62" t="s">
        <v>48</v>
      </c>
      <c r="B16" s="62"/>
      <c r="C16" s="62"/>
      <c r="D16" s="62"/>
      <c r="E16" s="62"/>
      <c r="F16" s="62"/>
      <c r="G16" s="46"/>
      <c r="H16" s="64"/>
      <c r="I16" s="64"/>
      <c r="J16" s="64"/>
      <c r="K16" s="64"/>
      <c r="L16" s="64"/>
      <c r="M16" s="64"/>
      <c r="N16" s="64"/>
      <c r="O16" s="64"/>
      <c r="P16" s="64"/>
      <c r="Q16" s="64"/>
      <c r="R16" s="46"/>
      <c r="S16" s="47"/>
      <c r="T16" s="46"/>
      <c r="U16" s="47"/>
      <c r="V16" s="46"/>
      <c r="W16" s="47"/>
      <c r="X16" s="46"/>
      <c r="Y16" s="46"/>
      <c r="Z16" s="46"/>
      <c r="AA16" s="47"/>
      <c r="AB16" s="46"/>
      <c r="AC16" s="47"/>
      <c r="AD16" s="64" t="s">
        <v>25</v>
      </c>
      <c r="AE16" s="64"/>
    </row>
    <row r="17" spans="1:31" ht="15" x14ac:dyDescent="0.25">
      <c r="A17" s="62" t="s">
        <v>49</v>
      </c>
      <c r="B17" s="62"/>
      <c r="C17" s="62"/>
      <c r="D17" s="62"/>
      <c r="E17" s="62"/>
      <c r="F17" s="62"/>
      <c r="G17" s="46"/>
      <c r="H17" s="64"/>
      <c r="I17" s="64"/>
      <c r="J17" s="64"/>
      <c r="K17" s="64"/>
      <c r="L17" s="64"/>
      <c r="M17" s="64"/>
      <c r="N17" s="64"/>
      <c r="O17" s="64"/>
      <c r="P17" s="71"/>
      <c r="Q17" s="72"/>
      <c r="R17" s="44"/>
      <c r="S17" s="1"/>
      <c r="T17" s="44"/>
      <c r="U17" s="1"/>
      <c r="V17" s="44"/>
      <c r="W17" s="1"/>
      <c r="X17" s="44"/>
      <c r="Y17" s="44"/>
      <c r="Z17" s="46"/>
      <c r="AA17" s="47"/>
      <c r="AB17" s="44"/>
      <c r="AC17" s="1"/>
      <c r="AD17" s="71"/>
      <c r="AE17" s="72"/>
    </row>
    <row r="19" spans="1:31" ht="15" customHeight="1" x14ac:dyDescent="0.25">
      <c r="A19" s="68" t="s">
        <v>50</v>
      </c>
      <c r="B19" s="68"/>
      <c r="C19" s="68"/>
      <c r="D19" s="68"/>
      <c r="E19" s="68"/>
      <c r="F19" s="68"/>
      <c r="G19" s="68"/>
      <c r="H19" s="68"/>
      <c r="I19" s="68"/>
      <c r="J19" s="68"/>
      <c r="K19" s="68"/>
      <c r="L19" s="68"/>
      <c r="M19" s="68"/>
      <c r="O19" s="68" t="s">
        <v>51</v>
      </c>
      <c r="P19" s="68"/>
      <c r="Q19" s="68"/>
      <c r="R19" s="68"/>
      <c r="S19" s="68"/>
      <c r="T19" s="68"/>
      <c r="U19" s="68"/>
      <c r="W19" s="68" t="s">
        <v>52</v>
      </c>
      <c r="X19" s="68"/>
      <c r="Y19" s="68"/>
      <c r="Z19" s="68"/>
      <c r="AA19" s="68"/>
    </row>
    <row r="20" spans="1:31" ht="15" x14ac:dyDescent="0.25">
      <c r="A20" s="68"/>
      <c r="B20" s="68"/>
      <c r="C20" s="68"/>
      <c r="D20" s="68"/>
      <c r="E20" s="68"/>
      <c r="F20" s="68"/>
      <c r="G20" s="68"/>
      <c r="H20" s="68"/>
      <c r="I20" s="68"/>
      <c r="J20" s="68"/>
      <c r="K20" s="68"/>
      <c r="L20" s="68"/>
      <c r="M20" s="68"/>
      <c r="O20" s="68"/>
      <c r="P20" s="68"/>
      <c r="Q20" s="68"/>
      <c r="R20" s="68"/>
      <c r="S20" s="68"/>
      <c r="T20" s="68"/>
      <c r="U20" s="68"/>
      <c r="W20" s="68"/>
      <c r="X20" s="68"/>
      <c r="Y20" s="68"/>
      <c r="Z20" s="68"/>
      <c r="AA20" s="68"/>
    </row>
    <row r="21" spans="1:31" ht="15" x14ac:dyDescent="0.25">
      <c r="A21" s="68"/>
      <c r="B21" s="68"/>
      <c r="C21" s="68"/>
      <c r="D21" s="68"/>
      <c r="E21" s="68"/>
      <c r="F21" s="68"/>
      <c r="G21" s="68"/>
      <c r="H21" s="68"/>
      <c r="I21" s="68"/>
      <c r="J21" s="68"/>
      <c r="K21" s="68"/>
      <c r="L21" s="68"/>
      <c r="M21" s="68"/>
      <c r="W21" s="68"/>
      <c r="X21" s="68"/>
      <c r="Y21" s="68"/>
      <c r="Z21" s="68"/>
      <c r="AA21" s="68"/>
    </row>
    <row r="22" spans="1:31" ht="15" x14ac:dyDescent="0.25">
      <c r="A22" s="68"/>
      <c r="B22" s="68"/>
      <c r="C22" s="68"/>
      <c r="D22" s="68"/>
      <c r="E22" s="68"/>
      <c r="F22" s="68"/>
      <c r="G22" s="68"/>
      <c r="H22" s="68"/>
      <c r="I22" s="68"/>
      <c r="J22" s="68"/>
      <c r="K22" s="68"/>
      <c r="L22" s="68"/>
      <c r="M22" s="68"/>
      <c r="O22" s="68" t="s">
        <v>53</v>
      </c>
      <c r="P22" s="68"/>
      <c r="Q22" s="68"/>
      <c r="R22" s="68"/>
      <c r="S22" s="68"/>
      <c r="T22" s="68"/>
      <c r="U22" s="68"/>
      <c r="W22" s="68"/>
      <c r="X22" s="68"/>
      <c r="Y22" s="68"/>
      <c r="Z22" s="68"/>
      <c r="AA22" s="68"/>
    </row>
    <row r="23" spans="1:31" ht="15" x14ac:dyDescent="0.25">
      <c r="A23" s="68"/>
      <c r="B23" s="68"/>
      <c r="C23" s="68"/>
      <c r="D23" s="68"/>
      <c r="E23" s="68"/>
      <c r="F23" s="68"/>
      <c r="G23" s="68"/>
      <c r="H23" s="68"/>
      <c r="I23" s="68"/>
      <c r="J23" s="68"/>
      <c r="K23" s="68"/>
      <c r="L23" s="68"/>
      <c r="M23" s="68"/>
      <c r="O23" s="68"/>
      <c r="P23" s="68"/>
      <c r="Q23" s="68"/>
      <c r="R23" s="68"/>
      <c r="S23" s="68"/>
      <c r="T23" s="68"/>
      <c r="U23" s="68"/>
      <c r="W23" s="68"/>
      <c r="X23" s="68"/>
      <c r="Y23" s="68"/>
      <c r="Z23" s="68"/>
      <c r="AA23" s="68"/>
    </row>
    <row r="24" spans="1:31" ht="15" x14ac:dyDescent="0.25">
      <c r="A24" s="68"/>
      <c r="B24" s="68"/>
      <c r="C24" s="68"/>
      <c r="D24" s="68"/>
      <c r="E24" s="68"/>
      <c r="F24" s="68"/>
      <c r="G24" s="68"/>
      <c r="H24" s="68"/>
      <c r="I24" s="68"/>
      <c r="J24" s="68"/>
      <c r="K24" s="68"/>
      <c r="L24" s="68"/>
      <c r="M24" s="68"/>
      <c r="W24" s="68"/>
      <c r="X24" s="68"/>
      <c r="Y24" s="68"/>
      <c r="Z24" s="68"/>
      <c r="AA24" s="68"/>
    </row>
    <row r="25" spans="1:31" ht="15" customHeight="1" x14ac:dyDescent="0.25">
      <c r="A25" s="68"/>
      <c r="B25" s="68"/>
      <c r="C25" s="68"/>
      <c r="D25" s="68"/>
      <c r="E25" s="68"/>
      <c r="F25" s="68"/>
      <c r="G25" s="68"/>
      <c r="H25" s="68"/>
      <c r="I25" s="68"/>
      <c r="J25" s="68"/>
      <c r="K25" s="68"/>
      <c r="L25" s="68"/>
      <c r="M25" s="68"/>
      <c r="O25" s="68" t="s">
        <v>54</v>
      </c>
      <c r="P25" s="68"/>
      <c r="Q25" s="68"/>
      <c r="R25" s="68"/>
      <c r="S25" s="68"/>
      <c r="T25" s="68"/>
      <c r="U25" s="68"/>
      <c r="W25" s="68"/>
      <c r="X25" s="68"/>
      <c r="Y25" s="68"/>
      <c r="Z25" s="68"/>
      <c r="AA25" s="68"/>
    </row>
    <row r="26" spans="1:31" ht="15" x14ac:dyDescent="0.25">
      <c r="A26" s="68"/>
      <c r="B26" s="68"/>
      <c r="C26" s="68"/>
      <c r="D26" s="68"/>
      <c r="E26" s="68"/>
      <c r="F26" s="68"/>
      <c r="G26" s="68"/>
      <c r="H26" s="68"/>
      <c r="I26" s="68"/>
      <c r="J26" s="68"/>
      <c r="K26" s="68"/>
      <c r="L26" s="68"/>
      <c r="M26" s="68"/>
      <c r="O26" s="68"/>
      <c r="P26" s="68"/>
      <c r="Q26" s="68"/>
      <c r="R26" s="68"/>
      <c r="S26" s="68"/>
      <c r="T26" s="68"/>
      <c r="U26" s="68"/>
      <c r="W26" s="68"/>
      <c r="X26" s="68"/>
      <c r="Y26" s="68"/>
      <c r="Z26" s="68"/>
      <c r="AA26" s="68"/>
    </row>
    <row r="27" spans="1:31" ht="15" x14ac:dyDescent="0.25">
      <c r="A27" s="68"/>
      <c r="B27" s="68"/>
      <c r="C27" s="68"/>
      <c r="D27" s="68"/>
      <c r="E27" s="68"/>
      <c r="F27" s="68"/>
      <c r="G27" s="68"/>
      <c r="H27" s="68"/>
      <c r="I27" s="68"/>
      <c r="J27" s="68"/>
      <c r="K27" s="68"/>
      <c r="L27" s="68"/>
      <c r="M27" s="68"/>
      <c r="O27" s="68"/>
      <c r="P27" s="68"/>
      <c r="Q27" s="68"/>
      <c r="R27" s="68"/>
      <c r="S27" s="68"/>
      <c r="T27" s="68"/>
      <c r="U27" s="68"/>
      <c r="W27" s="68"/>
      <c r="X27" s="68"/>
      <c r="Y27" s="68"/>
      <c r="Z27" s="68"/>
      <c r="AA27" s="68"/>
    </row>
    <row r="29" spans="1:31" ht="15" x14ac:dyDescent="0.25">
      <c r="A29" s="68" t="s">
        <v>55</v>
      </c>
      <c r="B29" s="68"/>
      <c r="C29" s="68"/>
      <c r="D29" s="68"/>
      <c r="E29" s="68"/>
      <c r="F29" s="68"/>
      <c r="G29" s="68"/>
      <c r="H29" s="68"/>
      <c r="I29" s="68"/>
      <c r="J29" s="68"/>
      <c r="K29" s="68"/>
      <c r="L29" s="68"/>
      <c r="M29" s="68"/>
      <c r="O29" s="68" t="s">
        <v>56</v>
      </c>
      <c r="P29" s="68"/>
      <c r="Q29" s="68"/>
      <c r="R29" s="68"/>
      <c r="S29" s="68"/>
      <c r="T29" s="68"/>
      <c r="U29" s="68"/>
      <c r="V29" s="68"/>
      <c r="W29" s="68"/>
      <c r="X29" s="68"/>
      <c r="Y29" s="68"/>
      <c r="Z29" s="68"/>
      <c r="AA29" s="68"/>
    </row>
    <row r="30" spans="1:31" ht="15" x14ac:dyDescent="0.25">
      <c r="A30" s="68"/>
      <c r="B30" s="68"/>
      <c r="C30" s="68"/>
      <c r="D30" s="68"/>
      <c r="E30" s="68"/>
      <c r="F30" s="68"/>
      <c r="G30" s="68"/>
      <c r="H30" s="68"/>
      <c r="I30" s="68"/>
      <c r="J30" s="68"/>
      <c r="K30" s="68"/>
      <c r="L30" s="68"/>
      <c r="M30" s="68"/>
      <c r="O30" s="68"/>
      <c r="P30" s="68"/>
      <c r="Q30" s="68"/>
      <c r="R30" s="68"/>
      <c r="S30" s="68"/>
      <c r="T30" s="68"/>
      <c r="U30" s="68"/>
      <c r="V30" s="68"/>
      <c r="W30" s="68"/>
      <c r="X30" s="68"/>
      <c r="Y30" s="68"/>
      <c r="Z30" s="68"/>
      <c r="AA30" s="68"/>
    </row>
    <row r="31" spans="1:31" ht="15" x14ac:dyDescent="0.25">
      <c r="A31" s="68"/>
      <c r="B31" s="68"/>
      <c r="C31" s="68"/>
      <c r="D31" s="68"/>
      <c r="E31" s="68"/>
      <c r="F31" s="68"/>
      <c r="G31" s="68"/>
      <c r="H31" s="68"/>
      <c r="I31" s="68"/>
      <c r="J31" s="68"/>
      <c r="K31" s="68"/>
      <c r="L31" s="68"/>
      <c r="M31" s="68"/>
      <c r="O31" s="68"/>
      <c r="P31" s="68"/>
      <c r="Q31" s="68"/>
      <c r="R31" s="68"/>
      <c r="S31" s="68"/>
      <c r="T31" s="68"/>
      <c r="U31" s="68"/>
      <c r="V31" s="68"/>
      <c r="W31" s="68"/>
      <c r="X31" s="68"/>
      <c r="Y31" s="68"/>
      <c r="Z31" s="68"/>
      <c r="AA31" s="68"/>
    </row>
    <row r="33" spans="1:27" ht="15" customHeight="1" x14ac:dyDescent="0.25">
      <c r="A33" s="68" t="s">
        <v>57</v>
      </c>
      <c r="B33" s="68"/>
      <c r="C33" s="68"/>
      <c r="D33" s="68"/>
      <c r="E33" s="68"/>
      <c r="F33" s="68"/>
      <c r="G33" s="68"/>
      <c r="H33" s="68"/>
      <c r="I33" s="68"/>
      <c r="J33" s="68"/>
      <c r="K33" s="68"/>
      <c r="L33" s="68"/>
      <c r="M33" s="68"/>
      <c r="O33" s="68" t="s">
        <v>58</v>
      </c>
      <c r="P33" s="68"/>
      <c r="Q33" s="68"/>
      <c r="R33" s="68"/>
      <c r="S33" s="68"/>
      <c r="T33" s="68"/>
      <c r="U33" s="68"/>
      <c r="V33" s="68"/>
      <c r="W33" s="68"/>
      <c r="X33" s="68"/>
      <c r="Y33" s="68"/>
      <c r="Z33" s="68"/>
      <c r="AA33" s="68"/>
    </row>
    <row r="34" spans="1:27" ht="15" x14ac:dyDescent="0.25">
      <c r="A34" s="68"/>
      <c r="B34" s="68"/>
      <c r="C34" s="68"/>
      <c r="D34" s="68"/>
      <c r="E34" s="68"/>
      <c r="F34" s="68"/>
      <c r="G34" s="68"/>
      <c r="H34" s="68"/>
      <c r="I34" s="68"/>
      <c r="J34" s="68"/>
      <c r="K34" s="68"/>
      <c r="L34" s="68"/>
      <c r="M34" s="68"/>
      <c r="O34" s="68"/>
      <c r="P34" s="68"/>
      <c r="Q34" s="68"/>
      <c r="R34" s="68"/>
      <c r="S34" s="68"/>
      <c r="T34" s="68"/>
      <c r="U34" s="68"/>
      <c r="V34" s="68"/>
      <c r="W34" s="68"/>
      <c r="X34" s="68"/>
      <c r="Y34" s="68"/>
      <c r="Z34" s="68"/>
      <c r="AA34" s="68"/>
    </row>
    <row r="35" spans="1:27" ht="15" x14ac:dyDescent="0.25">
      <c r="A35" s="68"/>
      <c r="B35" s="68"/>
      <c r="C35" s="68"/>
      <c r="D35" s="68"/>
      <c r="E35" s="68"/>
      <c r="F35" s="68"/>
      <c r="G35" s="68"/>
      <c r="H35" s="68"/>
      <c r="I35" s="68"/>
      <c r="J35" s="68"/>
      <c r="K35" s="68"/>
      <c r="L35" s="68"/>
      <c r="M35" s="68"/>
      <c r="O35" s="68"/>
      <c r="P35" s="68"/>
      <c r="Q35" s="68"/>
      <c r="R35" s="68"/>
      <c r="S35" s="68"/>
      <c r="T35" s="68"/>
      <c r="U35" s="68"/>
      <c r="V35" s="68"/>
      <c r="W35" s="68"/>
      <c r="X35" s="68"/>
      <c r="Y35" s="68"/>
      <c r="Z35" s="68"/>
      <c r="AA35" s="68"/>
    </row>
    <row r="36" spans="1:27" ht="15" x14ac:dyDescent="0.25">
      <c r="A36" s="68"/>
      <c r="B36" s="68"/>
      <c r="C36" s="68"/>
      <c r="D36" s="68"/>
      <c r="E36" s="68"/>
      <c r="F36" s="68"/>
      <c r="G36" s="68"/>
      <c r="H36" s="68"/>
      <c r="I36" s="68"/>
      <c r="J36" s="68"/>
      <c r="K36" s="68"/>
      <c r="L36" s="68"/>
      <c r="M36" s="68"/>
      <c r="O36" s="68"/>
      <c r="P36" s="68"/>
      <c r="Q36" s="68"/>
      <c r="R36" s="68"/>
      <c r="S36" s="68"/>
      <c r="T36" s="68"/>
      <c r="U36" s="68"/>
      <c r="V36" s="68"/>
      <c r="W36" s="68"/>
      <c r="X36" s="68"/>
      <c r="Y36" s="68"/>
      <c r="Z36" s="68"/>
      <c r="AA36" s="68"/>
    </row>
    <row r="37" spans="1:27" ht="15.75" thickBot="1" x14ac:dyDescent="0.3"/>
    <row r="38" spans="1:27" ht="15.75" thickBot="1" x14ac:dyDescent="0.3">
      <c r="A38" s="68" t="s">
        <v>59</v>
      </c>
      <c r="B38" s="68"/>
      <c r="C38" s="68"/>
      <c r="D38" s="68"/>
      <c r="E38" s="68"/>
      <c r="F38" s="68"/>
      <c r="G38" s="68"/>
      <c r="H38" s="68"/>
      <c r="I38" s="68"/>
      <c r="J38" s="68"/>
      <c r="K38" s="68"/>
      <c r="L38" s="68"/>
      <c r="M38" s="68"/>
      <c r="N38" s="74"/>
      <c r="O38" s="12"/>
      <c r="P38" s="12" t="s">
        <v>60</v>
      </c>
      <c r="Q38" s="12" t="s">
        <v>61</v>
      </c>
    </row>
    <row r="39" spans="1:27" ht="15.75" thickBot="1" x14ac:dyDescent="0.3">
      <c r="A39" s="68"/>
      <c r="B39" s="68"/>
      <c r="C39" s="68"/>
      <c r="D39" s="68"/>
      <c r="E39" s="68"/>
      <c r="F39" s="68"/>
      <c r="G39" s="68"/>
      <c r="H39" s="68"/>
      <c r="I39" s="68"/>
      <c r="J39" s="68"/>
      <c r="K39" s="68"/>
      <c r="L39" s="68"/>
      <c r="M39" s="68"/>
      <c r="N39" s="74"/>
      <c r="O39" s="12" t="s">
        <v>62</v>
      </c>
      <c r="P39" s="12">
        <f>90000/40/50/60</f>
        <v>0.75</v>
      </c>
      <c r="Q39" s="12">
        <f>55000/40/50/60</f>
        <v>0.45833333333333331</v>
      </c>
    </row>
    <row r="41" spans="1:27" ht="15" x14ac:dyDescent="0.25">
      <c r="A41" s="64" t="s">
        <v>63</v>
      </c>
      <c r="B41" s="64"/>
      <c r="C41" s="64"/>
      <c r="D41" s="64"/>
      <c r="E41" s="64"/>
      <c r="F41" s="64"/>
      <c r="G41" s="64"/>
      <c r="I41" s="64" t="s">
        <v>64</v>
      </c>
      <c r="J41" s="64"/>
      <c r="K41" s="4">
        <v>0.03</v>
      </c>
      <c r="O41" s="75" t="s">
        <v>65</v>
      </c>
      <c r="P41" s="75"/>
      <c r="Q41" s="75"/>
      <c r="R41" s="75"/>
      <c r="S41" s="75"/>
      <c r="T41" s="75"/>
      <c r="U41" s="75"/>
      <c r="V41" s="75"/>
      <c r="W41" s="75"/>
      <c r="X41" s="75"/>
      <c r="Y41" s="75"/>
      <c r="Z41" s="75"/>
      <c r="AA41" s="75"/>
    </row>
    <row r="42" spans="1:27" ht="15" x14ac:dyDescent="0.25">
      <c r="A42" s="32" t="s">
        <v>66</v>
      </c>
      <c r="B42" s="44"/>
      <c r="C42" s="64" t="s">
        <v>67</v>
      </c>
      <c r="D42" s="64"/>
      <c r="E42" s="64" t="s">
        <v>37</v>
      </c>
      <c r="F42" s="64"/>
      <c r="G42" s="64" t="s">
        <v>68</v>
      </c>
      <c r="H42" s="64"/>
      <c r="I42" s="64" t="s">
        <v>69</v>
      </c>
      <c r="J42" s="64"/>
      <c r="K42" s="44"/>
      <c r="O42" s="62" t="s">
        <v>70</v>
      </c>
      <c r="P42" s="62"/>
      <c r="Q42" s="62"/>
      <c r="R42" s="1">
        <v>24200</v>
      </c>
      <c r="S42" s="44"/>
      <c r="T42" s="62" t="s">
        <v>71</v>
      </c>
      <c r="U42" s="62"/>
      <c r="V42" s="62"/>
      <c r="W42" s="62"/>
      <c r="X42" s="62"/>
      <c r="Y42" s="62"/>
      <c r="Z42" s="62"/>
      <c r="AA42" s="62"/>
    </row>
    <row r="43" spans="1:27" ht="15" x14ac:dyDescent="0.25">
      <c r="A43" s="44"/>
      <c r="B43" s="44" t="s">
        <v>72</v>
      </c>
      <c r="C43" s="73">
        <f>24200+300*(SUM(S5:S8)+SUM(R5:R8)*P39)</f>
        <v>31810.384160000001</v>
      </c>
      <c r="D43" s="64"/>
      <c r="E43" s="73">
        <f>300*(SUM(X5:X8)+SUM(Y5:Y8)/3.1*60)*P39</f>
        <v>28487.903225806447</v>
      </c>
      <c r="F43" s="73"/>
      <c r="G43" s="73">
        <f>300*(SUM(AA5:AA8)+SUM(Z5:Z8)*P39)</f>
        <v>15971.999999999998</v>
      </c>
      <c r="H43" s="73"/>
      <c r="I43" s="73">
        <f>300*(SUM(AC5:AC8)+SUM(AB5:AB8)*P39)</f>
        <v>4725</v>
      </c>
      <c r="J43" s="73"/>
      <c r="K43" s="44"/>
      <c r="O43" s="62" t="s">
        <v>73</v>
      </c>
      <c r="P43" s="62"/>
      <c r="Q43" s="62"/>
      <c r="R43" s="1">
        <v>408</v>
      </c>
      <c r="S43" s="44"/>
      <c r="T43" s="62" t="s">
        <v>74</v>
      </c>
      <c r="U43" s="62"/>
      <c r="V43" s="62"/>
      <c r="W43" s="62"/>
      <c r="X43" s="62"/>
      <c r="Y43" s="62"/>
      <c r="Z43" s="62"/>
      <c r="AA43" s="62"/>
    </row>
    <row r="44" spans="1:27" ht="15" x14ac:dyDescent="0.25">
      <c r="A44" s="44"/>
      <c r="B44" s="44"/>
      <c r="C44" s="64"/>
      <c r="D44" s="64"/>
      <c r="E44" s="64"/>
      <c r="F44" s="64"/>
      <c r="G44" s="62"/>
      <c r="H44" s="62"/>
      <c r="I44" s="64"/>
      <c r="J44" s="64"/>
      <c r="K44" s="44"/>
      <c r="O44" s="62" t="s">
        <v>75</v>
      </c>
      <c r="P44" s="62"/>
      <c r="Q44" s="62"/>
      <c r="R44" s="1">
        <v>1588</v>
      </c>
      <c r="S44" s="44"/>
      <c r="T44" s="62" t="s">
        <v>76</v>
      </c>
      <c r="U44" s="62"/>
      <c r="V44" s="62"/>
      <c r="W44" s="62"/>
      <c r="X44" s="62"/>
      <c r="Y44" s="62"/>
      <c r="Z44" s="62"/>
      <c r="AA44" s="62"/>
    </row>
    <row r="45" spans="1:27" ht="15" x14ac:dyDescent="0.25">
      <c r="A45" s="44"/>
      <c r="B45" s="44" t="s">
        <v>77</v>
      </c>
      <c r="C45" s="64" t="s">
        <v>78</v>
      </c>
      <c r="D45" s="64"/>
      <c r="E45" s="64" t="s">
        <v>78</v>
      </c>
      <c r="F45" s="64"/>
      <c r="G45" s="64" t="s">
        <v>78</v>
      </c>
      <c r="H45" s="64"/>
      <c r="I45" s="64" t="s">
        <v>78</v>
      </c>
      <c r="J45" s="64"/>
      <c r="K45" s="44"/>
    </row>
    <row r="46" spans="1:27" ht="15" x14ac:dyDescent="0.25">
      <c r="A46" s="44"/>
      <c r="B46" s="44">
        <v>0</v>
      </c>
      <c r="C46" s="73">
        <f>C43</f>
        <v>31810.384160000001</v>
      </c>
      <c r="D46" s="73"/>
      <c r="E46" s="73">
        <f>E43</f>
        <v>28487.903225806447</v>
      </c>
      <c r="F46" s="64"/>
      <c r="G46" s="73">
        <f>G43</f>
        <v>15971.999999999998</v>
      </c>
      <c r="H46" s="64"/>
      <c r="I46" s="73">
        <f>I43</f>
        <v>4725</v>
      </c>
      <c r="J46" s="64"/>
      <c r="K46" s="44"/>
      <c r="O46" s="68" t="s">
        <v>79</v>
      </c>
      <c r="P46" s="68"/>
      <c r="Q46" s="68"/>
      <c r="R46" s="68"/>
      <c r="S46" s="68"/>
      <c r="T46" s="68"/>
      <c r="U46" s="68"/>
      <c r="V46" s="68"/>
      <c r="W46" s="68"/>
      <c r="X46" s="68"/>
      <c r="Y46" s="68"/>
      <c r="Z46" s="68"/>
      <c r="AA46" s="68"/>
    </row>
    <row r="47" spans="1:27" ht="15" x14ac:dyDescent="0.25">
      <c r="A47" s="44"/>
      <c r="B47" s="44">
        <v>1</v>
      </c>
      <c r="C47" s="73">
        <f>($C$46-$R$42)*(1+$K$41)^B47+($R$43+$R$44)*(1+$K$41)^B47</f>
        <v>9894.5756848000019</v>
      </c>
      <c r="D47" s="73"/>
      <c r="E47" s="73">
        <f>E$46*(1+$K$41)^$B47</f>
        <v>29342.54032258064</v>
      </c>
      <c r="F47" s="64"/>
      <c r="G47" s="73">
        <f>G$46*(1+$K$41)^$B47</f>
        <v>16451.16</v>
      </c>
      <c r="H47" s="64"/>
      <c r="I47" s="73">
        <f>I$46*(1+$K$41)^$B47</f>
        <v>4866.75</v>
      </c>
      <c r="J47" s="64"/>
      <c r="K47" s="44"/>
      <c r="O47" s="68"/>
      <c r="P47" s="68"/>
      <c r="Q47" s="68"/>
      <c r="R47" s="68"/>
      <c r="S47" s="68"/>
      <c r="T47" s="68"/>
      <c r="U47" s="68"/>
      <c r="V47" s="68"/>
      <c r="W47" s="68"/>
      <c r="X47" s="68"/>
      <c r="Y47" s="68"/>
      <c r="Z47" s="68"/>
      <c r="AA47" s="68"/>
    </row>
    <row r="48" spans="1:27" ht="15.75" thickBot="1" x14ac:dyDescent="0.3">
      <c r="A48" s="44"/>
      <c r="B48" s="44">
        <v>2</v>
      </c>
      <c r="C48" s="73">
        <f t="shared" ref="C48:C51" si="4">($C$46-$R$42)*(1+$K$41)^B48+($R$43+$R$44)*(1+$K$41)^B48</f>
        <v>10191.412955344002</v>
      </c>
      <c r="D48" s="73"/>
      <c r="E48" s="73">
        <f>E$46*(1+$K$41)^$B48</f>
        <v>30222.816532258057</v>
      </c>
      <c r="F48" s="64"/>
      <c r="G48" s="73">
        <f>G$46*(1+$K$41)^$B48</f>
        <v>16944.694799999997</v>
      </c>
      <c r="H48" s="64"/>
      <c r="I48" s="73">
        <f>I$46*(1+$K$41)^$B48</f>
        <v>5012.7524999999996</v>
      </c>
      <c r="J48" s="64"/>
      <c r="K48" s="44"/>
    </row>
    <row r="49" spans="1:27" ht="15.75" thickBot="1" x14ac:dyDescent="0.3">
      <c r="A49" s="44"/>
      <c r="B49" s="44">
        <v>3</v>
      </c>
      <c r="C49" s="73">
        <f t="shared" si="4"/>
        <v>10497.155344004321</v>
      </c>
      <c r="D49" s="73"/>
      <c r="E49" s="73">
        <f>E$46*(1+$K$41)^$B49</f>
        <v>31129.501028225801</v>
      </c>
      <c r="F49" s="64"/>
      <c r="G49" s="73">
        <f>G$46*(1+$K$41)^$B49</f>
        <v>17453.035644</v>
      </c>
      <c r="H49" s="64"/>
      <c r="I49" s="73">
        <f>I$46*(1+$K$41)^$B49</f>
        <v>5163.1350750000001</v>
      </c>
      <c r="J49" s="64"/>
      <c r="K49" s="44"/>
      <c r="O49" s="86" t="s">
        <v>80</v>
      </c>
      <c r="P49" s="87"/>
      <c r="Q49" s="88" t="s">
        <v>81</v>
      </c>
      <c r="R49" s="88"/>
      <c r="S49" s="13"/>
      <c r="T49" s="14"/>
      <c r="U49" s="14"/>
      <c r="V49" s="14"/>
      <c r="W49" s="14"/>
      <c r="X49" s="14"/>
      <c r="Y49" s="14"/>
      <c r="Z49" s="14"/>
      <c r="AA49" s="15"/>
    </row>
    <row r="50" spans="1:27" ht="15" x14ac:dyDescent="0.25">
      <c r="A50" s="44"/>
      <c r="B50" s="44">
        <v>4</v>
      </c>
      <c r="C50" s="73">
        <f t="shared" si="4"/>
        <v>10812.070004324451</v>
      </c>
      <c r="D50" s="73"/>
      <c r="E50" s="73">
        <f>E$46*(1+$K$41)^$B50</f>
        <v>32063.386059072574</v>
      </c>
      <c r="F50" s="64"/>
      <c r="G50" s="73">
        <f>G$46*(1+$K$41)^$B50</f>
        <v>17976.626713319998</v>
      </c>
      <c r="H50" s="64"/>
      <c r="I50" s="73">
        <f>I$46*(1+$K$41)^$B50</f>
        <v>5318.0291272499999</v>
      </c>
      <c r="J50" s="64"/>
      <c r="K50" s="44"/>
      <c r="O50" s="13" t="s">
        <v>60</v>
      </c>
      <c r="P50" s="14"/>
      <c r="Q50" s="30"/>
      <c r="R50" s="30"/>
      <c r="S50" s="30" t="s">
        <v>61</v>
      </c>
      <c r="T50" s="30"/>
      <c r="U50" s="30"/>
      <c r="V50" s="30"/>
      <c r="W50" s="30"/>
      <c r="X50" s="30"/>
      <c r="Y50" s="30"/>
      <c r="Z50" s="30"/>
      <c r="AA50" s="16"/>
    </row>
    <row r="51" spans="1:27" ht="15" x14ac:dyDescent="0.25">
      <c r="A51" s="44"/>
      <c r="B51" s="44">
        <v>5</v>
      </c>
      <c r="C51" s="73">
        <f t="shared" si="4"/>
        <v>11136.432104454183</v>
      </c>
      <c r="D51" s="73"/>
      <c r="E51" s="73">
        <f>E$46*(1+$K$41)^$B51</f>
        <v>33025.287640844748</v>
      </c>
      <c r="F51" s="64"/>
      <c r="G51" s="73">
        <f>G$46*(1+$K$41)^$B51</f>
        <v>18515.925514719595</v>
      </c>
      <c r="H51" s="64"/>
      <c r="I51" s="73">
        <f>I$46*(1+$K$41)^$B51</f>
        <v>5477.5700010674991</v>
      </c>
      <c r="J51" s="64"/>
      <c r="K51" s="44"/>
      <c r="O51" s="89" t="s">
        <v>82</v>
      </c>
      <c r="P51" s="90"/>
      <c r="Q51" s="90" t="s">
        <v>83</v>
      </c>
      <c r="R51" s="90"/>
      <c r="S51" s="90" t="s">
        <v>84</v>
      </c>
      <c r="T51" s="90"/>
      <c r="U51" s="90" t="s">
        <v>85</v>
      </c>
      <c r="V51" s="90"/>
      <c r="W51" s="30"/>
      <c r="X51" s="30"/>
      <c r="Y51" s="30"/>
      <c r="Z51" s="30"/>
      <c r="AA51" s="16"/>
    </row>
    <row r="52" spans="1:27" ht="15.75" thickBot="1" x14ac:dyDescent="0.3">
      <c r="A52" s="79" t="s">
        <v>86</v>
      </c>
      <c r="B52" s="80"/>
      <c r="C52" s="5">
        <v>0.21840000000000001</v>
      </c>
      <c r="D52" s="48"/>
      <c r="E52" s="48"/>
      <c r="F52" s="49"/>
      <c r="G52" s="48"/>
      <c r="H52" s="49"/>
      <c r="I52" s="48"/>
      <c r="J52" s="49"/>
      <c r="K52" s="44"/>
      <c r="O52" s="29" t="s">
        <v>87</v>
      </c>
      <c r="P52" s="30" t="s">
        <v>88</v>
      </c>
      <c r="Q52" s="30" t="s">
        <v>89</v>
      </c>
      <c r="R52" s="30"/>
      <c r="S52" s="30" t="s">
        <v>90</v>
      </c>
      <c r="T52" s="30" t="s">
        <v>91</v>
      </c>
      <c r="U52" s="30" t="s">
        <v>92</v>
      </c>
      <c r="V52" s="30"/>
      <c r="W52" s="30"/>
      <c r="X52" s="30"/>
      <c r="Y52" s="30"/>
      <c r="Z52" s="30"/>
      <c r="AA52" s="16"/>
    </row>
    <row r="53" spans="1:27" ht="16.5" thickTop="1" thickBot="1" x14ac:dyDescent="0.3">
      <c r="A53" s="26"/>
      <c r="B53" s="52" t="s">
        <v>93</v>
      </c>
      <c r="C53" s="76">
        <f>(C$46+C$47*(1+$K$41)^(-$B47)+C48*(1+$K$41)^(-$B48)+C49*(1+$K$41)^(-$B49)+C50*(1+$K$41)^(-$B50)+C51*(1+$K$41)^(-$B51))*$C$52</f>
        <v>17437.559403264004</v>
      </c>
      <c r="D53" s="76"/>
      <c r="E53" s="76">
        <f>(E$46+E$47*(1+$K$41)^(-$B47)+E48*(1+$K$41)^(-$B48)+E49*(1+$K$41)^(-$B49)+E50*(1+$K$41)^(-$B50)+E51*(1+$K$41)^(-$B51))*$C$52</f>
        <v>37330.548387096773</v>
      </c>
      <c r="F53" s="76"/>
      <c r="G53" s="76">
        <f t="shared" ref="G53" si="5">(G$46+G$47*(1+$K$41)^(-$B47)+G48*(1+$K$41)^(-$B48)+G49*(1+$K$41)^(-$B49)+G50*(1+$K$41)^(-$B50)+G51*(1+$K$41)^(-$B51))*$C$52</f>
        <v>20929.7088</v>
      </c>
      <c r="H53" s="81"/>
      <c r="I53" s="82">
        <f t="shared" ref="I53" si="6">(I$46+I$47*(1+$K$41)^(-$B47)+I48*(1+$K$41)^(-$B48)+I49*(1+$K$41)^(-$B49)+I50*(1+$K$41)^(-$B50)+I51*(1+$K$41)^(-$B51))*$C$52</f>
        <v>6191.64</v>
      </c>
      <c r="J53" s="83"/>
      <c r="K53" s="9"/>
      <c r="O53" s="29">
        <v>0</v>
      </c>
      <c r="P53" s="18">
        <f>($R$42+((SUM($P$5:$Q$8)*O53+SUM($R$5:$R$8)*P39)*300)*6+($R$43+$R$44)*5)*$C$52</f>
        <v>17194.632000000001</v>
      </c>
      <c r="Q53" s="24">
        <v>6191.64</v>
      </c>
      <c r="R53" s="30"/>
      <c r="S53" s="30">
        <v>0</v>
      </c>
      <c r="T53" s="18">
        <f>6*300*(3*3.7+SUM($P$13:$Q$15)*S53+SUM($Z$13:$Z$15)*Q39)*$C$52</f>
        <v>7606.8720000000003</v>
      </c>
      <c r="U53" s="18">
        <v>5045.04</v>
      </c>
      <c r="V53" s="30"/>
      <c r="W53" s="30"/>
      <c r="X53" s="30"/>
      <c r="Y53" s="30"/>
      <c r="Z53" s="30"/>
      <c r="AA53" s="16"/>
    </row>
    <row r="54" spans="1:27" ht="15.75" thickTop="1" x14ac:dyDescent="0.25">
      <c r="A54" s="32" t="s">
        <v>61</v>
      </c>
      <c r="B54" s="6"/>
      <c r="C54" s="77" t="s">
        <v>67</v>
      </c>
      <c r="D54" s="77"/>
      <c r="E54" s="77" t="s">
        <v>37</v>
      </c>
      <c r="F54" s="77"/>
      <c r="G54" s="77" t="s">
        <v>68</v>
      </c>
      <c r="H54" s="77"/>
      <c r="I54" s="78" t="s">
        <v>10</v>
      </c>
      <c r="J54" s="78"/>
      <c r="K54" s="44"/>
      <c r="O54" s="29" t="s">
        <v>94</v>
      </c>
      <c r="P54" s="30"/>
      <c r="Q54" s="30"/>
      <c r="R54" s="30"/>
      <c r="S54" s="30" t="s">
        <v>94</v>
      </c>
      <c r="T54" s="30"/>
      <c r="U54" s="30"/>
      <c r="V54" s="30"/>
      <c r="W54" s="30"/>
      <c r="X54" s="30"/>
      <c r="Y54" s="30"/>
      <c r="Z54" s="30"/>
      <c r="AA54" s="16"/>
    </row>
    <row r="55" spans="1:27" ht="15" x14ac:dyDescent="0.25">
      <c r="A55" s="44"/>
      <c r="B55" s="44" t="s">
        <v>72</v>
      </c>
      <c r="C55" s="73">
        <f>24200+300*(SUM(S13:S15)+SUM(R13:R15)*Q39)</f>
        <v>26435.650799999999</v>
      </c>
      <c r="D55" s="64"/>
      <c r="E55" s="73">
        <f>300*(SUM(X13:X15)+SUM(Y13:Y15)/3.1*60)*Q39</f>
        <v>9749.1935483870966</v>
      </c>
      <c r="F55" s="73"/>
      <c r="G55" s="73">
        <f>300*(SUM(AA13:AA15)+SUM(Z13:Z15)*Q39)</f>
        <v>6465</v>
      </c>
      <c r="H55" s="73"/>
      <c r="I55" s="73">
        <f>300*(SUM(U13:U15)+SUM(T13:T15)*Q39)</f>
        <v>3849.9999999999995</v>
      </c>
      <c r="J55" s="73"/>
      <c r="K55" s="44"/>
      <c r="O55" s="29" t="s">
        <v>95</v>
      </c>
      <c r="P55" s="18">
        <f xml:space="preserve"> P53-Q53</f>
        <v>11002.992000000002</v>
      </c>
      <c r="Q55" s="30"/>
      <c r="R55" s="30"/>
      <c r="S55" s="30" t="s">
        <v>96</v>
      </c>
      <c r="T55" s="18">
        <f>T53-U53</f>
        <v>2561.8320000000003</v>
      </c>
      <c r="U55" s="30"/>
      <c r="V55" s="30"/>
      <c r="W55" s="30"/>
      <c r="X55" s="30"/>
      <c r="Y55" s="30"/>
      <c r="Z55" s="30"/>
      <c r="AA55" s="16"/>
    </row>
    <row r="56" spans="1:27" ht="15" x14ac:dyDescent="0.25">
      <c r="A56" s="44"/>
      <c r="B56" s="44"/>
      <c r="C56" s="71"/>
      <c r="D56" s="72"/>
      <c r="E56" s="71"/>
      <c r="F56" s="72"/>
      <c r="G56" s="69"/>
      <c r="H56" s="70"/>
      <c r="I56" s="71"/>
      <c r="J56" s="72"/>
      <c r="K56" s="44"/>
      <c r="O56" s="29"/>
      <c r="P56" s="30"/>
      <c r="Q56" s="30"/>
      <c r="R56" s="18"/>
      <c r="S56" s="30"/>
      <c r="T56" s="30"/>
      <c r="U56" s="30"/>
      <c r="V56" s="30"/>
      <c r="W56" s="30"/>
      <c r="X56" s="30"/>
      <c r="Y56" s="30"/>
      <c r="Z56" s="30"/>
      <c r="AA56" s="16"/>
    </row>
    <row r="57" spans="1:27" ht="15" x14ac:dyDescent="0.25">
      <c r="A57" s="44"/>
      <c r="B57" s="44" t="s">
        <v>77</v>
      </c>
      <c r="C57" s="64" t="s">
        <v>78</v>
      </c>
      <c r="D57" s="64"/>
      <c r="E57" s="64" t="s">
        <v>78</v>
      </c>
      <c r="F57" s="64"/>
      <c r="G57" s="64" t="s">
        <v>78</v>
      </c>
      <c r="H57" s="64"/>
      <c r="I57" s="64" t="s">
        <v>78</v>
      </c>
      <c r="J57" s="64"/>
      <c r="K57" s="44"/>
      <c r="O57" s="29"/>
      <c r="P57" s="30"/>
      <c r="Q57" s="30"/>
      <c r="R57" s="18"/>
      <c r="S57" s="30" t="s">
        <v>97</v>
      </c>
      <c r="T57" s="30"/>
      <c r="U57" s="30"/>
      <c r="V57" s="30"/>
      <c r="W57" s="30"/>
      <c r="X57" s="30"/>
      <c r="Y57" s="30"/>
      <c r="Z57" s="30"/>
      <c r="AA57" s="16"/>
    </row>
    <row r="58" spans="1:27" ht="15" x14ac:dyDescent="0.25">
      <c r="A58" s="44"/>
      <c r="B58" s="44">
        <v>0</v>
      </c>
      <c r="C58" s="73">
        <f>C55</f>
        <v>26435.650799999999</v>
      </c>
      <c r="D58" s="73"/>
      <c r="E58" s="73">
        <f>E55</f>
        <v>9749.1935483870966</v>
      </c>
      <c r="F58" s="64"/>
      <c r="G58" s="73">
        <f>G55</f>
        <v>6465</v>
      </c>
      <c r="H58" s="64"/>
      <c r="I58" s="73">
        <f>I55</f>
        <v>3849.9999999999995</v>
      </c>
      <c r="J58" s="64"/>
      <c r="K58" s="44"/>
      <c r="O58" s="50"/>
      <c r="P58" s="51"/>
      <c r="Q58" s="51"/>
      <c r="R58" s="51"/>
      <c r="S58" s="30"/>
      <c r="T58" s="30"/>
      <c r="U58" s="30"/>
      <c r="V58" s="30"/>
      <c r="W58" s="30"/>
      <c r="X58" s="30"/>
      <c r="Y58" s="30"/>
      <c r="Z58" s="30"/>
      <c r="AA58" s="16"/>
    </row>
    <row r="59" spans="1:27" ht="15" x14ac:dyDescent="0.25">
      <c r="A59" s="44"/>
      <c r="B59" s="44">
        <v>1</v>
      </c>
      <c r="C59" s="73">
        <f>($C$58-$R$42)*(1+$K$41)^B59+($R$43+$R$44)*(1+$K$41)^B59</f>
        <v>4358.6003239999991</v>
      </c>
      <c r="D59" s="73"/>
      <c r="E59" s="73">
        <f>E$58*(1+$K$41)^$B59</f>
        <v>10041.66935483871</v>
      </c>
      <c r="F59" s="64"/>
      <c r="G59" s="73">
        <f>G$58*(1+$K$41)^$B59</f>
        <v>6658.95</v>
      </c>
      <c r="H59" s="64"/>
      <c r="I59" s="73">
        <f>I$58*(1+$K$41)^$B59</f>
        <v>3965.4999999999995</v>
      </c>
      <c r="J59" s="64"/>
      <c r="K59" s="44"/>
      <c r="L59" s="8"/>
      <c r="O59" s="91" t="s">
        <v>98</v>
      </c>
      <c r="P59" s="92"/>
      <c r="Q59" s="92"/>
      <c r="R59" s="92"/>
      <c r="S59" s="92"/>
      <c r="T59" s="92"/>
      <c r="U59" s="92"/>
      <c r="V59" s="92"/>
      <c r="W59" s="92"/>
      <c r="X59" s="92"/>
      <c r="Y59" s="92"/>
      <c r="Z59" s="92"/>
      <c r="AA59" s="93"/>
    </row>
    <row r="60" spans="1:27" ht="15" x14ac:dyDescent="0.25">
      <c r="A60" s="44"/>
      <c r="B60" s="44">
        <v>2</v>
      </c>
      <c r="C60" s="73">
        <f t="shared" ref="C60:C63" si="7">($C$58-$R$42)*(1+$K$41)^B60+($R$43+$R$44)*(1+$K$41)^B60</f>
        <v>4489.3583337199998</v>
      </c>
      <c r="D60" s="73"/>
      <c r="E60" s="73">
        <f>E$58*(1+$K$41)^$B60</f>
        <v>10342.919435483871</v>
      </c>
      <c r="F60" s="64"/>
      <c r="G60" s="73">
        <f>G$58*(1+$K$41)^$B60</f>
        <v>6858.7184999999999</v>
      </c>
      <c r="H60" s="64"/>
      <c r="I60" s="73">
        <f>I$58*(1+$K$41)^$B60</f>
        <v>4084.4649999999992</v>
      </c>
      <c r="J60" s="64"/>
      <c r="K60" s="44"/>
      <c r="O60" s="29"/>
      <c r="P60" s="30"/>
      <c r="Q60" s="30"/>
      <c r="R60" s="18"/>
      <c r="S60" s="30"/>
      <c r="T60" s="30"/>
      <c r="U60" s="30"/>
      <c r="V60" s="30"/>
      <c r="W60" s="30"/>
      <c r="X60" s="30"/>
      <c r="Y60" s="30"/>
      <c r="Z60" s="30"/>
      <c r="AA60" s="16"/>
    </row>
    <row r="61" spans="1:27" ht="15" x14ac:dyDescent="0.25">
      <c r="A61" s="44"/>
      <c r="B61" s="44">
        <v>3</v>
      </c>
      <c r="C61" s="73">
        <f t="shared" si="7"/>
        <v>4624.039083731599</v>
      </c>
      <c r="D61" s="73"/>
      <c r="E61" s="73">
        <f>E$58*(1+$K$41)^$B61</f>
        <v>10653.207018548386</v>
      </c>
      <c r="F61" s="64"/>
      <c r="G61" s="73">
        <f>G$58*(1+$K$41)^$B61</f>
        <v>7064.480055</v>
      </c>
      <c r="H61" s="64"/>
      <c r="I61" s="73">
        <f>I$58*(1+$K$41)^$B61</f>
        <v>4206.9989499999992</v>
      </c>
      <c r="J61" s="64"/>
      <c r="K61" s="44"/>
      <c r="O61" s="91" t="s">
        <v>99</v>
      </c>
      <c r="P61" s="92"/>
      <c r="Q61" s="92"/>
      <c r="R61" s="92"/>
      <c r="S61" s="92"/>
      <c r="T61" s="92"/>
      <c r="U61" s="92"/>
      <c r="V61" s="92"/>
      <c r="W61" s="92"/>
      <c r="X61" s="92"/>
      <c r="Y61" s="92"/>
      <c r="Z61" s="92"/>
      <c r="AA61" s="93"/>
    </row>
    <row r="62" spans="1:27" ht="15" x14ac:dyDescent="0.25">
      <c r="A62" s="44"/>
      <c r="B62" s="44">
        <v>4</v>
      </c>
      <c r="C62" s="73">
        <f t="shared" si="7"/>
        <v>4762.7602562435477</v>
      </c>
      <c r="D62" s="73"/>
      <c r="E62" s="73">
        <f>E$58*(1+$K$41)^$B62</f>
        <v>10972.803229104838</v>
      </c>
      <c r="F62" s="64"/>
      <c r="G62" s="73">
        <f>G$58*(1+$K$41)^$B62</f>
        <v>7276.414456649999</v>
      </c>
      <c r="H62" s="64"/>
      <c r="I62" s="73">
        <f>I$58*(1+$K$41)^$B62</f>
        <v>4333.2089184999995</v>
      </c>
      <c r="J62" s="64"/>
      <c r="K62" s="44"/>
      <c r="O62" s="29"/>
      <c r="P62" s="30"/>
      <c r="Q62" s="30"/>
      <c r="R62" s="30"/>
      <c r="S62" s="30"/>
      <c r="T62" s="90" t="s">
        <v>100</v>
      </c>
      <c r="U62" s="90"/>
      <c r="V62" s="90"/>
      <c r="W62" s="90"/>
      <c r="X62" s="90"/>
      <c r="Y62" s="90"/>
      <c r="Z62" s="30"/>
      <c r="AA62" s="16"/>
    </row>
    <row r="63" spans="1:27" ht="15" x14ac:dyDescent="0.25">
      <c r="A63" s="7"/>
      <c r="B63" s="7">
        <v>5</v>
      </c>
      <c r="C63" s="73">
        <f t="shared" si="7"/>
        <v>4905.6430639308528</v>
      </c>
      <c r="D63" s="73"/>
      <c r="E63" s="84">
        <f>E$58*(1+$K$41)^$B63</f>
        <v>11301.987325977982</v>
      </c>
      <c r="F63" s="85"/>
      <c r="G63" s="84">
        <f>G$58*(1+$K$41)^$B63</f>
        <v>7494.7068903494992</v>
      </c>
      <c r="H63" s="85"/>
      <c r="I63" s="84">
        <f>I$58*(1+$K$41)^$B63</f>
        <v>4463.2051860549991</v>
      </c>
      <c r="J63" s="85"/>
      <c r="K63" s="7"/>
      <c r="O63" s="94" t="s">
        <v>101</v>
      </c>
      <c r="P63" s="95"/>
      <c r="Q63" s="95"/>
      <c r="R63" s="95"/>
      <c r="S63" s="30"/>
      <c r="T63" s="90" t="s">
        <v>102</v>
      </c>
      <c r="U63" s="90"/>
      <c r="V63" s="90"/>
      <c r="W63" s="90"/>
      <c r="X63" s="90"/>
      <c r="Y63" s="90"/>
      <c r="Z63" s="30"/>
      <c r="AA63" s="16"/>
    </row>
    <row r="64" spans="1:27" ht="15.75" thickBot="1" x14ac:dyDescent="0.3">
      <c r="A64" s="79" t="s">
        <v>86</v>
      </c>
      <c r="B64" s="80"/>
      <c r="C64" s="5">
        <v>0.21840000000000001</v>
      </c>
      <c r="D64" s="48"/>
      <c r="E64" s="48"/>
      <c r="F64" s="49"/>
      <c r="G64" s="48"/>
      <c r="H64" s="49"/>
      <c r="I64" s="10"/>
      <c r="J64" s="11"/>
      <c r="K64" s="44"/>
      <c r="O64" s="29"/>
      <c r="P64" s="30"/>
      <c r="Q64" s="30"/>
      <c r="R64" s="18"/>
      <c r="S64" s="30"/>
      <c r="T64" s="90" t="s">
        <v>103</v>
      </c>
      <c r="U64" s="90"/>
      <c r="V64" s="90"/>
      <c r="W64" s="90"/>
      <c r="X64" s="90"/>
      <c r="Y64" s="90"/>
      <c r="Z64" s="30"/>
      <c r="AA64" s="16"/>
    </row>
    <row r="65" spans="1:27" ht="16.5" thickTop="1" thickBot="1" x14ac:dyDescent="0.3">
      <c r="A65" s="26"/>
      <c r="B65" s="52" t="s">
        <v>93</v>
      </c>
      <c r="C65" s="76">
        <f>(C$58+C$59*(1+$K$41)^(-$B59)+C60*(1+$K$41)^(-$B60)+C61*(1+$K$41)^(-$B61)+C62*(1+$K$41)^(-$B62)+C63*(1+$K$41)^(-$B63))*$C$64</f>
        <v>10394.508808320001</v>
      </c>
      <c r="D65" s="96"/>
      <c r="E65" s="76">
        <f>(E$58+E$59*(1+$K$41)^(-$B59)+E60*(1+$K$41)^(-$B60)+E61*(1+$K$41)^(-$B61)+E62*(1+$K$41)^(-$B62)+E63*(1+$K$41)^(-$B63))*$C$64</f>
        <v>12775.343225806453</v>
      </c>
      <c r="F65" s="96"/>
      <c r="G65" s="76">
        <f t="shared" ref="G65" si="8">(G$58+G$59*(1+$K$41)^(-$B59)+G60*(1+$K$41)^(-$B60)+G61*(1+$K$41)^(-$B61)+G62*(1+$K$41)^(-$B62)+G63*(1+$K$41)^(-$B63))*$C$64</f>
        <v>8471.7360000000008</v>
      </c>
      <c r="H65" s="97"/>
      <c r="I65" s="98">
        <f t="shared" ref="I65" si="9">(I$58+I$59*(1+$K$41)^(-$B59)+I60*(1+$K$41)^(-$B60)+I61*(1+$K$41)^(-$B61)+I62*(1+$K$41)^(-$B62)+I63*(1+$K$41)^(-$B63))*$C$64</f>
        <v>5045.04</v>
      </c>
      <c r="J65" s="99"/>
      <c r="K65" s="27"/>
      <c r="O65" s="29"/>
      <c r="P65" s="30"/>
      <c r="Q65" s="30"/>
      <c r="R65" s="30"/>
      <c r="S65" s="30"/>
      <c r="T65" s="30"/>
      <c r="U65" s="30"/>
      <c r="V65" s="30"/>
      <c r="W65" s="30"/>
      <c r="X65" s="30"/>
      <c r="Y65" s="30"/>
      <c r="Z65" s="30"/>
      <c r="AA65" s="16"/>
    </row>
    <row r="66" spans="1:27" ht="15.75" thickTop="1" x14ac:dyDescent="0.25">
      <c r="J66" s="30"/>
      <c r="O66" s="94" t="s">
        <v>104</v>
      </c>
      <c r="P66" s="95"/>
      <c r="Q66" s="95"/>
      <c r="R66" s="95"/>
      <c r="S66" s="30"/>
      <c r="T66" s="92" t="s">
        <v>105</v>
      </c>
      <c r="U66" s="92"/>
      <c r="V66" s="30"/>
      <c r="W66" s="30"/>
      <c r="X66" s="30"/>
      <c r="Y66" s="30"/>
      <c r="Z66" s="30"/>
      <c r="AA66" s="16"/>
    </row>
    <row r="67" spans="1:27" ht="15" x14ac:dyDescent="0.25">
      <c r="A67" t="s">
        <v>106</v>
      </c>
      <c r="C67" s="30"/>
      <c r="O67" s="29"/>
      <c r="P67" s="30"/>
      <c r="Q67" s="30"/>
      <c r="R67" s="30"/>
      <c r="S67" s="30"/>
      <c r="T67" s="92" t="s">
        <v>107</v>
      </c>
      <c r="U67" s="92"/>
      <c r="V67" s="30"/>
      <c r="W67" s="30"/>
      <c r="X67" s="30"/>
      <c r="Y67" s="30"/>
      <c r="Z67" s="30"/>
      <c r="AA67" s="16"/>
    </row>
    <row r="68" spans="1:27" ht="15" x14ac:dyDescent="0.25">
      <c r="A68" t="s">
        <v>108</v>
      </c>
      <c r="O68" s="29"/>
      <c r="P68" s="30"/>
      <c r="Q68" s="30"/>
      <c r="R68" s="18"/>
      <c r="S68" s="30"/>
      <c r="T68" s="30"/>
      <c r="U68" s="30"/>
      <c r="V68" s="30"/>
      <c r="W68" s="30"/>
      <c r="X68" s="30"/>
      <c r="Y68" s="30"/>
      <c r="Z68" s="30"/>
      <c r="AA68" s="16"/>
    </row>
    <row r="69" spans="1:27" ht="15" x14ac:dyDescent="0.25">
      <c r="A69" s="44" t="s">
        <v>68</v>
      </c>
      <c r="B69" s="44"/>
      <c r="C69" s="44"/>
      <c r="D69" s="44"/>
      <c r="E69" s="44"/>
      <c r="F69" s="44" t="s">
        <v>10</v>
      </c>
      <c r="G69" s="44"/>
      <c r="H69" s="44"/>
      <c r="I69" s="44"/>
      <c r="J69" s="44"/>
      <c r="O69" s="91" t="s">
        <v>109</v>
      </c>
      <c r="P69" s="92"/>
      <c r="Q69" s="92"/>
      <c r="R69" s="92"/>
      <c r="S69" s="92"/>
      <c r="T69" s="92"/>
      <c r="U69" s="92"/>
      <c r="V69" s="92"/>
      <c r="W69" s="92"/>
      <c r="X69" s="92"/>
      <c r="Y69" s="92"/>
      <c r="Z69" s="92"/>
      <c r="AA69" s="93"/>
    </row>
    <row r="70" spans="1:27" ht="15" x14ac:dyDescent="0.25">
      <c r="A70" s="44"/>
      <c r="B70" s="64" t="s">
        <v>110</v>
      </c>
      <c r="C70" s="64"/>
      <c r="D70" s="64" t="s">
        <v>111</v>
      </c>
      <c r="E70" s="64"/>
      <c r="F70" s="44"/>
      <c r="G70" s="64" t="s">
        <v>110</v>
      </c>
      <c r="H70" s="64"/>
      <c r="I70" s="64" t="s">
        <v>111</v>
      </c>
      <c r="J70" s="64"/>
      <c r="N70" s="16"/>
      <c r="O70" s="19"/>
      <c r="P70" s="19"/>
      <c r="Q70" s="19"/>
      <c r="R70" s="19"/>
      <c r="S70" s="19"/>
      <c r="T70" s="19"/>
      <c r="U70" s="19"/>
      <c r="V70" s="19"/>
      <c r="W70" s="19"/>
      <c r="X70" s="19"/>
      <c r="Y70" s="20"/>
      <c r="Z70" s="30"/>
      <c r="AA70" s="16"/>
    </row>
    <row r="71" spans="1:27" ht="15" x14ac:dyDescent="0.25">
      <c r="A71" s="44"/>
      <c r="B71" s="64">
        <v>0.1172</v>
      </c>
      <c r="C71" s="64"/>
      <c r="D71" s="64">
        <v>0.2374</v>
      </c>
      <c r="E71" s="64"/>
      <c r="F71" s="44"/>
      <c r="G71" s="64">
        <v>0.1172</v>
      </c>
      <c r="H71" s="64"/>
      <c r="I71" s="64">
        <v>0.2374</v>
      </c>
      <c r="J71" s="64"/>
      <c r="O71" s="29"/>
      <c r="P71" s="30"/>
      <c r="Q71" s="30"/>
      <c r="R71" s="30"/>
      <c r="S71" s="30"/>
      <c r="T71" s="30"/>
      <c r="U71" s="30"/>
      <c r="V71" s="30"/>
      <c r="W71" s="30"/>
      <c r="X71" s="30"/>
      <c r="Y71" s="21"/>
      <c r="Z71" s="30"/>
      <c r="AA71" s="16"/>
    </row>
    <row r="72" spans="1:27" ht="15" x14ac:dyDescent="0.25">
      <c r="A72" s="44" t="s">
        <v>93</v>
      </c>
      <c r="B72" s="101">
        <f>11*300*(3*3.7+SUM($P$13:$Q$15)*1.1+SUM($Z$13:$Z$15)*Q39)*B71</f>
        <v>8334.6779999999999</v>
      </c>
      <c r="C72" s="101"/>
      <c r="D72" s="73">
        <f>6*300*(3*3.7+SUM($P$13:$Q$15)*1.1+SUM($Z$13:$Z$15)*Q39)*D71</f>
        <v>9208.7459999999992</v>
      </c>
      <c r="E72" s="73"/>
      <c r="F72" s="44" t="s">
        <v>93</v>
      </c>
      <c r="G72" s="73">
        <f>(300*(SUM(U13:U15)+SUM(T13:T15)*Q39))*11*G71</f>
        <v>4963.4199999999992</v>
      </c>
      <c r="H72" s="73"/>
      <c r="I72" s="101">
        <f>(300*(SUM(U13:U15)+SUM(T13:T15)*Q39))*6*D71</f>
        <v>5483.9399999999987</v>
      </c>
      <c r="J72" s="101"/>
      <c r="O72" s="29"/>
      <c r="P72" s="30"/>
      <c r="Q72" s="30"/>
      <c r="R72" s="30"/>
      <c r="S72" s="30"/>
      <c r="T72" s="30"/>
      <c r="U72" s="30"/>
      <c r="V72" s="30"/>
      <c r="W72" s="30"/>
      <c r="X72" s="30"/>
      <c r="Y72" s="21"/>
      <c r="Z72" s="30"/>
      <c r="AA72" s="16"/>
    </row>
    <row r="73" spans="1:27" ht="15" x14ac:dyDescent="0.25">
      <c r="A73" s="44" t="s">
        <v>112</v>
      </c>
      <c r="B73" s="100">
        <f>ABS(B72-G65)/G65</f>
        <v>1.6178266178266284E-2</v>
      </c>
      <c r="C73" s="100"/>
      <c r="D73" s="150">
        <f>ABS(D72-G65)/G65</f>
        <v>8.6996336996336798E-2</v>
      </c>
      <c r="E73" s="150"/>
      <c r="F73" s="44" t="s">
        <v>112</v>
      </c>
      <c r="G73" s="100">
        <f>ABS(G72-I65)/I65</f>
        <v>1.6178266178266336E-2</v>
      </c>
      <c r="H73" s="100"/>
      <c r="I73" s="100">
        <f>ABS(I72-I65)/I65</f>
        <v>8.6996336996336743E-2</v>
      </c>
      <c r="J73" s="100"/>
      <c r="O73" s="25"/>
      <c r="P73" s="22"/>
      <c r="Q73" s="22"/>
      <c r="R73" s="22"/>
      <c r="S73" s="22"/>
      <c r="T73" s="22"/>
      <c r="U73" s="22"/>
      <c r="V73" s="22"/>
      <c r="W73" s="22"/>
      <c r="X73" s="22"/>
      <c r="Y73" s="23"/>
      <c r="Z73" s="30"/>
      <c r="AA73" s="16"/>
    </row>
    <row r="74" spans="1:27" ht="15" x14ac:dyDescent="0.25">
      <c r="O74" s="89" t="s">
        <v>113</v>
      </c>
      <c r="P74" s="90"/>
      <c r="Q74" s="90"/>
      <c r="R74" s="90"/>
      <c r="S74" s="90"/>
      <c r="T74" s="90"/>
      <c r="U74" s="90"/>
      <c r="V74" s="90"/>
      <c r="W74" s="90"/>
      <c r="X74" s="90"/>
      <c r="Y74" s="90"/>
      <c r="Z74" s="30"/>
      <c r="AA74" s="16"/>
    </row>
    <row r="75" spans="1:27" ht="15.75" customHeight="1" thickBot="1" x14ac:dyDescent="0.3">
      <c r="A75" s="68" t="s">
        <v>114</v>
      </c>
      <c r="B75" s="68"/>
      <c r="C75" s="68"/>
      <c r="D75" s="68"/>
      <c r="E75" s="68"/>
      <c r="F75" s="68"/>
      <c r="G75" s="68"/>
      <c r="H75" s="68"/>
      <c r="I75" s="68"/>
      <c r="J75" s="68"/>
      <c r="K75" s="68"/>
      <c r="L75" s="68"/>
      <c r="M75" s="68"/>
      <c r="O75" s="120" t="s">
        <v>115</v>
      </c>
      <c r="P75" s="121"/>
      <c r="Q75" s="121"/>
      <c r="R75" s="121"/>
      <c r="S75" s="121"/>
      <c r="T75" s="121"/>
      <c r="U75" s="121"/>
      <c r="V75" s="121"/>
      <c r="W75" s="121"/>
      <c r="X75" s="121"/>
      <c r="Y75" s="121"/>
      <c r="Z75" s="28"/>
      <c r="AA75" s="17"/>
    </row>
    <row r="76" spans="1:27" ht="15" x14ac:dyDescent="0.25">
      <c r="A76" s="68"/>
      <c r="B76" s="68"/>
      <c r="C76" s="68"/>
      <c r="D76" s="68"/>
      <c r="E76" s="68"/>
      <c r="F76" s="68"/>
      <c r="G76" s="68"/>
      <c r="H76" s="68"/>
      <c r="I76" s="68"/>
      <c r="J76" s="68"/>
      <c r="K76" s="68"/>
      <c r="L76" s="68"/>
      <c r="M76" s="68"/>
      <c r="O76" s="30"/>
      <c r="P76" s="30"/>
      <c r="Q76" s="30"/>
      <c r="R76" s="30"/>
      <c r="S76" s="30"/>
      <c r="T76" s="30"/>
      <c r="U76" s="30"/>
      <c r="V76" s="30"/>
      <c r="W76" s="30"/>
      <c r="X76" s="30"/>
      <c r="Y76" s="30"/>
      <c r="Z76" s="30"/>
      <c r="AA76" s="30"/>
    </row>
    <row r="77" spans="1:27" ht="15" x14ac:dyDescent="0.25">
      <c r="A77" s="68"/>
      <c r="B77" s="68"/>
      <c r="C77" s="68"/>
      <c r="D77" s="68"/>
      <c r="E77" s="68"/>
      <c r="F77" s="68"/>
      <c r="G77" s="68"/>
      <c r="H77" s="68"/>
      <c r="I77" s="68"/>
      <c r="J77" s="68"/>
      <c r="K77" s="68"/>
      <c r="L77" s="68"/>
      <c r="M77" s="68"/>
      <c r="O77" s="51"/>
      <c r="P77" s="51"/>
      <c r="Q77" s="51"/>
      <c r="R77" s="51"/>
      <c r="S77" s="51"/>
      <c r="T77" s="51"/>
      <c r="U77" s="51"/>
      <c r="V77" s="30"/>
      <c r="W77" s="30"/>
      <c r="X77" s="30"/>
      <c r="Y77" s="30"/>
      <c r="Z77" s="30"/>
      <c r="AA77" s="30"/>
    </row>
    <row r="78" spans="1:27" ht="15" x14ac:dyDescent="0.25">
      <c r="A78" s="68"/>
      <c r="B78" s="68"/>
      <c r="C78" s="68"/>
      <c r="D78" s="68"/>
      <c r="E78" s="68"/>
      <c r="F78" s="68"/>
      <c r="G78" s="68"/>
      <c r="H78" s="68"/>
      <c r="I78" s="68"/>
      <c r="J78" s="68"/>
      <c r="K78" s="68"/>
      <c r="L78" s="68"/>
      <c r="M78" s="68"/>
    </row>
    <row r="79" spans="1:27" ht="15" x14ac:dyDescent="0.25">
      <c r="A79" s="68"/>
      <c r="B79" s="68"/>
      <c r="C79" s="68"/>
      <c r="D79" s="68"/>
      <c r="E79" s="68"/>
      <c r="F79" s="68"/>
      <c r="G79" s="68"/>
      <c r="H79" s="68"/>
      <c r="I79" s="68"/>
      <c r="J79" s="68"/>
      <c r="K79" s="68"/>
      <c r="L79" s="68"/>
      <c r="M79" s="68"/>
    </row>
    <row r="81" spans="1:30" ht="15" x14ac:dyDescent="0.25">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row>
    <row r="82" spans="1:30" ht="15" x14ac:dyDescent="0.25">
      <c r="A82" s="33" t="s">
        <v>116</v>
      </c>
      <c r="B82" s="31"/>
      <c r="C82" s="31"/>
      <c r="D82" s="31"/>
      <c r="E82" s="31"/>
      <c r="F82" s="31"/>
      <c r="G82" s="31"/>
      <c r="H82" s="31"/>
      <c r="I82" s="31"/>
      <c r="J82" s="31"/>
      <c r="K82" s="31"/>
      <c r="L82" s="31"/>
      <c r="M82" s="31"/>
      <c r="N82" s="31"/>
      <c r="O82" s="31"/>
      <c r="P82" s="31"/>
      <c r="Q82" s="31"/>
      <c r="R82" s="31"/>
      <c r="S82" s="31"/>
      <c r="T82" s="31"/>
    </row>
    <row r="83" spans="1:30" ht="15" x14ac:dyDescent="0.25">
      <c r="A83" s="33" t="s">
        <v>117</v>
      </c>
      <c r="B83" s="31"/>
      <c r="C83" s="31"/>
      <c r="D83" s="31"/>
      <c r="E83" s="31"/>
      <c r="F83" s="31"/>
      <c r="G83" s="31"/>
      <c r="H83" s="31"/>
      <c r="I83" s="31"/>
      <c r="J83" s="31"/>
      <c r="K83" s="31"/>
      <c r="L83" s="31"/>
      <c r="M83" s="31"/>
      <c r="N83" s="31"/>
      <c r="O83" s="31"/>
      <c r="P83" s="31"/>
      <c r="Q83" s="31"/>
      <c r="R83" s="31"/>
      <c r="S83" s="31"/>
      <c r="T83" s="31"/>
    </row>
    <row r="84" spans="1:30" ht="18.399999999999999" customHeight="1" x14ac:dyDescent="0.25">
      <c r="A84" s="31"/>
      <c r="B84" s="102" t="s">
        <v>118</v>
      </c>
      <c r="C84" s="103"/>
      <c r="D84" s="103"/>
      <c r="E84" s="103"/>
      <c r="F84" s="103"/>
      <c r="G84" s="103"/>
      <c r="H84" s="103"/>
      <c r="I84" s="103"/>
      <c r="J84" s="103"/>
      <c r="K84" s="103"/>
      <c r="L84" s="103"/>
      <c r="M84" s="103"/>
      <c r="N84" s="103"/>
      <c r="O84" s="103"/>
      <c r="P84" s="103"/>
      <c r="Q84" s="103"/>
      <c r="R84" s="103"/>
      <c r="S84" s="103"/>
      <c r="T84" s="103"/>
      <c r="U84" s="103"/>
      <c r="V84" s="103"/>
      <c r="W84" s="103"/>
      <c r="X84" s="103"/>
      <c r="Y84" s="103"/>
      <c r="Z84" s="103"/>
      <c r="AA84" s="103"/>
      <c r="AB84" s="104"/>
    </row>
    <row r="85" spans="1:30" ht="14.25" customHeight="1" x14ac:dyDescent="0.25">
      <c r="A85" s="31"/>
      <c r="B85" s="105"/>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c r="AA85" s="106"/>
      <c r="AB85" s="107"/>
    </row>
    <row r="86" spans="1:30" ht="15" x14ac:dyDescent="0.25">
      <c r="A86" s="31"/>
      <c r="C86" s="35"/>
      <c r="D86" s="35"/>
      <c r="E86" s="35"/>
      <c r="F86" s="35"/>
      <c r="G86" s="35"/>
      <c r="H86" s="35"/>
      <c r="I86" s="35"/>
      <c r="J86" s="35"/>
      <c r="K86" s="35"/>
      <c r="L86" s="35"/>
      <c r="M86" s="35"/>
      <c r="N86" s="35"/>
      <c r="O86" s="35"/>
      <c r="P86" s="35"/>
      <c r="Q86" s="35"/>
      <c r="R86" s="35"/>
      <c r="S86" s="35"/>
      <c r="T86" s="31"/>
    </row>
    <row r="87" spans="1:30" ht="15" x14ac:dyDescent="0.25">
      <c r="B87" s="108" t="s">
        <v>119</v>
      </c>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c r="AA87" s="109"/>
      <c r="AB87" s="110"/>
    </row>
    <row r="88" spans="1:30" ht="15" x14ac:dyDescent="0.25">
      <c r="B88" s="111"/>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c r="AA88" s="112"/>
      <c r="AB88" s="113"/>
    </row>
    <row r="90" spans="1:30" ht="15" x14ac:dyDescent="0.25">
      <c r="B90" s="114" t="s">
        <v>120</v>
      </c>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c r="AA90" s="115"/>
      <c r="AB90" s="116"/>
    </row>
    <row r="91" spans="1:30" ht="15" x14ac:dyDescent="0.25">
      <c r="B91" s="117"/>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c r="AA91" s="118"/>
      <c r="AB91" s="119"/>
    </row>
    <row r="95" spans="1:30" ht="15.75" thickBot="1" x14ac:dyDescent="0.3">
      <c r="A95" s="38" t="s">
        <v>121</v>
      </c>
    </row>
    <row r="96" spans="1:30" ht="15.75" thickBot="1" x14ac:dyDescent="0.3">
      <c r="A96" s="42" t="s">
        <v>122</v>
      </c>
      <c r="B96" s="43" t="s">
        <v>123</v>
      </c>
    </row>
    <row r="97" spans="1:28" ht="15" customHeight="1" x14ac:dyDescent="0.25">
      <c r="A97" s="30"/>
      <c r="B97" s="122" t="s">
        <v>124</v>
      </c>
      <c r="C97" s="123"/>
      <c r="D97" s="123"/>
      <c r="E97" s="123"/>
      <c r="F97" s="123"/>
      <c r="G97" s="123"/>
      <c r="H97" s="123"/>
      <c r="I97" s="123"/>
      <c r="J97" s="123"/>
      <c r="K97" s="123"/>
      <c r="L97" s="123"/>
      <c r="M97" s="123"/>
      <c r="N97" s="123"/>
      <c r="O97" s="123"/>
      <c r="P97" s="123"/>
      <c r="Q97" s="123"/>
      <c r="R97" s="123"/>
      <c r="S97" s="123"/>
      <c r="T97" s="123"/>
      <c r="U97" s="123"/>
      <c r="V97" s="123"/>
      <c r="W97" s="123"/>
      <c r="X97" s="123"/>
      <c r="Y97" s="123"/>
      <c r="Z97" s="123"/>
      <c r="AA97" s="123"/>
      <c r="AB97" s="124"/>
    </row>
    <row r="98" spans="1:28" ht="15" x14ac:dyDescent="0.25">
      <c r="B98" s="122"/>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c r="AA98" s="125"/>
      <c r="AB98" s="126"/>
    </row>
    <row r="99" spans="1:28" ht="15" x14ac:dyDescent="0.25">
      <c r="B99" s="122"/>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c r="AA99" s="125"/>
      <c r="AB99" s="126"/>
    </row>
    <row r="100" spans="1:28" ht="15" x14ac:dyDescent="0.25">
      <c r="B100" s="122"/>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c r="AA100" s="125"/>
      <c r="AB100" s="126"/>
    </row>
    <row r="101" spans="1:28" ht="15" x14ac:dyDescent="0.25">
      <c r="B101" s="122"/>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c r="AA101" s="125"/>
      <c r="AB101" s="126"/>
    </row>
    <row r="102" spans="1:28" ht="15" x14ac:dyDescent="0.25">
      <c r="B102" s="122"/>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c r="AA102" s="125"/>
      <c r="AB102" s="126"/>
    </row>
    <row r="103" spans="1:28" ht="15" x14ac:dyDescent="0.25">
      <c r="B103" s="122"/>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c r="AA103" s="125"/>
      <c r="AB103" s="126"/>
    </row>
    <row r="104" spans="1:28" ht="15" x14ac:dyDescent="0.25">
      <c r="B104" s="122"/>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c r="AA104" s="125"/>
      <c r="AB104" s="126"/>
    </row>
    <row r="105" spans="1:28" ht="15" x14ac:dyDescent="0.25">
      <c r="B105" s="122"/>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c r="AA105" s="125"/>
      <c r="AB105" s="126"/>
    </row>
    <row r="106" spans="1:28" ht="15" x14ac:dyDescent="0.25">
      <c r="B106" s="122"/>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c r="AA106" s="125"/>
      <c r="AB106" s="126"/>
    </row>
    <row r="107" spans="1:28" ht="15" x14ac:dyDescent="0.25">
      <c r="B107" s="122"/>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c r="AA107" s="125"/>
      <c r="AB107" s="126"/>
    </row>
    <row r="108" spans="1:28" ht="15" x14ac:dyDescent="0.25">
      <c r="B108" s="122"/>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c r="AA108" s="125"/>
      <c r="AB108" s="126"/>
    </row>
    <row r="109" spans="1:28" ht="15.75" thickBot="1" x14ac:dyDescent="0.3">
      <c r="B109" s="127"/>
      <c r="C109" s="128"/>
      <c r="D109" s="128"/>
      <c r="E109" s="128"/>
      <c r="F109" s="128"/>
      <c r="G109" s="128"/>
      <c r="H109" s="128"/>
      <c r="I109" s="128"/>
      <c r="J109" s="128"/>
      <c r="K109" s="128"/>
      <c r="L109" s="128"/>
      <c r="M109" s="128"/>
      <c r="N109" s="128"/>
      <c r="O109" s="128"/>
      <c r="P109" s="128"/>
      <c r="Q109" s="128"/>
      <c r="R109" s="128"/>
      <c r="S109" s="128"/>
      <c r="T109" s="128"/>
      <c r="U109" s="128"/>
      <c r="V109" s="128"/>
      <c r="W109" s="128"/>
      <c r="X109" s="128"/>
      <c r="Y109" s="128"/>
      <c r="Z109" s="128"/>
      <c r="AA109" s="128"/>
      <c r="AB109" s="129"/>
    </row>
    <row r="111" spans="1:28" ht="15" x14ac:dyDescent="0.25">
      <c r="B111" s="62" t="s">
        <v>125</v>
      </c>
      <c r="C111" s="62"/>
      <c r="D111" s="36">
        <v>10000000</v>
      </c>
    </row>
    <row r="112" spans="1:28" ht="15" x14ac:dyDescent="0.25">
      <c r="B112" s="62" t="s">
        <v>126</v>
      </c>
      <c r="C112" s="62"/>
      <c r="D112" s="36">
        <v>9264430</v>
      </c>
    </row>
    <row r="113" spans="1:28" ht="15" x14ac:dyDescent="0.25">
      <c r="B113" s="62" t="s">
        <v>127</v>
      </c>
      <c r="C113" s="62"/>
      <c r="D113" s="36">
        <v>6885725</v>
      </c>
    </row>
    <row r="114" spans="1:28" ht="15" x14ac:dyDescent="0.25">
      <c r="B114" s="62" t="s">
        <v>128</v>
      </c>
      <c r="C114" s="62"/>
      <c r="D114" s="37">
        <v>5</v>
      </c>
    </row>
    <row r="115" spans="1:28" ht="15" x14ac:dyDescent="0.25">
      <c r="B115" s="62" t="s">
        <v>129</v>
      </c>
      <c r="C115" s="62"/>
      <c r="D115" s="37">
        <v>6</v>
      </c>
    </row>
    <row r="116" spans="1:28" ht="15.75" thickBot="1" x14ac:dyDescent="0.3">
      <c r="B116" s="40"/>
    </row>
    <row r="117" spans="1:28" ht="15.75" thickBot="1" x14ac:dyDescent="0.3">
      <c r="A117" s="39" t="s">
        <v>130</v>
      </c>
      <c r="B117" s="43" t="s">
        <v>68</v>
      </c>
      <c r="C117" s="41"/>
    </row>
    <row r="118" spans="1:28" ht="14.25" customHeight="1" x14ac:dyDescent="0.25">
      <c r="B118" s="125" t="s">
        <v>131</v>
      </c>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c r="AA118" s="125"/>
      <c r="AB118" s="125"/>
    </row>
    <row r="119" spans="1:28" ht="15" x14ac:dyDescent="0.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c r="AA119" s="125"/>
      <c r="AB119" s="125"/>
    </row>
    <row r="120" spans="1:28" ht="15" x14ac:dyDescent="0.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c r="AA120" s="125"/>
      <c r="AB120" s="125"/>
    </row>
    <row r="121" spans="1:28" ht="15" x14ac:dyDescent="0.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c r="AA121" s="125"/>
      <c r="AB121" s="125"/>
    </row>
    <row r="122" spans="1:28" ht="14.25" customHeight="1" x14ac:dyDescent="0.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row>
    <row r="123" spans="1:28" ht="14.25" customHeight="1" x14ac:dyDescent="0.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c r="AA123" s="125"/>
      <c r="AB123" s="125"/>
    </row>
    <row r="124" spans="1:28" ht="14.25" customHeight="1" x14ac:dyDescent="0.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c r="AA124" s="125"/>
      <c r="AB124" s="125"/>
    </row>
    <row r="125" spans="1:28" ht="15" x14ac:dyDescent="0.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c r="AA125" s="125"/>
      <c r="AB125" s="125"/>
    </row>
    <row r="126" spans="1:28" ht="15" x14ac:dyDescent="0.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c r="AA126" s="125"/>
      <c r="AB126" s="125"/>
    </row>
    <row r="127" spans="1:28" ht="15" x14ac:dyDescent="0.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c r="AA127" s="125"/>
      <c r="AB127" s="125"/>
    </row>
    <row r="128" spans="1:28" ht="15" x14ac:dyDescent="0.25"/>
    <row r="129" spans="1:28" ht="15" x14ac:dyDescent="0.25"/>
    <row r="131" spans="1:28" ht="15" customHeight="1" x14ac:dyDescent="0.25">
      <c r="B131" s="62" t="s">
        <v>132</v>
      </c>
      <c r="C131" s="62"/>
      <c r="D131" s="36">
        <v>157160000</v>
      </c>
      <c r="G131" s="141" t="s">
        <v>133</v>
      </c>
      <c r="H131" s="142"/>
      <c r="I131" s="142"/>
      <c r="J131" s="142"/>
      <c r="K131" s="142"/>
      <c r="L131" s="142"/>
      <c r="M131" s="142"/>
      <c r="N131" s="142"/>
      <c r="O131" s="142"/>
      <c r="P131" s="143"/>
    </row>
    <row r="132" spans="1:28" ht="15" x14ac:dyDescent="0.25">
      <c r="B132" s="62" t="s">
        <v>134</v>
      </c>
      <c r="C132" s="62"/>
      <c r="D132" s="44" t="s">
        <v>135</v>
      </c>
      <c r="G132" s="144"/>
      <c r="H132" s="125"/>
      <c r="I132" s="125"/>
      <c r="J132" s="125"/>
      <c r="K132" s="125"/>
      <c r="L132" s="125"/>
      <c r="M132" s="125"/>
      <c r="N132" s="125"/>
      <c r="O132" s="125"/>
      <c r="P132" s="145"/>
    </row>
    <row r="133" spans="1:28" ht="15" x14ac:dyDescent="0.25">
      <c r="B133" s="62" t="s">
        <v>128</v>
      </c>
      <c r="C133" s="62"/>
      <c r="D133" s="44">
        <v>5</v>
      </c>
      <c r="G133" s="144"/>
      <c r="H133" s="125"/>
      <c r="I133" s="125"/>
      <c r="J133" s="125"/>
      <c r="K133" s="125"/>
      <c r="L133" s="125"/>
      <c r="M133" s="125"/>
      <c r="N133" s="125"/>
      <c r="O133" s="125"/>
      <c r="P133" s="145"/>
    </row>
    <row r="134" spans="1:28" ht="15" x14ac:dyDescent="0.25">
      <c r="B134" s="62" t="s">
        <v>129</v>
      </c>
      <c r="C134" s="62"/>
      <c r="D134" s="44">
        <v>8</v>
      </c>
      <c r="G134" s="146"/>
      <c r="H134" s="147"/>
      <c r="I134" s="147"/>
      <c r="J134" s="147"/>
      <c r="K134" s="147"/>
      <c r="L134" s="147"/>
      <c r="M134" s="147"/>
      <c r="N134" s="147"/>
      <c r="O134" s="147"/>
      <c r="P134" s="148"/>
    </row>
    <row r="136" spans="1:28" ht="15.75" thickBot="1" x14ac:dyDescent="0.3"/>
    <row r="137" spans="1:28" ht="15.75" thickBot="1" x14ac:dyDescent="0.3">
      <c r="A137" s="39" t="s">
        <v>136</v>
      </c>
      <c r="B137" s="43" t="s">
        <v>137</v>
      </c>
    </row>
    <row r="138" spans="1:28" ht="16.5" customHeight="1" x14ac:dyDescent="0.25">
      <c r="B138" s="133" t="s">
        <v>174</v>
      </c>
      <c r="C138" s="134"/>
      <c r="D138" s="134"/>
      <c r="E138" s="134"/>
      <c r="F138" s="134"/>
      <c r="G138" s="134"/>
      <c r="H138" s="134"/>
      <c r="I138" s="134"/>
      <c r="J138" s="134"/>
      <c r="K138" s="134"/>
      <c r="L138" s="134"/>
      <c r="M138" s="134"/>
      <c r="N138" s="134"/>
      <c r="O138" s="134"/>
      <c r="P138" s="134"/>
      <c r="Q138" s="134"/>
      <c r="R138" s="134"/>
      <c r="S138" s="134"/>
      <c r="T138" s="134"/>
      <c r="U138" s="134"/>
      <c r="V138" s="134"/>
      <c r="W138" s="134"/>
      <c r="X138" s="134"/>
      <c r="Y138" s="134"/>
      <c r="Z138" s="134"/>
      <c r="AA138" s="134"/>
      <c r="AB138" s="135"/>
    </row>
    <row r="139" spans="1:28" ht="15" x14ac:dyDescent="0.25">
      <c r="B139" s="136"/>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c r="AA139" s="125"/>
      <c r="AB139" s="137"/>
    </row>
    <row r="140" spans="1:28" ht="15" x14ac:dyDescent="0.25">
      <c r="B140" s="136"/>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c r="AA140" s="125"/>
      <c r="AB140" s="137"/>
    </row>
    <row r="141" spans="1:28" ht="15" x14ac:dyDescent="0.25">
      <c r="B141" s="136"/>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c r="AA141" s="125"/>
      <c r="AB141" s="137"/>
    </row>
    <row r="142" spans="1:28" ht="15" x14ac:dyDescent="0.25">
      <c r="B142" s="136"/>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c r="AA142" s="125"/>
      <c r="AB142" s="137"/>
    </row>
    <row r="143" spans="1:28" ht="15" x14ac:dyDescent="0.25">
      <c r="B143" s="136"/>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c r="AA143" s="125"/>
      <c r="AB143" s="137"/>
    </row>
    <row r="144" spans="1:28" ht="15" x14ac:dyDescent="0.25">
      <c r="B144" s="136"/>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c r="AA144" s="125"/>
      <c r="AB144" s="137"/>
    </row>
    <row r="145" spans="1:28" ht="15" x14ac:dyDescent="0.25">
      <c r="B145" s="136"/>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c r="AA145" s="125"/>
      <c r="AB145" s="137"/>
    </row>
    <row r="146" spans="1:28" ht="15" x14ac:dyDescent="0.25">
      <c r="B146" s="136"/>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c r="AA146" s="125"/>
      <c r="AB146" s="137"/>
    </row>
    <row r="147" spans="1:28" ht="15" x14ac:dyDescent="0.25">
      <c r="B147" s="136"/>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c r="AA147" s="125"/>
      <c r="AB147" s="137"/>
    </row>
    <row r="148" spans="1:28" ht="15" x14ac:dyDescent="0.25">
      <c r="B148" s="136"/>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c r="AA148" s="125"/>
      <c r="AB148" s="137"/>
    </row>
    <row r="149" spans="1:28" ht="15.75" thickBot="1" x14ac:dyDescent="0.3">
      <c r="B149" s="138"/>
      <c r="C149" s="139"/>
      <c r="D149" s="139"/>
      <c r="E149" s="139"/>
      <c r="F149" s="139"/>
      <c r="G149" s="139"/>
      <c r="H149" s="139"/>
      <c r="I149" s="139"/>
      <c r="J149" s="139"/>
      <c r="K149" s="139"/>
      <c r="L149" s="139"/>
      <c r="M149" s="139"/>
      <c r="N149" s="139"/>
      <c r="O149" s="139"/>
      <c r="P149" s="139"/>
      <c r="Q149" s="139"/>
      <c r="R149" s="139"/>
      <c r="S149" s="139"/>
      <c r="T149" s="139"/>
      <c r="U149" s="139"/>
      <c r="V149" s="139"/>
      <c r="W149" s="139"/>
      <c r="X149" s="139"/>
      <c r="Y149" s="139"/>
      <c r="Z149" s="139"/>
      <c r="AA149" s="139"/>
      <c r="AB149" s="140"/>
    </row>
    <row r="150" spans="1:28" ht="15" x14ac:dyDescent="0.25"/>
    <row r="151" spans="1:28" ht="15" x14ac:dyDescent="0.25">
      <c r="B151" s="149" t="s">
        <v>132</v>
      </c>
      <c r="C151" s="149"/>
      <c r="D151" s="53">
        <f>1415000+8730398</f>
        <v>10145398</v>
      </c>
    </row>
    <row r="152" spans="1:28" ht="15" x14ac:dyDescent="0.25">
      <c r="B152" s="149" t="s">
        <v>138</v>
      </c>
      <c r="C152" s="149"/>
      <c r="D152" s="53">
        <v>12911875</v>
      </c>
    </row>
    <row r="153" spans="1:28" ht="15" x14ac:dyDescent="0.25">
      <c r="B153" s="149" t="s">
        <v>127</v>
      </c>
      <c r="C153" s="149"/>
      <c r="D153" s="53">
        <v>10490000</v>
      </c>
    </row>
    <row r="154" spans="1:28" ht="15" x14ac:dyDescent="0.25">
      <c r="B154" s="149" t="s">
        <v>128</v>
      </c>
      <c r="C154" s="149"/>
      <c r="D154" s="54">
        <v>5</v>
      </c>
    </row>
    <row r="155" spans="1:28" ht="15" x14ac:dyDescent="0.25">
      <c r="B155" s="149" t="s">
        <v>129</v>
      </c>
      <c r="C155" s="149"/>
      <c r="D155" s="54">
        <v>5</v>
      </c>
    </row>
    <row r="156" spans="1:28" ht="15.75" thickBot="1" x14ac:dyDescent="0.3"/>
    <row r="157" spans="1:28" ht="15.75" customHeight="1" thickBot="1" x14ac:dyDescent="0.3">
      <c r="A157" s="130" t="s">
        <v>139</v>
      </c>
      <c r="B157" s="131"/>
      <c r="C157" s="132"/>
      <c r="E157" s="61" t="s">
        <v>140</v>
      </c>
      <c r="F157" s="61"/>
      <c r="G157" s="61"/>
      <c r="H157" s="57">
        <v>0.21</v>
      </c>
      <c r="I157" s="61"/>
      <c r="J157" s="61"/>
      <c r="K157" s="61"/>
      <c r="L157" s="61" t="s">
        <v>141</v>
      </c>
      <c r="M157" s="61"/>
      <c r="N157" s="61"/>
      <c r="O157" s="61"/>
      <c r="P157" s="61"/>
      <c r="Q157" s="61"/>
      <c r="R157" s="57">
        <v>1.17E-2</v>
      </c>
      <c r="S157" s="151" t="s">
        <v>142</v>
      </c>
      <c r="T157" s="152"/>
      <c r="U157" s="57">
        <f>R157+H157*(1-R157)</f>
        <v>0.21924299999999997</v>
      </c>
    </row>
    <row r="158" spans="1:28" ht="15.75" thickBot="1" x14ac:dyDescent="0.3">
      <c r="E158" s="61" t="s">
        <v>143</v>
      </c>
      <c r="F158" s="61"/>
      <c r="G158" s="61"/>
      <c r="H158" s="61"/>
      <c r="I158" s="61"/>
      <c r="J158" s="61"/>
      <c r="K158" s="61"/>
      <c r="L158" s="61" t="s">
        <v>144</v>
      </c>
      <c r="M158" s="61"/>
      <c r="N158" s="61"/>
      <c r="O158" s="61"/>
      <c r="P158" s="61"/>
      <c r="Q158" s="61"/>
      <c r="R158" s="54"/>
      <c r="S158" s="58"/>
      <c r="T158" s="59"/>
      <c r="U158" s="60"/>
    </row>
    <row r="159" spans="1:28" ht="15.75" thickBot="1" x14ac:dyDescent="0.3">
      <c r="A159" s="55" t="s">
        <v>122</v>
      </c>
      <c r="B159" s="166" t="s">
        <v>167</v>
      </c>
    </row>
    <row r="160" spans="1:28" ht="15" x14ac:dyDescent="0.25">
      <c r="A160" s="56" t="s">
        <v>77</v>
      </c>
      <c r="B160" s="56" t="s">
        <v>145</v>
      </c>
      <c r="C160" s="61" t="s">
        <v>146</v>
      </c>
      <c r="D160" s="61"/>
      <c r="E160" s="61" t="s">
        <v>147</v>
      </c>
      <c r="F160" s="61"/>
      <c r="G160" s="61" t="s">
        <v>148</v>
      </c>
      <c r="H160" s="61"/>
      <c r="I160" s="61" t="s">
        <v>149</v>
      </c>
      <c r="J160" s="61"/>
      <c r="K160" s="61" t="s">
        <v>150</v>
      </c>
      <c r="L160" s="61"/>
      <c r="M160" s="61" t="s">
        <v>162</v>
      </c>
      <c r="N160" s="61"/>
      <c r="O160" s="61" t="s">
        <v>163</v>
      </c>
      <c r="P160" s="61"/>
      <c r="R160" s="61" t="s">
        <v>160</v>
      </c>
      <c r="S160" s="61"/>
      <c r="T160" s="162">
        <f>IRR(K161:L167)</f>
        <v>9.2336333136561421E-2</v>
      </c>
    </row>
    <row r="161" spans="1:20" ht="15" x14ac:dyDescent="0.25">
      <c r="A161" s="56">
        <v>0</v>
      </c>
      <c r="B161" s="56" t="s">
        <v>151</v>
      </c>
      <c r="C161" s="164">
        <f>-D111</f>
        <v>-10000000</v>
      </c>
      <c r="D161" s="164"/>
      <c r="E161" s="61" t="s">
        <v>151</v>
      </c>
      <c r="F161" s="61"/>
      <c r="G161" s="61" t="s">
        <v>151</v>
      </c>
      <c r="H161" s="61"/>
      <c r="I161" s="61" t="s">
        <v>151</v>
      </c>
      <c r="J161" s="61"/>
      <c r="K161" s="164">
        <f>C161</f>
        <v>-10000000</v>
      </c>
      <c r="L161" s="61"/>
      <c r="M161" s="61" t="s">
        <v>151</v>
      </c>
      <c r="N161" s="61"/>
      <c r="O161" s="164">
        <f>K161</f>
        <v>-10000000</v>
      </c>
      <c r="P161" s="61"/>
      <c r="R161" s="61" t="s">
        <v>161</v>
      </c>
      <c r="S161" s="61"/>
      <c r="T161" s="61"/>
    </row>
    <row r="162" spans="1:20" ht="15" x14ac:dyDescent="0.25">
      <c r="A162" s="56">
        <v>1</v>
      </c>
      <c r="B162" s="56">
        <v>0.2</v>
      </c>
      <c r="C162" s="164">
        <f>$D$112-$D$113</f>
        <v>2378705</v>
      </c>
      <c r="D162" s="61"/>
      <c r="E162" s="164">
        <f>$D$111*B162</f>
        <v>2000000</v>
      </c>
      <c r="F162" s="61"/>
      <c r="G162" s="164">
        <f>C162-E162</f>
        <v>378705</v>
      </c>
      <c r="H162" s="61"/>
      <c r="I162" s="165">
        <f>G162*$U$157</f>
        <v>83028.420314999981</v>
      </c>
      <c r="J162" s="61"/>
      <c r="K162" s="165">
        <f>C162-I162</f>
        <v>2295676.5796850002</v>
      </c>
      <c r="L162" s="61"/>
      <c r="M162" s="61">
        <f>1/(1.09)^(A162)</f>
        <v>0.9174311926605504</v>
      </c>
      <c r="N162" s="61"/>
      <c r="O162" s="165">
        <f>K162*M162</f>
        <v>2106125.3024633029</v>
      </c>
      <c r="P162" s="61"/>
    </row>
    <row r="163" spans="1:20" ht="15" x14ac:dyDescent="0.25">
      <c r="A163" s="56">
        <v>2</v>
      </c>
      <c r="B163" s="56">
        <v>0.32</v>
      </c>
      <c r="C163" s="164">
        <f t="shared" ref="C163:C167" si="10">$D$112-$D$113</f>
        <v>2378705</v>
      </c>
      <c r="D163" s="61"/>
      <c r="E163" s="164">
        <f>$D$111*B163</f>
        <v>3200000</v>
      </c>
      <c r="F163" s="61"/>
      <c r="G163" s="164">
        <f t="shared" ref="G163:G167" si="11">C163-E163</f>
        <v>-821295</v>
      </c>
      <c r="H163" s="61"/>
      <c r="I163" s="165">
        <f t="shared" ref="I163:I167" si="12">G163*$U$157</f>
        <v>-180063.17968499998</v>
      </c>
      <c r="J163" s="61"/>
      <c r="K163" s="165">
        <f t="shared" ref="K163:K167" si="13">C163-I163</f>
        <v>2558768.1796849999</v>
      </c>
      <c r="L163" s="61"/>
      <c r="M163" s="61">
        <f>1/(1.09)^(A163)</f>
        <v>0.84167999326655996</v>
      </c>
      <c r="N163" s="61"/>
      <c r="O163" s="165">
        <f>K163*M163</f>
        <v>2153663.9842479588</v>
      </c>
      <c r="P163" s="61"/>
    </row>
    <row r="164" spans="1:20" ht="15" x14ac:dyDescent="0.25">
      <c r="A164" s="56">
        <v>3</v>
      </c>
      <c r="B164" s="56">
        <v>0.192</v>
      </c>
      <c r="C164" s="164">
        <f t="shared" si="10"/>
        <v>2378705</v>
      </c>
      <c r="D164" s="61"/>
      <c r="E164" s="164">
        <f t="shared" ref="E163:E167" si="14">$D$111*B164</f>
        <v>1920000</v>
      </c>
      <c r="F164" s="61"/>
      <c r="G164" s="164">
        <f t="shared" si="11"/>
        <v>458705</v>
      </c>
      <c r="H164" s="61"/>
      <c r="I164" s="165">
        <f t="shared" si="12"/>
        <v>100567.86031499998</v>
      </c>
      <c r="J164" s="61"/>
      <c r="K164" s="165">
        <f t="shared" si="13"/>
        <v>2278137.1396849998</v>
      </c>
      <c r="L164" s="61"/>
      <c r="M164" s="61">
        <f>1/(1.09)^(A164)</f>
        <v>0.77218348006106419</v>
      </c>
      <c r="N164" s="61"/>
      <c r="O164" s="165">
        <f>K164*M164</f>
        <v>1759139.8645783218</v>
      </c>
      <c r="P164" s="61"/>
    </row>
    <row r="165" spans="1:20" ht="15" x14ac:dyDescent="0.25">
      <c r="A165" s="56">
        <v>4</v>
      </c>
      <c r="B165" s="56">
        <v>0.1152</v>
      </c>
      <c r="C165" s="164">
        <f t="shared" si="10"/>
        <v>2378705</v>
      </c>
      <c r="D165" s="61"/>
      <c r="E165" s="164">
        <f t="shared" si="14"/>
        <v>1152000</v>
      </c>
      <c r="F165" s="61"/>
      <c r="G165" s="164">
        <f t="shared" si="11"/>
        <v>1226705</v>
      </c>
      <c r="H165" s="61"/>
      <c r="I165" s="165">
        <f t="shared" si="12"/>
        <v>268946.48431499995</v>
      </c>
      <c r="J165" s="61"/>
      <c r="K165" s="165">
        <f t="shared" si="13"/>
        <v>2109758.515685</v>
      </c>
      <c r="L165" s="61"/>
      <c r="M165" s="61">
        <f>1/(1.09)^(A165)</f>
        <v>0.7084252110651964</v>
      </c>
      <c r="N165" s="61"/>
      <c r="O165" s="165">
        <f>K165*M165</f>
        <v>1494606.1217707417</v>
      </c>
      <c r="P165" s="61"/>
    </row>
    <row r="166" spans="1:20" ht="14.25" customHeight="1" x14ac:dyDescent="0.25">
      <c r="A166" s="56">
        <v>5</v>
      </c>
      <c r="B166" s="56">
        <v>0.1152</v>
      </c>
      <c r="C166" s="164">
        <f t="shared" si="10"/>
        <v>2378705</v>
      </c>
      <c r="D166" s="61"/>
      <c r="E166" s="164">
        <f t="shared" si="14"/>
        <v>1152000</v>
      </c>
      <c r="F166" s="61"/>
      <c r="G166" s="164">
        <f t="shared" si="11"/>
        <v>1226705</v>
      </c>
      <c r="H166" s="61"/>
      <c r="I166" s="165">
        <f t="shared" si="12"/>
        <v>268946.48431499995</v>
      </c>
      <c r="J166" s="61"/>
      <c r="K166" s="165">
        <f t="shared" si="13"/>
        <v>2109758.515685</v>
      </c>
      <c r="L166" s="61"/>
      <c r="M166" s="61">
        <f>1/(1.09)^(A166)</f>
        <v>0.64993138629834524</v>
      </c>
      <c r="N166" s="61"/>
      <c r="O166" s="165">
        <f>K166*M166</f>
        <v>1371198.2768538911</v>
      </c>
      <c r="P166" s="61"/>
    </row>
    <row r="167" spans="1:20" ht="15" x14ac:dyDescent="0.25">
      <c r="A167" s="56">
        <v>6</v>
      </c>
      <c r="B167" s="56">
        <v>5.7599999999999998E-2</v>
      </c>
      <c r="C167" s="164">
        <f t="shared" si="10"/>
        <v>2378705</v>
      </c>
      <c r="D167" s="61"/>
      <c r="E167" s="164">
        <f t="shared" si="14"/>
        <v>576000</v>
      </c>
      <c r="F167" s="61"/>
      <c r="G167" s="164">
        <f t="shared" si="11"/>
        <v>1802705</v>
      </c>
      <c r="H167" s="61"/>
      <c r="I167" s="165">
        <f t="shared" si="12"/>
        <v>395230.45231499994</v>
      </c>
      <c r="J167" s="61"/>
      <c r="K167" s="165">
        <f t="shared" si="13"/>
        <v>1983474.5476850001</v>
      </c>
      <c r="L167" s="61"/>
      <c r="M167" s="61">
        <f>1/(1.09)^(A167)</f>
        <v>0.5962673268792158</v>
      </c>
      <c r="N167" s="61"/>
      <c r="O167" s="165">
        <f>K167*M167</f>
        <v>1182681.0664810967</v>
      </c>
      <c r="P167" s="61"/>
    </row>
    <row r="168" spans="1:20" ht="15" x14ac:dyDescent="0.25">
      <c r="A168" s="54"/>
      <c r="B168" s="54"/>
      <c r="C168" s="54"/>
      <c r="D168" s="54"/>
      <c r="E168" s="54"/>
      <c r="F168" s="54"/>
      <c r="G168" s="54"/>
      <c r="H168" s="54"/>
      <c r="I168" s="54"/>
      <c r="J168" s="54"/>
      <c r="K168" s="54"/>
      <c r="L168" s="54"/>
      <c r="M168" s="54"/>
      <c r="N168" s="56" t="s">
        <v>164</v>
      </c>
      <c r="O168" s="164">
        <f>SUM(O161:P167)</f>
        <v>67414.61639531143</v>
      </c>
      <c r="P168" s="61"/>
    </row>
    <row r="169" spans="1:20" ht="15" x14ac:dyDescent="0.25">
      <c r="A169" s="54"/>
      <c r="B169" s="54"/>
      <c r="C169" s="54"/>
      <c r="D169" s="54"/>
      <c r="E169" s="54"/>
      <c r="F169" s="54"/>
      <c r="G169" s="54"/>
      <c r="H169" s="54"/>
      <c r="I169" s="54"/>
      <c r="J169" s="54"/>
      <c r="K169" s="54"/>
      <c r="L169" s="54"/>
      <c r="M169" s="61" t="s">
        <v>165</v>
      </c>
      <c r="N169" s="61"/>
      <c r="O169" s="61">
        <v>0.22289999999999999</v>
      </c>
      <c r="P169" s="61"/>
    </row>
    <row r="170" spans="1:20" ht="14.25" customHeight="1" x14ac:dyDescent="0.25">
      <c r="A170" s="54"/>
      <c r="B170" s="54"/>
      <c r="C170" s="54"/>
      <c r="D170" s="54"/>
      <c r="E170" s="54"/>
      <c r="F170" s="54"/>
      <c r="G170" s="54"/>
      <c r="H170" s="54"/>
      <c r="I170" s="54"/>
      <c r="J170" s="54"/>
      <c r="K170" s="54"/>
      <c r="L170" s="54"/>
      <c r="M170" s="54"/>
      <c r="N170" s="56" t="s">
        <v>93</v>
      </c>
      <c r="O170" s="164">
        <f>O168*O169</f>
        <v>15026.717994514916</v>
      </c>
      <c r="P170" s="61"/>
      <c r="R170" s="167"/>
    </row>
    <row r="171" spans="1:20" ht="15.75" thickBot="1" x14ac:dyDescent="0.3">
      <c r="R171" s="167"/>
    </row>
    <row r="172" spans="1:20" ht="15.75" thickBot="1" x14ac:dyDescent="0.3">
      <c r="A172" s="55" t="s">
        <v>122</v>
      </c>
      <c r="B172" s="55" t="s">
        <v>168</v>
      </c>
    </row>
    <row r="173" spans="1:20" ht="15" x14ac:dyDescent="0.25">
      <c r="A173" s="56"/>
      <c r="B173" s="56" t="s">
        <v>77</v>
      </c>
      <c r="C173" s="61" t="s">
        <v>146</v>
      </c>
      <c r="D173" s="61"/>
      <c r="E173" s="61" t="s">
        <v>147</v>
      </c>
      <c r="F173" s="61"/>
      <c r="G173" s="61" t="s">
        <v>148</v>
      </c>
      <c r="H173" s="61"/>
      <c r="I173" s="61" t="s">
        <v>149</v>
      </c>
      <c r="J173" s="61"/>
      <c r="K173" s="61" t="s">
        <v>150</v>
      </c>
      <c r="L173" s="61"/>
      <c r="M173" s="61" t="s">
        <v>169</v>
      </c>
      <c r="N173" s="61"/>
      <c r="O173" s="61" t="s">
        <v>163</v>
      </c>
      <c r="P173" s="61"/>
      <c r="R173" s="61" t="s">
        <v>160</v>
      </c>
      <c r="S173" s="61"/>
      <c r="T173" s="163">
        <f>IRR(K174:L181)</f>
        <v>0.11033365530711481</v>
      </c>
    </row>
    <row r="174" spans="1:20" ht="15" x14ac:dyDescent="0.25">
      <c r="A174" s="56"/>
      <c r="B174" s="56">
        <v>0</v>
      </c>
      <c r="C174" s="164">
        <f>-D111</f>
        <v>-10000000</v>
      </c>
      <c r="D174" s="61"/>
      <c r="E174" s="61" t="s">
        <v>151</v>
      </c>
      <c r="F174" s="61"/>
      <c r="G174" s="61" t="s">
        <v>151</v>
      </c>
      <c r="H174" s="61"/>
      <c r="I174" s="61" t="s">
        <v>151</v>
      </c>
      <c r="J174" s="61"/>
      <c r="K174" s="164">
        <f>C174</f>
        <v>-10000000</v>
      </c>
      <c r="L174" s="61"/>
      <c r="M174" s="61" t="s">
        <v>151</v>
      </c>
      <c r="N174" s="61"/>
      <c r="O174" s="164">
        <f>K174</f>
        <v>-10000000</v>
      </c>
      <c r="P174" s="61"/>
      <c r="R174" s="61" t="s">
        <v>161</v>
      </c>
      <c r="S174" s="61"/>
      <c r="T174" s="61"/>
    </row>
    <row r="175" spans="1:20" ht="15" x14ac:dyDescent="0.25">
      <c r="A175" s="56"/>
      <c r="B175" s="56">
        <v>1</v>
      </c>
      <c r="C175" s="164">
        <f>$D$112-$D$113</f>
        <v>2378705</v>
      </c>
      <c r="D175" s="61"/>
      <c r="E175" s="164">
        <f>$D$111/7/2</f>
        <v>714285.71428571432</v>
      </c>
      <c r="F175" s="61"/>
      <c r="G175" s="164">
        <f>C175-E175</f>
        <v>1664419.2857142857</v>
      </c>
      <c r="H175" s="61"/>
      <c r="I175" s="165">
        <f>G175*$U$157</f>
        <v>364912.2774578571</v>
      </c>
      <c r="J175" s="61"/>
      <c r="K175" s="165">
        <f>C175-I175</f>
        <v>2013792.722542143</v>
      </c>
      <c r="L175" s="61"/>
      <c r="M175" s="61">
        <f>1/(1+0.1)^(B175)</f>
        <v>0.90909090909090906</v>
      </c>
      <c r="N175" s="61"/>
      <c r="O175" s="165">
        <f>K175*M175</f>
        <v>1830720.6568564936</v>
      </c>
      <c r="P175" s="61"/>
    </row>
    <row r="176" spans="1:20" ht="14.25" customHeight="1" x14ac:dyDescent="0.25">
      <c r="A176" s="56"/>
      <c r="B176" s="56">
        <v>2</v>
      </c>
      <c r="C176" s="164">
        <f>$D$112-$D$113</f>
        <v>2378705</v>
      </c>
      <c r="D176" s="61"/>
      <c r="E176" s="164">
        <f>$D$111/7</f>
        <v>1428571.4285714286</v>
      </c>
      <c r="F176" s="61"/>
      <c r="G176" s="164">
        <f>C176-E176</f>
        <v>950133.57142857136</v>
      </c>
      <c r="H176" s="61"/>
      <c r="I176" s="165">
        <f>G176*$U$157</f>
        <v>208310.13460071423</v>
      </c>
      <c r="J176" s="61"/>
      <c r="K176" s="165">
        <f>C176-I176</f>
        <v>2170394.8653992857</v>
      </c>
      <c r="L176" s="61"/>
      <c r="M176" s="61">
        <f>1/(1+0.1)^(B176)</f>
        <v>0.82644628099173545</v>
      </c>
      <c r="N176" s="61"/>
      <c r="O176" s="165">
        <f>K176*M176</f>
        <v>1793714.7647927979</v>
      </c>
      <c r="P176" s="61"/>
    </row>
    <row r="177" spans="1:16" ht="14.25" customHeight="1" x14ac:dyDescent="0.25">
      <c r="A177" s="56"/>
      <c r="B177" s="56">
        <v>3</v>
      </c>
      <c r="C177" s="164">
        <f>$D$112-$D$113</f>
        <v>2378705</v>
      </c>
      <c r="D177" s="61"/>
      <c r="E177" s="164">
        <f>$D$111/7</f>
        <v>1428571.4285714286</v>
      </c>
      <c r="F177" s="61"/>
      <c r="G177" s="164">
        <f>C177-E177</f>
        <v>950133.57142857136</v>
      </c>
      <c r="H177" s="61"/>
      <c r="I177" s="165">
        <f>G177*$U$157</f>
        <v>208310.13460071423</v>
      </c>
      <c r="J177" s="61"/>
      <c r="K177" s="165">
        <f>C177-I177</f>
        <v>2170394.8653992857</v>
      </c>
      <c r="L177" s="61"/>
      <c r="M177" s="61">
        <f>1/(1+0.1)^(B177)</f>
        <v>0.75131480090157754</v>
      </c>
      <c r="N177" s="61"/>
      <c r="O177" s="165">
        <f>K177*M177</f>
        <v>1630649.7861752706</v>
      </c>
      <c r="P177" s="61"/>
    </row>
    <row r="178" spans="1:16" ht="14.25" customHeight="1" x14ac:dyDescent="0.25">
      <c r="A178" s="56"/>
      <c r="B178" s="56">
        <v>4</v>
      </c>
      <c r="C178" s="164">
        <f>$D$112-$D$113</f>
        <v>2378705</v>
      </c>
      <c r="D178" s="61"/>
      <c r="E178" s="164">
        <f>$D$111/7</f>
        <v>1428571.4285714286</v>
      </c>
      <c r="F178" s="61"/>
      <c r="G178" s="164">
        <f>C178-E178</f>
        <v>950133.57142857136</v>
      </c>
      <c r="H178" s="61"/>
      <c r="I178" s="165">
        <f>G178*$U$157</f>
        <v>208310.13460071423</v>
      </c>
      <c r="J178" s="61"/>
      <c r="K178" s="165">
        <f>C178-I178</f>
        <v>2170394.8653992857</v>
      </c>
      <c r="L178" s="61"/>
      <c r="M178" s="61">
        <f>1/(1+0.1)^(B178)</f>
        <v>0.68301345536507052</v>
      </c>
      <c r="N178" s="61"/>
      <c r="O178" s="165">
        <f>K178*M178</f>
        <v>1482408.8965229732</v>
      </c>
      <c r="P178" s="61"/>
    </row>
    <row r="179" spans="1:16" ht="14.25" customHeight="1" x14ac:dyDescent="0.25">
      <c r="A179" s="56"/>
      <c r="B179" s="56">
        <v>5</v>
      </c>
      <c r="C179" s="164">
        <f>$D$112-$D$113</f>
        <v>2378705</v>
      </c>
      <c r="D179" s="61"/>
      <c r="E179" s="164">
        <f>$D$111/7</f>
        <v>1428571.4285714286</v>
      </c>
      <c r="F179" s="61"/>
      <c r="G179" s="164">
        <f>C179-E179</f>
        <v>950133.57142857136</v>
      </c>
      <c r="H179" s="61"/>
      <c r="I179" s="165">
        <f>G179*$U$157</f>
        <v>208310.13460071423</v>
      </c>
      <c r="J179" s="61"/>
      <c r="K179" s="165">
        <f>C179-I179</f>
        <v>2170394.8653992857</v>
      </c>
      <c r="L179" s="61"/>
      <c r="M179" s="61">
        <f>1/(1+0.1)^(B179)</f>
        <v>0.62092132305915493</v>
      </c>
      <c r="N179" s="61"/>
      <c r="O179" s="165">
        <f>K179*M179</f>
        <v>1347644.4513845209</v>
      </c>
      <c r="P179" s="61"/>
    </row>
    <row r="180" spans="1:16" ht="14.25" customHeight="1" x14ac:dyDescent="0.25">
      <c r="A180" s="56"/>
      <c r="B180" s="56">
        <v>6</v>
      </c>
      <c r="C180" s="164">
        <f>$D$112-$D$113</f>
        <v>2378705</v>
      </c>
      <c r="D180" s="61"/>
      <c r="E180" s="164">
        <f>$D$111/7</f>
        <v>1428571.4285714286</v>
      </c>
      <c r="F180" s="61"/>
      <c r="G180" s="164">
        <f>C180-E180</f>
        <v>950133.57142857136</v>
      </c>
      <c r="H180" s="61"/>
      <c r="I180" s="165">
        <f>G180*$U$157</f>
        <v>208310.13460071423</v>
      </c>
      <c r="J180" s="61"/>
      <c r="K180" s="165">
        <f>C180-I180</f>
        <v>2170394.8653992857</v>
      </c>
      <c r="L180" s="61"/>
      <c r="M180" s="61">
        <f>1/(1+0.1)^(B180)</f>
        <v>0.56447393005377722</v>
      </c>
      <c r="N180" s="61"/>
      <c r="O180" s="165">
        <f>K180*M180</f>
        <v>1225131.3194404736</v>
      </c>
      <c r="P180" s="61"/>
    </row>
    <row r="181" spans="1:16" ht="14.25" customHeight="1" x14ac:dyDescent="0.25">
      <c r="A181" s="56"/>
      <c r="B181" s="56">
        <v>7</v>
      </c>
      <c r="C181" s="164">
        <f>$D$112-$D$113</f>
        <v>2378705</v>
      </c>
      <c r="D181" s="61"/>
      <c r="E181" s="164">
        <f>$D$111/7/2</f>
        <v>714285.71428571432</v>
      </c>
      <c r="F181" s="61"/>
      <c r="G181" s="164">
        <f>C181-E181</f>
        <v>1664419.2857142857</v>
      </c>
      <c r="H181" s="61"/>
      <c r="I181" s="165">
        <f>G181*$U$157</f>
        <v>364912.2774578571</v>
      </c>
      <c r="J181" s="61"/>
      <c r="K181" s="165">
        <f>C181-I181</f>
        <v>2013792.722542143</v>
      </c>
      <c r="L181" s="61"/>
      <c r="M181" s="61">
        <f>1/(1+0.1)^(B181)</f>
        <v>0.51315811823070645</v>
      </c>
      <c r="N181" s="61"/>
      <c r="O181" s="165">
        <f>K181*M181</f>
        <v>1033394.0840064172</v>
      </c>
      <c r="P181" s="61"/>
    </row>
    <row r="182" spans="1:16" ht="14.25" customHeight="1" x14ac:dyDescent="0.25">
      <c r="A182" s="56"/>
      <c r="B182" s="56"/>
      <c r="C182" s="56"/>
      <c r="D182" s="56"/>
      <c r="E182" s="56"/>
      <c r="F182" s="56"/>
      <c r="G182" s="56"/>
      <c r="H182" s="56"/>
      <c r="I182" s="56"/>
      <c r="J182" s="56"/>
      <c r="K182" s="56"/>
      <c r="L182" s="56"/>
      <c r="M182" s="56"/>
      <c r="N182" s="56" t="s">
        <v>164</v>
      </c>
      <c r="O182" s="164">
        <f>SUM(O174:P181)</f>
        <v>343663.95917894749</v>
      </c>
      <c r="P182" s="61"/>
    </row>
    <row r="183" spans="1:16" ht="14.25" customHeight="1" x14ac:dyDescent="0.25">
      <c r="A183" s="56"/>
      <c r="B183" s="56"/>
      <c r="C183" s="56"/>
      <c r="D183" s="56"/>
      <c r="E183" s="56"/>
      <c r="F183" s="56"/>
      <c r="G183" s="56"/>
      <c r="H183" s="56"/>
      <c r="I183" s="56"/>
      <c r="J183" s="56"/>
      <c r="K183" s="56"/>
      <c r="L183" s="56"/>
      <c r="M183" s="61" t="s">
        <v>170</v>
      </c>
      <c r="N183" s="61"/>
      <c r="O183" s="61">
        <v>0.2054</v>
      </c>
      <c r="P183" s="61"/>
    </row>
    <row r="184" spans="1:16" ht="15" x14ac:dyDescent="0.25">
      <c r="A184" s="56"/>
      <c r="B184" s="56"/>
      <c r="C184" s="56"/>
      <c r="D184" s="56"/>
      <c r="E184" s="56"/>
      <c r="F184" s="56"/>
      <c r="G184" s="56"/>
      <c r="H184" s="56"/>
      <c r="I184" s="56"/>
      <c r="J184" s="56"/>
      <c r="K184" s="56"/>
      <c r="L184" s="56"/>
      <c r="M184" s="56"/>
      <c r="N184" s="56" t="s">
        <v>93</v>
      </c>
      <c r="O184" s="172">
        <f>O182*O183</f>
        <v>70588.577215355821</v>
      </c>
      <c r="P184" s="173"/>
    </row>
    <row r="185" spans="1:16" ht="15" x14ac:dyDescent="0.25"/>
    <row r="186" spans="1:16" ht="15.75" thickBot="1" x14ac:dyDescent="0.3"/>
    <row r="187" spans="1:16" ht="15.75" thickBot="1" x14ac:dyDescent="0.3">
      <c r="D187" s="130" t="s">
        <v>171</v>
      </c>
      <c r="E187" s="131"/>
      <c r="F187" s="131"/>
      <c r="G187" s="131"/>
      <c r="H187" s="132"/>
    </row>
    <row r="188" spans="1:16" ht="15" x14ac:dyDescent="0.25"/>
    <row r="189" spans="1:16" ht="15.75" thickBot="1" x14ac:dyDescent="0.3"/>
    <row r="190" spans="1:16" ht="15.75" thickBot="1" x14ac:dyDescent="0.3">
      <c r="A190" s="55" t="s">
        <v>130</v>
      </c>
      <c r="B190" s="58" t="s">
        <v>166</v>
      </c>
      <c r="C190" s="59"/>
      <c r="D190" s="59"/>
      <c r="E190" s="59"/>
      <c r="F190" s="59"/>
      <c r="G190" s="59"/>
      <c r="H190" s="59"/>
      <c r="I190" s="59"/>
      <c r="J190" s="59"/>
      <c r="K190" s="59"/>
      <c r="L190" s="59"/>
      <c r="M190" s="59"/>
      <c r="N190" s="60"/>
    </row>
    <row r="191" spans="1:16" ht="15.75" thickBot="1" x14ac:dyDescent="0.3"/>
    <row r="192" spans="1:16" ht="15.75" thickBot="1" x14ac:dyDescent="0.3">
      <c r="A192" s="55" t="s">
        <v>172</v>
      </c>
      <c r="B192" s="168" t="s">
        <v>173</v>
      </c>
    </row>
    <row r="193" spans="1:20" ht="14.25" customHeight="1" x14ac:dyDescent="0.25">
      <c r="A193" s="56" t="s">
        <v>77</v>
      </c>
      <c r="B193" s="56" t="s">
        <v>145</v>
      </c>
      <c r="C193" s="61" t="s">
        <v>146</v>
      </c>
      <c r="D193" s="61"/>
      <c r="E193" s="61" t="s">
        <v>147</v>
      </c>
      <c r="F193" s="61"/>
      <c r="G193" s="61" t="s">
        <v>148</v>
      </c>
      <c r="H193" s="61"/>
      <c r="I193" s="61" t="s">
        <v>149</v>
      </c>
      <c r="J193" s="61"/>
      <c r="K193" s="61" t="s">
        <v>150</v>
      </c>
      <c r="L193" s="61"/>
      <c r="M193" s="61" t="s">
        <v>162</v>
      </c>
      <c r="N193" s="61"/>
      <c r="O193" s="61" t="s">
        <v>163</v>
      </c>
      <c r="P193" s="61"/>
      <c r="R193" s="61" t="s">
        <v>160</v>
      </c>
      <c r="S193" s="61"/>
      <c r="T193" s="163">
        <f>IRR(K194:L200)</f>
        <v>9.3361024787381508E-2</v>
      </c>
    </row>
    <row r="194" spans="1:20" ht="14.25" customHeight="1" x14ac:dyDescent="0.25">
      <c r="A194" s="56">
        <v>0</v>
      </c>
      <c r="B194" s="56" t="s">
        <v>151</v>
      </c>
      <c r="C194" s="164">
        <f>-D151</f>
        <v>-10145398</v>
      </c>
      <c r="D194" s="61"/>
      <c r="E194" s="61" t="s">
        <v>151</v>
      </c>
      <c r="F194" s="61"/>
      <c r="G194" s="61" t="s">
        <v>151</v>
      </c>
      <c r="H194" s="61"/>
      <c r="I194" s="61" t="s">
        <v>151</v>
      </c>
      <c r="J194" s="61"/>
      <c r="K194" s="164">
        <f>C194</f>
        <v>-10145398</v>
      </c>
      <c r="L194" s="61"/>
      <c r="M194" s="61" t="s">
        <v>151</v>
      </c>
      <c r="N194" s="61"/>
      <c r="O194" s="164">
        <f>K194</f>
        <v>-10145398</v>
      </c>
      <c r="P194" s="61"/>
      <c r="R194" s="61" t="s">
        <v>161</v>
      </c>
      <c r="S194" s="61"/>
      <c r="T194" s="61"/>
    </row>
    <row r="195" spans="1:20" ht="14.25" customHeight="1" x14ac:dyDescent="0.25">
      <c r="A195" s="56">
        <v>1</v>
      </c>
      <c r="B195" s="56">
        <v>0.2</v>
      </c>
      <c r="C195" s="164">
        <f>$D$152-$D$153</f>
        <v>2421875</v>
      </c>
      <c r="D195" s="61"/>
      <c r="E195" s="164">
        <f>$D$151*B195</f>
        <v>2029079.6</v>
      </c>
      <c r="F195" s="61"/>
      <c r="G195" s="164">
        <f>C195-E195</f>
        <v>392795.39999999991</v>
      </c>
      <c r="H195" s="61"/>
      <c r="I195" s="165">
        <f>G195*$U$157</f>
        <v>86117.641882199969</v>
      </c>
      <c r="J195" s="61"/>
      <c r="K195" s="165">
        <f>C195-I195</f>
        <v>2335757.3581178002</v>
      </c>
      <c r="L195" s="61"/>
      <c r="M195" s="61">
        <f>1/(1.09)^(A195)</f>
        <v>0.9174311926605504</v>
      </c>
      <c r="N195" s="61"/>
      <c r="O195" s="165">
        <f>K195*M195</f>
        <v>2142896.6588236699</v>
      </c>
      <c r="P195" s="61"/>
    </row>
    <row r="196" spans="1:20" ht="14.25" customHeight="1" x14ac:dyDescent="0.25">
      <c r="A196" s="56">
        <v>2</v>
      </c>
      <c r="B196" s="56">
        <v>0.32</v>
      </c>
      <c r="C196" s="164">
        <f>$D$152-$D$153</f>
        <v>2421875</v>
      </c>
      <c r="D196" s="61"/>
      <c r="E196" s="164">
        <f>$D$151*B196</f>
        <v>3246527.36</v>
      </c>
      <c r="F196" s="61"/>
      <c r="G196" s="164">
        <f>C196-E196</f>
        <v>-824652.35999999987</v>
      </c>
      <c r="H196" s="61"/>
      <c r="I196" s="165">
        <f>G196*$U$157</f>
        <v>-180799.25736347993</v>
      </c>
      <c r="J196" s="61"/>
      <c r="K196" s="165">
        <f>C196-I196</f>
        <v>2602674.2573634801</v>
      </c>
      <c r="L196" s="61"/>
      <c r="M196" s="61">
        <f>1/(1.09)^(A196)</f>
        <v>0.84167999326655996</v>
      </c>
      <c r="N196" s="61"/>
      <c r="O196" s="165">
        <f>K196*M196</f>
        <v>2190618.8514127429</v>
      </c>
      <c r="P196" s="61"/>
    </row>
    <row r="197" spans="1:20" ht="14.25" customHeight="1" x14ac:dyDescent="0.25">
      <c r="A197" s="56">
        <v>3</v>
      </c>
      <c r="B197" s="56">
        <v>0.192</v>
      </c>
      <c r="C197" s="164">
        <f>$D$152-$D$153</f>
        <v>2421875</v>
      </c>
      <c r="D197" s="61"/>
      <c r="E197" s="164">
        <f>$D$151*B197</f>
        <v>1947916.416</v>
      </c>
      <c r="F197" s="61"/>
      <c r="G197" s="164">
        <f>C197-E197</f>
        <v>473958.58400000003</v>
      </c>
      <c r="H197" s="61"/>
      <c r="I197" s="165">
        <f>G197*$U$157</f>
        <v>103912.10183191199</v>
      </c>
      <c r="J197" s="61"/>
      <c r="K197" s="165">
        <f>C197-I197</f>
        <v>2317962.8981680879</v>
      </c>
      <c r="L197" s="61"/>
      <c r="M197" s="61">
        <f>1/(1.09)^(A197)</f>
        <v>0.77218348006106419</v>
      </c>
      <c r="N197" s="61"/>
      <c r="O197" s="165">
        <f>K197*M197</f>
        <v>1789892.6573598643</v>
      </c>
      <c r="P197" s="61"/>
    </row>
    <row r="198" spans="1:20" ht="14.25" customHeight="1" x14ac:dyDescent="0.25">
      <c r="A198" s="56">
        <v>4</v>
      </c>
      <c r="B198" s="56">
        <v>0.1152</v>
      </c>
      <c r="C198" s="164">
        <f>$D$152-$D$153</f>
        <v>2421875</v>
      </c>
      <c r="D198" s="61"/>
      <c r="E198" s="164">
        <f>$D$151*B198</f>
        <v>1168749.8496000001</v>
      </c>
      <c r="F198" s="61"/>
      <c r="G198" s="164">
        <f>C198-E198</f>
        <v>1253125.1503999999</v>
      </c>
      <c r="H198" s="61"/>
      <c r="I198" s="165">
        <f>G198*$U$157</f>
        <v>274738.91734914714</v>
      </c>
      <c r="J198" s="61"/>
      <c r="K198" s="165">
        <f>C198-I198</f>
        <v>2147136.0826508529</v>
      </c>
      <c r="L198" s="61"/>
      <c r="M198" s="61">
        <f>1/(1.09)^(A198)</f>
        <v>0.7084252110651964</v>
      </c>
      <c r="N198" s="61"/>
      <c r="O198" s="165">
        <f>K198*M198</f>
        <v>1521085.3325376294</v>
      </c>
      <c r="P198" s="61"/>
    </row>
    <row r="199" spans="1:20" ht="14.25" customHeight="1" x14ac:dyDescent="0.25">
      <c r="A199" s="56">
        <v>5</v>
      </c>
      <c r="B199" s="56">
        <v>0.1152</v>
      </c>
      <c r="C199" s="164">
        <f>$D$152-$D$153</f>
        <v>2421875</v>
      </c>
      <c r="D199" s="61"/>
      <c r="E199" s="164">
        <f>$D$151*B199</f>
        <v>1168749.8496000001</v>
      </c>
      <c r="F199" s="61"/>
      <c r="G199" s="164">
        <f>C199-E199</f>
        <v>1253125.1503999999</v>
      </c>
      <c r="H199" s="61"/>
      <c r="I199" s="165">
        <f>G199*$U$157</f>
        <v>274738.91734914714</v>
      </c>
      <c r="J199" s="61"/>
      <c r="K199" s="165">
        <f>C199-I199</f>
        <v>2147136.0826508529</v>
      </c>
      <c r="L199" s="61"/>
      <c r="M199" s="61">
        <f>1/(1.09)^(A199)</f>
        <v>0.64993138629834524</v>
      </c>
      <c r="N199" s="61"/>
      <c r="O199" s="165">
        <f>K199*M199</f>
        <v>1395491.1307684672</v>
      </c>
      <c r="P199" s="61"/>
    </row>
    <row r="200" spans="1:20" ht="14.25" customHeight="1" x14ac:dyDescent="0.25">
      <c r="A200" s="56">
        <v>6</v>
      </c>
      <c r="B200" s="56">
        <v>5.7599999999999998E-2</v>
      </c>
      <c r="C200" s="164">
        <f>$D$152-$D$153</f>
        <v>2421875</v>
      </c>
      <c r="D200" s="61"/>
      <c r="E200" s="164">
        <f>$D$151*B200</f>
        <v>584374.92480000004</v>
      </c>
      <c r="F200" s="61"/>
      <c r="G200" s="164">
        <f>C200-E200</f>
        <v>1837500.0751999998</v>
      </c>
      <c r="H200" s="61"/>
      <c r="I200" s="165">
        <f>G200*$U$157</f>
        <v>402859.02898707351</v>
      </c>
      <c r="J200" s="61"/>
      <c r="K200" s="165">
        <f>C200-I200</f>
        <v>2019015.9710129264</v>
      </c>
      <c r="L200" s="61"/>
      <c r="M200" s="61">
        <f>1/(1.09)^(A200)</f>
        <v>0.5962673268792158</v>
      </c>
      <c r="N200" s="61"/>
      <c r="O200" s="165">
        <f>K200*M200</f>
        <v>1203873.255962322</v>
      </c>
      <c r="P200" s="61"/>
    </row>
    <row r="201" spans="1:20" ht="14.25" customHeight="1" x14ac:dyDescent="0.25">
      <c r="A201" s="54"/>
      <c r="B201" s="54"/>
      <c r="C201" s="54"/>
      <c r="D201" s="54"/>
      <c r="E201" s="54"/>
      <c r="F201" s="54"/>
      <c r="G201" s="54"/>
      <c r="H201" s="54"/>
      <c r="I201" s="54"/>
      <c r="J201" s="54"/>
      <c r="K201" s="54"/>
      <c r="L201" s="54"/>
      <c r="M201" s="54"/>
      <c r="N201" s="56" t="s">
        <v>164</v>
      </c>
      <c r="O201" s="164">
        <f>SUM(O194:P200)</f>
        <v>98459.886864695698</v>
      </c>
      <c r="P201" s="61"/>
    </row>
    <row r="202" spans="1:20" ht="14.25" customHeight="1" x14ac:dyDescent="0.25">
      <c r="A202" s="54"/>
      <c r="B202" s="54"/>
      <c r="C202" s="54"/>
      <c r="D202" s="54"/>
      <c r="E202" s="54"/>
      <c r="F202" s="54"/>
      <c r="G202" s="54"/>
      <c r="H202" s="54"/>
      <c r="I202" s="54"/>
      <c r="J202" s="54"/>
      <c r="K202" s="54"/>
      <c r="L202" s="54"/>
      <c r="M202" s="61" t="s">
        <v>165</v>
      </c>
      <c r="N202" s="61"/>
      <c r="O202" s="61">
        <v>0.22289999999999999</v>
      </c>
      <c r="P202" s="61"/>
    </row>
    <row r="203" spans="1:20" ht="14.25" customHeight="1" x14ac:dyDescent="0.25">
      <c r="A203" s="54"/>
      <c r="B203" s="54"/>
      <c r="C203" s="54"/>
      <c r="D203" s="54"/>
      <c r="E203" s="54"/>
      <c r="F203" s="54"/>
      <c r="G203" s="54"/>
      <c r="H203" s="54"/>
      <c r="I203" s="54"/>
      <c r="J203" s="54"/>
      <c r="K203" s="54"/>
      <c r="L203" s="54"/>
      <c r="M203" s="54"/>
      <c r="N203" s="56" t="s">
        <v>93</v>
      </c>
      <c r="O203" s="174">
        <f>O201*O202</f>
        <v>21946.708782140671</v>
      </c>
      <c r="P203" s="175"/>
    </row>
    <row r="204" spans="1:20" ht="15.75" thickBot="1" x14ac:dyDescent="0.3"/>
    <row r="205" spans="1:20" ht="15.75" thickBot="1" x14ac:dyDescent="0.3">
      <c r="A205" s="55" t="s">
        <v>136</v>
      </c>
      <c r="B205" s="55" t="s">
        <v>175</v>
      </c>
    </row>
    <row r="206" spans="1:20" ht="14.25" customHeight="1" x14ac:dyDescent="0.25">
      <c r="A206" s="56"/>
      <c r="B206" s="56" t="s">
        <v>77</v>
      </c>
      <c r="C206" s="61" t="s">
        <v>146</v>
      </c>
      <c r="D206" s="61"/>
      <c r="E206" s="61" t="s">
        <v>147</v>
      </c>
      <c r="F206" s="61"/>
      <c r="G206" s="61" t="s">
        <v>148</v>
      </c>
      <c r="H206" s="61"/>
      <c r="I206" s="61" t="s">
        <v>149</v>
      </c>
      <c r="J206" s="61"/>
      <c r="K206" s="61" t="s">
        <v>150</v>
      </c>
      <c r="L206" s="61"/>
      <c r="M206" s="61" t="s">
        <v>176</v>
      </c>
      <c r="N206" s="61"/>
      <c r="O206" s="61" t="s">
        <v>163</v>
      </c>
      <c r="P206" s="61"/>
      <c r="R206" s="61" t="s">
        <v>160</v>
      </c>
      <c r="S206" s="61"/>
      <c r="T206" s="163">
        <f>IRR(K207:L213)</f>
        <v>8.0691345267974945E-2</v>
      </c>
    </row>
    <row r="207" spans="1:20" ht="14.25" customHeight="1" x14ac:dyDescent="0.25">
      <c r="A207" s="56"/>
      <c r="B207" s="56">
        <v>0</v>
      </c>
      <c r="C207" s="164">
        <f>-$D$151</f>
        <v>-10145398</v>
      </c>
      <c r="D207" s="61"/>
      <c r="E207" s="61" t="s">
        <v>151</v>
      </c>
      <c r="F207" s="61"/>
      <c r="G207" s="61" t="s">
        <v>151</v>
      </c>
      <c r="H207" s="61"/>
      <c r="I207" s="61" t="s">
        <v>151</v>
      </c>
      <c r="J207" s="61"/>
      <c r="K207" s="164">
        <f>C207</f>
        <v>-10145398</v>
      </c>
      <c r="L207" s="61"/>
      <c r="M207" s="169" t="s">
        <v>151</v>
      </c>
      <c r="N207" s="169"/>
      <c r="O207" s="164">
        <f>K207</f>
        <v>-10145398</v>
      </c>
      <c r="P207" s="61"/>
      <c r="R207" s="61" t="s">
        <v>161</v>
      </c>
      <c r="S207" s="61"/>
      <c r="T207" s="61"/>
    </row>
    <row r="208" spans="1:20" ht="14.25" customHeight="1" x14ac:dyDescent="0.25">
      <c r="A208" s="56"/>
      <c r="B208" s="56">
        <v>1</v>
      </c>
      <c r="C208" s="164">
        <f>$D$152-$D$153</f>
        <v>2421875</v>
      </c>
      <c r="D208" s="61"/>
      <c r="E208" s="164">
        <f>$D$151/6/2</f>
        <v>845449.83333333337</v>
      </c>
      <c r="F208" s="61"/>
      <c r="G208" s="164">
        <f>C208-E208</f>
        <v>1576425.1666666665</v>
      </c>
      <c r="H208" s="61"/>
      <c r="I208" s="170">
        <f>G208*$U$157</f>
        <v>345620.18281549989</v>
      </c>
      <c r="J208" s="170"/>
      <c r="K208" s="165">
        <f>C208-I208</f>
        <v>2076254.8171845002</v>
      </c>
      <c r="L208" s="61"/>
      <c r="M208" s="171">
        <f>1/(1+0.08)^(B208)</f>
        <v>0.92592592592592582</v>
      </c>
      <c r="N208" s="171"/>
      <c r="O208" s="165">
        <f>K208*M208</f>
        <v>1922458.1640597221</v>
      </c>
      <c r="P208" s="165"/>
    </row>
    <row r="209" spans="1:16" ht="14.25" customHeight="1" x14ac:dyDescent="0.25">
      <c r="A209" s="56"/>
      <c r="B209" s="56">
        <v>2</v>
      </c>
      <c r="C209" s="164">
        <f>$D$152-$D$153</f>
        <v>2421875</v>
      </c>
      <c r="D209" s="61"/>
      <c r="E209" s="164">
        <f>$D$151/6</f>
        <v>1690899.6666666667</v>
      </c>
      <c r="F209" s="61"/>
      <c r="G209" s="164">
        <f>C209-E209</f>
        <v>730975.33333333326</v>
      </c>
      <c r="H209" s="61"/>
      <c r="I209" s="170">
        <f>G209*$U$157</f>
        <v>160261.22500599996</v>
      </c>
      <c r="J209" s="170"/>
      <c r="K209" s="165">
        <f>C209-I209</f>
        <v>2261613.7749939999</v>
      </c>
      <c r="L209" s="61"/>
      <c r="M209" s="171">
        <f>1/(1+0.08)^(B209)</f>
        <v>0.85733882030178321</v>
      </c>
      <c r="N209" s="171"/>
      <c r="O209" s="165">
        <f>K209*M209</f>
        <v>1938969.2858316184</v>
      </c>
      <c r="P209" s="165"/>
    </row>
    <row r="210" spans="1:16" ht="14.25" customHeight="1" x14ac:dyDescent="0.25">
      <c r="A210" s="56"/>
      <c r="B210" s="56">
        <v>3</v>
      </c>
      <c r="C210" s="164">
        <f>$D$152-$D$153</f>
        <v>2421875</v>
      </c>
      <c r="D210" s="61"/>
      <c r="E210" s="164">
        <f>$D$151/6</f>
        <v>1690899.6666666667</v>
      </c>
      <c r="F210" s="61"/>
      <c r="G210" s="164">
        <f>C210-E210</f>
        <v>730975.33333333326</v>
      </c>
      <c r="H210" s="61"/>
      <c r="I210" s="170">
        <f>G210*$U$157</f>
        <v>160261.22500599996</v>
      </c>
      <c r="J210" s="170"/>
      <c r="K210" s="165">
        <f>C210-I210</f>
        <v>2261613.7749939999</v>
      </c>
      <c r="L210" s="61"/>
      <c r="M210" s="171">
        <f>1/(1+0.08)^(B210)</f>
        <v>0.79383224102016958</v>
      </c>
      <c r="N210" s="171"/>
      <c r="O210" s="165">
        <f>K210*M210</f>
        <v>1795341.9313255725</v>
      </c>
      <c r="P210" s="165"/>
    </row>
    <row r="211" spans="1:16" ht="14.25" customHeight="1" x14ac:dyDescent="0.25">
      <c r="A211" s="56"/>
      <c r="B211" s="56">
        <v>4</v>
      </c>
      <c r="C211" s="164">
        <f>$D$152-$D$153</f>
        <v>2421875</v>
      </c>
      <c r="D211" s="61"/>
      <c r="E211" s="164">
        <f>$D$151/6</f>
        <v>1690899.6666666667</v>
      </c>
      <c r="F211" s="61"/>
      <c r="G211" s="164">
        <f>C211-E211</f>
        <v>730975.33333333326</v>
      </c>
      <c r="H211" s="61"/>
      <c r="I211" s="170">
        <f>G211*$U$157</f>
        <v>160261.22500599996</v>
      </c>
      <c r="J211" s="170"/>
      <c r="K211" s="165">
        <f>C211-I211</f>
        <v>2261613.7749939999</v>
      </c>
      <c r="L211" s="61"/>
      <c r="M211" s="171">
        <f>1/(1+0.08)^(B211)</f>
        <v>0.73502985279645328</v>
      </c>
      <c r="N211" s="171"/>
      <c r="O211" s="165">
        <f>K211*M211</f>
        <v>1662353.6401162706</v>
      </c>
      <c r="P211" s="165"/>
    </row>
    <row r="212" spans="1:16" ht="14.25" customHeight="1" x14ac:dyDescent="0.25">
      <c r="A212" s="56"/>
      <c r="B212" s="56">
        <v>5</v>
      </c>
      <c r="C212" s="164">
        <f>$D$152-$D$153</f>
        <v>2421875</v>
      </c>
      <c r="D212" s="61"/>
      <c r="E212" s="164">
        <f>$D$151/6</f>
        <v>1690899.6666666667</v>
      </c>
      <c r="F212" s="61"/>
      <c r="G212" s="164">
        <f>C212-E212</f>
        <v>730975.33333333326</v>
      </c>
      <c r="H212" s="61"/>
      <c r="I212" s="170">
        <f>G212*$U$157</f>
        <v>160261.22500599996</v>
      </c>
      <c r="J212" s="170"/>
      <c r="K212" s="165">
        <f>C212-I212</f>
        <v>2261613.7749939999</v>
      </c>
      <c r="L212" s="61"/>
      <c r="M212" s="171">
        <f>1/(1+0.08)^(B212)</f>
        <v>0.68058319703375303</v>
      </c>
      <c r="N212" s="171"/>
      <c r="O212" s="165">
        <f>K212*M212</f>
        <v>1539216.3334409914</v>
      </c>
      <c r="P212" s="165"/>
    </row>
    <row r="213" spans="1:16" ht="14.25" customHeight="1" x14ac:dyDescent="0.25">
      <c r="A213" s="56"/>
      <c r="B213" s="56">
        <v>6</v>
      </c>
      <c r="C213" s="164">
        <f>$D$152-$D$153</f>
        <v>2421875</v>
      </c>
      <c r="D213" s="61"/>
      <c r="E213" s="164">
        <f>$D$151/6/2</f>
        <v>845449.83333333337</v>
      </c>
      <c r="F213" s="61"/>
      <c r="G213" s="164">
        <f>C213-E213</f>
        <v>1576425.1666666665</v>
      </c>
      <c r="H213" s="61"/>
      <c r="I213" s="170">
        <f>G213*$U$157</f>
        <v>345620.18281549989</v>
      </c>
      <c r="J213" s="170"/>
      <c r="K213" s="165">
        <f>C213-I213</f>
        <v>2076254.8171845002</v>
      </c>
      <c r="L213" s="61"/>
      <c r="M213" s="171">
        <f>1/(1+0.08)^(B213)</f>
        <v>0.63016962688310452</v>
      </c>
      <c r="N213" s="171"/>
      <c r="O213" s="165">
        <f>K213*M213</f>
        <v>1308392.7234594049</v>
      </c>
      <c r="P213" s="165"/>
    </row>
    <row r="214" spans="1:16" ht="14.25" customHeight="1" x14ac:dyDescent="0.25">
      <c r="A214" s="54"/>
      <c r="B214" s="54"/>
      <c r="C214" s="54"/>
      <c r="D214" s="54"/>
      <c r="E214" s="54"/>
      <c r="F214" s="54"/>
      <c r="G214" s="54"/>
      <c r="H214" s="54"/>
      <c r="I214" s="54"/>
      <c r="J214" s="54"/>
      <c r="K214" s="54"/>
      <c r="L214" s="54"/>
      <c r="M214" s="54"/>
      <c r="N214" s="56" t="s">
        <v>164</v>
      </c>
      <c r="O214" s="164">
        <f>SUM(O207:P213)</f>
        <v>21334.078233579407</v>
      </c>
      <c r="P214" s="61"/>
    </row>
    <row r="215" spans="1:16" ht="14.25" customHeight="1" x14ac:dyDescent="0.25">
      <c r="A215" s="54"/>
      <c r="B215" s="54"/>
      <c r="C215" s="54"/>
      <c r="D215" s="54"/>
      <c r="E215" s="54"/>
      <c r="F215" s="54"/>
      <c r="G215" s="54"/>
      <c r="H215" s="54"/>
      <c r="I215" s="54"/>
      <c r="J215" s="54"/>
      <c r="K215" s="54"/>
      <c r="L215" s="54"/>
      <c r="M215" s="61" t="s">
        <v>177</v>
      </c>
      <c r="N215" s="61"/>
      <c r="O215" s="61">
        <v>0.21629999999999999</v>
      </c>
      <c r="P215" s="61"/>
    </row>
    <row r="216" spans="1:16" ht="14.25" customHeight="1" x14ac:dyDescent="0.25">
      <c r="A216" s="54"/>
      <c r="B216" s="54"/>
      <c r="C216" s="54"/>
      <c r="D216" s="54"/>
      <c r="E216" s="54"/>
      <c r="F216" s="54"/>
      <c r="G216" s="54"/>
      <c r="H216" s="54"/>
      <c r="I216" s="54"/>
      <c r="J216" s="54"/>
      <c r="K216" s="54"/>
      <c r="L216" s="54"/>
      <c r="M216" s="54"/>
      <c r="N216" s="56" t="s">
        <v>93</v>
      </c>
      <c r="O216" s="164">
        <f>O214*O215</f>
        <v>4614.5611219232251</v>
      </c>
      <c r="P216" s="61"/>
    </row>
    <row r="217" spans="1:16" ht="15" x14ac:dyDescent="0.25"/>
    <row r="218" spans="1:16" ht="15.75" thickBot="1" x14ac:dyDescent="0.3"/>
    <row r="219" spans="1:16" ht="15.75" thickBot="1" x14ac:dyDescent="0.3">
      <c r="D219" s="130" t="s">
        <v>178</v>
      </c>
      <c r="E219" s="131"/>
      <c r="F219" s="131"/>
      <c r="G219" s="131"/>
      <c r="H219" s="132"/>
    </row>
    <row r="220" spans="1:16" ht="15" x14ac:dyDescent="0.25"/>
  </sheetData>
  <mergeCells count="543">
    <mergeCell ref="M215:N215"/>
    <mergeCell ref="O214:P214"/>
    <mergeCell ref="O215:P215"/>
    <mergeCell ref="O216:P216"/>
    <mergeCell ref="D219:H219"/>
    <mergeCell ref="K208:L208"/>
    <mergeCell ref="K209:L209"/>
    <mergeCell ref="K210:L210"/>
    <mergeCell ref="K211:L211"/>
    <mergeCell ref="K212:L212"/>
    <mergeCell ref="K213:L213"/>
    <mergeCell ref="R206:S206"/>
    <mergeCell ref="R207:T207"/>
    <mergeCell ref="M207:N207"/>
    <mergeCell ref="M208:N208"/>
    <mergeCell ref="M209:N209"/>
    <mergeCell ref="M210:N210"/>
    <mergeCell ref="M211:N211"/>
    <mergeCell ref="M212:N212"/>
    <mergeCell ref="M213:N213"/>
    <mergeCell ref="O207:P207"/>
    <mergeCell ref="O208:P208"/>
    <mergeCell ref="O209:P209"/>
    <mergeCell ref="O210:P210"/>
    <mergeCell ref="O211:P211"/>
    <mergeCell ref="O212:P212"/>
    <mergeCell ref="O213:P213"/>
    <mergeCell ref="G208:H208"/>
    <mergeCell ref="G209:H209"/>
    <mergeCell ref="G210:H210"/>
    <mergeCell ref="G211:H211"/>
    <mergeCell ref="G212:H212"/>
    <mergeCell ref="G213:H213"/>
    <mergeCell ref="I207:J207"/>
    <mergeCell ref="I208:J208"/>
    <mergeCell ref="I209:J209"/>
    <mergeCell ref="I210:J210"/>
    <mergeCell ref="I211:J211"/>
    <mergeCell ref="I212:J212"/>
    <mergeCell ref="I213:J213"/>
    <mergeCell ref="C208:D208"/>
    <mergeCell ref="C209:D209"/>
    <mergeCell ref="C210:D210"/>
    <mergeCell ref="C211:D211"/>
    <mergeCell ref="C212:D212"/>
    <mergeCell ref="C213:D213"/>
    <mergeCell ref="E208:F208"/>
    <mergeCell ref="E209:F209"/>
    <mergeCell ref="E210:F210"/>
    <mergeCell ref="E211:F211"/>
    <mergeCell ref="E212:F212"/>
    <mergeCell ref="E213:F213"/>
    <mergeCell ref="O203:P203"/>
    <mergeCell ref="C206:D206"/>
    <mergeCell ref="E206:F206"/>
    <mergeCell ref="G206:H206"/>
    <mergeCell ref="I206:J206"/>
    <mergeCell ref="K206:L206"/>
    <mergeCell ref="M206:N206"/>
    <mergeCell ref="O206:P206"/>
    <mergeCell ref="C207:D207"/>
    <mergeCell ref="E207:F207"/>
    <mergeCell ref="G207:H207"/>
    <mergeCell ref="K207:L207"/>
    <mergeCell ref="M202:N202"/>
    <mergeCell ref="O194:P194"/>
    <mergeCell ref="O195:P195"/>
    <mergeCell ref="O196:P196"/>
    <mergeCell ref="O197:P197"/>
    <mergeCell ref="O198:P198"/>
    <mergeCell ref="O199:P199"/>
    <mergeCell ref="O200:P200"/>
    <mergeCell ref="O201:P201"/>
    <mergeCell ref="O202:P202"/>
    <mergeCell ref="K194:L194"/>
    <mergeCell ref="K195:L195"/>
    <mergeCell ref="K196:L196"/>
    <mergeCell ref="K197:L197"/>
    <mergeCell ref="K198:L198"/>
    <mergeCell ref="K199:L199"/>
    <mergeCell ref="K200:L200"/>
    <mergeCell ref="R193:S193"/>
    <mergeCell ref="R194:T194"/>
    <mergeCell ref="M194:N194"/>
    <mergeCell ref="M195:N195"/>
    <mergeCell ref="M196:N196"/>
    <mergeCell ref="M197:N197"/>
    <mergeCell ref="M198:N198"/>
    <mergeCell ref="M199:N199"/>
    <mergeCell ref="M200:N200"/>
    <mergeCell ref="G194:H194"/>
    <mergeCell ref="G195:H195"/>
    <mergeCell ref="G196:H196"/>
    <mergeCell ref="G197:H197"/>
    <mergeCell ref="G198:H198"/>
    <mergeCell ref="G199:H199"/>
    <mergeCell ref="G200:H200"/>
    <mergeCell ref="I194:J194"/>
    <mergeCell ref="I195:J195"/>
    <mergeCell ref="I196:J196"/>
    <mergeCell ref="I197:J197"/>
    <mergeCell ref="I198:J198"/>
    <mergeCell ref="I199:J199"/>
    <mergeCell ref="I200:J200"/>
    <mergeCell ref="C194:D194"/>
    <mergeCell ref="C195:D195"/>
    <mergeCell ref="C196:D196"/>
    <mergeCell ref="C197:D197"/>
    <mergeCell ref="C198:D198"/>
    <mergeCell ref="C199:D199"/>
    <mergeCell ref="C200:D200"/>
    <mergeCell ref="E194:F194"/>
    <mergeCell ref="E195:F195"/>
    <mergeCell ref="E196:F196"/>
    <mergeCell ref="E197:F197"/>
    <mergeCell ref="E198:F198"/>
    <mergeCell ref="E199:F199"/>
    <mergeCell ref="E200:F200"/>
    <mergeCell ref="O184:P184"/>
    <mergeCell ref="R174:T174"/>
    <mergeCell ref="R173:S173"/>
    <mergeCell ref="D187:H187"/>
    <mergeCell ref="C193:D193"/>
    <mergeCell ref="E193:F193"/>
    <mergeCell ref="G193:H193"/>
    <mergeCell ref="I193:J193"/>
    <mergeCell ref="K193:L193"/>
    <mergeCell ref="M193:N193"/>
    <mergeCell ref="O193:P193"/>
    <mergeCell ref="O174:P174"/>
    <mergeCell ref="O176:P176"/>
    <mergeCell ref="O177:P177"/>
    <mergeCell ref="O178:P178"/>
    <mergeCell ref="O179:P179"/>
    <mergeCell ref="O180:P180"/>
    <mergeCell ref="O181:P181"/>
    <mergeCell ref="M183:N183"/>
    <mergeCell ref="O182:P182"/>
    <mergeCell ref="O183:P183"/>
    <mergeCell ref="K176:L176"/>
    <mergeCell ref="K177:L177"/>
    <mergeCell ref="K178:L178"/>
    <mergeCell ref="K179:L179"/>
    <mergeCell ref="K180:L180"/>
    <mergeCell ref="K181:L181"/>
    <mergeCell ref="K174:L174"/>
    <mergeCell ref="M174:N174"/>
    <mergeCell ref="M176:N176"/>
    <mergeCell ref="M177:N177"/>
    <mergeCell ref="M178:N178"/>
    <mergeCell ref="M179:N179"/>
    <mergeCell ref="M180:N180"/>
    <mergeCell ref="M181:N181"/>
    <mergeCell ref="G174:H174"/>
    <mergeCell ref="G176:H176"/>
    <mergeCell ref="G177:H177"/>
    <mergeCell ref="G178:H178"/>
    <mergeCell ref="G179:H179"/>
    <mergeCell ref="G180:H180"/>
    <mergeCell ref="G181:H181"/>
    <mergeCell ref="I174:J174"/>
    <mergeCell ref="I176:J176"/>
    <mergeCell ref="I177:J177"/>
    <mergeCell ref="I178:J178"/>
    <mergeCell ref="I179:J179"/>
    <mergeCell ref="I180:J180"/>
    <mergeCell ref="I181:J181"/>
    <mergeCell ref="C180:D180"/>
    <mergeCell ref="C181:D181"/>
    <mergeCell ref="E174:F174"/>
    <mergeCell ref="E176:F176"/>
    <mergeCell ref="E177:F177"/>
    <mergeCell ref="E178:F178"/>
    <mergeCell ref="E179:F179"/>
    <mergeCell ref="E180:F180"/>
    <mergeCell ref="E181:F181"/>
    <mergeCell ref="O168:P168"/>
    <mergeCell ref="M169:N169"/>
    <mergeCell ref="O169:P169"/>
    <mergeCell ref="O170:P170"/>
    <mergeCell ref="B190:N190"/>
    <mergeCell ref="C175:D175"/>
    <mergeCell ref="E175:F175"/>
    <mergeCell ref="G175:H175"/>
    <mergeCell ref="I175:J175"/>
    <mergeCell ref="K175:L175"/>
    <mergeCell ref="M175:N175"/>
    <mergeCell ref="O175:P175"/>
    <mergeCell ref="C173:D173"/>
    <mergeCell ref="E173:F173"/>
    <mergeCell ref="G173:H173"/>
    <mergeCell ref="I173:J173"/>
    <mergeCell ref="K173:L173"/>
    <mergeCell ref="M173:N173"/>
    <mergeCell ref="O173:P173"/>
    <mergeCell ref="C174:D174"/>
    <mergeCell ref="C176:D176"/>
    <mergeCell ref="C177:D177"/>
    <mergeCell ref="C178:D178"/>
    <mergeCell ref="C179:D179"/>
    <mergeCell ref="R161:T161"/>
    <mergeCell ref="O160:P160"/>
    <mergeCell ref="O161:P161"/>
    <mergeCell ref="O162:P162"/>
    <mergeCell ref="O163:P163"/>
    <mergeCell ref="O164:P164"/>
    <mergeCell ref="O165:P165"/>
    <mergeCell ref="O166:P166"/>
    <mergeCell ref="O167:P167"/>
    <mergeCell ref="M160:N160"/>
    <mergeCell ref="M161:N161"/>
    <mergeCell ref="M162:N162"/>
    <mergeCell ref="M163:N163"/>
    <mergeCell ref="M164:N164"/>
    <mergeCell ref="M165:N165"/>
    <mergeCell ref="M166:N166"/>
    <mergeCell ref="M167:N167"/>
    <mergeCell ref="A157:C157"/>
    <mergeCell ref="B138:AB149"/>
    <mergeCell ref="G131:P134"/>
    <mergeCell ref="B151:C151"/>
    <mergeCell ref="B152:C152"/>
    <mergeCell ref="B153:C153"/>
    <mergeCell ref="B154:C154"/>
    <mergeCell ref="B155:C155"/>
    <mergeCell ref="D73:E73"/>
    <mergeCell ref="S157:T157"/>
    <mergeCell ref="R160:S160"/>
    <mergeCell ref="G71:H71"/>
    <mergeCell ref="I71:J71"/>
    <mergeCell ref="B131:C131"/>
    <mergeCell ref="B132:C132"/>
    <mergeCell ref="B133:C133"/>
    <mergeCell ref="B134:C134"/>
    <mergeCell ref="B84:AB85"/>
    <mergeCell ref="B87:AB88"/>
    <mergeCell ref="B90:AB91"/>
    <mergeCell ref="A75:M79"/>
    <mergeCell ref="O75:Y75"/>
    <mergeCell ref="B112:C112"/>
    <mergeCell ref="B113:C113"/>
    <mergeCell ref="B114:C114"/>
    <mergeCell ref="B115:C115"/>
    <mergeCell ref="B111:C111"/>
    <mergeCell ref="B97:AB109"/>
    <mergeCell ref="B118:AB127"/>
    <mergeCell ref="B70:C70"/>
    <mergeCell ref="D70:E70"/>
    <mergeCell ref="G70:H70"/>
    <mergeCell ref="I70:J70"/>
    <mergeCell ref="O74:Y74"/>
    <mergeCell ref="A64:B64"/>
    <mergeCell ref="C65:D65"/>
    <mergeCell ref="E65:F65"/>
    <mergeCell ref="G65:H65"/>
    <mergeCell ref="I65:J65"/>
    <mergeCell ref="G72:H72"/>
    <mergeCell ref="G73:H73"/>
    <mergeCell ref="T64:Y64"/>
    <mergeCell ref="T66:U66"/>
    <mergeCell ref="T67:U67"/>
    <mergeCell ref="O66:R66"/>
    <mergeCell ref="O69:AA69"/>
    <mergeCell ref="B71:C71"/>
    <mergeCell ref="B72:C72"/>
    <mergeCell ref="B73:C73"/>
    <mergeCell ref="D71:E71"/>
    <mergeCell ref="I72:J72"/>
    <mergeCell ref="I73:J73"/>
    <mergeCell ref="D72:E72"/>
    <mergeCell ref="O49:P49"/>
    <mergeCell ref="Q49:R49"/>
    <mergeCell ref="O51:P51"/>
    <mergeCell ref="Q51:R51"/>
    <mergeCell ref="S51:T51"/>
    <mergeCell ref="U51:V51"/>
    <mergeCell ref="O59:AA59"/>
    <mergeCell ref="T62:Y62"/>
    <mergeCell ref="T63:Y63"/>
    <mergeCell ref="O61:AA61"/>
    <mergeCell ref="O63:R63"/>
    <mergeCell ref="O46:AA47"/>
    <mergeCell ref="A52:B52"/>
    <mergeCell ref="E53:F53"/>
    <mergeCell ref="G53:H53"/>
    <mergeCell ref="I53:J53"/>
    <mergeCell ref="E55:F55"/>
    <mergeCell ref="G55:H55"/>
    <mergeCell ref="I55:J55"/>
    <mergeCell ref="C63:D63"/>
    <mergeCell ref="E63:F63"/>
    <mergeCell ref="G63:H63"/>
    <mergeCell ref="I63:J63"/>
    <mergeCell ref="C61:D61"/>
    <mergeCell ref="E61:F61"/>
    <mergeCell ref="G61:H61"/>
    <mergeCell ref="I61:J61"/>
    <mergeCell ref="C62:D62"/>
    <mergeCell ref="E62:F62"/>
    <mergeCell ref="G62:H62"/>
    <mergeCell ref="I62:J62"/>
    <mergeCell ref="C59:D59"/>
    <mergeCell ref="E59:F59"/>
    <mergeCell ref="G59:H59"/>
    <mergeCell ref="I59:J59"/>
    <mergeCell ref="I56:J56"/>
    <mergeCell ref="C54:D54"/>
    <mergeCell ref="E54:F54"/>
    <mergeCell ref="G54:H54"/>
    <mergeCell ref="I54:J54"/>
    <mergeCell ref="C55:D55"/>
    <mergeCell ref="C60:D60"/>
    <mergeCell ref="E60:F60"/>
    <mergeCell ref="G60:H60"/>
    <mergeCell ref="I60:J60"/>
    <mergeCell ref="C57:D57"/>
    <mergeCell ref="E57:F57"/>
    <mergeCell ref="G57:H57"/>
    <mergeCell ref="I57:J57"/>
    <mergeCell ref="C58:D58"/>
    <mergeCell ref="E58:F58"/>
    <mergeCell ref="G58:H58"/>
    <mergeCell ref="I58:J58"/>
    <mergeCell ref="E44:F44"/>
    <mergeCell ref="E45:F45"/>
    <mergeCell ref="E51:F51"/>
    <mergeCell ref="G44:H44"/>
    <mergeCell ref="G45:H45"/>
    <mergeCell ref="G51:H51"/>
    <mergeCell ref="C56:D56"/>
    <mergeCell ref="E56:F56"/>
    <mergeCell ref="G56:H56"/>
    <mergeCell ref="O41:AA41"/>
    <mergeCell ref="O42:Q42"/>
    <mergeCell ref="O43:Q43"/>
    <mergeCell ref="O44:Q44"/>
    <mergeCell ref="T42:AA42"/>
    <mergeCell ref="C51:D51"/>
    <mergeCell ref="C53:D53"/>
    <mergeCell ref="C43:D43"/>
    <mergeCell ref="E43:F43"/>
    <mergeCell ref="C49:D49"/>
    <mergeCell ref="C50:D50"/>
    <mergeCell ref="C48:D48"/>
    <mergeCell ref="C47:D47"/>
    <mergeCell ref="E47:F47"/>
    <mergeCell ref="E48:F48"/>
    <mergeCell ref="E49:F49"/>
    <mergeCell ref="E50:F50"/>
    <mergeCell ref="C46:D46"/>
    <mergeCell ref="E46:F46"/>
    <mergeCell ref="I44:J44"/>
    <mergeCell ref="I45:J45"/>
    <mergeCell ref="I51:J51"/>
    <mergeCell ref="C44:D44"/>
    <mergeCell ref="C45:D45"/>
    <mergeCell ref="W19:AA27"/>
    <mergeCell ref="G43:H43"/>
    <mergeCell ref="I43:J43"/>
    <mergeCell ref="T43:AA43"/>
    <mergeCell ref="T44:AA44"/>
    <mergeCell ref="G49:H49"/>
    <mergeCell ref="G50:H50"/>
    <mergeCell ref="G47:H47"/>
    <mergeCell ref="I47:J47"/>
    <mergeCell ref="I48:J48"/>
    <mergeCell ref="I49:J49"/>
    <mergeCell ref="I50:J50"/>
    <mergeCell ref="G46:H46"/>
    <mergeCell ref="I46:J46"/>
    <mergeCell ref="G48:H48"/>
    <mergeCell ref="A38:M39"/>
    <mergeCell ref="N38:N39"/>
    <mergeCell ref="A41:G41"/>
    <mergeCell ref="I41:J41"/>
    <mergeCell ref="C42:D42"/>
    <mergeCell ref="E42:F42"/>
    <mergeCell ref="G42:H42"/>
    <mergeCell ref="I42:J42"/>
    <mergeCell ref="A29:M31"/>
    <mergeCell ref="A33:M36"/>
    <mergeCell ref="O29:AA31"/>
    <mergeCell ref="O33:AA36"/>
    <mergeCell ref="AD9:AE9"/>
    <mergeCell ref="P17:Q17"/>
    <mergeCell ref="AD17:AE17"/>
    <mergeCell ref="O19:U20"/>
    <mergeCell ref="O22:U23"/>
    <mergeCell ref="A19:M27"/>
    <mergeCell ref="O25:U27"/>
    <mergeCell ref="A17:F17"/>
    <mergeCell ref="H17:I17"/>
    <mergeCell ref="J17:K17"/>
    <mergeCell ref="L17:M17"/>
    <mergeCell ref="N17:O17"/>
    <mergeCell ref="P9:Q9"/>
    <mergeCell ref="AD15:AE15"/>
    <mergeCell ref="A16:F16"/>
    <mergeCell ref="H16:I16"/>
    <mergeCell ref="J16:K16"/>
    <mergeCell ref="L16:M16"/>
    <mergeCell ref="N16:O16"/>
    <mergeCell ref="P16:Q16"/>
    <mergeCell ref="AD16:AE16"/>
    <mergeCell ref="A15:F15"/>
    <mergeCell ref="H15:I15"/>
    <mergeCell ref="J15:K15"/>
    <mergeCell ref="L15:M15"/>
    <mergeCell ref="N15:O15"/>
    <mergeCell ref="P15:Q15"/>
    <mergeCell ref="AD13:AE13"/>
    <mergeCell ref="A14:F14"/>
    <mergeCell ref="H14:I14"/>
    <mergeCell ref="J14:K14"/>
    <mergeCell ref="L14:M14"/>
    <mergeCell ref="N14:O14"/>
    <mergeCell ref="P14:Q14"/>
    <mergeCell ref="AD14:AE14"/>
    <mergeCell ref="A13:F13"/>
    <mergeCell ref="H13:I13"/>
    <mergeCell ref="J13:K13"/>
    <mergeCell ref="L13:M13"/>
    <mergeCell ref="N13:O13"/>
    <mergeCell ref="P13:Q13"/>
    <mergeCell ref="AB11:AC11"/>
    <mergeCell ref="AD11:AE11"/>
    <mergeCell ref="A12:F12"/>
    <mergeCell ref="H12:I12"/>
    <mergeCell ref="J12:K12"/>
    <mergeCell ref="L12:M12"/>
    <mergeCell ref="N12:O12"/>
    <mergeCell ref="P12:Q12"/>
    <mergeCell ref="P11:Q11"/>
    <mergeCell ref="R11:S11"/>
    <mergeCell ref="T11:U11"/>
    <mergeCell ref="V11:W11"/>
    <mergeCell ref="X11:Y11"/>
    <mergeCell ref="Z11:AA11"/>
    <mergeCell ref="AD3:AE3"/>
    <mergeCell ref="AD5:AE5"/>
    <mergeCell ref="AD6:AE6"/>
    <mergeCell ref="AD7:AE7"/>
    <mergeCell ref="AD8:AE8"/>
    <mergeCell ref="A11:F11"/>
    <mergeCell ref="H11:I11"/>
    <mergeCell ref="J11:K11"/>
    <mergeCell ref="L11:M11"/>
    <mergeCell ref="N11:O11"/>
    <mergeCell ref="R3:S3"/>
    <mergeCell ref="T3:U3"/>
    <mergeCell ref="V3:W3"/>
    <mergeCell ref="X3:Y3"/>
    <mergeCell ref="Z3:AA3"/>
    <mergeCell ref="AB3:AC3"/>
    <mergeCell ref="P3:Q3"/>
    <mergeCell ref="P4:Q4"/>
    <mergeCell ref="P5:Q5"/>
    <mergeCell ref="P6:Q6"/>
    <mergeCell ref="P7:Q7"/>
    <mergeCell ref="P8:Q8"/>
    <mergeCell ref="L7:M7"/>
    <mergeCell ref="L8:M8"/>
    <mergeCell ref="N7:O7"/>
    <mergeCell ref="N8:O8"/>
    <mergeCell ref="N9:O9"/>
    <mergeCell ref="H9:I9"/>
    <mergeCell ref="J3:K3"/>
    <mergeCell ref="J4:K4"/>
    <mergeCell ref="J5:K5"/>
    <mergeCell ref="J6:K6"/>
    <mergeCell ref="J7:K7"/>
    <mergeCell ref="J8:K8"/>
    <mergeCell ref="J9:K9"/>
    <mergeCell ref="A7:F7"/>
    <mergeCell ref="A8:F8"/>
    <mergeCell ref="A9:F9"/>
    <mergeCell ref="H3:I3"/>
    <mergeCell ref="H4:I4"/>
    <mergeCell ref="H5:I5"/>
    <mergeCell ref="H6:I6"/>
    <mergeCell ref="H7:I7"/>
    <mergeCell ref="A1:C1"/>
    <mergeCell ref="D1:N1"/>
    <mergeCell ref="A3:F3"/>
    <mergeCell ref="A4:F4"/>
    <mergeCell ref="A5:F5"/>
    <mergeCell ref="A6:F6"/>
    <mergeCell ref="L3:M3"/>
    <mergeCell ref="L4:M4"/>
    <mergeCell ref="L5:M5"/>
    <mergeCell ref="L6:M6"/>
    <mergeCell ref="H8:I8"/>
    <mergeCell ref="L9:M9"/>
    <mergeCell ref="N3:O3"/>
    <mergeCell ref="N4:O4"/>
    <mergeCell ref="N5:O5"/>
    <mergeCell ref="N6:O6"/>
    <mergeCell ref="I160:J160"/>
    <mergeCell ref="K160:L160"/>
    <mergeCell ref="C161:D161"/>
    <mergeCell ref="C162:D162"/>
    <mergeCell ref="C163:D163"/>
    <mergeCell ref="E161:F161"/>
    <mergeCell ref="E162:F162"/>
    <mergeCell ref="E163:F163"/>
    <mergeCell ref="I161:J161"/>
    <mergeCell ref="I162:J162"/>
    <mergeCell ref="I163:J163"/>
    <mergeCell ref="G162:H162"/>
    <mergeCell ref="G163:H163"/>
    <mergeCell ref="G164:H164"/>
    <mergeCell ref="G165:H165"/>
    <mergeCell ref="G166:H166"/>
    <mergeCell ref="C164:D164"/>
    <mergeCell ref="C165:D165"/>
    <mergeCell ref="C166:D166"/>
    <mergeCell ref="C160:D160"/>
    <mergeCell ref="E160:F160"/>
    <mergeCell ref="G160:H160"/>
    <mergeCell ref="S158:U158"/>
    <mergeCell ref="C167:D167"/>
    <mergeCell ref="E167:F167"/>
    <mergeCell ref="G167:H167"/>
    <mergeCell ref="I167:J167"/>
    <mergeCell ref="K167:L167"/>
    <mergeCell ref="E157:G157"/>
    <mergeCell ref="E158:K158"/>
    <mergeCell ref="L157:Q157"/>
    <mergeCell ref="L158:Q158"/>
    <mergeCell ref="I157:K157"/>
    <mergeCell ref="I164:J164"/>
    <mergeCell ref="I165:J165"/>
    <mergeCell ref="I166:J166"/>
    <mergeCell ref="K161:L161"/>
    <mergeCell ref="K162:L162"/>
    <mergeCell ref="K163:L163"/>
    <mergeCell ref="K164:L164"/>
    <mergeCell ref="K165:L165"/>
    <mergeCell ref="K166:L166"/>
    <mergeCell ref="E164:F164"/>
    <mergeCell ref="E165:F165"/>
    <mergeCell ref="E166:F166"/>
    <mergeCell ref="G161:H16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7589F-320D-4FED-97B2-24FE754EDB1E}">
  <dimension ref="A1:M7"/>
  <sheetViews>
    <sheetView workbookViewId="0">
      <selection activeCell="E2" sqref="E2:M6"/>
    </sheetView>
  </sheetViews>
  <sheetFormatPr defaultRowHeight="14.25" x14ac:dyDescent="0.25"/>
  <cols>
    <col min="1" max="1" width="20.5703125" bestFit="1" customWidth="1"/>
  </cols>
  <sheetData>
    <row r="1" spans="1:13" ht="15" x14ac:dyDescent="0.25">
      <c r="A1" s="33" t="s">
        <v>152</v>
      </c>
      <c r="B1" s="33" t="s">
        <v>153</v>
      </c>
      <c r="C1" s="33" t="s">
        <v>154</v>
      </c>
      <c r="D1" s="31"/>
      <c r="E1" s="31"/>
      <c r="F1" s="31"/>
      <c r="G1" s="31"/>
      <c r="H1" s="31"/>
      <c r="I1" s="31"/>
      <c r="J1" s="31"/>
      <c r="K1" s="31"/>
      <c r="L1" s="31"/>
      <c r="M1" s="31"/>
    </row>
    <row r="2" spans="1:13" ht="15" x14ac:dyDescent="0.25">
      <c r="A2" s="33" t="s">
        <v>66</v>
      </c>
      <c r="B2" s="33">
        <v>40</v>
      </c>
      <c r="C2" s="33">
        <v>0.28999999999999998</v>
      </c>
      <c r="D2" s="31"/>
      <c r="E2" s="153" t="s">
        <v>155</v>
      </c>
      <c r="F2" s="154"/>
      <c r="G2" s="154"/>
      <c r="H2" s="154"/>
      <c r="I2" s="154"/>
      <c r="J2" s="154"/>
      <c r="K2" s="154"/>
      <c r="L2" s="154"/>
      <c r="M2" s="155"/>
    </row>
    <row r="3" spans="1:13" ht="15" x14ac:dyDescent="0.25">
      <c r="A3" s="33" t="s">
        <v>61</v>
      </c>
      <c r="B3" s="33">
        <v>40</v>
      </c>
      <c r="C3" s="33">
        <v>0.28999999999999998</v>
      </c>
      <c r="D3" s="31"/>
      <c r="E3" s="156"/>
      <c r="F3" s="157"/>
      <c r="G3" s="157"/>
      <c r="H3" s="157"/>
      <c r="I3" s="157"/>
      <c r="J3" s="157"/>
      <c r="K3" s="157"/>
      <c r="L3" s="157"/>
      <c r="M3" s="158"/>
    </row>
    <row r="4" spans="1:13" ht="15" x14ac:dyDescent="0.25">
      <c r="A4" s="33" t="s">
        <v>156</v>
      </c>
      <c r="B4" s="33">
        <v>20</v>
      </c>
      <c r="C4" s="33">
        <v>0.14000000000000001</v>
      </c>
      <c r="D4" s="31"/>
      <c r="E4" s="156"/>
      <c r="F4" s="157"/>
      <c r="G4" s="157"/>
      <c r="H4" s="157"/>
      <c r="I4" s="157"/>
      <c r="J4" s="157"/>
      <c r="K4" s="157"/>
      <c r="L4" s="157"/>
      <c r="M4" s="158"/>
    </row>
    <row r="5" spans="1:13" ht="15" x14ac:dyDescent="0.25">
      <c r="A5" s="33" t="s">
        <v>157</v>
      </c>
      <c r="B5" s="33">
        <v>20</v>
      </c>
      <c r="C5" s="33">
        <v>0.14000000000000001</v>
      </c>
      <c r="D5" s="31"/>
      <c r="E5" s="156"/>
      <c r="F5" s="157"/>
      <c r="G5" s="157"/>
      <c r="H5" s="157"/>
      <c r="I5" s="157"/>
      <c r="J5" s="157"/>
      <c r="K5" s="157"/>
      <c r="L5" s="157"/>
      <c r="M5" s="158"/>
    </row>
    <row r="6" spans="1:13" ht="15" x14ac:dyDescent="0.25">
      <c r="A6" s="33" t="s">
        <v>158</v>
      </c>
      <c r="B6" s="33">
        <v>60</v>
      </c>
      <c r="C6" s="33">
        <v>7.0000000000000007E-2</v>
      </c>
      <c r="D6" s="31"/>
      <c r="E6" s="159"/>
      <c r="F6" s="160"/>
      <c r="G6" s="160"/>
      <c r="H6" s="160"/>
      <c r="I6" s="160"/>
      <c r="J6" s="160"/>
      <c r="K6" s="160"/>
      <c r="L6" s="160"/>
      <c r="M6" s="161"/>
    </row>
    <row r="7" spans="1:13" ht="15" x14ac:dyDescent="0.25">
      <c r="A7" s="33" t="s">
        <v>159</v>
      </c>
      <c r="B7" s="33">
        <v>60</v>
      </c>
      <c r="C7" s="33">
        <v>7.0000000000000007E-2</v>
      </c>
      <c r="D7" s="31"/>
      <c r="E7" s="31"/>
      <c r="F7" s="31"/>
      <c r="G7" s="31"/>
      <c r="H7" s="31"/>
      <c r="I7" s="31"/>
      <c r="J7" s="31"/>
      <c r="K7" s="31"/>
      <c r="L7" s="31"/>
      <c r="M7" s="31"/>
    </row>
  </sheetData>
  <mergeCells count="1">
    <mergeCell ref="E2:M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study case 8Y</vt:lpstr>
      <vt:lpstr>Population Weight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Tomoki Koike</cp:lastModifiedBy>
  <cp:revision/>
  <dcterms:created xsi:type="dcterms:W3CDTF">2019-11-15T03:02:46Z</dcterms:created>
  <dcterms:modified xsi:type="dcterms:W3CDTF">2019-12-02T21:26:50Z</dcterms:modified>
  <cp:category/>
  <cp:contentStatus/>
</cp:coreProperties>
</file>