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studies\2020-Spring\AAE334\hw7\"/>
    </mc:Choice>
  </mc:AlternateContent>
  <xr:revisionPtr revIDLastSave="0" documentId="13_ncr:1_{EF343DC1-0B5C-4B26-9F12-E1C92B0CDFA8}" xr6:coauthVersionLast="45" xr6:coauthVersionMax="45" xr10:uidLastSave="{00000000-0000-0000-0000-000000000000}"/>
  <bookViews>
    <workbookView xWindow="-120" yWindow="-120" windowWidth="29040" windowHeight="15840" xr2:uid="{E4E2BCB0-FC9A-46B2-8B40-9CA8E1C2646F}"/>
  </bookViews>
  <sheets>
    <sheet name="Homework sheet" sheetId="3" r:id="rId1"/>
    <sheet name="Homework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8" i="3" s="1"/>
  <c r="H16" i="3"/>
  <c r="H15" i="3"/>
  <c r="G16" i="3"/>
  <c r="G15" i="3"/>
  <c r="G12" i="3"/>
  <c r="E18" i="3"/>
  <c r="F18" i="3" s="1"/>
  <c r="E17" i="3"/>
  <c r="E16" i="3"/>
  <c r="E15" i="3"/>
  <c r="D26" i="3"/>
  <c r="F26" i="3" s="1"/>
  <c r="D25" i="3"/>
  <c r="G9" i="3"/>
  <c r="H12" i="3"/>
  <c r="H20" i="3"/>
  <c r="G17" i="3"/>
  <c r="G18" i="3" s="1"/>
  <c r="H25" i="3"/>
  <c r="H24" i="3"/>
  <c r="F23" i="2"/>
  <c r="D7" i="3"/>
  <c r="G25" i="3"/>
  <c r="G24" i="3"/>
  <c r="E24" i="3"/>
  <c r="G29" i="3"/>
  <c r="E26" i="3"/>
  <c r="G26" i="3" s="1"/>
  <c r="H26" i="3" s="1"/>
  <c r="G20" i="3"/>
  <c r="E20" i="3"/>
  <c r="F20" i="3" s="1"/>
  <c r="H14" i="3"/>
  <c r="G14" i="3"/>
  <c r="H11" i="3"/>
  <c r="G11" i="3"/>
  <c r="E11" i="3"/>
  <c r="F11" i="3" s="1"/>
  <c r="H9" i="3"/>
  <c r="E9" i="3"/>
  <c r="H8" i="3"/>
  <c r="G8" i="3"/>
  <c r="E8" i="3"/>
  <c r="F8" i="3" s="1"/>
  <c r="H7" i="3"/>
  <c r="G7" i="3"/>
  <c r="E7" i="3"/>
  <c r="H6" i="3"/>
  <c r="G6" i="3"/>
  <c r="E6" i="3"/>
  <c r="E25" i="3" s="1"/>
  <c r="D6" i="3"/>
  <c r="D24" i="3"/>
  <c r="E23" i="3"/>
  <c r="E22" i="3"/>
  <c r="E21" i="3"/>
  <c r="E14" i="3"/>
  <c r="E10" i="3"/>
  <c r="E5" i="3"/>
  <c r="F31" i="3"/>
  <c r="F21" i="3"/>
  <c r="F10" i="3"/>
  <c r="F13" i="3"/>
  <c r="F14" i="3"/>
  <c r="F17" i="3"/>
  <c r="F19" i="3"/>
  <c r="F22" i="3"/>
  <c r="F23" i="3"/>
  <c r="F28" i="3"/>
  <c r="F29" i="3"/>
  <c r="F30" i="3"/>
  <c r="F5" i="3"/>
  <c r="F33" i="2"/>
  <c r="F40" i="2"/>
  <c r="D27" i="3" l="1"/>
  <c r="F25" i="3"/>
  <c r="F7" i="3"/>
  <c r="F6" i="3"/>
  <c r="F24" i="3"/>
  <c r="N22" i="2"/>
  <c r="M23" i="2"/>
  <c r="M22" i="2"/>
  <c r="D14" i="3"/>
  <c r="E27" i="3" l="1"/>
  <c r="F9" i="3"/>
  <c r="D9" i="3"/>
  <c r="D13" i="3"/>
  <c r="D8" i="3"/>
  <c r="F24" i="2"/>
  <c r="F15" i="3" l="1"/>
  <c r="F27" i="3"/>
  <c r="D38" i="2"/>
  <c r="F38" i="2" s="1"/>
  <c r="F37" i="2"/>
  <c r="F36" i="2"/>
  <c r="F35" i="2"/>
  <c r="F31" i="2"/>
  <c r="F30" i="2"/>
  <c r="F27" i="2"/>
  <c r="F26" i="2"/>
  <c r="D24" i="2"/>
  <c r="F21" i="2"/>
  <c r="H21" i="2" s="1"/>
  <c r="D20" i="2"/>
  <c r="F20" i="2" s="1"/>
  <c r="H19" i="2"/>
  <c r="F19" i="2"/>
  <c r="E12" i="3" l="1"/>
  <c r="F12" i="3" s="1"/>
  <c r="F16" i="3"/>
  <c r="H26" i="2"/>
  <c r="F28" i="2"/>
  <c r="D22" i="2"/>
  <c r="D23" i="2" s="1"/>
</calcChain>
</file>

<file path=xl/sharedStrings.xml><?xml version="1.0" encoding="utf-8"?>
<sst xmlns="http://schemas.openxmlformats.org/spreadsheetml/2006/main" count="120" uniqueCount="91">
  <si>
    <t>air density</t>
  </si>
  <si>
    <t>viscosity -nu</t>
  </si>
  <si>
    <t>m^2/sec</t>
  </si>
  <si>
    <t>lbs</t>
  </si>
  <si>
    <t>Area</t>
  </si>
  <si>
    <t>in^2</t>
  </si>
  <si>
    <t>span</t>
  </si>
  <si>
    <t>in</t>
  </si>
  <si>
    <t>AR</t>
  </si>
  <si>
    <t>chord</t>
  </si>
  <si>
    <t>W/S</t>
  </si>
  <si>
    <t>oz/ft^3</t>
  </si>
  <si>
    <t>Dihedral</t>
  </si>
  <si>
    <t>degrees</t>
  </si>
  <si>
    <t>X location</t>
  </si>
  <si>
    <t>x</t>
  </si>
  <si>
    <t xml:space="preserve"> Wing LE to Tail LE</t>
  </si>
  <si>
    <t>root chord</t>
  </si>
  <si>
    <t>tip chord</t>
  </si>
  <si>
    <t>Tip offset</t>
  </si>
  <si>
    <t>q</t>
  </si>
  <si>
    <t>N/m^2</t>
  </si>
  <si>
    <t>CL</t>
  </si>
  <si>
    <t>N</t>
  </si>
  <si>
    <t>kg/m^3</t>
  </si>
  <si>
    <t>m^2</t>
  </si>
  <si>
    <t>m</t>
  </si>
  <si>
    <t>z location</t>
  </si>
  <si>
    <t>z</t>
  </si>
  <si>
    <t>Re  tail</t>
  </si>
  <si>
    <t>Re  wing</t>
  </si>
  <si>
    <t>half wing</t>
  </si>
  <si>
    <t>kg</t>
  </si>
  <si>
    <t>Vertical tail NACA 0012</t>
  </si>
  <si>
    <t>Horizontal Tail NACA 0012</t>
  </si>
  <si>
    <t>Wing NACA 2412</t>
  </si>
  <si>
    <t>Technical Specifications:</t>
  </si>
  <si>
    <t xml:space="preserve">Length: </t>
  </si>
  <si>
    <t>64"</t>
  </si>
  <si>
    <t xml:space="preserve">Wingspan: </t>
  </si>
  <si>
    <t>94"</t>
  </si>
  <si>
    <t xml:space="preserve">Flying Weight: </t>
  </si>
  <si>
    <t>10-1/2 lbs.</t>
  </si>
  <si>
    <t xml:space="preserve">Controls: </t>
  </si>
  <si>
    <t>Ailerons, Elevator, Rudder, Throttle</t>
  </si>
  <si>
    <t xml:space="preserve">Wing Area: </t>
  </si>
  <si>
    <t>1330 sq. in.</t>
  </si>
  <si>
    <t>Xac</t>
  </si>
  <si>
    <t>Xac/c</t>
  </si>
  <si>
    <t>Xn/c</t>
  </si>
  <si>
    <t>Xn</t>
  </si>
  <si>
    <t>Vh</t>
  </si>
  <si>
    <t>Xcg</t>
  </si>
  <si>
    <t>Xcg/c</t>
  </si>
  <si>
    <t xml:space="preserve">epsilon </t>
  </si>
  <si>
    <t>Static Margin</t>
  </si>
  <si>
    <t>D(epsilon)/D (alpha)</t>
  </si>
  <si>
    <t>half tail</t>
  </si>
  <si>
    <t>Weight</t>
  </si>
  <si>
    <t>Airfoil</t>
  </si>
  <si>
    <t>Case #1</t>
  </si>
  <si>
    <t xml:space="preserve">Hand Calculation </t>
  </si>
  <si>
    <t>XFLR5</t>
  </si>
  <si>
    <t>Velocity (m/sec)</t>
  </si>
  <si>
    <t>Other parameters</t>
  </si>
  <si>
    <t>Tail Incidence</t>
  </si>
  <si>
    <t>NACA 0012</t>
  </si>
  <si>
    <t>NACA 2412</t>
  </si>
  <si>
    <t>Wing Incidence</t>
  </si>
  <si>
    <t>Area of tail</t>
  </si>
  <si>
    <t>From airfoil data</t>
  </si>
  <si>
    <t>Case #2a</t>
  </si>
  <si>
    <t>Case #2b</t>
  </si>
  <si>
    <t xml:space="preserve">XFLR5 </t>
  </si>
  <si>
    <t>% Difference</t>
  </si>
  <si>
    <t>Change CG from case #1</t>
  </si>
  <si>
    <t>Provide          versus</t>
  </si>
  <si>
    <t>Xac/c (empirical)</t>
  </si>
  <si>
    <t>Change Tail Angle From case #1</t>
  </si>
  <si>
    <t>Graph with 3 curves for Case #1, Case #2a, and Case #2b</t>
  </si>
  <si>
    <t>CL_alpha wing</t>
  </si>
  <si>
    <t>CL_alpha tail</t>
  </si>
  <si>
    <t>a0 (rad-1)</t>
  </si>
  <si>
    <t>CL wing</t>
  </si>
  <si>
    <t xml:space="preserve">CL tail </t>
  </si>
  <si>
    <t>AoA</t>
  </si>
  <si>
    <t>rad</t>
  </si>
  <si>
    <t>L wing</t>
  </si>
  <si>
    <t xml:space="preserve">L tail </t>
  </si>
  <si>
    <t xml:space="preserve">a absolute </t>
  </si>
  <si>
    <t>a zero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</si>
</sst>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7" formatCode="0.000000000"/>
    <numFmt numFmtId="172" formatCode="0.0000000000"/>
    <numFmt numFmtId="173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33CCFF"/>
      <name val="Calibri"/>
      <family val="2"/>
      <scheme val="minor"/>
    </font>
    <font>
      <sz val="11"/>
      <color rgb="FF33CCCC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4E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Border="1"/>
    <xf numFmtId="11" fontId="0" fillId="0" borderId="0" xfId="0" applyNumberFormat="1" applyBorder="1"/>
    <xf numFmtId="0" fontId="2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4" fillId="3" borderId="0" xfId="0" applyFont="1" applyFill="1" applyAlignment="1">
      <alignment vertical="center" wrapText="1"/>
    </xf>
    <xf numFmtId="0" fontId="5" fillId="8" borderId="0" xfId="0" applyFont="1" applyFill="1" applyAlignment="1">
      <alignment horizontal="center"/>
    </xf>
    <xf numFmtId="172" fontId="0" fillId="7" borderId="1" xfId="0" applyNumberForma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2" fontId="6" fillId="4" borderId="3" xfId="0" applyNumberFormat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" fillId="6" borderId="4" xfId="0" applyFont="1" applyFill="1" applyBorder="1"/>
    <xf numFmtId="0" fontId="1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72" fontId="0" fillId="6" borderId="4" xfId="0" applyNumberFormat="1" applyFill="1" applyBorder="1" applyAlignment="1">
      <alignment horizontal="center"/>
    </xf>
    <xf numFmtId="0" fontId="0" fillId="0" borderId="5" xfId="0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1" fillId="5" borderId="2" xfId="0" applyFont="1" applyFill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2" fontId="0" fillId="7" borderId="4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172" fontId="0" fillId="7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33CCFF"/>
      <color rgb="FF66FF99"/>
      <color rgb="FFFF33CC"/>
      <color rgb="FFFF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30</xdr:row>
      <xdr:rowOff>47625</xdr:rowOff>
    </xdr:from>
    <xdr:ext cx="361950" cy="233516"/>
    <xdr:pic>
      <xdr:nvPicPr>
        <xdr:cNvPr id="10" name="Picture 9">
          <a:extLst>
            <a:ext uri="{FF2B5EF4-FFF2-40B4-BE49-F238E27FC236}">
              <a16:creationId xmlns:a16="http://schemas.microsoft.com/office/drawing/2014/main" id="{DB7AC0EE-BC3D-47D0-9ADF-D0CCB12B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5724525"/>
          <a:ext cx="361950" cy="233516"/>
        </a:xfrm>
        <a:prstGeom prst="rect">
          <a:avLst/>
        </a:prstGeom>
      </xdr:spPr>
    </xdr:pic>
    <xdr:clientData/>
  </xdr:oneCellAnchor>
  <xdr:oneCellAnchor>
    <xdr:from>
      <xdr:col>2</xdr:col>
      <xdr:colOff>126298</xdr:colOff>
      <xdr:row>28</xdr:row>
      <xdr:rowOff>23796</xdr:rowOff>
    </xdr:from>
    <xdr:ext cx="401241" cy="226051"/>
    <xdr:pic>
      <xdr:nvPicPr>
        <xdr:cNvPr id="11" name="Picture 10">
          <a:extLst>
            <a:ext uri="{FF2B5EF4-FFF2-40B4-BE49-F238E27FC236}">
              <a16:creationId xmlns:a16="http://schemas.microsoft.com/office/drawing/2014/main" id="{BB8828A6-A438-4A23-9B2B-2416D33B8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567" y="5167296"/>
          <a:ext cx="401241" cy="226051"/>
        </a:xfrm>
        <a:prstGeom prst="rect">
          <a:avLst/>
        </a:prstGeom>
      </xdr:spPr>
    </xdr:pic>
    <xdr:clientData/>
  </xdr:oneCellAnchor>
  <xdr:twoCellAnchor editAs="oneCell">
    <xdr:from>
      <xdr:col>2</xdr:col>
      <xdr:colOff>1048385</xdr:colOff>
      <xdr:row>13</xdr:row>
      <xdr:rowOff>171450</xdr:rowOff>
    </xdr:from>
    <xdr:to>
      <xdr:col>2</xdr:col>
      <xdr:colOff>1350645</xdr:colOff>
      <xdr:row>15</xdr:row>
      <xdr:rowOff>26106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0A3CA7C-42FF-403A-96CA-0F2155C6E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7585" y="2647950"/>
          <a:ext cx="302260" cy="235656"/>
        </a:xfrm>
        <a:prstGeom prst="rect">
          <a:avLst/>
        </a:prstGeom>
      </xdr:spPr>
    </xdr:pic>
    <xdr:clientData/>
  </xdr:twoCellAnchor>
  <xdr:twoCellAnchor editAs="oneCell">
    <xdr:from>
      <xdr:col>2</xdr:col>
      <xdr:colOff>942975</xdr:colOff>
      <xdr:row>15</xdr:row>
      <xdr:rowOff>13406</xdr:rowOff>
    </xdr:from>
    <xdr:to>
      <xdr:col>2</xdr:col>
      <xdr:colOff>1273175</xdr:colOff>
      <xdr:row>16</xdr:row>
      <xdr:rowOff>57919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67FFE4-4454-4A05-878F-A2D8A56D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2175" y="2870906"/>
          <a:ext cx="330200" cy="235013"/>
        </a:xfrm>
        <a:prstGeom prst="rect">
          <a:avLst/>
        </a:prstGeom>
      </xdr:spPr>
    </xdr:pic>
    <xdr:clientData/>
  </xdr:twoCellAnchor>
  <xdr:twoCellAnchor editAs="oneCell">
    <xdr:from>
      <xdr:col>2</xdr:col>
      <xdr:colOff>105508</xdr:colOff>
      <xdr:row>29</xdr:row>
      <xdr:rowOff>21981</xdr:rowOff>
    </xdr:from>
    <xdr:to>
      <xdr:col>2</xdr:col>
      <xdr:colOff>451883</xdr:colOff>
      <xdr:row>29</xdr:row>
      <xdr:rowOff>257174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60FFA74-B5F2-49F7-942A-500362E82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1777" y="5421923"/>
          <a:ext cx="346375" cy="235193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31</xdr:row>
      <xdr:rowOff>154789</xdr:rowOff>
    </xdr:from>
    <xdr:to>
      <xdr:col>2</xdr:col>
      <xdr:colOff>1623059</xdr:colOff>
      <xdr:row>33</xdr:row>
      <xdr:rowOff>108585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F7D81D2-CC79-4B44-87A4-22F136DBA0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7138"/>
        <a:stretch/>
      </xdr:blipFill>
      <xdr:spPr>
        <a:xfrm>
          <a:off x="2381250" y="6117439"/>
          <a:ext cx="461009" cy="334796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31</xdr:row>
      <xdr:rowOff>110489</xdr:rowOff>
    </xdr:from>
    <xdr:to>
      <xdr:col>2</xdr:col>
      <xdr:colOff>740709</xdr:colOff>
      <xdr:row>33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3204AA-946D-4CDE-85C2-2B5D2D3B7E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4199" r="22652"/>
        <a:stretch/>
      </xdr:blipFill>
      <xdr:spPr>
        <a:xfrm>
          <a:off x="1733550" y="6073139"/>
          <a:ext cx="226359" cy="384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571501</xdr:colOff>
      <xdr:row>1</xdr:row>
      <xdr:rowOff>123825</xdr:rowOff>
    </xdr:from>
    <xdr:to>
      <xdr:col>3</xdr:col>
      <xdr:colOff>923926</xdr:colOff>
      <xdr:row>11</xdr:row>
      <xdr:rowOff>95250</xdr:rowOff>
    </xdr:to>
    <xdr:pic>
      <xdr:nvPicPr>
        <xdr:cNvPr id="3" name="img_product_large_1039259" descr="Senior Telemaster Laser Cut Kit">
          <a:extLst>
            <a:ext uri="{FF2B5EF4-FFF2-40B4-BE49-F238E27FC236}">
              <a16:creationId xmlns:a16="http://schemas.microsoft.com/office/drawing/2014/main" id="{32378A86-AE93-467C-A2AB-1345A1CA7C9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1" y="314325"/>
          <a:ext cx="3505200" cy="18764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0</xdr:colOff>
      <xdr:row>43</xdr:row>
      <xdr:rowOff>0</xdr:rowOff>
    </xdr:from>
    <xdr:ext cx="456486" cy="257175"/>
    <xdr:pic>
      <xdr:nvPicPr>
        <xdr:cNvPr id="4" name="Picture 3">
          <a:extLst>
            <a:ext uri="{FF2B5EF4-FFF2-40B4-BE49-F238E27FC236}">
              <a16:creationId xmlns:a16="http://schemas.microsoft.com/office/drawing/2014/main" id="{E4E84C99-0B12-4206-83BB-DEF49D158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8963025"/>
          <a:ext cx="456486" cy="2571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C77F-5E30-4A5B-A0D9-C22C11D52D45}">
  <sheetPr>
    <pageSetUpPr fitToPage="1"/>
  </sheetPr>
  <dimension ref="C2:H34"/>
  <sheetViews>
    <sheetView tabSelected="1" topLeftCell="A9" zoomScale="130" zoomScaleNormal="130" workbookViewId="0">
      <selection activeCell="D13" sqref="D13"/>
    </sheetView>
  </sheetViews>
  <sheetFormatPr defaultRowHeight="15" x14ac:dyDescent="0.25"/>
  <cols>
    <col min="3" max="3" width="25" customWidth="1"/>
    <col min="4" max="6" width="21.42578125" customWidth="1"/>
    <col min="7" max="7" width="23.28515625" customWidth="1"/>
    <col min="8" max="8" width="29" customWidth="1"/>
  </cols>
  <sheetData>
    <row r="2" spans="3:8" x14ac:dyDescent="0.25">
      <c r="C2" s="17"/>
      <c r="D2" s="20"/>
      <c r="E2" s="30"/>
      <c r="F2" s="45"/>
      <c r="G2" s="39" t="s">
        <v>75</v>
      </c>
      <c r="H2" s="26" t="s">
        <v>78</v>
      </c>
    </row>
    <row r="3" spans="3:8" x14ac:dyDescent="0.25">
      <c r="C3" s="17"/>
      <c r="D3" s="24" t="s">
        <v>61</v>
      </c>
      <c r="E3" s="31" t="s">
        <v>73</v>
      </c>
      <c r="F3" s="46" t="s">
        <v>74</v>
      </c>
      <c r="G3" s="40" t="s">
        <v>62</v>
      </c>
      <c r="H3" s="25" t="s">
        <v>62</v>
      </c>
    </row>
    <row r="4" spans="3:8" x14ac:dyDescent="0.25">
      <c r="C4" s="17"/>
      <c r="D4" s="24" t="s">
        <v>60</v>
      </c>
      <c r="E4" s="31" t="s">
        <v>60</v>
      </c>
      <c r="F4" s="46"/>
      <c r="G4" s="40" t="s">
        <v>71</v>
      </c>
      <c r="H4" s="25" t="s">
        <v>72</v>
      </c>
    </row>
    <row r="5" spans="3:8" x14ac:dyDescent="0.25">
      <c r="C5" s="17" t="s">
        <v>63</v>
      </c>
      <c r="D5" s="22">
        <v>13.4</v>
      </c>
      <c r="E5" s="32">
        <f>D5</f>
        <v>13.4</v>
      </c>
      <c r="F5" s="44">
        <f>ABS(D5-E5)/D5*100</f>
        <v>0</v>
      </c>
      <c r="G5" s="41">
        <v>20</v>
      </c>
      <c r="H5" s="18">
        <v>20</v>
      </c>
    </row>
    <row r="6" spans="3:8" x14ac:dyDescent="0.25">
      <c r="C6" s="17" t="s">
        <v>20</v>
      </c>
      <c r="D6" s="21">
        <f>0.5*D5^2*1.225</f>
        <v>109.98050000000001</v>
      </c>
      <c r="E6" s="33">
        <f>0.5*'Homework Data'!$F$16*'Homework sheet'!E5^2</f>
        <v>109.98050000000001</v>
      </c>
      <c r="F6" s="44">
        <f t="shared" ref="F6:F31" si="0">ABS(D6-E6)/D6*100</f>
        <v>0</v>
      </c>
      <c r="G6" s="42">
        <f>0.5*'Homework Data'!$F$16*'Homework sheet'!G5^2</f>
        <v>245.00000000000003</v>
      </c>
      <c r="H6" s="29">
        <f>0.5*'Homework Data'!$F$16*'Homework sheet'!H5^2</f>
        <v>245.00000000000003</v>
      </c>
    </row>
    <row r="7" spans="3:8" x14ac:dyDescent="0.25">
      <c r="C7" s="17" t="s">
        <v>30</v>
      </c>
      <c r="D7" s="22">
        <f>D5*'Homework Data'!F23/'Homework Data'!F17</f>
        <v>321048.79432624119</v>
      </c>
      <c r="E7" s="34">
        <f>E5*'Homework Data'!$F$23/'Homework Data'!$F$17</f>
        <v>321048.79432624119</v>
      </c>
      <c r="F7" s="44">
        <f t="shared" si="0"/>
        <v>0</v>
      </c>
      <c r="G7" s="42">
        <f>G5*'Homework Data'!$F$23/'Homework Data'!$F$17</f>
        <v>479177.30496453901</v>
      </c>
      <c r="H7" s="29">
        <f>H5*'Homework Data'!$F$23/'Homework Data'!$F$17</f>
        <v>479177.30496453901</v>
      </c>
    </row>
    <row r="8" spans="3:8" x14ac:dyDescent="0.25">
      <c r="C8" s="17" t="s">
        <v>29</v>
      </c>
      <c r="D8" s="22">
        <f>D5*'Homework Data'!F27/'Homework Data'!F17</f>
        <v>215561.33333333331</v>
      </c>
      <c r="E8" s="34">
        <f>E5*'Homework Data'!$F$27/'Homework Data'!$F$17</f>
        <v>215561.33333333331</v>
      </c>
      <c r="F8" s="44">
        <f t="shared" si="0"/>
        <v>0</v>
      </c>
      <c r="G8" s="42">
        <f>G5*'Homework Data'!$F$27/'Homework Data'!$F$17</f>
        <v>321733.33333333331</v>
      </c>
      <c r="H8" s="29">
        <f>H5*'Homework Data'!$F$27/'Homework Data'!$F$17</f>
        <v>321733.33333333331</v>
      </c>
    </row>
    <row r="9" spans="3:8" x14ac:dyDescent="0.25">
      <c r="C9" s="17" t="s">
        <v>22</v>
      </c>
      <c r="D9" s="23">
        <f>'Homework Data'!F19/'Homework sheet'!D6/('Homework Data'!F20)</f>
        <v>0.49492659747885298</v>
      </c>
      <c r="E9" s="35">
        <f>'Homework Data'!$F$19/'Homework Data'!$F$20/E6</f>
        <v>0.49492659747885304</v>
      </c>
      <c r="F9" s="44">
        <f t="shared" si="0"/>
        <v>1.1216037188955011E-14</v>
      </c>
      <c r="G9" s="42">
        <f>'Homework Data'!$F$19/'Homework Data'!$F$20/G6</f>
        <v>0.22217254960825711</v>
      </c>
      <c r="H9" s="29">
        <f>'Homework Data'!$F$19/'Homework Data'!$F$20/H6</f>
        <v>0.22217254960825711</v>
      </c>
    </row>
    <row r="10" spans="3:8" x14ac:dyDescent="0.25">
      <c r="C10" s="17" t="s">
        <v>77</v>
      </c>
      <c r="D10" s="21">
        <v>0.25</v>
      </c>
      <c r="E10" s="32">
        <f>D10</f>
        <v>0.25</v>
      </c>
      <c r="F10" s="44">
        <f t="shared" si="0"/>
        <v>0</v>
      </c>
      <c r="G10" s="42">
        <v>0.25</v>
      </c>
      <c r="H10" s="29">
        <v>0.25</v>
      </c>
    </row>
    <row r="11" spans="3:8" x14ac:dyDescent="0.25">
      <c r="C11" s="17" t="s">
        <v>47</v>
      </c>
      <c r="D11" s="21">
        <v>8.7955195566546102E-2</v>
      </c>
      <c r="E11" s="33">
        <f>E10*'Homework Data'!$F$23*COS('Homework Data'!$D$33*PI()/180)</f>
        <v>8.9568780234501419E-2</v>
      </c>
      <c r="F11" s="44">
        <f t="shared" si="0"/>
        <v>1.8345529875315822</v>
      </c>
      <c r="G11" s="42">
        <f>G10*'Homework Data'!$F$23*COS('Homework Data'!$D$33*PI()/180)</f>
        <v>8.9568780234501419E-2</v>
      </c>
      <c r="H11" s="29">
        <f>H10*'Homework Data'!$F$23*COS('Homework Data'!$D$33*PI()/180)</f>
        <v>8.9568780234501419E-2</v>
      </c>
    </row>
    <row r="12" spans="3:8" x14ac:dyDescent="0.25">
      <c r="C12" s="17" t="s">
        <v>51</v>
      </c>
      <c r="D12" s="21">
        <v>0.57801047819365103</v>
      </c>
      <c r="E12" s="33">
        <f>(E30-E29)/E16/('Homework Data'!$D$43+'Homework Data'!$F$40)</f>
        <v>1.443285234644164</v>
      </c>
      <c r="F12" s="44">
        <f t="shared" si="0"/>
        <v>149.69880116267024</v>
      </c>
      <c r="G12" s="42">
        <f>(G30-G29)/G16/('Homework Data'!$D$43+'Homework Data'!$F$40)</f>
        <v>0.94563843230974587</v>
      </c>
      <c r="H12" s="48">
        <f>(H30-H29)/H16/('Homework Data'!$D$43+'Homework Data'!$F$40)</f>
        <v>1.1561750220807065</v>
      </c>
    </row>
    <row r="13" spans="3:8" x14ac:dyDescent="0.25">
      <c r="C13" s="17" t="s">
        <v>48</v>
      </c>
      <c r="D13" s="21">
        <f>0.25</f>
        <v>0.25</v>
      </c>
      <c r="E13" s="32">
        <v>0.25</v>
      </c>
      <c r="F13" s="44">
        <f t="shared" si="0"/>
        <v>0</v>
      </c>
      <c r="G13" s="42">
        <v>0.25</v>
      </c>
      <c r="H13" s="29">
        <v>0.25</v>
      </c>
    </row>
    <row r="14" spans="3:8" x14ac:dyDescent="0.25">
      <c r="C14" s="17" t="s">
        <v>82</v>
      </c>
      <c r="D14" s="21">
        <f>2*PI()</f>
        <v>6.2831853071795862</v>
      </c>
      <c r="E14" s="32">
        <f>D14</f>
        <v>6.2831853071795862</v>
      </c>
      <c r="F14" s="44">
        <f t="shared" si="0"/>
        <v>0</v>
      </c>
      <c r="G14" s="42">
        <f>2*PI()</f>
        <v>6.2831853071795862</v>
      </c>
      <c r="H14" s="29">
        <f>2*PI()</f>
        <v>6.2831853071795862</v>
      </c>
    </row>
    <row r="15" spans="3:8" x14ac:dyDescent="0.25">
      <c r="C15" s="17" t="s">
        <v>80</v>
      </c>
      <c r="D15" s="21">
        <v>2.0674841305098499</v>
      </c>
      <c r="E15" s="33">
        <f>E22/$E$27</f>
        <v>2.0674841305098424</v>
      </c>
      <c r="F15" s="44">
        <f>ABS(D15-E15)/D15*100</f>
        <v>3.6515475287296758E-13</v>
      </c>
      <c r="G15" s="42">
        <f>G22/G27</f>
        <v>1.0054767943898295</v>
      </c>
      <c r="H15" s="48">
        <f>H22/H27</f>
        <v>1.0054767943898295</v>
      </c>
    </row>
    <row r="16" spans="3:8" x14ac:dyDescent="0.25">
      <c r="C16" s="17" t="s">
        <v>81</v>
      </c>
      <c r="D16" s="21">
        <v>3.3449693355612902</v>
      </c>
      <c r="E16" s="33">
        <f>E23/$E$27</f>
        <v>3.3449693355612791</v>
      </c>
      <c r="F16" s="44">
        <f t="shared" si="0"/>
        <v>3.3190828173582034E-13</v>
      </c>
      <c r="G16" s="42">
        <f>G23/G27</f>
        <v>2.6293871060174414</v>
      </c>
      <c r="H16" s="48">
        <f>H23/H27</f>
        <v>2.6293871060174414</v>
      </c>
    </row>
    <row r="17" spans="3:8" x14ac:dyDescent="0.25">
      <c r="C17" s="17" t="s">
        <v>49</v>
      </c>
      <c r="D17" s="21">
        <v>0.80694653711579201</v>
      </c>
      <c r="E17" s="36">
        <f>E28+E19</f>
        <v>0.327539668569722</v>
      </c>
      <c r="F17" s="44">
        <f t="shared" si="0"/>
        <v>59.409991430111063</v>
      </c>
      <c r="G17" s="42">
        <f>G19+G28</f>
        <v>0.28094854672823599</v>
      </c>
      <c r="H17" s="48">
        <f>H19+H28</f>
        <v>0.32085897906883099</v>
      </c>
    </row>
    <row r="18" spans="3:8" x14ac:dyDescent="0.25">
      <c r="C18" s="17" t="s">
        <v>50</v>
      </c>
      <c r="D18" s="21">
        <v>0.29050075336168502</v>
      </c>
      <c r="E18" s="36">
        <f>E17*'Homework Data'!$F$23</f>
        <v>0.11771218174066329</v>
      </c>
      <c r="F18" s="44">
        <f t="shared" si="0"/>
        <v>59.479560593735556</v>
      </c>
      <c r="G18" s="42">
        <f>G17*'Homework Data'!$F$23</f>
        <v>0.10096812559120499</v>
      </c>
      <c r="H18" s="48">
        <f>H17*'Homework Data'!$F$23</f>
        <v>0.11531125564790691</v>
      </c>
    </row>
    <row r="19" spans="3:8" x14ac:dyDescent="0.25">
      <c r="C19" s="17" t="s">
        <v>52</v>
      </c>
      <c r="D19" s="21">
        <v>0.197413448178277</v>
      </c>
      <c r="E19" s="37">
        <v>0.12</v>
      </c>
      <c r="F19" s="44">
        <f t="shared" si="0"/>
        <v>39.2138675924285</v>
      </c>
      <c r="G19" s="42">
        <v>0.14399999999999999</v>
      </c>
      <c r="H19" s="29">
        <v>0.12</v>
      </c>
    </row>
    <row r="20" spans="3:8" x14ac:dyDescent="0.25">
      <c r="C20" s="17" t="s">
        <v>53</v>
      </c>
      <c r="D20" s="21">
        <v>0.54837068938410405</v>
      </c>
      <c r="E20" s="36">
        <f>E19/'Homework Data'!$F$23</f>
        <v>0.33390563021727543</v>
      </c>
      <c r="F20" s="44">
        <f t="shared" si="0"/>
        <v>39.109504449937411</v>
      </c>
      <c r="G20" s="42">
        <f>G19/'Homework Data'!$F$23</f>
        <v>0.40068675626073047</v>
      </c>
      <c r="H20" s="29">
        <f>H19/'Homework Data'!F23</f>
        <v>0.33390563021727543</v>
      </c>
    </row>
    <row r="21" spans="3:8" x14ac:dyDescent="0.25">
      <c r="C21" s="17" t="s">
        <v>85</v>
      </c>
      <c r="D21" s="28">
        <v>0.13503269025710099</v>
      </c>
      <c r="E21" s="38">
        <f>D21</f>
        <v>0.13503269025710099</v>
      </c>
      <c r="F21" s="44">
        <f t="shared" si="0"/>
        <v>0</v>
      </c>
      <c r="G21" s="42">
        <v>0.10015293190265</v>
      </c>
      <c r="H21" s="29">
        <v>0.10015293190265</v>
      </c>
    </row>
    <row r="22" spans="3:8" x14ac:dyDescent="0.25">
      <c r="C22" s="16" t="s">
        <v>83</v>
      </c>
      <c r="D22" s="21">
        <v>0.35495519535787801</v>
      </c>
      <c r="E22" s="38">
        <f>D22</f>
        <v>0.35495519535787801</v>
      </c>
      <c r="F22" s="44">
        <f t="shared" si="0"/>
        <v>0</v>
      </c>
      <c r="G22" s="42">
        <v>0.13579921014722099</v>
      </c>
      <c r="H22" s="29">
        <v>0.13579921014722099</v>
      </c>
    </row>
    <row r="23" spans="3:8" x14ac:dyDescent="0.25">
      <c r="C23" s="16" t="s">
        <v>84</v>
      </c>
      <c r="D23" s="21">
        <v>0.57427973760430895</v>
      </c>
      <c r="E23" s="38">
        <f>D23</f>
        <v>0.57427973760430895</v>
      </c>
      <c r="F23" s="44">
        <f t="shared" si="0"/>
        <v>0</v>
      </c>
      <c r="G23" s="42">
        <v>0.35512375239365102</v>
      </c>
      <c r="H23" s="29">
        <v>0.35512375239365102</v>
      </c>
    </row>
    <row r="24" spans="3:8" x14ac:dyDescent="0.25">
      <c r="C24" s="16" t="s">
        <v>87</v>
      </c>
      <c r="D24" s="21">
        <f>D6*'Homework Data'!$F$20*'Homework sheet'!D22</f>
        <v>33.497184178314399</v>
      </c>
      <c r="E24" s="33">
        <f>E6*'Homework Data'!$F$20*'Homework sheet'!E22</f>
        <v>33.497184178314399</v>
      </c>
      <c r="F24" s="44">
        <f t="shared" si="0"/>
        <v>0</v>
      </c>
      <c r="G24" s="42">
        <f>G6*'Homework Data'!$F$20*'Homework sheet'!G22</f>
        <v>28.548441371694651</v>
      </c>
      <c r="H24" s="48">
        <f>H6*'Homework Data'!$F$20*'Homework sheet'!H22</f>
        <v>28.548441371694651</v>
      </c>
    </row>
    <row r="25" spans="3:8" x14ac:dyDescent="0.25">
      <c r="C25" s="16" t="s">
        <v>88</v>
      </c>
      <c r="D25" s="21">
        <f>D6*'Homework Data'!$F$28*'Homework sheet'!D23</f>
        <v>13.161613661335382</v>
      </c>
      <c r="E25" s="33">
        <f>E6*'Homework Data'!$F$28*'Homework sheet'!E23</f>
        <v>13.161613661335382</v>
      </c>
      <c r="F25" s="44">
        <f t="shared" si="0"/>
        <v>0</v>
      </c>
      <c r="G25" s="42">
        <f>G6*'Homework Data'!$F$28*'Homework sheet'!G23</f>
        <v>18.13074963886147</v>
      </c>
      <c r="H25" s="48">
        <f>H6*'Homework Data'!$F$28*'Homework sheet'!H23</f>
        <v>18.13074963886147</v>
      </c>
    </row>
    <row r="26" spans="3:8" x14ac:dyDescent="0.25">
      <c r="C26" s="16" t="s">
        <v>90</v>
      </c>
      <c r="D26" s="21">
        <f>-2.1*PI()/180</f>
        <v>-3.6651914291880923E-2</v>
      </c>
      <c r="E26" s="32">
        <f>D26</f>
        <v>-3.6651914291880923E-2</v>
      </c>
      <c r="F26" s="44">
        <f t="shared" si="0"/>
        <v>0</v>
      </c>
      <c r="G26" s="42">
        <f>E26</f>
        <v>-3.6651914291880923E-2</v>
      </c>
      <c r="H26" s="48">
        <f>G26</f>
        <v>-3.6651914291880923E-2</v>
      </c>
    </row>
    <row r="27" spans="3:8" x14ac:dyDescent="0.25">
      <c r="C27" s="16" t="s">
        <v>89</v>
      </c>
      <c r="D27" s="21">
        <f>D21-D26</f>
        <v>0.17168460454898191</v>
      </c>
      <c r="E27" s="32">
        <f>D27</f>
        <v>0.17168460454898191</v>
      </c>
      <c r="F27" s="44">
        <f t="shared" si="0"/>
        <v>0</v>
      </c>
      <c r="G27" s="42">
        <v>0.13505951694253701</v>
      </c>
      <c r="H27" s="29">
        <v>0.13505951694253701</v>
      </c>
    </row>
    <row r="28" spans="3:8" x14ac:dyDescent="0.25">
      <c r="C28" s="17" t="s">
        <v>55</v>
      </c>
      <c r="D28" s="21">
        <v>0.25857584773168801</v>
      </c>
      <c r="E28" s="49">
        <v>0.207539668569722</v>
      </c>
      <c r="F28" s="44">
        <f t="shared" si="0"/>
        <v>19.737411521482802</v>
      </c>
      <c r="G28" s="42">
        <v>0.136948546728236</v>
      </c>
      <c r="H28" s="29">
        <v>0.20085897906883099</v>
      </c>
    </row>
    <row r="29" spans="3:8" ht="20.25" customHeight="1" x14ac:dyDescent="0.25">
      <c r="C29" s="17"/>
      <c r="D29" s="21">
        <v>-0.05</v>
      </c>
      <c r="E29" s="32">
        <v>-0.05</v>
      </c>
      <c r="F29" s="44">
        <f t="shared" si="0"/>
        <v>0</v>
      </c>
      <c r="G29" s="42">
        <f>E29</f>
        <v>-0.05</v>
      </c>
      <c r="H29" s="29">
        <v>-0.05</v>
      </c>
    </row>
    <row r="30" spans="3:8" ht="21.75" customHeight="1" x14ac:dyDescent="0.25">
      <c r="C30" s="17"/>
      <c r="D30" s="21">
        <v>3.3737852422328997E-2</v>
      </c>
      <c r="E30" s="38">
        <v>0.118520086239538</v>
      </c>
      <c r="F30" s="44">
        <f t="shared" si="0"/>
        <v>251.2970676257298</v>
      </c>
      <c r="G30" s="42">
        <v>3.6793460949494997E-2</v>
      </c>
      <c r="H30" s="29">
        <v>5.611712489798E-2</v>
      </c>
    </row>
    <row r="31" spans="3:8" ht="22.5" customHeight="1" x14ac:dyDescent="0.25">
      <c r="C31" s="17"/>
      <c r="D31" s="21">
        <v>-0.53460146171839695</v>
      </c>
      <c r="E31" s="38">
        <v>-1.7941016160791998E-2</v>
      </c>
      <c r="F31" s="44">
        <f>ABS(D31-E31)/D31*100</f>
        <v>-96.644039074804752</v>
      </c>
      <c r="G31" s="42">
        <v>-1.2213487792207999E-2</v>
      </c>
      <c r="H31" s="29">
        <v>-1.7982268903030001E-2</v>
      </c>
    </row>
    <row r="32" spans="3:8" x14ac:dyDescent="0.25">
      <c r="C32" s="16"/>
      <c r="D32" s="16"/>
      <c r="E32" s="16"/>
      <c r="F32" s="43"/>
      <c r="G32" s="16"/>
      <c r="H32" s="16"/>
    </row>
    <row r="33" spans="3:8" x14ac:dyDescent="0.25">
      <c r="C33" s="16" t="s">
        <v>76</v>
      </c>
      <c r="D33" s="16" t="s">
        <v>79</v>
      </c>
      <c r="E33" s="16"/>
      <c r="F33" s="16"/>
      <c r="G33" s="16"/>
      <c r="H33" s="16"/>
    </row>
    <row r="34" spans="3:8" x14ac:dyDescent="0.25">
      <c r="H34" s="50">
        <v>5</v>
      </c>
    </row>
  </sheetData>
  <pageMargins left="0.25" right="0.25" top="0.75" bottom="0.75" header="0.3" footer="0.3"/>
  <pageSetup scale="8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12BF-D381-45DE-8475-4730CBADBCF9}">
  <dimension ref="B3:N54"/>
  <sheetViews>
    <sheetView topLeftCell="A11" zoomScale="130" zoomScaleNormal="130" workbookViewId="0">
      <selection activeCell="F23" sqref="F23"/>
    </sheetView>
  </sheetViews>
  <sheetFormatPr defaultRowHeight="15" x14ac:dyDescent="0.25"/>
  <cols>
    <col min="2" max="2" width="23.42578125" customWidth="1"/>
    <col min="3" max="3" width="23.85546875" customWidth="1"/>
    <col min="4" max="4" width="14.85546875" customWidth="1"/>
  </cols>
  <sheetData>
    <row r="3" spans="2:10" ht="15.75" x14ac:dyDescent="0.25">
      <c r="I3" s="27" t="s">
        <v>36</v>
      </c>
      <c r="J3" s="27"/>
    </row>
    <row r="4" spans="2:10" x14ac:dyDescent="0.25">
      <c r="I4" s="7" t="s">
        <v>37</v>
      </c>
      <c r="J4" s="8" t="s">
        <v>38</v>
      </c>
    </row>
    <row r="5" spans="2:10" ht="24" x14ac:dyDescent="0.25">
      <c r="I5" s="7" t="s">
        <v>39</v>
      </c>
      <c r="J5" s="8" t="s">
        <v>40</v>
      </c>
    </row>
    <row r="6" spans="2:10" ht="24" x14ac:dyDescent="0.25">
      <c r="I6" s="7" t="s">
        <v>41</v>
      </c>
      <c r="J6" s="8" t="s">
        <v>42</v>
      </c>
    </row>
    <row r="7" spans="2:10" ht="48" x14ac:dyDescent="0.25">
      <c r="I7" s="7" t="s">
        <v>43</v>
      </c>
      <c r="J7" s="8" t="s">
        <v>44</v>
      </c>
    </row>
    <row r="8" spans="2:10" ht="24" x14ac:dyDescent="0.25">
      <c r="I8" s="7" t="s">
        <v>45</v>
      </c>
      <c r="J8" s="8" t="s">
        <v>46</v>
      </c>
    </row>
    <row r="15" spans="2:10" x14ac:dyDescent="0.25">
      <c r="B15" s="10"/>
      <c r="C15" s="10"/>
      <c r="D15" s="10"/>
      <c r="E15" s="10"/>
      <c r="F15" s="10"/>
      <c r="G15" s="10"/>
    </row>
    <row r="16" spans="2:10" x14ac:dyDescent="0.25">
      <c r="B16" s="10"/>
      <c r="C16" s="10" t="s">
        <v>0</v>
      </c>
      <c r="D16" s="16"/>
      <c r="E16" s="10"/>
      <c r="F16" s="13">
        <v>1.2250000000000001</v>
      </c>
      <c r="G16" s="10" t="s">
        <v>24</v>
      </c>
    </row>
    <row r="17" spans="2:14" x14ac:dyDescent="0.25">
      <c r="B17" s="10"/>
      <c r="C17" s="9" t="s">
        <v>1</v>
      </c>
      <c r="D17" s="10"/>
      <c r="E17" s="10"/>
      <c r="F17" s="19">
        <v>1.5E-5</v>
      </c>
      <c r="G17" s="10" t="s">
        <v>2</v>
      </c>
    </row>
    <row r="18" spans="2:14" s="10" customFormat="1" x14ac:dyDescent="0.25">
      <c r="C18" s="9"/>
      <c r="F18" s="11"/>
    </row>
    <row r="19" spans="2:14" x14ac:dyDescent="0.25">
      <c r="B19" s="10"/>
      <c r="C19" s="12" t="s">
        <v>58</v>
      </c>
      <c r="D19" s="13">
        <v>10.5</v>
      </c>
      <c r="E19" s="10" t="s">
        <v>3</v>
      </c>
      <c r="F19" s="14">
        <f>4.44822*D19</f>
        <v>46.706310000000002</v>
      </c>
      <c r="G19" s="10" t="s">
        <v>23</v>
      </c>
      <c r="H19" s="6">
        <f>0.453592*D19</f>
        <v>4.7627160000000002</v>
      </c>
      <c r="I19" t="s">
        <v>32</v>
      </c>
    </row>
    <row r="20" spans="2:14" x14ac:dyDescent="0.25">
      <c r="B20" s="15" t="s">
        <v>35</v>
      </c>
      <c r="C20" s="10" t="s">
        <v>4</v>
      </c>
      <c r="D20" s="13">
        <f>1330</f>
        <v>1330</v>
      </c>
      <c r="E20" s="10" t="s">
        <v>5</v>
      </c>
      <c r="F20" s="14">
        <f>0.00064516*D20</f>
        <v>0.85806280000000001</v>
      </c>
      <c r="G20" s="10" t="s">
        <v>25</v>
      </c>
      <c r="H20" s="1"/>
    </row>
    <row r="21" spans="2:14" x14ac:dyDescent="0.25">
      <c r="B21" s="10"/>
      <c r="C21" s="10" t="s">
        <v>6</v>
      </c>
      <c r="D21" s="13">
        <v>94</v>
      </c>
      <c r="E21" s="10" t="s">
        <v>7</v>
      </c>
      <c r="F21" s="14">
        <f>D21*0.0254</f>
        <v>2.3875999999999999</v>
      </c>
      <c r="G21" s="10" t="s">
        <v>26</v>
      </c>
      <c r="H21" s="1">
        <f>F21/2</f>
        <v>1.1938</v>
      </c>
      <c r="I21" t="s">
        <v>31</v>
      </c>
    </row>
    <row r="22" spans="2:14" x14ac:dyDescent="0.25">
      <c r="B22" s="10"/>
      <c r="C22" s="10" t="s">
        <v>8</v>
      </c>
      <c r="D22" s="14">
        <f>F21^2/F20</f>
        <v>6.6436090225563902</v>
      </c>
      <c r="E22" s="10"/>
      <c r="F22" s="14"/>
      <c r="G22" s="10"/>
      <c r="H22" s="1"/>
      <c r="M22">
        <f>2*PI()/(1+2/D22)</f>
        <v>4.8293515461237666</v>
      </c>
      <c r="N22">
        <f>'Homework sheet'!D11</f>
        <v>8.7955195566546102E-2</v>
      </c>
    </row>
    <row r="23" spans="2:14" x14ac:dyDescent="0.25">
      <c r="B23" s="10"/>
      <c r="C23" s="10" t="s">
        <v>9</v>
      </c>
      <c r="D23" s="14">
        <f>D21/D22</f>
        <v>14.148936170212767</v>
      </c>
      <c r="E23" s="10" t="s">
        <v>7</v>
      </c>
      <c r="F23" s="47">
        <f>D23*0.0254</f>
        <v>0.3593829787234043</v>
      </c>
      <c r="G23" s="10" t="s">
        <v>26</v>
      </c>
      <c r="H23" s="1"/>
      <c r="M23">
        <f>2*PI()/(1+2/D29)</f>
        <v>4.0146347780002891</v>
      </c>
    </row>
    <row r="24" spans="2:14" x14ac:dyDescent="0.25">
      <c r="B24" s="10"/>
      <c r="C24" s="10" t="s">
        <v>10</v>
      </c>
      <c r="D24" s="14">
        <f>D19*16/D20*144</f>
        <v>18.189473684210526</v>
      </c>
      <c r="E24" s="10" t="s">
        <v>11</v>
      </c>
      <c r="F24" s="14">
        <f>F19/F20</f>
        <v>54.432274654022997</v>
      </c>
      <c r="G24" s="10" t="s">
        <v>21</v>
      </c>
      <c r="H24" s="1"/>
    </row>
    <row r="25" spans="2:14" x14ac:dyDescent="0.25">
      <c r="B25" s="10"/>
      <c r="C25" s="10" t="s">
        <v>12</v>
      </c>
      <c r="D25" s="14">
        <v>3</v>
      </c>
      <c r="E25" s="10" t="s">
        <v>13</v>
      </c>
      <c r="F25" s="14"/>
      <c r="G25" s="10"/>
      <c r="H25" s="1"/>
    </row>
    <row r="26" spans="2:14" x14ac:dyDescent="0.25">
      <c r="B26" s="3" t="s">
        <v>34</v>
      </c>
      <c r="C26" t="s">
        <v>6</v>
      </c>
      <c r="D26" s="2">
        <v>34</v>
      </c>
      <c r="E26" t="s">
        <v>7</v>
      </c>
      <c r="F26" s="6">
        <f>D26*0.0254</f>
        <v>0.86359999999999992</v>
      </c>
      <c r="G26" t="s">
        <v>26</v>
      </c>
      <c r="H26" s="1">
        <f>F26/2</f>
        <v>0.43179999999999996</v>
      </c>
      <c r="I26" t="s">
        <v>57</v>
      </c>
    </row>
    <row r="27" spans="2:14" x14ac:dyDescent="0.25">
      <c r="B27" s="3"/>
      <c r="C27" t="s">
        <v>9</v>
      </c>
      <c r="D27" s="2">
        <v>9.5</v>
      </c>
      <c r="E27" t="s">
        <v>7</v>
      </c>
      <c r="F27" s="6">
        <f>D27*0.0254</f>
        <v>0.24129999999999999</v>
      </c>
      <c r="G27" t="s">
        <v>26</v>
      </c>
      <c r="H27" s="1"/>
    </row>
    <row r="28" spans="2:14" x14ac:dyDescent="0.25">
      <c r="B28" s="3"/>
      <c r="C28" t="s">
        <v>69</v>
      </c>
      <c r="D28" s="2"/>
      <c r="F28" s="6">
        <f>F26*F27</f>
        <v>0.20838667999999996</v>
      </c>
      <c r="G28" t="s">
        <v>25</v>
      </c>
      <c r="H28" s="1"/>
    </row>
    <row r="29" spans="2:14" x14ac:dyDescent="0.25">
      <c r="C29" t="s">
        <v>8</v>
      </c>
      <c r="D29" s="2">
        <v>3.5393831667947731</v>
      </c>
      <c r="F29" s="6"/>
      <c r="H29" s="1"/>
    </row>
    <row r="30" spans="2:14" x14ac:dyDescent="0.25">
      <c r="B30" t="s">
        <v>14</v>
      </c>
      <c r="C30" s="1" t="s">
        <v>15</v>
      </c>
      <c r="D30" s="2">
        <v>40</v>
      </c>
      <c r="E30" t="s">
        <v>7</v>
      </c>
      <c r="F30" s="6">
        <f>D30*0.0254</f>
        <v>1.016</v>
      </c>
      <c r="G30" t="s">
        <v>26</v>
      </c>
      <c r="H30" t="s">
        <v>16</v>
      </c>
    </row>
    <row r="31" spans="2:14" x14ac:dyDescent="0.25">
      <c r="B31" t="s">
        <v>27</v>
      </c>
      <c r="C31" s="1" t="s">
        <v>28</v>
      </c>
      <c r="D31" s="2">
        <v>2</v>
      </c>
      <c r="E31" t="s">
        <v>7</v>
      </c>
      <c r="F31" s="6">
        <f>D31*0.0254</f>
        <v>5.0799999999999998E-2</v>
      </c>
      <c r="G31" t="s">
        <v>26</v>
      </c>
    </row>
    <row r="32" spans="2:14" x14ac:dyDescent="0.25">
      <c r="C32" t="s">
        <v>59</v>
      </c>
      <c r="D32" t="s">
        <v>67</v>
      </c>
      <c r="E32" s="2"/>
      <c r="F32" s="2"/>
    </row>
    <row r="33" spans="2:7" x14ac:dyDescent="0.25">
      <c r="C33" t="s">
        <v>68</v>
      </c>
      <c r="D33" s="1">
        <v>4.5</v>
      </c>
      <c r="E33" s="2" t="s">
        <v>13</v>
      </c>
      <c r="F33" s="2">
        <f>D33*PI()/180</f>
        <v>7.8539816339744828E-2</v>
      </c>
      <c r="G33" t="s">
        <v>86</v>
      </c>
    </row>
    <row r="34" spans="2:7" x14ac:dyDescent="0.25">
      <c r="D34" s="1"/>
      <c r="E34" s="2"/>
      <c r="F34" s="2"/>
    </row>
    <row r="35" spans="2:7" x14ac:dyDescent="0.25">
      <c r="B35" s="3" t="s">
        <v>33</v>
      </c>
      <c r="C35" t="s">
        <v>6</v>
      </c>
      <c r="D35" s="2">
        <v>10.199999999999999</v>
      </c>
      <c r="E35" t="s">
        <v>7</v>
      </c>
      <c r="F35" s="2">
        <f>D35*0.0254</f>
        <v>0.25907999999999998</v>
      </c>
      <c r="G35" t="s">
        <v>26</v>
      </c>
    </row>
    <row r="36" spans="2:7" x14ac:dyDescent="0.25">
      <c r="C36" t="s">
        <v>17</v>
      </c>
      <c r="D36" s="2">
        <v>9.5</v>
      </c>
      <c r="E36" t="s">
        <v>7</v>
      </c>
      <c r="F36" s="2">
        <f t="shared" ref="F36:F38" si="0">D36*0.0254</f>
        <v>0.24129999999999999</v>
      </c>
      <c r="G36" t="s">
        <v>26</v>
      </c>
    </row>
    <row r="37" spans="2:7" x14ac:dyDescent="0.25">
      <c r="C37" t="s">
        <v>18</v>
      </c>
      <c r="D37" s="1">
        <v>5.18</v>
      </c>
      <c r="E37" t="s">
        <v>7</v>
      </c>
      <c r="F37" s="2">
        <f t="shared" si="0"/>
        <v>0.13157199999999999</v>
      </c>
      <c r="G37" t="s">
        <v>26</v>
      </c>
    </row>
    <row r="38" spans="2:7" x14ac:dyDescent="0.25">
      <c r="C38" t="s">
        <v>19</v>
      </c>
      <c r="D38" s="2">
        <f>D36-D37</f>
        <v>4.32</v>
      </c>
      <c r="E38" t="s">
        <v>7</v>
      </c>
      <c r="F38" s="2">
        <f t="shared" si="0"/>
        <v>0.10972800000000001</v>
      </c>
      <c r="G38" t="s">
        <v>26</v>
      </c>
    </row>
    <row r="39" spans="2:7" x14ac:dyDescent="0.25">
      <c r="C39" t="s">
        <v>59</v>
      </c>
      <c r="D39" t="s">
        <v>66</v>
      </c>
      <c r="E39" s="1"/>
      <c r="F39" s="2"/>
    </row>
    <row r="40" spans="2:7" x14ac:dyDescent="0.25">
      <c r="C40" t="s">
        <v>65</v>
      </c>
      <c r="D40" s="1">
        <v>2</v>
      </c>
      <c r="E40" s="1" t="s">
        <v>13</v>
      </c>
      <c r="F40" s="2">
        <f>D40*PI()/180</f>
        <v>3.4906585039886591E-2</v>
      </c>
      <c r="G40" t="s">
        <v>86</v>
      </c>
    </row>
    <row r="41" spans="2:7" x14ac:dyDescent="0.25">
      <c r="D41" s="1"/>
      <c r="F41" s="2"/>
    </row>
    <row r="42" spans="2:7" x14ac:dyDescent="0.25">
      <c r="B42" t="s">
        <v>64</v>
      </c>
      <c r="C42" t="s">
        <v>56</v>
      </c>
      <c r="D42" s="1">
        <v>0.4</v>
      </c>
      <c r="F42" s="2"/>
    </row>
    <row r="43" spans="2:7" x14ac:dyDescent="0.25">
      <c r="C43" t="s">
        <v>54</v>
      </c>
      <c r="D43" s="1">
        <v>0</v>
      </c>
      <c r="F43" s="2"/>
    </row>
    <row r="44" spans="2:7" x14ac:dyDescent="0.25">
      <c r="D44" s="1">
        <v>-0.05</v>
      </c>
      <c r="F44" t="s">
        <v>70</v>
      </c>
    </row>
    <row r="45" spans="2:7" x14ac:dyDescent="0.25">
      <c r="D45" s="2"/>
    </row>
    <row r="46" spans="2:7" x14ac:dyDescent="0.25">
      <c r="D46" s="2"/>
    </row>
    <row r="47" spans="2:7" x14ac:dyDescent="0.25">
      <c r="D47" s="4"/>
    </row>
    <row r="48" spans="2:7" x14ac:dyDescent="0.25">
      <c r="D48" s="1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2"/>
    </row>
    <row r="53" spans="4:4" x14ac:dyDescent="0.25">
      <c r="D53" s="2"/>
    </row>
    <row r="54" spans="4:4" x14ac:dyDescent="0.25">
      <c r="D54" s="5"/>
    </row>
  </sheetData>
  <mergeCells count="1"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 sheet</vt:lpstr>
      <vt:lpstr>Homework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John P</dc:creator>
  <cp:lastModifiedBy>Tomo</cp:lastModifiedBy>
  <cp:lastPrinted>2020-03-16T09:28:09Z</cp:lastPrinted>
  <dcterms:created xsi:type="dcterms:W3CDTF">2019-09-26T15:56:45Z</dcterms:created>
  <dcterms:modified xsi:type="dcterms:W3CDTF">2020-03-16T09:54:36Z</dcterms:modified>
</cp:coreProperties>
</file>