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90" windowWidth="15375" windowHeight="7185" tabRatio="808" activeTab="4"/>
  </bookViews>
  <sheets>
    <sheet name="Coordinates" sheetId="31" r:id="rId1"/>
    <sheet name="馬達列舉" sheetId="2" r:id="rId2"/>
    <sheet name="馬達點位列舉" sheetId="3" r:id="rId3"/>
    <sheet name="INPUT列舉" sheetId="4" r:id="rId4"/>
    <sheet name="OUTPUT列舉" sheetId="5" r:id="rId5"/>
    <sheet name="MotorSettings" sheetId="16" r:id="rId6"/>
    <sheet name="MotorPoints" sheetId="17" r:id="rId7"/>
    <sheet name="Driver List" sheetId="22" r:id="rId8"/>
    <sheet name="Device Table" sheetId="23" r:id="rId9"/>
    <sheet name="Specification" sheetId="24" r:id="rId10"/>
    <sheet name="Specification2" sheetId="25" r:id="rId11"/>
    <sheet name="Work Procedure" sheetId="26" r:id="rId12"/>
    <sheet name="Inline Requirements" sheetId="28" r:id="rId13"/>
    <sheet name="IPTABLE" sheetId="29" r:id="rId14"/>
    <sheet name="Final Requirements" sheetId="27" r:id="rId15"/>
    <sheet name="NOTE" sheetId="30" r:id="rId16"/>
  </sheets>
  <definedNames>
    <definedName name="_xlnm._FilterDatabase" localSheetId="3" hidden="1">INPUT列舉!$A$4:$AA$4</definedName>
    <definedName name="_xlnm._FilterDatabase" localSheetId="4" hidden="1">OUTPUT列舉!$A$3:$Y$3</definedName>
    <definedName name="_xlnm._FilterDatabase" localSheetId="1" hidden="1">馬達列舉!$A$1:$Q$5</definedName>
    <definedName name="_xlnm._FilterDatabase" localSheetId="2" hidden="1">馬達點位列舉!$A$1:$H$2</definedName>
    <definedName name="_xlnm.Print_Area" localSheetId="4">OUTPUT列舉!#REF!</definedName>
    <definedName name="_xlnm.Print_Area" localSheetId="1">馬達列舉!$A$1:$I$5</definedName>
    <definedName name="_xlnm.Print_Area" localSheetId="2">馬達點位列舉!$A$1:$H$2</definedName>
    <definedName name="_xlnm.Print_Titles" localSheetId="3">INPUT列舉!$3:$4</definedName>
    <definedName name="_xlnm.Print_Titles" localSheetId="4">OUTPUT列舉!$2:$3</definedName>
    <definedName name="Z_4AC3AA72_9533_4F15_BFAB_BB6E9D28E437_.wvu.Cols" localSheetId="2">馬達點位列舉!$A:$D</definedName>
    <definedName name="Z_4AC3AA72_9533_4F15_BFAB_BB6E9D28E437_.wvu.FilterData" localSheetId="3">INPUT列舉!$A$4:$X$4</definedName>
    <definedName name="Z_4AC3AA72_9533_4F15_BFAB_BB6E9D28E437_.wvu.FilterData" localSheetId="4">OUTPUT列舉!$A$3:$X$3</definedName>
    <definedName name="Z_4AC3AA72_9533_4F15_BFAB_BB6E9D28E437_.wvu.FilterData" localSheetId="2">馬達點位列舉!$A$1:$F$2</definedName>
  </definedNames>
  <calcPr calcId="144525"/>
  <fileRecoveryPr autoRecover="0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I33" i="31" l="1"/>
  <c r="L33" i="31"/>
  <c r="P33" i="31"/>
  <c r="J33" i="31"/>
  <c r="M33" i="31" s="1"/>
  <c r="Q33" i="31" s="1"/>
  <c r="H33" i="31"/>
  <c r="K33" i="31"/>
  <c r="O33" i="31"/>
  <c r="I32" i="31"/>
  <c r="L32" i="31"/>
  <c r="P32" i="31" s="1"/>
  <c r="J32" i="31"/>
  <c r="M32" i="31"/>
  <c r="Q32" i="31" s="1"/>
  <c r="H32" i="31"/>
  <c r="K32" i="31"/>
  <c r="O32" i="31" s="1"/>
  <c r="W25" i="31" l="1"/>
  <c r="W23" i="31"/>
  <c r="H23" i="31" l="1"/>
  <c r="I23" i="31"/>
  <c r="J23" i="31"/>
  <c r="H24" i="31"/>
  <c r="I24" i="31"/>
  <c r="J24" i="31"/>
  <c r="H25" i="31"/>
  <c r="I25" i="31"/>
  <c r="J25" i="31"/>
  <c r="H26" i="31"/>
  <c r="I26" i="31"/>
  <c r="J26" i="31"/>
  <c r="H27" i="31"/>
  <c r="I27" i="31"/>
  <c r="J27" i="31"/>
  <c r="H28" i="31"/>
  <c r="I28" i="31"/>
  <c r="J28" i="31"/>
  <c r="H29" i="31"/>
  <c r="I29" i="31"/>
  <c r="J29" i="31"/>
  <c r="H30" i="31"/>
  <c r="I30" i="31"/>
  <c r="J30" i="31"/>
  <c r="H31" i="31"/>
  <c r="I31" i="31"/>
  <c r="J31" i="31"/>
  <c r="O16" i="4" l="1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T16" i="4" l="1"/>
  <c r="Z16" i="4"/>
  <c r="M16" i="4"/>
  <c r="K16" i="4"/>
  <c r="G16" i="4"/>
  <c r="E16" i="4"/>
  <c r="T30" i="5"/>
  <c r="G30" i="5"/>
  <c r="K30" i="5"/>
  <c r="M30" i="5"/>
  <c r="O30" i="5"/>
  <c r="G14" i="3" l="1"/>
  <c r="E14" i="3"/>
  <c r="I14" i="3" s="1"/>
  <c r="A14" i="3"/>
  <c r="B14" i="3"/>
  <c r="I48" i="31" l="1"/>
  <c r="J48" i="31"/>
  <c r="H48" i="31"/>
  <c r="O31" i="5" l="1"/>
  <c r="O29" i="5"/>
  <c r="G31" i="5"/>
  <c r="K31" i="5"/>
  <c r="M31" i="5"/>
  <c r="G29" i="5"/>
  <c r="K29" i="5"/>
  <c r="M29" i="5"/>
  <c r="O32" i="5"/>
  <c r="O33" i="5"/>
  <c r="O34" i="5"/>
  <c r="O35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T31" i="5" l="1"/>
  <c r="T29" i="5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32" i="5"/>
  <c r="G33" i="5"/>
  <c r="G34" i="5"/>
  <c r="T34" i="5" s="1"/>
  <c r="G35" i="5"/>
  <c r="M33" i="5"/>
  <c r="M34" i="5"/>
  <c r="M35" i="5"/>
  <c r="Y32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2" i="5"/>
  <c r="G10" i="5"/>
  <c r="Z17" i="4"/>
  <c r="M21" i="4"/>
  <c r="M22" i="4"/>
  <c r="M23" i="4"/>
  <c r="M24" i="4"/>
  <c r="M25" i="4"/>
  <c r="M26" i="4"/>
  <c r="M27" i="4"/>
  <c r="M28" i="4"/>
  <c r="M29" i="4"/>
  <c r="M30" i="4"/>
  <c r="M31" i="4"/>
  <c r="M32" i="4"/>
  <c r="M19" i="4"/>
  <c r="M20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18" i="4"/>
  <c r="G21" i="4"/>
  <c r="G22" i="4"/>
  <c r="G23" i="4"/>
  <c r="G24" i="4"/>
  <c r="G25" i="4"/>
  <c r="G26" i="4"/>
  <c r="G27" i="4"/>
  <c r="G28" i="4"/>
  <c r="G29" i="4"/>
  <c r="G30" i="4"/>
  <c r="G31" i="4"/>
  <c r="G32" i="4"/>
  <c r="G19" i="4"/>
  <c r="G20" i="4"/>
  <c r="E21" i="4"/>
  <c r="E22" i="4"/>
  <c r="E23" i="4"/>
  <c r="E24" i="4"/>
  <c r="E25" i="4"/>
  <c r="E26" i="4"/>
  <c r="E27" i="4"/>
  <c r="E28" i="4"/>
  <c r="E29" i="4"/>
  <c r="E30" i="4"/>
  <c r="E31" i="4"/>
  <c r="E32" i="4"/>
  <c r="E18" i="4"/>
  <c r="E19" i="4"/>
  <c r="E20" i="4"/>
  <c r="M18" i="4"/>
  <c r="M17" i="4"/>
  <c r="M15" i="4"/>
  <c r="K17" i="4"/>
  <c r="K15" i="4"/>
  <c r="O5" i="4"/>
  <c r="M6" i="4"/>
  <c r="M7" i="4"/>
  <c r="M8" i="4"/>
  <c r="M9" i="4"/>
  <c r="M10" i="4"/>
  <c r="M11" i="4"/>
  <c r="M12" i="4"/>
  <c r="M13" i="4"/>
  <c r="M14" i="4"/>
  <c r="M5" i="4"/>
  <c r="K5" i="4"/>
  <c r="K6" i="4"/>
  <c r="K7" i="4"/>
  <c r="K8" i="4"/>
  <c r="K9" i="4"/>
  <c r="K10" i="4"/>
  <c r="K11" i="4"/>
  <c r="K12" i="4"/>
  <c r="K13" i="4"/>
  <c r="K14" i="4"/>
  <c r="E17" i="4"/>
  <c r="G17" i="4"/>
  <c r="G18" i="4"/>
  <c r="AB20" i="4"/>
  <c r="AB19" i="4"/>
  <c r="AB18" i="4"/>
  <c r="AB17" i="4"/>
  <c r="T32" i="5" l="1"/>
  <c r="T20" i="4"/>
  <c r="T30" i="4"/>
  <c r="T26" i="4"/>
  <c r="T22" i="4"/>
  <c r="T33" i="5"/>
  <c r="T35" i="5"/>
  <c r="T17" i="4"/>
  <c r="T25" i="4"/>
  <c r="T19" i="4"/>
  <c r="T23" i="4"/>
  <c r="T18" i="4"/>
  <c r="T32" i="4"/>
  <c r="T28" i="4"/>
  <c r="T24" i="4"/>
  <c r="T29" i="4"/>
  <c r="T21" i="4"/>
  <c r="T31" i="4"/>
  <c r="T27" i="4"/>
  <c r="H42" i="31" l="1"/>
  <c r="I42" i="31"/>
  <c r="J42" i="31"/>
  <c r="H43" i="31"/>
  <c r="I43" i="31"/>
  <c r="J43" i="31"/>
  <c r="H44" i="31"/>
  <c r="I44" i="31"/>
  <c r="J44" i="31"/>
  <c r="H45" i="31"/>
  <c r="I45" i="31"/>
  <c r="J45" i="31"/>
  <c r="H46" i="31"/>
  <c r="I46" i="31"/>
  <c r="J46" i="31"/>
  <c r="H47" i="31"/>
  <c r="I47" i="31"/>
  <c r="J47" i="31"/>
  <c r="H39" i="31"/>
  <c r="K39" i="31" s="1"/>
  <c r="I39" i="31"/>
  <c r="J39" i="31"/>
  <c r="M39" i="31" s="1"/>
  <c r="H40" i="31"/>
  <c r="I40" i="31"/>
  <c r="J40" i="31"/>
  <c r="H22" i="31"/>
  <c r="I22" i="31"/>
  <c r="J22" i="31"/>
  <c r="H34" i="31"/>
  <c r="I34" i="31"/>
  <c r="J34" i="31"/>
  <c r="H35" i="31"/>
  <c r="I35" i="31"/>
  <c r="J35" i="31"/>
  <c r="H36" i="31"/>
  <c r="I36" i="31"/>
  <c r="J36" i="31"/>
  <c r="H37" i="31"/>
  <c r="K37" i="31" s="1"/>
  <c r="I37" i="31"/>
  <c r="L37" i="31" s="1"/>
  <c r="J37" i="31"/>
  <c r="H38" i="31"/>
  <c r="I38" i="31"/>
  <c r="J38" i="31"/>
  <c r="I21" i="31"/>
  <c r="J21" i="31"/>
  <c r="H21" i="31"/>
  <c r="I20" i="31"/>
  <c r="J20" i="31"/>
  <c r="H20" i="31"/>
  <c r="L36" i="31" l="1"/>
  <c r="L40" i="31"/>
  <c r="L38" i="31"/>
  <c r="L34" i="31"/>
  <c r="M35" i="31"/>
  <c r="Q35" i="31" s="1"/>
  <c r="K38" i="31"/>
  <c r="M36" i="31"/>
  <c r="P35" i="31"/>
  <c r="L35" i="31"/>
  <c r="K34" i="31"/>
  <c r="M40" i="31"/>
  <c r="L39" i="31"/>
  <c r="P39" i="31" s="1"/>
  <c r="L41" i="31"/>
  <c r="M37" i="31"/>
  <c r="K35" i="31"/>
  <c r="O39" i="31" s="1"/>
  <c r="M38" i="31"/>
  <c r="Q38" i="31" s="1"/>
  <c r="K36" i="31"/>
  <c r="O36" i="31" s="1"/>
  <c r="M34" i="31"/>
  <c r="K40" i="31"/>
  <c r="O40" i="31" s="1"/>
  <c r="P41" i="31"/>
  <c r="P36" i="31"/>
  <c r="P40" i="31"/>
  <c r="K41" i="31"/>
  <c r="O41" i="31" s="1"/>
  <c r="P37" i="31"/>
  <c r="P38" i="31"/>
  <c r="O37" i="31"/>
  <c r="M41" i="31"/>
  <c r="J19" i="31"/>
  <c r="I19" i="31"/>
  <c r="H19" i="31"/>
  <c r="J18" i="31"/>
  <c r="I18" i="31"/>
  <c r="H18" i="31"/>
  <c r="J17" i="31"/>
  <c r="I17" i="31"/>
  <c r="H17" i="31"/>
  <c r="J16" i="31"/>
  <c r="I16" i="31"/>
  <c r="H16" i="31"/>
  <c r="J15" i="31"/>
  <c r="I15" i="31"/>
  <c r="H15" i="31"/>
  <c r="J14" i="31"/>
  <c r="I14" i="31"/>
  <c r="H14" i="31"/>
  <c r="J13" i="31"/>
  <c r="I13" i="31"/>
  <c r="H13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J5" i="31"/>
  <c r="I5" i="31"/>
  <c r="H5" i="31"/>
  <c r="J4" i="31"/>
  <c r="I4" i="31"/>
  <c r="H4" i="31"/>
  <c r="J3" i="31"/>
  <c r="I3" i="31"/>
  <c r="H3" i="31"/>
  <c r="K24" i="31" l="1"/>
  <c r="K28" i="31"/>
  <c r="O28" i="31" s="1"/>
  <c r="K25" i="31"/>
  <c r="K26" i="31"/>
  <c r="O26" i="31" s="1"/>
  <c r="K27" i="31"/>
  <c r="O27" i="31" s="1"/>
  <c r="K29" i="31"/>
  <c r="O29" i="31" s="1"/>
  <c r="K31" i="31"/>
  <c r="K30" i="31"/>
  <c r="O30" i="31" s="1"/>
  <c r="K23" i="31"/>
  <c r="O23" i="31" s="1"/>
  <c r="M48" i="31"/>
  <c r="M23" i="31"/>
  <c r="M26" i="31"/>
  <c r="M30" i="31"/>
  <c r="M27" i="31"/>
  <c r="Q27" i="31" s="1"/>
  <c r="M31" i="31"/>
  <c r="M28" i="31"/>
  <c r="M29" i="31"/>
  <c r="M24" i="31"/>
  <c r="Q24" i="31" s="1"/>
  <c r="M25" i="31"/>
  <c r="L48" i="31"/>
  <c r="L26" i="31"/>
  <c r="L23" i="31"/>
  <c r="L29" i="31"/>
  <c r="L31" i="31"/>
  <c r="L30" i="31"/>
  <c r="L27" i="31"/>
  <c r="P27" i="31" s="1"/>
  <c r="L24" i="31"/>
  <c r="L25" i="31"/>
  <c r="L28" i="31"/>
  <c r="Q39" i="31"/>
  <c r="Q37" i="31"/>
  <c r="Q36" i="31"/>
  <c r="K22" i="31"/>
  <c r="K48" i="31"/>
  <c r="Q41" i="31"/>
  <c r="Q40" i="31"/>
  <c r="O35" i="31"/>
  <c r="O38" i="31"/>
  <c r="K21" i="31"/>
  <c r="L21" i="31"/>
  <c r="L20" i="31"/>
  <c r="L22" i="31"/>
  <c r="K20" i="31"/>
  <c r="M21" i="31"/>
  <c r="M22" i="31"/>
  <c r="M20" i="31"/>
  <c r="K15" i="31"/>
  <c r="K17" i="31"/>
  <c r="M14" i="31"/>
  <c r="L17" i="31"/>
  <c r="L12" i="31"/>
  <c r="L15" i="31"/>
  <c r="L13" i="31"/>
  <c r="P13" i="31" s="1"/>
  <c r="K19" i="31"/>
  <c r="K13" i="31"/>
  <c r="L19" i="31"/>
  <c r="M12" i="31"/>
  <c r="K14" i="31"/>
  <c r="M18" i="31"/>
  <c r="Q18" i="31" s="1"/>
  <c r="K12" i="31"/>
  <c r="L14" i="31"/>
  <c r="K16" i="31"/>
  <c r="M19" i="31"/>
  <c r="M15" i="31"/>
  <c r="L16" i="31"/>
  <c r="K18" i="31"/>
  <c r="O18" i="31" s="1"/>
  <c r="M16" i="31"/>
  <c r="Q16" i="31" s="1"/>
  <c r="M13" i="31"/>
  <c r="M17" i="31"/>
  <c r="L18" i="31"/>
  <c r="P18" i="31" s="1"/>
  <c r="G3" i="3"/>
  <c r="G4" i="3"/>
  <c r="G5" i="3"/>
  <c r="G6" i="3"/>
  <c r="G7" i="3"/>
  <c r="G8" i="3"/>
  <c r="G9" i="3"/>
  <c r="G10" i="3"/>
  <c r="G11" i="3"/>
  <c r="G12" i="3"/>
  <c r="G13" i="3"/>
  <c r="P23" i="31" l="1"/>
  <c r="P25" i="31"/>
  <c r="P31" i="31"/>
  <c r="Q28" i="31"/>
  <c r="Q26" i="31"/>
  <c r="P48" i="31"/>
  <c r="P24" i="31"/>
  <c r="P29" i="31"/>
  <c r="Q25" i="31"/>
  <c r="Q31" i="31"/>
  <c r="Q23" i="31"/>
  <c r="O31" i="31"/>
  <c r="O25" i="31"/>
  <c r="Q48" i="31"/>
  <c r="P28" i="31"/>
  <c r="P30" i="31"/>
  <c r="P26" i="31"/>
  <c r="Q29" i="31"/>
  <c r="Q30" i="31"/>
  <c r="O24" i="31"/>
  <c r="O48" i="31"/>
  <c r="O13" i="31"/>
  <c r="Q13" i="31"/>
  <c r="Q20" i="31"/>
  <c r="Q19" i="31"/>
  <c r="Q17" i="31"/>
  <c r="Q22" i="31"/>
  <c r="Q15" i="31"/>
  <c r="Q21" i="31"/>
  <c r="O16" i="31"/>
  <c r="O19" i="31"/>
  <c r="P17" i="31"/>
  <c r="P16" i="31"/>
  <c r="P20" i="31"/>
  <c r="P19" i="31"/>
  <c r="P15" i="31"/>
  <c r="O17" i="31"/>
  <c r="P21" i="31"/>
  <c r="O15" i="31"/>
  <c r="O20" i="31"/>
  <c r="O21" i="31"/>
  <c r="P22" i="31"/>
  <c r="O22" i="31"/>
  <c r="G15" i="25"/>
  <c r="G14" i="25"/>
  <c r="G13" i="25"/>
  <c r="G12" i="25"/>
  <c r="G11" i="25"/>
  <c r="H11" i="25" s="1"/>
  <c r="G10" i="25"/>
  <c r="H10" i="25" s="1"/>
  <c r="G9" i="25"/>
  <c r="G8" i="25"/>
  <c r="G7" i="25"/>
  <c r="H7" i="25" s="1"/>
  <c r="I7" i="25" s="1"/>
  <c r="G6" i="25"/>
  <c r="G5" i="25"/>
  <c r="H5" i="25" s="1"/>
  <c r="I5" i="25" s="1"/>
  <c r="B5" i="25"/>
  <c r="G4" i="25"/>
  <c r="G3" i="25"/>
  <c r="G2" i="25"/>
  <c r="H2" i="25" s="1"/>
  <c r="I2" i="25" s="1"/>
  <c r="I10" i="25" l="1"/>
  <c r="H13" i="25"/>
  <c r="I13" i="25" s="1"/>
  <c r="I11" i="25"/>
  <c r="H14" i="25"/>
  <c r="I14" i="25" s="1"/>
  <c r="H3" i="25"/>
  <c r="I3" i="25" s="1"/>
  <c r="H8" i="25"/>
  <c r="I8" i="25" s="1"/>
  <c r="H6" i="25"/>
  <c r="I6" i="25" s="1"/>
  <c r="H4" i="25"/>
  <c r="I4" i="25" s="1"/>
  <c r="H9" i="25"/>
  <c r="I9" i="25" s="1"/>
  <c r="H12" i="25"/>
  <c r="I12" i="25" s="1"/>
  <c r="H15" i="25"/>
  <c r="I15" i="25" s="1"/>
  <c r="G3" i="17" l="1"/>
  <c r="H3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C3" i="17"/>
  <c r="C4" i="17"/>
  <c r="C5" i="17"/>
  <c r="C6" i="17"/>
  <c r="C7" i="17"/>
  <c r="C8" i="17"/>
  <c r="C9" i="17"/>
  <c r="C10" i="17"/>
  <c r="C11" i="17"/>
  <c r="C12" i="17"/>
  <c r="C13" i="17"/>
  <c r="E3" i="3"/>
  <c r="I3" i="3" s="1"/>
  <c r="A3" i="17" s="1"/>
  <c r="E4" i="3"/>
  <c r="I4" i="3" s="1"/>
  <c r="A4" i="17" s="1"/>
  <c r="E5" i="3"/>
  <c r="I5" i="3" s="1"/>
  <c r="A5" i="17" s="1"/>
  <c r="E6" i="3"/>
  <c r="I6" i="3" s="1"/>
  <c r="A6" i="17" s="1"/>
  <c r="E7" i="3"/>
  <c r="I7" i="3" s="1"/>
  <c r="A7" i="17" s="1"/>
  <c r="E8" i="3"/>
  <c r="I8" i="3" s="1"/>
  <c r="A8" i="17" s="1"/>
  <c r="E9" i="3"/>
  <c r="I9" i="3" s="1"/>
  <c r="A9" i="17" s="1"/>
  <c r="E10" i="3"/>
  <c r="I10" i="3" s="1"/>
  <c r="A10" i="17" s="1"/>
  <c r="E11" i="3"/>
  <c r="I11" i="3" s="1"/>
  <c r="A11" i="17" s="1"/>
  <c r="E12" i="3"/>
  <c r="I12" i="3" s="1"/>
  <c r="A12" i="17" s="1"/>
  <c r="E13" i="3"/>
  <c r="I13" i="3" s="1"/>
  <c r="A13" i="17" s="1"/>
  <c r="A12" i="3"/>
  <c r="B12" i="3"/>
  <c r="A13" i="3"/>
  <c r="B13" i="3"/>
  <c r="A11" i="3"/>
  <c r="B11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12" i="5"/>
  <c r="Y13" i="5"/>
  <c r="Y14" i="5"/>
  <c r="Y15" i="5"/>
  <c r="K16" i="5"/>
  <c r="T16" i="5" s="1"/>
  <c r="K17" i="5"/>
  <c r="T17" i="5" s="1"/>
  <c r="K18" i="5"/>
  <c r="T18" i="5" s="1"/>
  <c r="K19" i="5"/>
  <c r="T19" i="5" s="1"/>
  <c r="K20" i="5"/>
  <c r="T20" i="5" s="1"/>
  <c r="K21" i="5"/>
  <c r="T21" i="5" s="1"/>
  <c r="K22" i="5"/>
  <c r="T22" i="5" s="1"/>
  <c r="K23" i="5"/>
  <c r="T23" i="5" s="1"/>
  <c r="K24" i="5"/>
  <c r="T24" i="5" s="1"/>
  <c r="K25" i="5"/>
  <c r="T25" i="5" s="1"/>
  <c r="K26" i="5"/>
  <c r="T26" i="5" s="1"/>
  <c r="K27" i="5"/>
  <c r="T27" i="5" s="1"/>
  <c r="K28" i="5"/>
  <c r="T28" i="5" s="1"/>
  <c r="K7" i="5"/>
  <c r="K8" i="5"/>
  <c r="K9" i="5"/>
  <c r="K10" i="5"/>
  <c r="T10" i="5" s="1"/>
  <c r="K11" i="5"/>
  <c r="T11" i="5" s="1"/>
  <c r="K12" i="5"/>
  <c r="T12" i="5" s="1"/>
  <c r="K13" i="5"/>
  <c r="T13" i="5" s="1"/>
  <c r="K14" i="5"/>
  <c r="T14" i="5" s="1"/>
  <c r="K15" i="5"/>
  <c r="T15" i="5" s="1"/>
  <c r="G6" i="5"/>
  <c r="G7" i="5"/>
  <c r="G8" i="5"/>
  <c r="T8" i="5" s="1"/>
  <c r="G9" i="5"/>
  <c r="AA6" i="4"/>
  <c r="AA7" i="4"/>
  <c r="AC6" i="4"/>
  <c r="AC7" i="4"/>
  <c r="AB6" i="4"/>
  <c r="AB7" i="4"/>
  <c r="AB8" i="4"/>
  <c r="AB9" i="4"/>
  <c r="AB10" i="4"/>
  <c r="AB11" i="4"/>
  <c r="AB12" i="4"/>
  <c r="AB13" i="4"/>
  <c r="AB14" i="4"/>
  <c r="AB15" i="4"/>
  <c r="E6" i="4"/>
  <c r="E7" i="4"/>
  <c r="E8" i="4"/>
  <c r="E9" i="4"/>
  <c r="E10" i="4"/>
  <c r="E11" i="4"/>
  <c r="E12" i="4"/>
  <c r="E13" i="4"/>
  <c r="E14" i="4"/>
  <c r="E15" i="4"/>
  <c r="P3" i="2"/>
  <c r="P4" i="2"/>
  <c r="P5" i="2"/>
  <c r="Q3" i="2"/>
  <c r="Q4" i="2"/>
  <c r="Q5" i="2"/>
  <c r="M3" i="2"/>
  <c r="M4" i="2"/>
  <c r="M5" i="2"/>
  <c r="Q2" i="2"/>
  <c r="P2" i="2"/>
  <c r="M2" i="2"/>
  <c r="L3" i="2"/>
  <c r="L4" i="2"/>
  <c r="L5" i="2"/>
  <c r="L2" i="2"/>
  <c r="T9" i="5" l="1"/>
  <c r="T7" i="5"/>
  <c r="AC5" i="4"/>
  <c r="AA5" i="4"/>
  <c r="AB5" i="4" l="1"/>
  <c r="K5" i="5" l="1"/>
  <c r="K6" i="5"/>
  <c r="O5" i="5"/>
  <c r="O6" i="5"/>
  <c r="G5" i="5"/>
  <c r="G4" i="5"/>
  <c r="O4" i="5"/>
  <c r="K4" i="5"/>
  <c r="O6" i="4"/>
  <c r="O7" i="4"/>
  <c r="O8" i="4"/>
  <c r="O9" i="4"/>
  <c r="O10" i="4"/>
  <c r="O11" i="4"/>
  <c r="O12" i="4"/>
  <c r="O13" i="4"/>
  <c r="O14" i="4"/>
  <c r="O15" i="4"/>
  <c r="G6" i="4"/>
  <c r="G7" i="4"/>
  <c r="G8" i="4"/>
  <c r="G9" i="4"/>
  <c r="G10" i="4"/>
  <c r="G11" i="4"/>
  <c r="G12" i="4"/>
  <c r="G13" i="4"/>
  <c r="G14" i="4"/>
  <c r="G15" i="4"/>
  <c r="G5" i="4"/>
  <c r="T4" i="5" l="1"/>
  <c r="Y6" i="5"/>
  <c r="Y7" i="5"/>
  <c r="Y8" i="5"/>
  <c r="Y9" i="5"/>
  <c r="Y10" i="5"/>
  <c r="Y11" i="5"/>
  <c r="Y5" i="5"/>
  <c r="Z9" i="4"/>
  <c r="Z10" i="4"/>
  <c r="Z11" i="4"/>
  <c r="Z12" i="4"/>
  <c r="Z13" i="4"/>
  <c r="Z14" i="4"/>
  <c r="Z15" i="4"/>
  <c r="Z8" i="4"/>
  <c r="AC8" i="4" l="1"/>
  <c r="AA8" i="4"/>
  <c r="AA15" i="4"/>
  <c r="AC15" i="4"/>
  <c r="AA9" i="4"/>
  <c r="AC9" i="4"/>
  <c r="AA14" i="4"/>
  <c r="AC14" i="4"/>
  <c r="AA13" i="4"/>
  <c r="AC13" i="4"/>
  <c r="AC12" i="4"/>
  <c r="AA12" i="4"/>
  <c r="AC11" i="4"/>
  <c r="AA11" i="4"/>
  <c r="AC10" i="4"/>
  <c r="AA10" i="4"/>
  <c r="E3" i="2"/>
  <c r="A3" i="16" s="1"/>
  <c r="E4" i="2"/>
  <c r="A4" i="16" s="1"/>
  <c r="E5" i="2"/>
  <c r="A5" i="16" s="1"/>
  <c r="E2" i="2"/>
  <c r="A2" i="16" s="1"/>
  <c r="F4" i="2"/>
  <c r="F5" i="2"/>
  <c r="C3" i="16"/>
  <c r="D3" i="16"/>
  <c r="E3" i="16"/>
  <c r="C4" i="16"/>
  <c r="D4" i="16"/>
  <c r="E4" i="16"/>
  <c r="C5" i="16"/>
  <c r="D5" i="16"/>
  <c r="E5" i="16"/>
  <c r="B3" i="16"/>
  <c r="B4" i="16"/>
  <c r="B5" i="16"/>
  <c r="J3" i="16"/>
  <c r="J4" i="16"/>
  <c r="J5" i="16"/>
  <c r="I3" i="16"/>
  <c r="I4" i="16"/>
  <c r="I5" i="16"/>
  <c r="O4" i="2"/>
  <c r="O5" i="2"/>
  <c r="J14" i="3" s="1"/>
  <c r="F3" i="16"/>
  <c r="F4" i="16"/>
  <c r="F5" i="16"/>
  <c r="N14" i="3" l="1"/>
  <c r="O14" i="3"/>
  <c r="P14" i="3"/>
  <c r="Q5" i="16"/>
  <c r="J11" i="3"/>
  <c r="J13" i="3"/>
  <c r="J12" i="3"/>
  <c r="J8" i="3"/>
  <c r="J10" i="3"/>
  <c r="J7" i="3"/>
  <c r="J9" i="3"/>
  <c r="J5" i="2"/>
  <c r="Q4" i="16"/>
  <c r="E5" i="5"/>
  <c r="N10" i="3" l="1"/>
  <c r="F10" i="17" s="1"/>
  <c r="P10" i="3"/>
  <c r="E10" i="17" s="1"/>
  <c r="O10" i="3"/>
  <c r="D10" i="17" s="1"/>
  <c r="N8" i="3"/>
  <c r="F8" i="17" s="1"/>
  <c r="P8" i="3"/>
  <c r="E8" i="17" s="1"/>
  <c r="O8" i="3"/>
  <c r="D8" i="17" s="1"/>
  <c r="N9" i="3"/>
  <c r="F9" i="17" s="1"/>
  <c r="O9" i="3"/>
  <c r="D9" i="17" s="1"/>
  <c r="P9" i="3"/>
  <c r="E9" i="17" s="1"/>
  <c r="O12" i="3"/>
  <c r="D12" i="17" s="1"/>
  <c r="P12" i="3"/>
  <c r="E12" i="17" s="1"/>
  <c r="N12" i="3"/>
  <c r="F12" i="17" s="1"/>
  <c r="N13" i="3"/>
  <c r="F13" i="17" s="1"/>
  <c r="O13" i="3"/>
  <c r="D13" i="17" s="1"/>
  <c r="P13" i="3"/>
  <c r="E13" i="17" s="1"/>
  <c r="P7" i="3"/>
  <c r="E7" i="17" s="1"/>
  <c r="N7" i="3"/>
  <c r="F7" i="17" s="1"/>
  <c r="O7" i="3"/>
  <c r="D7" i="17" s="1"/>
  <c r="N11" i="3"/>
  <c r="F11" i="17" s="1"/>
  <c r="O11" i="3"/>
  <c r="D11" i="17" s="1"/>
  <c r="P11" i="3"/>
  <c r="E11" i="17" s="1"/>
  <c r="T5" i="5" l="1"/>
  <c r="T6" i="5"/>
  <c r="F3" i="2" l="1"/>
  <c r="J3" i="2"/>
  <c r="J4" i="2"/>
  <c r="E4" i="5" l="1"/>
  <c r="T6" i="4" l="1"/>
  <c r="T5" i="4" l="1"/>
  <c r="E5" i="4"/>
  <c r="T7" i="4" l="1"/>
  <c r="T15" i="4" l="1"/>
  <c r="T11" i="4"/>
  <c r="T13" i="4"/>
  <c r="T14" i="4"/>
  <c r="T10" i="4"/>
  <c r="T12" i="4"/>
  <c r="T9" i="4"/>
  <c r="T8" i="4"/>
  <c r="H2" i="17" l="1"/>
  <c r="G2" i="17"/>
  <c r="B2" i="3"/>
  <c r="G2" i="3" l="1"/>
  <c r="J2" i="16"/>
  <c r="I2" i="16"/>
  <c r="O3" i="2"/>
  <c r="O2" i="2"/>
  <c r="F2" i="16"/>
  <c r="J3" i="3" l="1"/>
  <c r="J4" i="3"/>
  <c r="J6" i="3"/>
  <c r="J5" i="3"/>
  <c r="Q3" i="16"/>
  <c r="J2" i="3"/>
  <c r="Q2" i="16"/>
  <c r="C2" i="17"/>
  <c r="N5" i="3" l="1"/>
  <c r="F5" i="17" s="1"/>
  <c r="O5" i="3"/>
  <c r="D5" i="17" s="1"/>
  <c r="P5" i="3"/>
  <c r="E5" i="17" s="1"/>
  <c r="N6" i="3"/>
  <c r="F6" i="17" s="1"/>
  <c r="O6" i="3"/>
  <c r="D6" i="17" s="1"/>
  <c r="P6" i="3"/>
  <c r="E6" i="17" s="1"/>
  <c r="O4" i="3"/>
  <c r="D4" i="17" s="1"/>
  <c r="P4" i="3"/>
  <c r="E4" i="17" s="1"/>
  <c r="N4" i="3"/>
  <c r="F4" i="17" s="1"/>
  <c r="O3" i="3"/>
  <c r="D3" i="17" s="1"/>
  <c r="P3" i="3"/>
  <c r="E3" i="17" s="1"/>
  <c r="N3" i="3"/>
  <c r="F3" i="17" s="1"/>
  <c r="N2" i="3"/>
  <c r="F2" i="17" s="1"/>
  <c r="P2" i="3"/>
  <c r="E2" i="17" s="1"/>
  <c r="O2" i="3"/>
  <c r="D2" i="17" s="1"/>
  <c r="F2" i="2" l="1"/>
  <c r="J2" i="2"/>
  <c r="E2" i="3" l="1"/>
  <c r="I2" i="3" s="1"/>
  <c r="A2" i="17" s="1"/>
  <c r="A2" i="3"/>
  <c r="D2" i="16" l="1"/>
  <c r="E2" i="16"/>
  <c r="C2" i="16"/>
  <c r="B2" i="16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i/>
            <sz val="9"/>
            <color rgb="FF000000"/>
            <rFont val="Tahoma"/>
            <family val="2"/>
            <charset val="1"/>
          </rPr>
          <t xml:space="preserve">AutoBVT:
</t>
        </r>
        <r>
          <rPr>
            <b/>
            <i/>
            <sz val="9"/>
            <color rgb="FF000000"/>
            <rFont val="Tahoma"/>
            <family val="2"/>
            <charset val="1"/>
          </rPr>
          <t xml:space="preserve">Have order in ascend , otherwise lookup table would return incorrect value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" authorId="0">
      <text>
        <r>
          <rPr>
            <i/>
            <sz val="9"/>
            <color rgb="FF000000"/>
            <rFont val="Tahoma"/>
            <family val="2"/>
            <charset val="1"/>
          </rPr>
          <t xml:space="preserve">AutoBVT:
</t>
        </r>
        <r>
          <rPr>
            <b/>
            <i/>
            <sz val="9"/>
            <color rgb="FF000000"/>
            <rFont val="新細明體"/>
            <family val="1"/>
            <charset val="136"/>
          </rPr>
          <t>對應到</t>
        </r>
        <r>
          <rPr>
            <b/>
            <i/>
            <sz val="9"/>
            <color rgb="FF000000"/>
            <rFont val="Tahoma"/>
            <family val="2"/>
            <charset val="1"/>
          </rPr>
          <t>pData.MotorPoints</t>
        </r>
        <r>
          <rPr>
            <b/>
            <i/>
            <sz val="9"/>
            <color rgb="FF000000"/>
            <rFont val="新細明體"/>
            <family val="1"/>
            <charset val="136"/>
          </rPr>
          <t>的</t>
        </r>
        <r>
          <rPr>
            <b/>
            <i/>
            <sz val="9"/>
            <color rgb="FF000000"/>
            <rFont val="Tahoma"/>
            <family val="2"/>
            <charset val="1"/>
          </rPr>
          <t xml:space="preserve">Index
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AutoBVT</author>
    <author/>
  </authors>
  <commentList>
    <comment ref="S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描述特定硬體內子類別定址</t>
        </r>
      </text>
    </comment>
    <comment ref="V4" authorId="1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amax</t>
        </r>
        <r>
          <rPr>
            <sz val="9"/>
            <color indexed="81"/>
            <rFont val="細明體"/>
            <family val="3"/>
            <charset val="136"/>
          </rPr>
          <t>的</t>
        </r>
        <r>
          <rPr>
            <sz val="9"/>
            <color indexed="81"/>
            <rFont val="Tahoma"/>
            <family val="2"/>
          </rPr>
          <t>ip</t>
        </r>
        <r>
          <rPr>
            <sz val="9"/>
            <color indexed="81"/>
            <rFont val="細明體"/>
            <family val="3"/>
            <charset val="136"/>
          </rPr>
          <t>位置</t>
        </r>
      </text>
    </comment>
    <comment ref="W4" authorId="2">
      <text>
        <r>
          <rPr>
            <i/>
            <sz val="9"/>
            <color rgb="FF000000"/>
            <rFont val="Tahoma"/>
            <family val="2"/>
            <charset val="1"/>
          </rPr>
          <t xml:space="preserve">AutoBVT:
</t>
        </r>
        <r>
          <rPr>
            <b/>
            <i/>
            <sz val="9"/>
            <color rgb="FF000000"/>
            <rFont val="新細明體"/>
            <family val="1"/>
            <charset val="136"/>
          </rPr>
          <t>在</t>
        </r>
        <r>
          <rPr>
            <b/>
            <i/>
            <sz val="9"/>
            <color rgb="FF000000"/>
            <rFont val="Tahoma"/>
            <family val="2"/>
            <charset val="1"/>
          </rPr>
          <t xml:space="preserve">AMONET </t>
        </r>
        <r>
          <rPr>
            <b/>
            <i/>
            <sz val="9"/>
            <color rgb="FF000000"/>
            <rFont val="新細明體"/>
            <family val="1"/>
            <charset val="136"/>
          </rPr>
          <t>個別</t>
        </r>
        <r>
          <rPr>
            <b/>
            <i/>
            <sz val="9"/>
            <color rgb="FF000000"/>
            <rFont val="Tahoma"/>
            <family val="2"/>
            <charset val="1"/>
          </rPr>
          <t>I/O</t>
        </r>
        <r>
          <rPr>
            <b/>
            <i/>
            <sz val="9"/>
            <color rgb="FF000000"/>
            <rFont val="新細明體"/>
            <family val="1"/>
            <charset val="136"/>
          </rPr>
          <t>模組上的</t>
        </r>
        <r>
          <rPr>
            <b/>
            <i/>
            <sz val="9"/>
            <color rgb="FF000000"/>
            <rFont val="Tahoma"/>
            <family val="2"/>
            <charset val="1"/>
          </rPr>
          <t>PORT</t>
        </r>
        <r>
          <rPr>
            <b/>
            <i/>
            <sz val="9"/>
            <color rgb="FF000000"/>
            <rFont val="新細明體"/>
            <family val="1"/>
            <charset val="136"/>
          </rPr>
          <t xml:space="preserve">序號
</t>
        </r>
      </text>
    </comment>
    <comment ref="X4" authorId="2">
      <text>
        <r>
          <rPr>
            <i/>
            <sz val="9"/>
            <color rgb="FF000000"/>
            <rFont val="Tahoma"/>
            <family val="2"/>
            <charset val="1"/>
          </rPr>
          <t xml:space="preserve">AutoBVT:
</t>
        </r>
        <r>
          <rPr>
            <sz val="12"/>
            <color rgb="FF000000"/>
            <rFont val="細明體"/>
            <family val="3"/>
            <charset val="136"/>
          </rPr>
          <t>程式內裝置位址（從零開始)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/>
  </authors>
  <commentList>
    <comment ref="S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描述特定硬體內子類別定址</t>
        </r>
      </text>
    </comment>
    <comment ref="W3" authorId="1">
      <text>
        <r>
          <rPr>
            <i/>
            <sz val="9"/>
            <color rgb="FF000000"/>
            <rFont val="Tahoma"/>
            <family val="2"/>
            <charset val="1"/>
          </rPr>
          <t xml:space="preserve">AutoBVT:
</t>
        </r>
        <r>
          <rPr>
            <b/>
            <i/>
            <sz val="9"/>
            <color rgb="FF000000"/>
            <rFont val="新細明體"/>
            <family val="1"/>
            <charset val="136"/>
          </rPr>
          <t>在</t>
        </r>
        <r>
          <rPr>
            <b/>
            <i/>
            <sz val="9"/>
            <color rgb="FF000000"/>
            <rFont val="Tahoma"/>
            <family val="2"/>
            <charset val="1"/>
          </rPr>
          <t xml:space="preserve">AMONET </t>
        </r>
        <r>
          <rPr>
            <b/>
            <i/>
            <sz val="9"/>
            <color rgb="FF000000"/>
            <rFont val="新細明體"/>
            <family val="1"/>
            <charset val="136"/>
          </rPr>
          <t>個別</t>
        </r>
        <r>
          <rPr>
            <b/>
            <i/>
            <sz val="9"/>
            <color rgb="FF000000"/>
            <rFont val="Tahoma"/>
            <family val="2"/>
            <charset val="1"/>
          </rPr>
          <t>I/O</t>
        </r>
        <r>
          <rPr>
            <b/>
            <i/>
            <sz val="9"/>
            <color rgb="FF000000"/>
            <rFont val="新細明體"/>
            <family val="1"/>
            <charset val="136"/>
          </rPr>
          <t>模組上的</t>
        </r>
        <r>
          <rPr>
            <b/>
            <i/>
            <sz val="9"/>
            <color rgb="FF000000"/>
            <rFont val="Tahoma"/>
            <family val="2"/>
            <charset val="1"/>
          </rPr>
          <t>PORT</t>
        </r>
        <r>
          <rPr>
            <b/>
            <i/>
            <sz val="9"/>
            <color rgb="FF000000"/>
            <rFont val="新細明體"/>
            <family val="1"/>
            <charset val="136"/>
          </rPr>
          <t xml:space="preserve">序號
</t>
        </r>
      </text>
    </comment>
    <comment ref="X3" authorId="1">
      <text>
        <r>
          <rPr>
            <i/>
            <sz val="9"/>
            <color rgb="FF000000"/>
            <rFont val="Tahoma"/>
            <family val="2"/>
            <charset val="1"/>
          </rPr>
          <t xml:space="preserve">AutoBVT:
</t>
        </r>
        <r>
          <rPr>
            <b/>
            <i/>
            <sz val="9"/>
            <color rgb="FF000000"/>
            <rFont val="細明體"/>
            <family val="3"/>
            <charset val="136"/>
          </rPr>
          <t>程式內裝置位址（從零開始）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O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描述特定硬體內子類別定址</t>
        </r>
      </text>
    </comment>
  </commentList>
</comments>
</file>

<file path=xl/comments6.xml><?xml version="1.0" encoding="utf-8"?>
<comments xmlns="http://schemas.openxmlformats.org/spreadsheetml/2006/main">
  <authors>
    <author>JUHSIEN.LAI</author>
    <author>JUHSIEN.LAI 賴儒賢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JUHSIEN.LAI:</t>
        </r>
        <r>
          <rPr>
            <sz val="9"/>
            <color indexed="81"/>
            <rFont val="Tahoma"/>
            <family val="2"/>
          </rPr>
          <t xml:space="preserve">
LPC</t>
        </r>
        <r>
          <rPr>
            <sz val="9"/>
            <color indexed="81"/>
            <rFont val="細明體"/>
            <family val="3"/>
            <charset val="136"/>
          </rPr>
          <t>工程圖面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JUHSIEN.LAI:</t>
        </r>
        <r>
          <rPr>
            <sz val="9"/>
            <color indexed="81"/>
            <rFont val="Tahoma"/>
            <family val="2"/>
          </rPr>
          <t xml:space="preserve">
Die</t>
        </r>
        <r>
          <rPr>
            <sz val="9"/>
            <color indexed="81"/>
            <rFont val="細明體"/>
            <family val="3"/>
            <charset val="136"/>
          </rPr>
          <t>工程圖面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JUHSIEN.LAI: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待確認工程圖面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JUHSIEN.LAI:
Yaw Range</t>
        </r>
        <r>
          <rPr>
            <b/>
            <sz val="9"/>
            <color indexed="81"/>
            <rFont val="細明體"/>
            <family val="3"/>
            <charset val="136"/>
          </rPr>
          <t>為 光纖寬度/LEFT_RIGHT = xxx Radian?</t>
        </r>
      </text>
    </comment>
    <comment ref="C12" authorId="1">
      <text>
        <r>
          <rPr>
            <b/>
            <sz val="9"/>
            <color indexed="81"/>
            <rFont val="Tahoma"/>
            <family val="2"/>
          </rPr>
          <t xml:space="preserve">JUHSIEN.LAI </t>
        </r>
        <r>
          <rPr>
            <b/>
            <sz val="9"/>
            <color indexed="81"/>
            <rFont val="細明體"/>
            <family val="3"/>
            <charset val="136"/>
          </rPr>
          <t>賴儒賢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點完再</t>
        </r>
        <r>
          <rPr>
            <sz val="9"/>
            <color indexed="81"/>
            <rFont val="Tahoma"/>
            <family val="2"/>
          </rPr>
          <t>Inspection?</t>
        </r>
      </text>
    </comment>
    <comment ref="E15" authorId="1">
      <text>
        <r>
          <rPr>
            <b/>
            <sz val="9"/>
            <color indexed="81"/>
            <rFont val="Tahoma"/>
            <family val="2"/>
          </rPr>
          <t xml:space="preserve">JUHSIEN.LAI </t>
        </r>
        <r>
          <rPr>
            <b/>
            <sz val="9"/>
            <color indexed="81"/>
            <rFont val="細明體"/>
            <family val="3"/>
            <charset val="136"/>
          </rPr>
          <t>賴儒賢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細明體"/>
            <family val="3"/>
            <charset val="136"/>
          </rPr>
          <t>首件檢查</t>
        </r>
      </text>
    </comment>
  </commentList>
</comments>
</file>

<file path=xl/connections.xml><?xml version="1.0" encoding="utf-8"?>
<connections xmlns="http://schemas.openxmlformats.org/spreadsheetml/2006/main">
  <connection id="1" name="MotionPosData" type="4" refreshedVersion="0" background="1">
    <webPr xml="1" sourceData="1" url="C:\Users\jk.yang\Desktop\MotionPosData.xml" htmlTables="1" htmlFormat="all"/>
  </connection>
</connections>
</file>

<file path=xl/sharedStrings.xml><?xml version="1.0" encoding="utf-8"?>
<sst xmlns="http://schemas.openxmlformats.org/spreadsheetml/2006/main" count="1179" uniqueCount="625">
  <si>
    <t>//機構標號</t>
  </si>
  <si>
    <t>區域</t>
  </si>
  <si>
    <t>描述</t>
  </si>
  <si>
    <t>Index of pData.MotorSetting</t>
  </si>
  <si>
    <t>MotorName</t>
  </si>
  <si>
    <t>Station</t>
  </si>
  <si>
    <t>Ring</t>
  </si>
  <si>
    <t>DeviceIp</t>
  </si>
  <si>
    <t>AxisIp</t>
  </si>
  <si>
    <t>//區域</t>
  </si>
  <si>
    <t>馬達名</t>
  </si>
  <si>
    <t>Object點位名</t>
  </si>
  <si>
    <t>#點位名</t>
  </si>
  <si>
    <t>Index of pData.MotorPoints</t>
  </si>
  <si>
    <t>//程式內部定址用</t>
  </si>
  <si>
    <t>IO表格用</t>
  </si>
  <si>
    <t>描述#</t>
  </si>
  <si>
    <t>RING</t>
  </si>
  <si>
    <t>DEVICEID</t>
  </si>
  <si>
    <t>PORT</t>
  </si>
  <si>
    <t>DEVICE INDEX#</t>
  </si>
  <si>
    <t>ADDRESS#</t>
  </si>
  <si>
    <t>//必填</t>
    <phoneticPr fontId="8" type="noConversion"/>
  </si>
  <si>
    <t>PORT(BIT)</t>
    <phoneticPr fontId="8" type="noConversion"/>
  </si>
  <si>
    <t>//自動</t>
    <phoneticPr fontId="8" type="noConversion"/>
  </si>
  <si>
    <t>//程式內部定址用
(必填)</t>
    <phoneticPr fontId="8" type="noConversion"/>
  </si>
  <si>
    <t>DEVICE INDEX#</t>
    <phoneticPr fontId="8" type="noConversion"/>
  </si>
  <si>
    <t>MotorName</t>
    <phoneticPr fontId="8" type="noConversion"/>
  </si>
  <si>
    <t>Station</t>
    <phoneticPr fontId="8" type="noConversion"/>
  </si>
  <si>
    <t>RingIndex</t>
    <phoneticPr fontId="8" type="noConversion"/>
  </si>
  <si>
    <t>DeviceIp</t>
    <phoneticPr fontId="8" type="noConversion"/>
  </si>
  <si>
    <t>AxisIndex</t>
    <phoneticPr fontId="8" type="noConversion"/>
  </si>
  <si>
    <t>ServoOnLevel</t>
    <phoneticPr fontId="8" type="noConversion"/>
  </si>
  <si>
    <t>EncoderDir</t>
    <phoneticPr fontId="8" type="noConversion"/>
  </si>
  <si>
    <t>PulseInputMode</t>
    <phoneticPr fontId="8" type="noConversion"/>
  </si>
  <si>
    <t>PulseOutputMode</t>
    <phoneticPr fontId="8" type="noConversion"/>
  </si>
  <si>
    <t>FeedBackSource</t>
    <phoneticPr fontId="8" type="noConversion"/>
  </si>
  <si>
    <t>AlarmLevel</t>
    <phoneticPr fontId="8" type="noConversion"/>
  </si>
  <si>
    <t>HomeLevel</t>
    <phoneticPr fontId="8" type="noConversion"/>
  </si>
  <si>
    <t>InPosEnabled</t>
    <phoneticPr fontId="8" type="noConversion"/>
  </si>
  <si>
    <t>InPosLevel</t>
    <phoneticPr fontId="8" type="noConversion"/>
  </si>
  <si>
    <t>LatchLevel</t>
    <phoneticPr fontId="8" type="noConversion"/>
  </si>
  <si>
    <t>SlowDownLevel</t>
    <phoneticPr fontId="8" type="noConversion"/>
  </si>
  <si>
    <t>PulsePerUnit</t>
    <phoneticPr fontId="8" type="noConversion"/>
  </si>
  <si>
    <t>Unit</t>
    <phoneticPr fontId="8" type="noConversion"/>
  </si>
  <si>
    <t>EXTERNAL_ENCODER</t>
  </si>
  <si>
    <t>HIGH_ACTIVE</t>
  </si>
  <si>
    <t>DISABLE</t>
  </si>
  <si>
    <t>MM</t>
  </si>
  <si>
    <t>PointName</t>
  </si>
  <si>
    <t>PointType</t>
  </si>
  <si>
    <t>StartVelocity</t>
  </si>
  <si>
    <t>Velocity</t>
  </si>
  <si>
    <t>Distance</t>
  </si>
  <si>
    <t>AccelerationTime</t>
  </si>
  <si>
    <t>DecelerationTime</t>
  </si>
  <si>
    <t>SShapeAccelerationTime</t>
  </si>
  <si>
    <t>SShapeDecelerationTime</t>
  </si>
  <si>
    <t>IsHomePoint</t>
  </si>
  <si>
    <t>馬達描述</t>
    <phoneticPr fontId="8" type="noConversion"/>
  </si>
  <si>
    <t>AxisIndex</t>
    <phoneticPr fontId="8" type="noConversion"/>
  </si>
  <si>
    <t>AxisIndex</t>
    <phoneticPr fontId="8" type="noConversion"/>
  </si>
  <si>
    <t>ABx4</t>
  </si>
  <si>
    <t>OUT_FALLING_DIR_LOW</t>
  </si>
  <si>
    <t>LOW_ACTIVE</t>
  </si>
  <si>
    <t>系統</t>
    <phoneticPr fontId="8" type="noConversion"/>
  </si>
  <si>
    <t>形式</t>
    <phoneticPr fontId="8" type="noConversion"/>
  </si>
  <si>
    <t>輸出形式</t>
    <phoneticPr fontId="8" type="noConversion"/>
  </si>
  <si>
    <t>輸入形式</t>
    <phoneticPr fontId="8" type="noConversion"/>
  </si>
  <si>
    <t>A2</t>
    <phoneticPr fontId="8" type="noConversion"/>
  </si>
  <si>
    <t>RK2</t>
    <phoneticPr fontId="8" type="noConversion"/>
  </si>
  <si>
    <t>SIGMA5</t>
    <phoneticPr fontId="8" type="noConversion"/>
  </si>
  <si>
    <t>驅動器形式</t>
    <phoneticPr fontId="8" type="noConversion"/>
  </si>
  <si>
    <t>命令脈波形式</t>
    <phoneticPr fontId="8" type="noConversion"/>
  </si>
  <si>
    <t>A_B_Phase</t>
    <phoneticPr fontId="8" type="noConversion"/>
  </si>
  <si>
    <t>輸出脈波數（pulses/revolution）</t>
    <phoneticPr fontId="8" type="noConversion"/>
  </si>
  <si>
    <t>回授訊號來源</t>
    <phoneticPr fontId="8" type="noConversion"/>
  </si>
  <si>
    <t>伺服致能預設值</t>
    <phoneticPr fontId="8" type="noConversion"/>
  </si>
  <si>
    <t>ACTIVE</t>
  </si>
  <si>
    <t>INACTIVE</t>
    <phoneticPr fontId="8" type="noConversion"/>
  </si>
  <si>
    <t>機械減速比（unit/revolution）</t>
    <phoneticPr fontId="8" type="noConversion"/>
  </si>
  <si>
    <t>電子齒輪比（pulses/unit）</t>
    <phoneticPr fontId="8" type="noConversion"/>
  </si>
  <si>
    <t>輸出脈波數（pulses/revolution）</t>
    <phoneticPr fontId="8" type="noConversion"/>
  </si>
  <si>
    <t>伺服致能預設值</t>
    <phoneticPr fontId="8" type="noConversion"/>
  </si>
  <si>
    <t>描述#</t>
    <phoneticPr fontId="8" type="noConversion"/>
  </si>
  <si>
    <t>Start velocity in unit</t>
    <phoneticPr fontId="8" type="noConversion"/>
  </si>
  <si>
    <t>Velocity in unit</t>
    <phoneticPr fontId="8" type="noConversion"/>
  </si>
  <si>
    <t>Position</t>
    <phoneticPr fontId="8" type="noConversion"/>
  </si>
  <si>
    <t>Acceraltion Time</t>
    <phoneticPr fontId="8" type="noConversion"/>
  </si>
  <si>
    <t>Deceleartion Time</t>
    <phoneticPr fontId="8" type="noConversion"/>
  </si>
  <si>
    <t>電子齒輪比（Pulses/unit）</t>
    <phoneticPr fontId="8" type="noConversion"/>
  </si>
  <si>
    <t>Start velocity in pulse</t>
  </si>
  <si>
    <t>Velocity in pulse</t>
  </si>
  <si>
    <t>Position in pulse</t>
    <phoneticPr fontId="8" type="noConversion"/>
  </si>
  <si>
    <t>REL</t>
    <phoneticPr fontId="8" type="noConversion"/>
  </si>
  <si>
    <t>56-63Bits</t>
    <phoneticPr fontId="14" type="noConversion"/>
  </si>
  <si>
    <t>48-55Bits</t>
    <phoneticPr fontId="14" type="noConversion"/>
  </si>
  <si>
    <t>40-47Bits</t>
    <phoneticPr fontId="14" type="noConversion"/>
  </si>
  <si>
    <t>32-39Bits</t>
    <phoneticPr fontId="14" type="noConversion"/>
  </si>
  <si>
    <t>24-31Bits</t>
    <phoneticPr fontId="14" type="noConversion"/>
  </si>
  <si>
    <t>16-23Bits</t>
    <phoneticPr fontId="14" type="noConversion"/>
  </si>
  <si>
    <t>8-15Bits</t>
    <phoneticPr fontId="14" type="noConversion"/>
  </si>
  <si>
    <t>0-7Bits</t>
    <phoneticPr fontId="14" type="noConversion"/>
  </si>
  <si>
    <t>意義</t>
    <phoneticPr fontId="14" type="noConversion"/>
  </si>
  <si>
    <t>函式庫形式</t>
    <phoneticPr fontId="14" type="noConversion"/>
  </si>
  <si>
    <t>硬體自定義</t>
    <phoneticPr fontId="14" type="noConversion"/>
  </si>
  <si>
    <t>Data Index</t>
    <phoneticPr fontId="14" type="noConversion"/>
  </si>
  <si>
    <t>資料塊</t>
    <phoneticPr fontId="14" type="noConversion"/>
  </si>
  <si>
    <t>VIRTUAL</t>
    <phoneticPr fontId="14" type="noConversion"/>
  </si>
  <si>
    <t>0</t>
    <phoneticPr fontId="14" type="noConversion"/>
  </si>
  <si>
    <t>AMAX_LOCAL_OUTPUT</t>
    <phoneticPr fontId="14" type="noConversion"/>
  </si>
  <si>
    <t>AMAX_RING0</t>
    <phoneticPr fontId="14" type="noConversion"/>
  </si>
  <si>
    <t>Decimal:0-255</t>
    <phoneticPr fontId="14" type="noConversion"/>
  </si>
  <si>
    <t>Decimal:0-63</t>
    <phoneticPr fontId="14" type="noConversion"/>
  </si>
  <si>
    <t>AMAX</t>
    <phoneticPr fontId="14" type="noConversion"/>
  </si>
  <si>
    <t>1</t>
    <phoneticPr fontId="14" type="noConversion"/>
  </si>
  <si>
    <t>AMAX_RING1</t>
    <phoneticPr fontId="14" type="noConversion"/>
  </si>
  <si>
    <t>DMT</t>
    <phoneticPr fontId="14" type="noConversion"/>
  </si>
  <si>
    <t>2</t>
    <phoneticPr fontId="14" type="noConversion"/>
  </si>
  <si>
    <t>AMAX_REMOTE</t>
    <phoneticPr fontId="14" type="noConversion"/>
  </si>
  <si>
    <t>DMT_X</t>
    <phoneticPr fontId="14" type="noConversion"/>
  </si>
  <si>
    <t>TWINCATADS</t>
    <phoneticPr fontId="14" type="noConversion"/>
  </si>
  <si>
    <t>3</t>
    <phoneticPr fontId="14" type="noConversion"/>
  </si>
  <si>
    <t>DMT_Y</t>
    <phoneticPr fontId="14" type="noConversion"/>
  </si>
  <si>
    <t>Bit Index</t>
    <phoneticPr fontId="14" type="noConversion"/>
  </si>
  <si>
    <t>Device Index</t>
    <phoneticPr fontId="8" type="noConversion"/>
  </si>
  <si>
    <t>DMT</t>
    <phoneticPr fontId="8" type="noConversion"/>
  </si>
  <si>
    <t>0</t>
    <phoneticPr fontId="8" type="noConversion"/>
  </si>
  <si>
    <t>DMT_COMM_0</t>
    <phoneticPr fontId="8" type="noConversion"/>
  </si>
  <si>
    <t>DMT_COMM_1</t>
  </si>
  <si>
    <t>DMT_COMM_2</t>
  </si>
  <si>
    <t>DMT_COMM_3</t>
  </si>
  <si>
    <t>DMT_COMM_4</t>
  </si>
  <si>
    <t>DMT_COMM_5</t>
  </si>
  <si>
    <t>DMT_SLAVE0</t>
    <phoneticPr fontId="14" type="noConversion"/>
  </si>
  <si>
    <t>DMT_SLAVE1</t>
  </si>
  <si>
    <t>DMT_SLAVE2</t>
  </si>
  <si>
    <t>DMT_SLAVE3</t>
  </si>
  <si>
    <t>DMT_SLAVE4</t>
  </si>
  <si>
    <t>DMT_SLAVE5</t>
  </si>
  <si>
    <t>DMT_SLAVE6</t>
  </si>
  <si>
    <t>DMT_SLAVE7</t>
  </si>
  <si>
    <t>DMT_SLAVE8</t>
  </si>
  <si>
    <t>DMT_SLAVE9</t>
  </si>
  <si>
    <t>DMT_SLAVE10</t>
  </si>
  <si>
    <t>DMT_SLAVE11</t>
  </si>
  <si>
    <t>DMT_SLAVE12</t>
  </si>
  <si>
    <t>DMT_SLAVE13</t>
  </si>
  <si>
    <t>DMT_SLAVE14</t>
  </si>
  <si>
    <t>DMT_SLAVE15</t>
  </si>
  <si>
    <t>1</t>
  </si>
  <si>
    <t>2</t>
  </si>
  <si>
    <t>3</t>
  </si>
  <si>
    <t>4</t>
  </si>
  <si>
    <t>5</t>
  </si>
  <si>
    <t>AMAX_DEVICE_IP</t>
    <phoneticPr fontId="8" type="noConversion"/>
  </si>
  <si>
    <t>DMT_D_ADDRESS</t>
    <phoneticPr fontId="8" type="noConversion"/>
  </si>
  <si>
    <t>AMAX_NO_DEF</t>
    <phoneticPr fontId="8" type="noConversion"/>
  </si>
  <si>
    <t>DMT_X</t>
    <phoneticPr fontId="8" type="noConversion"/>
  </si>
  <si>
    <t>Address</t>
    <phoneticPr fontId="8" type="noConversion"/>
  </si>
  <si>
    <t>描述</t>
    <phoneticPr fontId="8" type="noConversion"/>
  </si>
  <si>
    <t>EMG</t>
    <phoneticPr fontId="8" type="noConversion"/>
  </si>
  <si>
    <t>空點</t>
    <phoneticPr fontId="8" type="noConversion"/>
  </si>
  <si>
    <t>急停輸入</t>
    <phoneticPr fontId="8" type="noConversion"/>
  </si>
  <si>
    <t>VIRTUAL</t>
    <phoneticPr fontId="8" type="noConversion"/>
  </si>
  <si>
    <t>AMAX</t>
    <phoneticPr fontId="14" type="noConversion"/>
  </si>
  <si>
    <t>AMAX_LOCAL_INPUT</t>
  </si>
  <si>
    <t>AMAX_LOCAL_INPUT</t>
    <phoneticPr fontId="14" type="noConversion"/>
  </si>
  <si>
    <t>INTERNAL_COMMAND</t>
    <phoneticPr fontId="8" type="noConversion"/>
  </si>
  <si>
    <t>DMT_D</t>
    <phoneticPr fontId="14" type="noConversion"/>
  </si>
  <si>
    <t>VIRTUAL</t>
    <phoneticPr fontId="8" type="noConversion"/>
  </si>
  <si>
    <t>DUMMY_OUT</t>
    <phoneticPr fontId="8" type="noConversion"/>
  </si>
  <si>
    <t>DUMMY_INPUT_NO</t>
    <phoneticPr fontId="8" type="noConversion"/>
  </si>
  <si>
    <t>空點常開</t>
    <phoneticPr fontId="8" type="noConversion"/>
  </si>
  <si>
    <t>DUMMY_INPUT_NC</t>
    <phoneticPr fontId="8" type="noConversion"/>
  </si>
  <si>
    <t>空點常關</t>
    <phoneticPr fontId="8" type="noConversion"/>
  </si>
  <si>
    <t>//SLP-3600-DE-L-1 （OUTPUT）</t>
    <phoneticPr fontId="8" type="noConversion"/>
  </si>
  <si>
    <t>ABx4</t>
    <phoneticPr fontId="8" type="noConversion"/>
  </si>
  <si>
    <t>DMT_SLAVE1</t>
    <phoneticPr fontId="8" type="noConversion"/>
  </si>
  <si>
    <t>DMT_SLAVE1</t>
    <phoneticPr fontId="14" type="noConversion"/>
  </si>
  <si>
    <t>MELSEC</t>
    <phoneticPr fontId="8" type="noConversion"/>
  </si>
  <si>
    <t>MELSEC_NO_DEF</t>
    <phoneticPr fontId="8" type="noConversion"/>
  </si>
  <si>
    <t>MEL_NO_DEF</t>
    <phoneticPr fontId="8" type="noConversion"/>
  </si>
  <si>
    <t>MELSEC_B</t>
    <phoneticPr fontId="8" type="noConversion"/>
  </si>
  <si>
    <t>MELSEC_W</t>
    <phoneticPr fontId="8" type="noConversion"/>
  </si>
  <si>
    <t>MELSEC_B_W_ADDRESS</t>
    <phoneticPr fontId="8" type="noConversion"/>
  </si>
  <si>
    <t>Message</t>
    <phoneticPr fontId="8" type="noConversion"/>
  </si>
  <si>
    <t>Area</t>
    <phoneticPr fontId="8" type="noConversion"/>
  </si>
  <si>
    <t>Physical</t>
    <phoneticPr fontId="8" type="noConversion"/>
  </si>
  <si>
    <t>SYS</t>
    <phoneticPr fontId="8" type="noConversion"/>
  </si>
  <si>
    <t>SYS</t>
    <phoneticPr fontId="8" type="noConversion"/>
  </si>
  <si>
    <t>DMT_Y</t>
    <phoneticPr fontId="8" type="noConversion"/>
  </si>
  <si>
    <t>MessageEN</t>
    <phoneticPr fontId="8" type="noConversion"/>
  </si>
  <si>
    <t>//0</t>
    <phoneticPr fontId="8" type="noConversion"/>
  </si>
  <si>
    <t>//1</t>
  </si>
  <si>
    <t>//2</t>
  </si>
  <si>
    <t>//3</t>
  </si>
  <si>
    <t>//4</t>
  </si>
  <si>
    <t>//5</t>
  </si>
  <si>
    <t>//6</t>
  </si>
  <si>
    <t>//7</t>
  </si>
  <si>
    <t>//8</t>
  </si>
  <si>
    <t>//9</t>
  </si>
  <si>
    <t>//10</t>
  </si>
  <si>
    <t>//11</t>
  </si>
  <si>
    <t>//12</t>
  </si>
  <si>
    <t>//13</t>
  </si>
  <si>
    <t>//14</t>
  </si>
  <si>
    <t>//15</t>
  </si>
  <si>
    <t>//16</t>
  </si>
  <si>
    <t>//17</t>
  </si>
  <si>
    <t>//18</t>
  </si>
  <si>
    <t>//19</t>
  </si>
  <si>
    <t>//20</t>
  </si>
  <si>
    <t>//21</t>
  </si>
  <si>
    <t>//22</t>
  </si>
  <si>
    <t>//23</t>
  </si>
  <si>
    <t>//24</t>
  </si>
  <si>
    <t>//25</t>
  </si>
  <si>
    <t>//26</t>
  </si>
  <si>
    <t>//27</t>
  </si>
  <si>
    <t>//28</t>
  </si>
  <si>
    <t>//區域(Area)</t>
    <phoneticPr fontId="8" type="noConversion"/>
  </si>
  <si>
    <t>機構標號(Symbol)</t>
    <phoneticPr fontId="8" type="noConversion"/>
  </si>
  <si>
    <t>Description</t>
    <phoneticPr fontId="8" type="noConversion"/>
  </si>
  <si>
    <t>Description</t>
    <phoneticPr fontId="14" type="noConversion"/>
  </si>
  <si>
    <t>機構標號(Symbol)</t>
    <phoneticPr fontId="14" type="noConversion"/>
  </si>
  <si>
    <t>//區域(Area)</t>
    <phoneticPr fontId="14" type="noConversion"/>
  </si>
  <si>
    <t>MsX</t>
    <phoneticPr fontId="8" type="noConversion"/>
  </si>
  <si>
    <t>MsY</t>
    <phoneticPr fontId="8" type="noConversion"/>
  </si>
  <si>
    <t>MsZ</t>
    <phoneticPr fontId="8" type="noConversion"/>
  </si>
  <si>
    <t>MpUV</t>
    <phoneticPr fontId="8" type="noConversion"/>
  </si>
  <si>
    <t>X軸</t>
    <phoneticPr fontId="8" type="noConversion"/>
  </si>
  <si>
    <t>Y軸</t>
    <phoneticPr fontId="8" type="noConversion"/>
  </si>
  <si>
    <t>Z軸</t>
    <phoneticPr fontId="8" type="noConversion"/>
  </si>
  <si>
    <t>UV光掃描</t>
    <phoneticPr fontId="8" type="noConversion"/>
  </si>
  <si>
    <t>RK2</t>
    <phoneticPr fontId="8" type="noConversion"/>
  </si>
  <si>
    <t>HITACHI</t>
    <phoneticPr fontId="8" type="noConversion"/>
  </si>
  <si>
    <t>//FA（INPUT）</t>
    <phoneticPr fontId="8" type="noConversion"/>
  </si>
  <si>
    <t>連線檢知1</t>
    <phoneticPr fontId="8" type="noConversion"/>
  </si>
  <si>
    <t>連線檢知2</t>
  </si>
  <si>
    <t>暫停鍵</t>
    <phoneticPr fontId="8" type="noConversion"/>
  </si>
  <si>
    <t>溫度到達</t>
    <phoneticPr fontId="8" type="noConversion"/>
  </si>
  <si>
    <t>GRIPPER</t>
    <phoneticPr fontId="8" type="noConversion"/>
  </si>
  <si>
    <t>APPROX1</t>
    <phoneticPr fontId="8" type="noConversion"/>
  </si>
  <si>
    <t>APPROX2</t>
    <phoneticPr fontId="8" type="noConversion"/>
  </si>
  <si>
    <t>GRIP_SEN</t>
    <phoneticPr fontId="8" type="noConversion"/>
  </si>
  <si>
    <t>//</t>
    <phoneticPr fontId="8" type="noConversion"/>
  </si>
  <si>
    <t>SYS</t>
    <phoneticPr fontId="8" type="noConversion"/>
  </si>
  <si>
    <t>PB_PAUSE</t>
    <phoneticPr fontId="8" type="noConversion"/>
  </si>
  <si>
    <t>HEATER</t>
    <phoneticPr fontId="8" type="noConversion"/>
  </si>
  <si>
    <t>TEMP_REACH</t>
    <phoneticPr fontId="8" type="noConversion"/>
  </si>
  <si>
    <t>PLC</t>
    <phoneticPr fontId="8" type="noConversion"/>
  </si>
  <si>
    <t>LSR</t>
    <phoneticPr fontId="14" type="noConversion"/>
  </si>
  <si>
    <t>LSR_DR1_DIS</t>
    <phoneticPr fontId="14" type="noConversion"/>
  </si>
  <si>
    <t>LSR_DR2_DIS</t>
    <phoneticPr fontId="14" type="noConversion"/>
  </si>
  <si>
    <t>//</t>
    <phoneticPr fontId="14" type="noConversion"/>
  </si>
  <si>
    <t>GRIP_VAC</t>
    <phoneticPr fontId="14" type="noConversion"/>
  </si>
  <si>
    <t>DISP</t>
    <phoneticPr fontId="14" type="noConversion"/>
  </si>
  <si>
    <t>SYNRINGE</t>
    <phoneticPr fontId="14" type="noConversion"/>
  </si>
  <si>
    <t>LP_PAUSE</t>
    <phoneticPr fontId="14" type="noConversion"/>
  </si>
  <si>
    <t>LP_R</t>
    <phoneticPr fontId="14" type="noConversion"/>
  </si>
  <si>
    <t>LP_G</t>
    <phoneticPr fontId="14" type="noConversion"/>
  </si>
  <si>
    <t>LP_Y</t>
    <phoneticPr fontId="14" type="noConversion"/>
  </si>
  <si>
    <t>BUZZER</t>
    <phoneticPr fontId="14" type="noConversion"/>
  </si>
  <si>
    <t>SYS</t>
    <phoneticPr fontId="14" type="noConversion"/>
  </si>
  <si>
    <t>GRIPPER</t>
    <phoneticPr fontId="8" type="noConversion"/>
  </si>
  <si>
    <t>夾手吸附</t>
    <phoneticPr fontId="14" type="noConversion"/>
  </si>
  <si>
    <t>塗膠</t>
    <phoneticPr fontId="14" type="noConversion"/>
  </si>
  <si>
    <t>膠加壓</t>
    <phoneticPr fontId="14" type="noConversion"/>
  </si>
  <si>
    <t>HOME</t>
    <phoneticPr fontId="8" type="noConversion"/>
  </si>
  <si>
    <t>ZERO</t>
    <phoneticPr fontId="8" type="noConversion"/>
  </si>
  <si>
    <t>MsX</t>
    <phoneticPr fontId="8" type="noConversion"/>
  </si>
  <si>
    <t>HOME</t>
    <phoneticPr fontId="8" type="noConversion"/>
  </si>
  <si>
    <t>HOME</t>
    <phoneticPr fontId="8" type="noConversion"/>
  </si>
  <si>
    <t>ZERO</t>
    <phoneticPr fontId="8" type="noConversion"/>
  </si>
  <si>
    <t>原點</t>
    <phoneticPr fontId="8" type="noConversion"/>
  </si>
  <si>
    <t>ZERO</t>
    <phoneticPr fontId="8" type="noConversion"/>
  </si>
  <si>
    <t>DISP_CALI</t>
    <phoneticPr fontId="8" type="noConversion"/>
  </si>
  <si>
    <t>DISP_WORK</t>
    <phoneticPr fontId="8" type="noConversion"/>
  </si>
  <si>
    <t>噴頭校正高度</t>
    <phoneticPr fontId="8" type="noConversion"/>
  </si>
  <si>
    <t>噴頭工作高度</t>
    <phoneticPr fontId="8" type="noConversion"/>
  </si>
  <si>
    <t>零位</t>
    <phoneticPr fontId="8" type="noConversion"/>
  </si>
  <si>
    <t>MsY</t>
    <phoneticPr fontId="8" type="noConversion"/>
  </si>
  <si>
    <t>MsZ</t>
    <phoneticPr fontId="8" type="noConversion"/>
  </si>
  <si>
    <t>MsX</t>
    <phoneticPr fontId="8" type="noConversion"/>
  </si>
  <si>
    <t>MpUV</t>
    <phoneticPr fontId="8" type="noConversion"/>
  </si>
  <si>
    <t>HOME</t>
    <phoneticPr fontId="8" type="noConversion"/>
  </si>
  <si>
    <t>FIRST</t>
    <phoneticPr fontId="8" type="noConversion"/>
  </si>
  <si>
    <t>PITCH</t>
    <phoneticPr fontId="8" type="noConversion"/>
  </si>
  <si>
    <t>PITCH</t>
    <phoneticPr fontId="8" type="noConversion"/>
  </si>
  <si>
    <t>DIE間距</t>
    <phoneticPr fontId="8" type="noConversion"/>
  </si>
  <si>
    <t>第一組DIE位置</t>
    <phoneticPr fontId="8" type="noConversion"/>
  </si>
  <si>
    <t>FA</t>
    <phoneticPr fontId="8" type="noConversion"/>
  </si>
  <si>
    <t>FA</t>
    <phoneticPr fontId="8" type="noConversion"/>
  </si>
  <si>
    <t>FA</t>
    <phoneticPr fontId="8" type="noConversion"/>
  </si>
  <si>
    <t>FA</t>
    <phoneticPr fontId="8" type="noConversion"/>
  </si>
  <si>
    <t>ABS</t>
    <phoneticPr fontId="8" type="noConversion"/>
  </si>
  <si>
    <t>REL</t>
    <phoneticPr fontId="8" type="noConversion"/>
  </si>
  <si>
    <t>ABS</t>
    <phoneticPr fontId="8" type="noConversion"/>
  </si>
  <si>
    <t>//</t>
    <phoneticPr fontId="8" type="noConversion"/>
  </si>
  <si>
    <t>DMT_COMM_0</t>
  </si>
  <si>
    <t>DMT_COMM_0</t>
    <phoneticPr fontId="8" type="noConversion"/>
  </si>
  <si>
    <t>C2_ORIGIN</t>
  </si>
  <si>
    <t>C3_ORIGIN</t>
  </si>
  <si>
    <t>Luxtera</t>
    <phoneticPr fontId="20" type="noConversion"/>
  </si>
  <si>
    <t>Delta</t>
    <phoneticPr fontId="20" type="noConversion"/>
  </si>
  <si>
    <t>Note</t>
    <phoneticPr fontId="20" type="noConversion"/>
  </si>
  <si>
    <t>CCD</t>
    <phoneticPr fontId="20" type="noConversion"/>
  </si>
  <si>
    <t>Basler asA2500-14gm</t>
    <phoneticPr fontId="20" type="noConversion"/>
  </si>
  <si>
    <t>1 pixel =  2.2 µm / 0.8 = 2.75 µm
Lens resolution 12.4 µm</t>
    <phoneticPr fontId="20" type="noConversion"/>
  </si>
  <si>
    <t>pixel size 2.2 µm</t>
    <phoneticPr fontId="20" type="noConversion"/>
  </si>
  <si>
    <t>Lens</t>
    <phoneticPr fontId="20" type="noConversion"/>
  </si>
  <si>
    <t>MML08-ST65D</t>
    <phoneticPr fontId="20" type="noConversion"/>
  </si>
  <si>
    <t>放大倍率0.80±5%</t>
    <phoneticPr fontId="20" type="noConversion"/>
  </si>
  <si>
    <t>resolution 12.4 µm</t>
    <phoneticPr fontId="20" type="noConversion"/>
  </si>
  <si>
    <t>Smarpod</t>
    <phoneticPr fontId="20" type="noConversion"/>
  </si>
  <si>
    <t>SmarPod 110.45</t>
  </si>
  <si>
    <t>smallest increment (x,y,z)</t>
  </si>
  <si>
    <t>1 nm</t>
  </si>
  <si>
    <t>smallest increment (Θx,y,z)</t>
  </si>
  <si>
    <t>1 µrad</t>
  </si>
  <si>
    <t>repeatability for full travel range 1 (x,y,z)</t>
  </si>
  <si>
    <t>± 200 nm</t>
  </si>
  <si>
    <t>repeatability for full travel range 1 (Θx,y,z)</t>
  </si>
  <si>
    <t>± 10 µrad</t>
  </si>
  <si>
    <t>repeatability for 1 mm travel range 1 (x,y,z)</t>
  </si>
  <si>
    <t>± 15 nm</t>
  </si>
  <si>
    <t>Motor X</t>
    <phoneticPr fontId="20" type="noConversion"/>
  </si>
  <si>
    <t>Aerotech ALS20000</t>
    <phoneticPr fontId="20" type="noConversion"/>
  </si>
  <si>
    <t>Motor Y</t>
    <phoneticPr fontId="20" type="noConversion"/>
  </si>
  <si>
    <t>Oriental ESMC-k2</t>
    <phoneticPr fontId="20" type="noConversion"/>
  </si>
  <si>
    <t>Oriental SCX11</t>
    <phoneticPr fontId="20" type="noConversion"/>
  </si>
  <si>
    <t>Motor Z</t>
    <phoneticPr fontId="20" type="noConversion"/>
  </si>
  <si>
    <t>Laser</t>
    <phoneticPr fontId="20" type="noConversion"/>
  </si>
  <si>
    <t>Sensor Head: ZW-S20</t>
    <phoneticPr fontId="20" type="noConversion"/>
  </si>
  <si>
    <t>Measuring center distance: 20mm</t>
    <phoneticPr fontId="20" type="noConversion"/>
  </si>
  <si>
    <t>Measuring range: ±1mm</t>
    <phoneticPr fontId="20" type="noConversion"/>
  </si>
  <si>
    <t>static resolution: 0.25µm</t>
    <phoneticPr fontId="20" type="noConversion"/>
  </si>
  <si>
    <t>linearity:  ±1.2µm</t>
    <phoneticPr fontId="20" type="noConversion"/>
  </si>
  <si>
    <t>Point Diameter = 45um</t>
    <phoneticPr fontId="20" type="noConversion"/>
  </si>
  <si>
    <t>Planerity= ±8deg</t>
    <phoneticPr fontId="20" type="noConversion"/>
  </si>
  <si>
    <t>Spec</t>
  </si>
  <si>
    <t>MML08-ST65D</t>
  </si>
  <si>
    <t>Coaxial Illumination(同軸光)</t>
  </si>
  <si>
    <t>○</t>
  </si>
  <si>
    <t>Magnification(倍率)</t>
  </si>
  <si>
    <t>0.80±5%</t>
  </si>
  <si>
    <t>WD (mm)(工作距離)</t>
  </si>
  <si>
    <t>Resolution (μm)(解析度)</t>
  </si>
  <si>
    <t>Depth of Field (mm)(景深)</t>
  </si>
  <si>
    <t>NA</t>
  </si>
  <si>
    <t>Effective Fno</t>
  </si>
  <si>
    <t>Distortion (%)</t>
  </si>
  <si>
    <t>Weight (g)</t>
  </si>
  <si>
    <t>Largest Compatible Sensor</t>
  </si>
  <si>
    <t>1/2" type</t>
  </si>
  <si>
    <t>Mount</t>
  </si>
  <si>
    <t>C mount</t>
  </si>
  <si>
    <t>Camera</t>
    <phoneticPr fontId="20" type="noConversion"/>
  </si>
  <si>
    <t>Resolution</t>
  </si>
  <si>
    <t>2590 px x 1942 px</t>
    <phoneticPr fontId="20" type="noConversion"/>
  </si>
  <si>
    <t xml:space="preserve">Pixel Size </t>
  </si>
  <si>
    <t>2.2 µm x 2.2 µm</t>
    <phoneticPr fontId="20" type="noConversion"/>
  </si>
  <si>
    <t>Pixel Bit Depth</t>
  </si>
  <si>
    <t>12 bits</t>
    <phoneticPr fontId="20" type="noConversion"/>
  </si>
  <si>
    <t>Max. Image Circle</t>
  </si>
  <si>
    <t>1/2.5 inch</t>
    <phoneticPr fontId="20" type="noConversion"/>
  </si>
  <si>
    <t>Sensor Type</t>
  </si>
  <si>
    <t>CMOS</t>
    <phoneticPr fontId="20" type="noConversion"/>
  </si>
  <si>
    <t>Sensor Size (mm)</t>
  </si>
  <si>
    <t>5.70 mm x 4.28 mm</t>
    <phoneticPr fontId="20" type="noConversion"/>
  </si>
  <si>
    <t>FOV</t>
    <phoneticPr fontId="20" type="noConversion"/>
  </si>
  <si>
    <t>7.125 mm x 5.35mm</t>
    <phoneticPr fontId="20" type="noConversion"/>
  </si>
  <si>
    <t>resolution: ‹ 1 nm</t>
  </si>
  <si>
    <t>Mechanical Properties</t>
  </si>
  <si>
    <t>max. vertical load FV</t>
  </si>
  <si>
    <t>5 N</t>
  </si>
  <si>
    <t>max. horizontal force FH</t>
  </si>
  <si>
    <t>2.5 N</t>
  </si>
  <si>
    <t>positioner dimension</t>
  </si>
  <si>
    <t>Ø 110 x 45 mm3</t>
  </si>
  <si>
    <t>weight</t>
  </si>
  <si>
    <t>≈ 400 g</t>
  </si>
  <si>
    <t>Travel Ranges</t>
  </si>
  <si>
    <t>x</t>
  </si>
  <si>
    <t>20 mm</t>
  </si>
  <si>
    <t>y</t>
  </si>
  <si>
    <t>z</t>
  </si>
  <si>
    <t>11 mm</t>
  </si>
  <si>
    <t>Θx</t>
  </si>
  <si>
    <t>21 °</t>
  </si>
  <si>
    <t>Θy</t>
  </si>
  <si>
    <t>24 °</t>
  </si>
  <si>
    <t>Θz</t>
  </si>
  <si>
    <t>38 °</t>
  </si>
  <si>
    <t>Closed-Loop with Nanosensor (-S)</t>
  </si>
  <si>
    <t>組裝規格簡易計算:</t>
    <phoneticPr fontId="20" type="noConversion"/>
  </si>
  <si>
    <t>Theta(Deg)</t>
    <phoneticPr fontId="20" type="noConversion"/>
  </si>
  <si>
    <t>Theta(Rad)</t>
    <phoneticPr fontId="20" type="noConversion"/>
  </si>
  <si>
    <t>SinTheta</t>
    <phoneticPr fontId="20" type="noConversion"/>
  </si>
  <si>
    <t>Error</t>
    <phoneticPr fontId="20" type="noConversion"/>
  </si>
  <si>
    <t>值</t>
    <phoneticPr fontId="20" type="noConversion"/>
  </si>
  <si>
    <t>單位</t>
    <phoneticPr fontId="20" type="noConversion"/>
  </si>
  <si>
    <t>對位精度</t>
    <phoneticPr fontId="20" type="noConversion"/>
  </si>
  <si>
    <t>mm</t>
    <phoneticPr fontId="20" type="noConversion"/>
  </si>
  <si>
    <t>行程</t>
    <phoneticPr fontId="20" type="noConversion"/>
  </si>
  <si>
    <t>mm</t>
    <phoneticPr fontId="20" type="noConversion"/>
  </si>
  <si>
    <t>旋轉角</t>
    <phoneticPr fontId="20" type="noConversion"/>
  </si>
  <si>
    <t>rad</t>
    <phoneticPr fontId="20" type="noConversion"/>
  </si>
  <si>
    <t>Small Angle Approximation Error</t>
    <phoneticPr fontId="20" type="noConversion"/>
  </si>
  <si>
    <t>&lt;5</t>
    <phoneticPr fontId="20" type="noConversion"/>
  </si>
  <si>
    <t>deg</t>
    <phoneticPr fontId="20" type="noConversion"/>
  </si>
  <si>
    <t>No</t>
    <phoneticPr fontId="20" type="noConversion"/>
  </si>
  <si>
    <t>Procedure</t>
    <phoneticPr fontId="20" type="noConversion"/>
  </si>
  <si>
    <t>Object</t>
    <phoneticPr fontId="20" type="noConversion"/>
  </si>
  <si>
    <t>Data Output</t>
    <phoneticPr fontId="20" type="noConversion"/>
  </si>
  <si>
    <t>Remark1</t>
    <phoneticPr fontId="20" type="noConversion"/>
  </si>
  <si>
    <t>Remark2</t>
  </si>
  <si>
    <t>Remark3</t>
  </si>
  <si>
    <t>Loading procedures</t>
    <phoneticPr fontId="20" type="noConversion"/>
  </si>
  <si>
    <t>LPD side view feature get</t>
    <phoneticPr fontId="20" type="noConversion"/>
  </si>
  <si>
    <t>1st edge vector finding</t>
    <phoneticPr fontId="20" type="noConversion"/>
  </si>
  <si>
    <t>image/edge vector value</t>
    <phoneticPr fontId="20" type="noConversion"/>
  </si>
  <si>
    <t>LPD rear view feature get</t>
    <phoneticPr fontId="20" type="noConversion"/>
  </si>
  <si>
    <t>2nd edge vector finding</t>
    <phoneticPr fontId="20" type="noConversion"/>
  </si>
  <si>
    <t>LPD bottom view feature get</t>
    <phoneticPr fontId="20" type="noConversion"/>
  </si>
  <si>
    <t>3rd edge vector finding
FA contamination cnspection</t>
    <phoneticPr fontId="20" type="noConversion"/>
  </si>
  <si>
    <t>image/edge vector value
contanimation data?</t>
    <phoneticPr fontId="20" type="noConversion"/>
  </si>
  <si>
    <t>LPD pose composing</t>
    <phoneticPr fontId="20" type="noConversion"/>
  </si>
  <si>
    <t>Rigid body description</t>
    <phoneticPr fontId="20" type="noConversion"/>
  </si>
  <si>
    <t>Frame description in S-Frame</t>
    <phoneticPr fontId="20" type="noConversion"/>
  </si>
  <si>
    <t>1,2,3 edge intersection cornor</t>
    <phoneticPr fontId="20" type="noConversion"/>
  </si>
  <si>
    <t>Die mark planar position measurement</t>
    <phoneticPr fontId="20" type="noConversion"/>
  </si>
  <si>
    <t>Square mark planar center finding</t>
    <phoneticPr fontId="20" type="noConversion"/>
  </si>
  <si>
    <t>image/postion data*4</t>
    <phoneticPr fontId="20" type="noConversion"/>
  </si>
  <si>
    <t>Die mark height mearsurement</t>
    <phoneticPr fontId="20" type="noConversion"/>
  </si>
  <si>
    <t>Square mark center height finding</t>
    <phoneticPr fontId="20" type="noConversion"/>
  </si>
  <si>
    <t>Die pose composing</t>
    <phoneticPr fontId="20" type="noConversion"/>
  </si>
  <si>
    <t>Frame description in R-Frame</t>
    <phoneticPr fontId="20" type="noConversion"/>
  </si>
  <si>
    <t>Relative pose guess , LPD-Die</t>
    <phoneticPr fontId="20" type="noConversion"/>
  </si>
  <si>
    <t>Planarity +-0.4Deg
Position Error 60um</t>
    <phoneticPr fontId="20" type="noConversion"/>
  </si>
  <si>
    <t>Alignment Fiber Diameter 60um</t>
    <phoneticPr fontId="20" type="noConversion"/>
  </si>
  <si>
    <t>According to ENS5164</t>
    <phoneticPr fontId="20" type="noConversion"/>
  </si>
  <si>
    <t>Dry Alignment</t>
    <phoneticPr fontId="20" type="noConversion"/>
  </si>
  <si>
    <t>Dry Align Power Min 0.75V
In Bond Height 15-35 um</t>
    <phoneticPr fontId="20" type="noConversion"/>
  </si>
  <si>
    <t>X,Y,Yaw Searching
Searching Range?</t>
    <phoneticPr fontId="20" type="noConversion"/>
  </si>
  <si>
    <t>FA Move Away/Dispension</t>
    <phoneticPr fontId="20" type="noConversion"/>
  </si>
  <si>
    <t>Dispension Time? Range? Accurancy</t>
    <phoneticPr fontId="20" type="noConversion"/>
  </si>
  <si>
    <t>Move FA back to Die</t>
    <phoneticPr fontId="20" type="noConversion"/>
  </si>
  <si>
    <t>Y Offset ?um from Dry Alignment Line
In Bond Line Height 15-35 um</t>
    <phoneticPr fontId="20" type="noConversion"/>
  </si>
  <si>
    <t>Fixed Pose , Attach along common normal axis</t>
    <phoneticPr fontId="20" type="noConversion"/>
  </si>
  <si>
    <t>Wet Alignment</t>
    <phoneticPr fontId="20" type="noConversion"/>
  </si>
  <si>
    <t>WetAlignBeamWidthFWHMLeftX 0-13 um
WetAlignBeamWidthFWHMLeftY 0-13 um</t>
    <phoneticPr fontId="20" type="noConversion"/>
  </si>
  <si>
    <t>In Dry Alignment Area Or Wet? How to detect energy?</t>
    <phoneticPr fontId="20" type="noConversion"/>
  </si>
  <si>
    <t>Cure</t>
    <phoneticPr fontId="20" type="noConversion"/>
  </si>
  <si>
    <t>PreToPostCureShiftLeft -0.75 - 3DB
PreToPostCureShiftLeft -0.75 - 3DB</t>
    <phoneticPr fontId="20" type="noConversion"/>
  </si>
  <si>
    <t>Inspection Only? Ng Report?</t>
    <phoneticPr fontId="20" type="noConversion"/>
  </si>
  <si>
    <t>Interface</t>
    <phoneticPr fontId="20" type="noConversion"/>
  </si>
  <si>
    <t>Address</t>
    <phoneticPr fontId="20" type="noConversion"/>
  </si>
  <si>
    <t>Device</t>
    <phoneticPr fontId="20" type="noConversion"/>
  </si>
  <si>
    <t>LAN1</t>
    <phoneticPr fontId="20" type="noConversion"/>
  </si>
  <si>
    <t>192.168.2.200:5000</t>
    <phoneticPr fontId="20" type="noConversion"/>
  </si>
  <si>
    <t>SmarPod</t>
    <phoneticPr fontId="20" type="noConversion"/>
  </si>
  <si>
    <t>192.168.2.5</t>
    <phoneticPr fontId="20" type="noConversion"/>
  </si>
  <si>
    <t>PLC</t>
    <phoneticPr fontId="20" type="noConversion"/>
  </si>
  <si>
    <t>192.168.2.100</t>
    <phoneticPr fontId="20" type="noConversion"/>
  </si>
  <si>
    <t>DistanceSensor</t>
    <phoneticPr fontId="20" type="noConversion"/>
  </si>
  <si>
    <t>POE</t>
    <phoneticPr fontId="20" type="noConversion"/>
  </si>
  <si>
    <t>192.168.3.100</t>
    <phoneticPr fontId="20" type="noConversion"/>
  </si>
  <si>
    <t>CCD Port0</t>
    <phoneticPr fontId="20" type="noConversion"/>
  </si>
  <si>
    <t>192.168.4.100</t>
    <phoneticPr fontId="20" type="noConversion"/>
  </si>
  <si>
    <t>CCD Port1</t>
    <phoneticPr fontId="20" type="noConversion"/>
  </si>
  <si>
    <t>192.168.5.100</t>
    <phoneticPr fontId="20" type="noConversion"/>
  </si>
  <si>
    <t>CCD Port2</t>
    <phoneticPr fontId="20" type="noConversion"/>
  </si>
  <si>
    <t>192.168.6.100</t>
    <phoneticPr fontId="20" type="noConversion"/>
  </si>
  <si>
    <t>CCD Port3</t>
    <phoneticPr fontId="20" type="noConversion"/>
  </si>
  <si>
    <t>Ominicure需有預熱時間，預熱時間內不可操作</t>
    <phoneticPr fontId="8" type="noConversion"/>
  </si>
  <si>
    <t>In CAD</t>
    <phoneticPr fontId="8" type="noConversion"/>
  </si>
  <si>
    <t>In R</t>
    <phoneticPr fontId="8" type="noConversion"/>
  </si>
  <si>
    <t>Relative</t>
    <phoneticPr fontId="8" type="noConversion"/>
  </si>
  <si>
    <t>Item</t>
    <phoneticPr fontId="8" type="noConversion"/>
  </si>
  <si>
    <t>X</t>
    <phoneticPr fontId="8" type="noConversion"/>
  </si>
  <si>
    <t>Y</t>
    <phoneticPr fontId="8" type="noConversion"/>
  </si>
  <si>
    <t>Z</t>
    <phoneticPr fontId="8" type="noConversion"/>
  </si>
  <si>
    <t>Reference</t>
    <phoneticPr fontId="8" type="noConversion"/>
  </si>
  <si>
    <t>Object</t>
    <phoneticPr fontId="8" type="noConversion"/>
  </si>
  <si>
    <t>ORIGIN</t>
    <phoneticPr fontId="8" type="noConversion"/>
  </si>
  <si>
    <t>R</t>
    <phoneticPr fontId="8" type="noConversion"/>
  </si>
  <si>
    <t>CHUCK</t>
  </si>
  <si>
    <t>CHUCK</t>
    <phoneticPr fontId="8" type="noConversion"/>
  </si>
  <si>
    <t>CHUCK_CORNER1</t>
  </si>
  <si>
    <t>R</t>
    <phoneticPr fontId="8" type="noConversion"/>
  </si>
  <si>
    <t>CHUCK</t>
    <phoneticPr fontId="8" type="noConversion"/>
  </si>
  <si>
    <t>CHUCK_CORNER2</t>
  </si>
  <si>
    <t>CHUCK_CORNER3</t>
  </si>
  <si>
    <t>C1_ORIGIN</t>
    <phoneticPr fontId="8" type="noConversion"/>
  </si>
  <si>
    <t>C1</t>
    <phoneticPr fontId="8" type="noConversion"/>
  </si>
  <si>
    <t>C2</t>
    <phoneticPr fontId="8" type="noConversion"/>
  </si>
  <si>
    <t>C3</t>
    <phoneticPr fontId="8" type="noConversion"/>
  </si>
  <si>
    <t>DIE</t>
    <phoneticPr fontId="8" type="noConversion"/>
  </si>
  <si>
    <t>S0_ORIGIN</t>
    <phoneticPr fontId="8" type="noConversion"/>
  </si>
  <si>
    <t>S</t>
    <phoneticPr fontId="8" type="noConversion"/>
  </si>
  <si>
    <t>Y0_ORIGIN</t>
    <phoneticPr fontId="8" type="noConversion"/>
  </si>
  <si>
    <t>C4</t>
    <phoneticPr fontId="8" type="noConversion"/>
  </si>
  <si>
    <t>S0</t>
    <phoneticPr fontId="8" type="noConversion"/>
  </si>
  <si>
    <t>L_ORIGIN</t>
    <phoneticPr fontId="8" type="noConversion"/>
  </si>
  <si>
    <t>L</t>
    <phoneticPr fontId="8" type="noConversion"/>
  </si>
  <si>
    <t>S0</t>
    <phoneticPr fontId="8" type="noConversion"/>
  </si>
  <si>
    <t>Y0</t>
    <phoneticPr fontId="8" type="noConversion"/>
  </si>
  <si>
    <t>BALL</t>
    <phoneticPr fontId="8" type="noConversion"/>
  </si>
  <si>
    <t>R</t>
    <phoneticPr fontId="8" type="noConversion"/>
  </si>
  <si>
    <t>LPC_R1</t>
    <phoneticPr fontId="8" type="noConversion"/>
  </si>
  <si>
    <t>LPC</t>
    <phoneticPr fontId="8" type="noConversion"/>
  </si>
  <si>
    <t>LPC_R2</t>
  </si>
  <si>
    <t>LPC_R3</t>
  </si>
  <si>
    <t>LPC_H1</t>
    <phoneticPr fontId="8" type="noConversion"/>
  </si>
  <si>
    <t>LPC_H2</t>
  </si>
  <si>
    <t>DIE_CENTER</t>
    <phoneticPr fontId="8" type="noConversion"/>
  </si>
  <si>
    <t>DIE</t>
    <phoneticPr fontId="8" type="noConversion"/>
  </si>
  <si>
    <t>H1</t>
    <phoneticPr fontId="8" type="noConversion"/>
  </si>
  <si>
    <t>HOLE</t>
    <phoneticPr fontId="8" type="noConversion"/>
  </si>
  <si>
    <t>H2</t>
  </si>
  <si>
    <t>H3</t>
  </si>
  <si>
    <t>H4</t>
  </si>
  <si>
    <t>H5</t>
  </si>
  <si>
    <t>H6</t>
  </si>
  <si>
    <t>DIE_PITCH</t>
    <phoneticPr fontId="8" type="noConversion"/>
  </si>
  <si>
    <t>DIE_FA1_FA2_OFFSET</t>
    <phoneticPr fontId="8" type="noConversion"/>
  </si>
  <si>
    <t>//0</t>
    <phoneticPr fontId="8" type="noConversion"/>
  </si>
  <si>
    <t>GRIP_OPEN</t>
    <phoneticPr fontId="14" type="noConversion"/>
  </si>
  <si>
    <t>夾手開</t>
    <phoneticPr fontId="14" type="noConversion"/>
  </si>
  <si>
    <t>LPC_F1</t>
    <phoneticPr fontId="8" type="noConversion"/>
  </si>
  <si>
    <t>LPC_F2</t>
  </si>
  <si>
    <t>LPC_F3</t>
  </si>
  <si>
    <t>DIE_P1</t>
    <phoneticPr fontId="8" type="noConversion"/>
  </si>
  <si>
    <t>DIE_P2</t>
  </si>
  <si>
    <t>DIE_P3</t>
  </si>
  <si>
    <t>DIE_P4</t>
  </si>
  <si>
    <t>DIE_P5</t>
  </si>
  <si>
    <t>DIE_P6</t>
  </si>
  <si>
    <t>GRIPPER</t>
    <phoneticPr fontId="8" type="noConversion"/>
  </si>
  <si>
    <t>GRIP_MOUNT</t>
    <phoneticPr fontId="8" type="noConversion"/>
  </si>
  <si>
    <t>機械爪有無</t>
    <phoneticPr fontId="8" type="noConversion"/>
  </si>
  <si>
    <t>雷射光致能1</t>
    <phoneticPr fontId="14" type="noConversion"/>
  </si>
  <si>
    <t>雷射光致能2</t>
  </si>
  <si>
    <t>暫停</t>
    <phoneticPr fontId="14" type="noConversion"/>
  </si>
  <si>
    <t>紅燈</t>
    <phoneticPr fontId="14" type="noConversion"/>
  </si>
  <si>
    <t>綠燈</t>
    <phoneticPr fontId="14" type="noConversion"/>
  </si>
  <si>
    <t>黃燈</t>
    <phoneticPr fontId="14" type="noConversion"/>
  </si>
  <si>
    <t>蜂鳴器</t>
    <phoneticPr fontId="14" type="noConversion"/>
  </si>
  <si>
    <t>S0</t>
  </si>
  <si>
    <t>H1</t>
  </si>
  <si>
    <t>H1</t>
    <phoneticPr fontId="8" type="noConversion"/>
  </si>
  <si>
    <t>H1</t>
    <phoneticPr fontId="8" type="noConversion"/>
  </si>
  <si>
    <t>DAQ_CHANNEL</t>
    <phoneticPr fontId="8" type="noConversion"/>
  </si>
  <si>
    <t>DAQ_AI</t>
    <phoneticPr fontId="8" type="noConversion"/>
  </si>
  <si>
    <t>BDAQ</t>
    <phoneticPr fontId="8" type="noConversion"/>
  </si>
  <si>
    <t>PD_LEFT</t>
    <phoneticPr fontId="8" type="noConversion"/>
  </si>
  <si>
    <t>PD_RIGHT</t>
    <phoneticPr fontId="8" type="noConversion"/>
  </si>
  <si>
    <t>TOP_THERMAL_SENSOR</t>
    <phoneticPr fontId="8" type="noConversion"/>
  </si>
  <si>
    <t>GRIPPER</t>
    <phoneticPr fontId="8" type="noConversion"/>
  </si>
  <si>
    <t>BDAQ</t>
    <phoneticPr fontId="8" type="noConversion"/>
  </si>
  <si>
    <t>PD_EN</t>
    <phoneticPr fontId="8" type="noConversion"/>
  </si>
  <si>
    <t>光電偵測致能</t>
    <phoneticPr fontId="14" type="noConversion"/>
  </si>
  <si>
    <t>光電偵測左</t>
    <phoneticPr fontId="8" type="noConversion"/>
  </si>
  <si>
    <t>光電偵測右</t>
    <phoneticPr fontId="8" type="noConversion"/>
  </si>
  <si>
    <t>溫度檢知</t>
    <phoneticPr fontId="8" type="noConversion"/>
  </si>
  <si>
    <t>//</t>
    <phoneticPr fontId="8" type="noConversion"/>
  </si>
  <si>
    <t>夾爪放位檢知</t>
    <phoneticPr fontId="8" type="noConversion"/>
  </si>
  <si>
    <t>DAQ_DEVICE1</t>
  </si>
  <si>
    <t>DAQ_DEVICE1</t>
    <phoneticPr fontId="8" type="noConversion"/>
  </si>
  <si>
    <t>DAQ_DEVICE2</t>
  </si>
  <si>
    <t>DAQ_DEVICE3</t>
  </si>
  <si>
    <t>DMT_COMM_0</t>
    <phoneticPr fontId="8" type="noConversion"/>
  </si>
  <si>
    <t>DAQ_AO</t>
    <phoneticPr fontId="8" type="noConversion"/>
  </si>
  <si>
    <t>//</t>
    <phoneticPr fontId="8" type="noConversion"/>
  </si>
  <si>
    <t>W1</t>
    <phoneticPr fontId="14" type="noConversion"/>
  </si>
  <si>
    <t>W2</t>
    <phoneticPr fontId="14" type="noConversion"/>
  </si>
  <si>
    <t>W3</t>
    <phoneticPr fontId="14" type="noConversion"/>
  </si>
  <si>
    <t>//</t>
    <phoneticPr fontId="14" type="noConversion"/>
  </si>
  <si>
    <t>偏振1</t>
    <phoneticPr fontId="14" type="noConversion"/>
  </si>
  <si>
    <t>偏振2</t>
  </si>
  <si>
    <t>偏振3</t>
  </si>
  <si>
    <t>DAQ_DEVICE2</t>
    <phoneticPr fontId="8" type="noConversion"/>
  </si>
  <si>
    <t>DAQ_DEVICE1</t>
    <phoneticPr fontId="14" type="noConversion"/>
  </si>
  <si>
    <t>DIE_P7</t>
    <phoneticPr fontId="8" type="noConversion"/>
  </si>
  <si>
    <t>Remark</t>
    <phoneticPr fontId="8" type="noConversion"/>
  </si>
  <si>
    <t>十字</t>
    <phoneticPr fontId="8" type="noConversion"/>
  </si>
  <si>
    <t>左入光</t>
    <phoneticPr fontId="8" type="noConversion"/>
  </si>
  <si>
    <t>右入光</t>
    <phoneticPr fontId="8" type="noConversion"/>
  </si>
  <si>
    <t>DIE_P1</t>
  </si>
  <si>
    <t>LPC_R4</t>
    <phoneticPr fontId="8" type="noConversion"/>
  </si>
  <si>
    <t>LPC_H1</t>
  </si>
  <si>
    <t>LOCAL</t>
    <phoneticPr fontId="8" type="noConversion"/>
  </si>
  <si>
    <t>LPC_H1</t>
    <phoneticPr fontId="8" type="noConversion"/>
  </si>
  <si>
    <t>OLD</t>
    <phoneticPr fontId="8" type="noConversion"/>
  </si>
  <si>
    <t>//</t>
    <phoneticPr fontId="14" type="noConversion"/>
  </si>
  <si>
    <t>DMT_D</t>
    <phoneticPr fontId="14" type="noConversion"/>
  </si>
  <si>
    <t>DISP_CONTROL</t>
    <phoneticPr fontId="14" type="noConversion"/>
  </si>
  <si>
    <t>DISP_TIME</t>
    <phoneticPr fontId="14" type="noConversion"/>
  </si>
  <si>
    <t>塗膠時間</t>
    <phoneticPr fontId="14" type="noConversion"/>
  </si>
  <si>
    <t>DISP</t>
    <phoneticPr fontId="8" type="noConversion"/>
  </si>
  <si>
    <t>膠針工作點</t>
    <phoneticPr fontId="8" type="noConversion"/>
  </si>
  <si>
    <t>R</t>
    <phoneticPr fontId="8" type="noConversion"/>
  </si>
  <si>
    <t>DISP</t>
    <phoneticPr fontId="8" type="noConversion"/>
  </si>
  <si>
    <t>READY</t>
    <phoneticPr fontId="8" type="noConversion"/>
  </si>
  <si>
    <t>DISP_AUTO_CONTROL</t>
    <phoneticPr fontId="14" type="noConversion"/>
  </si>
  <si>
    <t>SYS</t>
    <phoneticPr fontId="14" type="noConversion"/>
  </si>
  <si>
    <t>DISP_MAN_CONTROL</t>
    <phoneticPr fontId="14" type="noConversion"/>
  </si>
  <si>
    <t>塗膠自動控制</t>
    <phoneticPr fontId="14" type="noConversion"/>
  </si>
  <si>
    <t>塗膠手動控制</t>
    <phoneticPr fontId="14" type="noConversion"/>
  </si>
  <si>
    <t>DISP_RESPONSE</t>
    <phoneticPr fontId="14" type="noConversion"/>
  </si>
  <si>
    <t>塗膠回應</t>
    <phoneticPr fontId="14" type="noConversion"/>
  </si>
  <si>
    <t>DMT_D</t>
    <phoneticPr fontId="8" type="noConversion"/>
  </si>
  <si>
    <t>S0</t>
    <phoneticPr fontId="8" type="noConversion"/>
  </si>
  <si>
    <t>S0</t>
    <phoneticPr fontId="8" type="noConversion"/>
  </si>
  <si>
    <t>S0</t>
    <phoneticPr fontId="8" type="noConversion"/>
  </si>
  <si>
    <t>S0</t>
    <phoneticPr fontId="8" type="noConversion"/>
  </si>
  <si>
    <t>R1R2</t>
    <phoneticPr fontId="8" type="noConversion"/>
  </si>
  <si>
    <t>R2R3</t>
    <phoneticPr fontId="8" type="noConversion"/>
  </si>
  <si>
    <t>LPC_F4</t>
  </si>
  <si>
    <t>LPC_F5</t>
  </si>
  <si>
    <t>DISPENSOR</t>
    <phoneticPr fontId="14" type="noConversion"/>
  </si>
  <si>
    <t>//DISPENSOR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</si>
</sst>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1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i/>
      <sz val="9"/>
      <color rgb="FF000000"/>
      <name val="Tahoma"/>
      <family val="2"/>
      <charset val="1"/>
    </font>
    <font>
      <b/>
      <i/>
      <sz val="9"/>
      <color rgb="FF000000"/>
      <name val="Tahoma"/>
      <family val="2"/>
      <charset val="1"/>
    </font>
    <font>
      <b/>
      <i/>
      <sz val="9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b/>
      <i/>
      <sz val="9"/>
      <color rgb="FF000000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4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3" fillId="2" borderId="0" xfId="0" applyFont="1" applyFill="1"/>
    <xf numFmtId="0" fontId="13" fillId="2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/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ont="1" applyFill="1"/>
    <xf numFmtId="0" fontId="0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15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8" borderId="0" xfId="0" applyFill="1"/>
    <xf numFmtId="0" fontId="0" fillId="5" borderId="0" xfId="0" applyFill="1"/>
    <xf numFmtId="0" fontId="0" fillId="0" borderId="0" xfId="0" applyNumberFormat="1" applyFont="1" applyFill="1" applyAlignment="1">
      <alignment horizontal="right"/>
    </xf>
    <xf numFmtId="0" fontId="13" fillId="10" borderId="0" xfId="0" applyFont="1" applyFill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15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16" fillId="0" borderId="0" xfId="0" applyFont="1" applyFill="1"/>
    <xf numFmtId="0" fontId="0" fillId="0" borderId="0" xfId="0" applyFont="1"/>
    <xf numFmtId="0" fontId="0" fillId="11" borderId="0" xfId="0" applyFont="1" applyFill="1" applyAlignment="1">
      <alignment horizontal="left"/>
    </xf>
    <xf numFmtId="0" fontId="17" fillId="0" borderId="0" xfId="0" applyFont="1"/>
    <xf numFmtId="0" fontId="0" fillId="0" borderId="0" xfId="0" applyFont="1" applyAlignment="1">
      <alignment horizontal="left"/>
    </xf>
    <xf numFmtId="0" fontId="18" fillId="12" borderId="1" xfId="2" applyFont="1" applyFill="1" applyBorder="1">
      <alignment vertical="center"/>
    </xf>
    <xf numFmtId="0" fontId="18" fillId="12" borderId="1" xfId="2" applyFont="1" applyFill="1" applyBorder="1" applyAlignment="1">
      <alignment horizontal="center" vertical="center"/>
    </xf>
    <xf numFmtId="0" fontId="18" fillId="0" borderId="0" xfId="2" applyFont="1">
      <alignment vertical="center"/>
    </xf>
    <xf numFmtId="0" fontId="19" fillId="12" borderId="2" xfId="2" applyFont="1" applyFill="1" applyBorder="1">
      <alignment vertical="center"/>
    </xf>
    <xf numFmtId="0" fontId="19" fillId="12" borderId="5" xfId="2" applyFont="1" applyFill="1" applyBorder="1">
      <alignment vertical="center"/>
    </xf>
    <xf numFmtId="0" fontId="19" fillId="12" borderId="7" xfId="2" applyFont="1" applyFill="1" applyBorder="1">
      <alignment vertical="center"/>
    </xf>
    <xf numFmtId="0" fontId="18" fillId="0" borderId="2" xfId="2" applyFont="1" applyBorder="1">
      <alignment vertical="center"/>
    </xf>
    <xf numFmtId="0" fontId="18" fillId="0" borderId="5" xfId="2" applyFont="1" applyBorder="1">
      <alignment vertical="center"/>
    </xf>
    <xf numFmtId="0" fontId="18" fillId="0" borderId="7" xfId="2" applyFont="1" applyBorder="1">
      <alignment vertical="center"/>
    </xf>
    <xf numFmtId="0" fontId="18" fillId="0" borderId="11" xfId="2" applyFont="1" applyBorder="1">
      <alignment vertical="center"/>
    </xf>
    <xf numFmtId="0" fontId="18" fillId="0" borderId="3" xfId="2" applyFont="1" applyBorder="1">
      <alignment vertical="center"/>
    </xf>
    <xf numFmtId="0" fontId="18" fillId="0" borderId="4" xfId="2" applyFont="1" applyBorder="1">
      <alignment vertical="center"/>
    </xf>
    <xf numFmtId="0" fontId="18" fillId="0" borderId="10" xfId="2" applyFont="1" applyBorder="1">
      <alignment vertical="center"/>
    </xf>
    <xf numFmtId="0" fontId="18" fillId="0" borderId="0" xfId="2" applyFont="1" applyBorder="1">
      <alignment vertical="center"/>
    </xf>
    <xf numFmtId="0" fontId="18" fillId="0" borderId="6" xfId="2" applyFont="1" applyBorder="1">
      <alignment vertical="center"/>
    </xf>
    <xf numFmtId="0" fontId="18" fillId="0" borderId="12" xfId="2" applyFont="1" applyBorder="1">
      <alignment vertical="center"/>
    </xf>
    <xf numFmtId="0" fontId="18" fillId="0" borderId="8" xfId="2" applyFont="1" applyBorder="1">
      <alignment vertical="center"/>
    </xf>
    <xf numFmtId="0" fontId="18" fillId="0" borderId="9" xfId="2" applyFont="1" applyBorder="1">
      <alignment vertical="center"/>
    </xf>
    <xf numFmtId="0" fontId="18" fillId="12" borderId="5" xfId="2" applyFont="1" applyFill="1" applyBorder="1">
      <alignment vertical="center"/>
    </xf>
    <xf numFmtId="0" fontId="18" fillId="12" borderId="7" xfId="2" applyFont="1" applyFill="1" applyBorder="1">
      <alignment vertical="center"/>
    </xf>
    <xf numFmtId="0" fontId="1" fillId="0" borderId="0" xfId="2">
      <alignment vertical="center"/>
    </xf>
    <xf numFmtId="0" fontId="15" fillId="0" borderId="0" xfId="2" applyFont="1" applyAlignment="1">
      <alignment horizontal="left" vertical="center"/>
    </xf>
    <xf numFmtId="0" fontId="1" fillId="0" borderId="0" xfId="2" applyAlignment="1">
      <alignment vertical="center" wrapText="1"/>
    </xf>
    <xf numFmtId="49" fontId="1" fillId="0" borderId="0" xfId="2" applyNumberFormat="1">
      <alignment vertical="center"/>
    </xf>
    <xf numFmtId="176" fontId="17" fillId="0" borderId="0" xfId="0" applyNumberFormat="1" applyFont="1"/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2" borderId="0" xfId="0" applyFill="1"/>
    <xf numFmtId="176" fontId="0" fillId="2" borderId="0" xfId="0" applyNumberFormat="1" applyFill="1"/>
    <xf numFmtId="0" fontId="0" fillId="6" borderId="0" xfId="0" applyFill="1"/>
    <xf numFmtId="176" fontId="0" fillId="6" borderId="0" xfId="0" applyNumberFormat="1" applyFill="1"/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3" borderId="0" xfId="0" applyFill="1"/>
    <xf numFmtId="176" fontId="0" fillId="13" borderId="0" xfId="0" applyNumberFormat="1" applyFill="1"/>
    <xf numFmtId="0" fontId="0" fillId="4" borderId="0" xfId="0" applyFill="1" applyAlignment="1"/>
    <xf numFmtId="0" fontId="0" fillId="9" borderId="0" xfId="0" applyFill="1" applyAlignment="1"/>
    <xf numFmtId="0" fontId="0" fillId="7" borderId="0" xfId="0" applyFill="1" applyAlignment="1"/>
    <xf numFmtId="0" fontId="15" fillId="0" borderId="0" xfId="0" applyFont="1" applyAlignment="1"/>
    <xf numFmtId="0" fontId="18" fillId="0" borderId="1" xfId="2" applyFont="1" applyBorder="1" applyAlignment="1">
      <alignment horizontal="center" vertical="center"/>
    </xf>
    <xf numFmtId="0" fontId="19" fillId="12" borderId="1" xfId="2" applyFont="1" applyFill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8" fillId="0" borderId="4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/>
    </xf>
  </cellXfs>
  <cellStyles count="3">
    <cellStyle name="TableStyleLight1" xfId="1"/>
    <cellStyle name="一般" xfId="0" builtinId="0"/>
    <cellStyle name="一般 2" xfId="2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PositionPara">
        <xsd:complexType>
          <xsd:sequence minOccurs="0">
            <xsd:element minOccurs="0" nillable="true" name="MotorSettings" form="unqualified">
              <xsd:complexType>
                <xsd:sequence minOccurs="0">
                  <xsd:element minOccurs="0" maxOccurs="unbounded" nillable="true" name="cMotorSetting" form="unqualified">
                    <xsd:complexType>
                      <xsd:sequence minOccurs="0">
                        <xsd:element minOccurs="0" nillable="true" type="xsd:string" name="MotorName" form="unqualified"/>
                        <xsd:element minOccurs="0" nillable="true" type="xsd:string" name="Station" form="unqualified"/>
                        <xsd:element minOccurs="0" nillable="true" type="xsd:integer" name="RingIndex" form="unqualified"/>
                        <xsd:element minOccurs="0" nillable="true" type="xsd:integer" name="DeviceIp" form="unqualified"/>
                        <xsd:element minOccurs="0" nillable="true" type="xsd:integer" name="AxisIndex" form="unqualified"/>
                        <xsd:element minOccurs="0" nillable="true" type="xsd:string" name="ServoOnLevel" form="unqualified"/>
                        <xsd:element minOccurs="0" nillable="true" type="xsd:integer" name="EncoderDir" form="unqualified"/>
                        <xsd:element minOccurs="0" nillable="true" type="xsd:string" name="PulseInputMode" form="unqualified"/>
                        <xsd:element minOccurs="0" nillable="true" type="xsd:string" name="PulseOutputMode" form="unqualified"/>
                        <xsd:element minOccurs="0" nillable="true" type="xsd:string" name="FeedBackSource" form="unqualified"/>
                        <xsd:element minOccurs="0" nillable="true" type="xsd:string" name="AlarmLevel" form="unqualified"/>
                        <xsd:element minOccurs="0" nillable="true" type="xsd:string" name="HomeLevel" form="unqualified"/>
                        <xsd:element minOccurs="0" nillable="true" type="xsd:string" name="InPosEnabled" form="unqualified"/>
                        <xsd:element minOccurs="0" nillable="true" type="xsd:string" name="InPosLevel" form="unqualified"/>
                        <xsd:element minOccurs="0" nillable="true" type="xsd:string" name="LatchLevel" form="unqualified"/>
                        <xsd:element minOccurs="0" nillable="true" type="xsd:string" name="SlowDownLevel" form="unqualified"/>
                        <xsd:element minOccurs="0" nillable="true" type="xsd:integer" name="PulsePerUnit" form="unqualified"/>
                        <xsd:element minOccurs="0" nillable="true" type="xsd:string" name="Unit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MotorPoints" form="unqualified">
              <xsd:complexType>
                <xsd:sequence minOccurs="0">
                  <xsd:element minOccurs="0" maxOccurs="unbounded" nillable="true" name="cMotorPoint" form="unqualified">
                    <xsd:complexType>
                      <xsd:sequence minOccurs="0">
                        <xsd:element minOccurs="0" nillable="true" type="xsd:string" name="PointName" form="unqualified"/>
                        <xsd:element minOccurs="0" nillable="true" type="xsd:string" name="PointType" form="unqualified"/>
                        <xsd:element minOccurs="0" nillable="true" type="xsd:integer" name="AxisIndex" form="unqualified"/>
                        <xsd:element minOccurs="0" nillable="true" type="xsd:integer" name="StartVelocity" form="unqualified"/>
                        <xsd:element minOccurs="0" nillable="true" type="xsd:integer" name="Velocity" form="unqualified"/>
                        <xsd:element minOccurs="0" nillable="true" type="xsd:integer" name="Distance" form="unqualified"/>
                        <xsd:element minOccurs="0" nillable="true" type="xsd:double" name="AccelerationTime" form="unqualified"/>
                        <xsd:element minOccurs="0" nillable="true" type="xsd:double" name="DecelerationTime" form="unqualified"/>
                        <xsd:element minOccurs="0" nillable="true" type="xsd:integer" name="SShapeAccelerationTime" form="unqualified"/>
                        <xsd:element minOccurs="0" nillable="true" type="xsd:integer" name="SShapeDecelerationTime" form="unqualified"/>
                        <xsd:element minOccurs="0" nillable="true" type="xsd:boolean" name="IsHomePoin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PositionPara_Map" RootElement="cPositionPar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457200</xdr:colOff>
      <xdr:row>5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1857375</xdr:colOff>
      <xdr:row>2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371475</xdr:colOff>
      <xdr:row>4</xdr:row>
      <xdr:rowOff>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371475</xdr:colOff>
      <xdr:row>4</xdr:row>
      <xdr:rowOff>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371475</xdr:colOff>
      <xdr:row>4</xdr:row>
      <xdr:rowOff>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447675</xdr:colOff>
      <xdr:row>4</xdr:row>
      <xdr:rowOff>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447675</xdr:colOff>
      <xdr:row>4</xdr:row>
      <xdr:rowOff>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447675</xdr:colOff>
      <xdr:row>4</xdr:row>
      <xdr:rowOff>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1314944</xdr:colOff>
      <xdr:row>15</xdr:row>
      <xdr:rowOff>180975</xdr:rowOff>
    </xdr:from>
    <xdr:to>
      <xdr:col>3</xdr:col>
      <xdr:colOff>1141685</xdr:colOff>
      <xdr:row>25</xdr:row>
      <xdr:rowOff>103810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8144" y="4581525"/>
          <a:ext cx="2750916" cy="2018335"/>
        </a:xfrm>
        <a:prstGeom prst="rect">
          <a:avLst/>
        </a:prstGeom>
      </xdr:spPr>
    </xdr:pic>
    <xdr:clientData/>
  </xdr:twoCellAnchor>
  <xdr:twoCellAnchor editAs="oneCell">
    <xdr:from>
      <xdr:col>3</xdr:col>
      <xdr:colOff>471753</xdr:colOff>
      <xdr:row>21</xdr:row>
      <xdr:rowOff>9525</xdr:rowOff>
    </xdr:from>
    <xdr:to>
      <xdr:col>5</xdr:col>
      <xdr:colOff>1400081</xdr:colOff>
      <xdr:row>42</xdr:row>
      <xdr:rowOff>42881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6" t="22475" r="10511"/>
        <a:stretch/>
      </xdr:blipFill>
      <xdr:spPr>
        <a:xfrm>
          <a:off x="6139128" y="5667375"/>
          <a:ext cx="6614753" cy="44339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541487</xdr:colOff>
      <xdr:row>20</xdr:row>
      <xdr:rowOff>28048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14287" cy="4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93867</xdr:colOff>
      <xdr:row>18</xdr:row>
      <xdr:rowOff>123338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66667" cy="3895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格4" displayName="表格4" ref="A1:R5" tableType="xml" totalsRowShown="0" connectionId="1">
  <autoFilter ref="A1:R5"/>
  <sortState ref="A2:R51">
    <sortCondition ref="D2:D51"/>
    <sortCondition ref="E2:E51"/>
  </sortState>
  <tableColumns count="18">
    <tableColumn id="1" uniqueName="MotorName" name="MotorName" dataDxfId="6">
      <calculatedColumnFormula>T(馬達列舉!E2)</calculatedColumnFormula>
      <xmlColumnPr mapId="1" xpath="/cPositionPara/MotorSettings/cMotorSetting/MotorName" xmlDataType="string"/>
    </tableColumn>
    <tableColumn id="2" uniqueName="Station" name="Station" dataDxfId="5">
      <calculatedColumnFormula>T(馬達列舉!B2)</calculatedColumnFormula>
      <xmlColumnPr mapId="1" xpath="/cPositionPara/MotorSettings/cMotorSetting/Station" xmlDataType="string"/>
    </tableColumn>
    <tableColumn id="3" uniqueName="RingIndex" name="RingIndex" dataDxfId="4">
      <calculatedColumnFormula>(馬達列舉!G2)</calculatedColumnFormula>
      <xmlColumnPr mapId="1" xpath="/cPositionPara/MotorSettings/cMotorSetting/RingIndex" xmlDataType="integer"/>
    </tableColumn>
    <tableColumn id="4" uniqueName="DeviceIp" name="DeviceIp" dataDxfId="3">
      <calculatedColumnFormula>(馬達列舉!H2)</calculatedColumnFormula>
      <xmlColumnPr mapId="1" xpath="/cPositionPara/MotorSettings/cMotorSetting/DeviceIp" xmlDataType="integer"/>
    </tableColumn>
    <tableColumn id="5" uniqueName="AxisIndex" name="AxisIndex" dataDxfId="2">
      <calculatedColumnFormula>(馬達列舉!I2)</calculatedColumnFormula>
      <xmlColumnPr mapId="1" xpath="/cPositionPara/MotorSettings/cMotorSetting/AxisIndex" xmlDataType="integer"/>
    </tableColumn>
    <tableColumn id="6" uniqueName="ServoOnLevel" name="ServoOnLevel">
      <calculatedColumnFormula>(馬達列舉!L2)</calculatedColumnFormula>
      <xmlColumnPr mapId="1" xpath="/cPositionPara/MotorSettings/cMotorSetting/ServoOnLevel" xmlDataType="string"/>
    </tableColumn>
    <tableColumn id="7" uniqueName="EncoderDir" name="EncoderDir">
      <xmlColumnPr mapId="1" xpath="/cPositionPara/MotorSettings/cMotorSetting/EncoderDir" xmlDataType="integer"/>
    </tableColumn>
    <tableColumn id="8" uniqueName="PulseInputMode" name="PulseInputMode">
      <xmlColumnPr mapId="1" xpath="/cPositionPara/MotorSettings/cMotorSetting/PulseInputMode" xmlDataType="string"/>
    </tableColumn>
    <tableColumn id="9" uniqueName="PulseOutputMode" name="PulseOutputMode">
      <calculatedColumnFormula>(馬達列舉!P2)</calculatedColumnFormula>
      <xmlColumnPr mapId="1" xpath="/cPositionPara/MotorSettings/cMotorSetting/PulseOutputMode" xmlDataType="string"/>
    </tableColumn>
    <tableColumn id="10" uniqueName="FeedBackSource" name="FeedBackSource">
      <calculatedColumnFormula>(馬達列舉!Q2)</calculatedColumnFormula>
      <xmlColumnPr mapId="1" xpath="/cPositionPara/MotorSettings/cMotorSetting/FeedBackSource" xmlDataType="string"/>
    </tableColumn>
    <tableColumn id="11" uniqueName="AlarmLevel" name="AlarmLevel">
      <xmlColumnPr mapId="1" xpath="/cPositionPara/MotorSettings/cMotorSetting/AlarmLevel" xmlDataType="string"/>
    </tableColumn>
    <tableColumn id="12" uniqueName="HomeLevel" name="HomeLevel">
      <xmlColumnPr mapId="1" xpath="/cPositionPara/MotorSettings/cMotorSetting/HomeLevel" xmlDataType="string"/>
    </tableColumn>
    <tableColumn id="13" uniqueName="InPosEnabled" name="InPosEnabled">
      <xmlColumnPr mapId="1" xpath="/cPositionPara/MotorSettings/cMotorSetting/InPosEnabled" xmlDataType="string"/>
    </tableColumn>
    <tableColumn id="14" uniqueName="InPosLevel" name="InPosLevel">
      <xmlColumnPr mapId="1" xpath="/cPositionPara/MotorSettings/cMotorSetting/InPosLevel" xmlDataType="string"/>
    </tableColumn>
    <tableColumn id="15" uniqueName="LatchLevel" name="LatchLevel">
      <xmlColumnPr mapId="1" xpath="/cPositionPara/MotorSettings/cMotorSetting/LatchLevel" xmlDataType="string"/>
    </tableColumn>
    <tableColumn id="16" uniqueName="SlowDownLevel" name="SlowDownLevel">
      <xmlColumnPr mapId="1" xpath="/cPositionPara/MotorSettings/cMotorSetting/SlowDownLevel" xmlDataType="string"/>
    </tableColumn>
    <tableColumn id="17" uniqueName="PulsePerUnit" name="PulsePerUnit">
      <calculatedColumnFormula>(馬達列舉!O2)</calculatedColumnFormula>
      <xmlColumnPr mapId="1" xpath="/cPositionPara/MotorSettings/cMotorSetting/PulsePerUnit" xmlDataType="integer"/>
    </tableColumn>
    <tableColumn id="18" uniqueName="Unit" name="Unit">
      <xmlColumnPr mapId="1" xpath="/cPositionPara/MotorSettings/cMotorSetting/Unit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4_2" displayName="表格4_2" ref="A1:K13" tableType="xml" totalsRowShown="0" connectionId="1">
  <autoFilter ref="A1:K13"/>
  <tableColumns count="11">
    <tableColumn id="19" uniqueName="PointName" name="PointName" dataDxfId="1">
      <calculatedColumnFormula>馬達點位列舉!I2</calculatedColumnFormula>
      <xmlColumnPr mapId="1" xpath="/cPositionPara/MotorPoints/cMotorPoint/PointName" xmlDataType="string"/>
    </tableColumn>
    <tableColumn id="20" uniqueName="PointType" name="PointType">
      <xmlColumnPr mapId="1" xpath="/cPositionPara/MotorPoints/cMotorPoint/PointType" xmlDataType="string"/>
    </tableColumn>
    <tableColumn id="21" uniqueName="AxisIndex" name="AxisIndex" dataDxfId="0">
      <calculatedColumnFormula>馬達點位列舉!G2</calculatedColumnFormula>
      <xmlColumnPr mapId="1" xpath="/cPositionPara/MotorPoints/cMotorPoint/AxisIndex" xmlDataType="integer"/>
    </tableColumn>
    <tableColumn id="22" uniqueName="StartVelocity" name="StartVelocity">
      <calculatedColumnFormula>馬達點位列舉!O2</calculatedColumnFormula>
      <xmlColumnPr mapId="1" xpath="/cPositionPara/MotorPoints/cMotorPoint/StartVelocity" xmlDataType="integer"/>
    </tableColumn>
    <tableColumn id="23" uniqueName="Velocity" name="Velocity">
      <calculatedColumnFormula>馬達點位列舉!P2</calculatedColumnFormula>
      <xmlColumnPr mapId="1" xpath="/cPositionPara/MotorPoints/cMotorPoint/Velocity" xmlDataType="integer"/>
    </tableColumn>
    <tableColumn id="24" uniqueName="Distance" name="Distance">
      <calculatedColumnFormula>馬達點位列舉!N2</calculatedColumnFormula>
      <xmlColumnPr mapId="1" xpath="/cPositionPara/MotorPoints/cMotorPoint/Distance" xmlDataType="integer"/>
    </tableColumn>
    <tableColumn id="25" uniqueName="AccelerationTime" name="AccelerationTime">
      <calculatedColumnFormula>馬達點位列舉!Q2</calculatedColumnFormula>
      <xmlColumnPr mapId="1" xpath="/cPositionPara/MotorPoints/cMotorPoint/AccelerationTime" xmlDataType="double"/>
    </tableColumn>
    <tableColumn id="26" uniqueName="DecelerationTime" name="DecelerationTime">
      <calculatedColumnFormula>馬達點位列舉!R2</calculatedColumnFormula>
      <xmlColumnPr mapId="1" xpath="/cPositionPara/MotorPoints/cMotorPoint/DecelerationTime" xmlDataType="double"/>
    </tableColumn>
    <tableColumn id="27" uniqueName="SShapeAccelerationTime" name="SShapeAccelerationTime">
      <xmlColumnPr mapId="1" xpath="/cPositionPara/MotorPoints/cMotorPoint/SShapeAccelerationTime" xmlDataType="integer"/>
    </tableColumn>
    <tableColumn id="28" uniqueName="SShapeDecelerationTime" name="SShapeDecelerationTime">
      <xmlColumnPr mapId="1" xpath="/cPositionPara/MotorPoints/cMotorPoint/SShapeDecelerationTime" xmlDataType="integer"/>
    </tableColumn>
    <tableColumn id="29" uniqueName="IsHomePoint" name="IsHomePoint">
      <xmlColumnPr mapId="1" xpath="/cPositionPara/MotorPoints/cMotorPoint/IsHomePoint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行雲流水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30000"/>
              </a:schemeClr>
            </a:gs>
            <a:gs pos="50000">
              <a:schemeClr val="phClr">
                <a:tint val="45000"/>
                <a:satMod val="220000"/>
              </a:schemeClr>
            </a:gs>
            <a:gs pos="100000">
              <a:schemeClr val="phClr">
                <a:tint val="90000"/>
                <a:satMod val="13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100000"/>
                <a:shade val="90000"/>
                <a:hueMod val="100000"/>
                <a:satMod val="200000"/>
              </a:schemeClr>
            </a:gs>
            <a:gs pos="50000">
              <a:schemeClr val="phClr">
                <a:tint val="100000"/>
                <a:shade val="60000"/>
                <a:hueMod val="100000"/>
                <a:satMod val="180000"/>
              </a:schemeClr>
            </a:gs>
            <a:gs pos="100000">
              <a:schemeClr val="phClr"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glow rad="50600">
              <a:schemeClr val="phClr">
                <a:alpha val="40000"/>
              </a:schemeClr>
            </a:glow>
          </a:effectLst>
        </a:effectStyle>
        <a:effectStyle>
          <a:effectLst>
            <a:glow rad="101600">
              <a:schemeClr val="phClr">
                <a:alpha val="60000"/>
              </a:schemeClr>
            </a:glow>
          </a:effectLst>
          <a:scene3d>
            <a:camera prst="isometricLeftDown" fov="0">
              <a:rot lat="0" lon="0" rev="0"/>
            </a:camera>
            <a:lightRig rig="harsh" dir="tl">
              <a:rot lat="0" lon="0" rev="14280000"/>
            </a:lightRig>
          </a:scene3d>
          <a:sp3d prstMaterial="flat">
            <a:bevelT w="38100" h="50800" prst="softRound"/>
          </a:sp3d>
        </a:effectStyle>
        <a:effectStyle>
          <a:effectLst>
            <a:glow>
              <a:schemeClr val="phClr"/>
            </a:glow>
          </a:effectLst>
          <a:scene3d>
            <a:camera prst="isometricLeftDown">
              <a:rot lat="0" lon="0" rev="0"/>
            </a:camera>
            <a:lightRig rig="harsh" dir="tl">
              <a:rot lat="0" lon="0" rev="14280000"/>
            </a:lightRig>
          </a:scene3d>
          <a:sp3d extrusionH="63500" contourW="38100" prstMaterial="flat">
            <a:bevelT w="50800" h="635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C7" zoomScale="85" zoomScaleNormal="85" workbookViewId="0">
      <selection activeCell="T32" sqref="T32"/>
    </sheetView>
  </sheetViews>
  <sheetFormatPr defaultRowHeight="16.5" x14ac:dyDescent="0.25"/>
  <cols>
    <col min="1" max="1" width="12.125" style="2" bestFit="1" customWidth="1"/>
    <col min="2" max="2" width="22.75" style="2" bestFit="1" customWidth="1"/>
    <col min="3" max="3" width="9.5" style="2" bestFit="1" customWidth="1"/>
    <col min="4" max="4" width="8.5" style="2" bestFit="1" customWidth="1"/>
    <col min="5" max="5" width="9.5" style="2" bestFit="1" customWidth="1"/>
    <col min="6" max="6" width="11" style="2" bestFit="1" customWidth="1"/>
    <col min="7" max="7" width="8.375" style="2" bestFit="1" customWidth="1"/>
    <col min="8" max="10" width="9" style="2" bestFit="1" customWidth="1"/>
    <col min="11" max="11" width="9.5" style="2" bestFit="1" customWidth="1"/>
    <col min="12" max="12" width="9" style="2" bestFit="1" customWidth="1"/>
    <col min="13" max="13" width="8.5" style="2" bestFit="1" customWidth="1"/>
    <col min="14" max="14" width="11" style="2" bestFit="1" customWidth="1"/>
    <col min="15" max="15" width="7.5" style="2" bestFit="1" customWidth="1"/>
    <col min="16" max="16" width="7.875" style="2" bestFit="1" customWidth="1"/>
    <col min="17" max="17" width="8.5" style="2" bestFit="1" customWidth="1"/>
    <col min="18" max="18" width="11" style="2" bestFit="1" customWidth="1"/>
    <col min="19" max="20" width="7.5" style="2" bestFit="1" customWidth="1"/>
    <col min="21" max="21" width="2.75" style="2" bestFit="1" customWidth="1"/>
    <col min="22" max="22" width="6.5" style="2" bestFit="1" customWidth="1"/>
    <col min="23" max="23" width="13.375" style="2" bestFit="1" customWidth="1"/>
    <col min="24" max="16384" width="9" style="2"/>
  </cols>
  <sheetData>
    <row r="1" spans="1:18" x14ac:dyDescent="0.25">
      <c r="B1" s="2" t="s">
        <v>478</v>
      </c>
      <c r="H1" s="2" t="s">
        <v>479</v>
      </c>
      <c r="K1" s="2" t="s">
        <v>480</v>
      </c>
    </row>
    <row r="2" spans="1:18" x14ac:dyDescent="0.25">
      <c r="A2" s="2" t="s">
        <v>587</v>
      </c>
      <c r="B2" s="43" t="s">
        <v>481</v>
      </c>
      <c r="C2" s="69" t="s">
        <v>482</v>
      </c>
      <c r="D2" s="69" t="s">
        <v>483</v>
      </c>
      <c r="E2" s="69" t="s">
        <v>484</v>
      </c>
      <c r="F2" s="43" t="s">
        <v>485</v>
      </c>
      <c r="G2" s="69" t="s">
        <v>486</v>
      </c>
      <c r="H2" s="69" t="s">
        <v>482</v>
      </c>
      <c r="I2" s="69" t="s">
        <v>483</v>
      </c>
      <c r="J2" s="69" t="s">
        <v>484</v>
      </c>
      <c r="K2" s="69" t="s">
        <v>482</v>
      </c>
      <c r="L2" s="69" t="s">
        <v>483</v>
      </c>
      <c r="M2" s="69" t="s">
        <v>484</v>
      </c>
      <c r="N2" s="69" t="s">
        <v>485</v>
      </c>
      <c r="O2" s="69" t="s">
        <v>482</v>
      </c>
      <c r="P2" s="69" t="s">
        <v>483</v>
      </c>
      <c r="Q2" s="69" t="s">
        <v>484</v>
      </c>
      <c r="R2" s="69" t="s">
        <v>485</v>
      </c>
    </row>
    <row r="3" spans="1:18" x14ac:dyDescent="0.25">
      <c r="B3" s="2" t="s">
        <v>487</v>
      </c>
      <c r="C3" s="2">
        <v>-548.87099999999998</v>
      </c>
      <c r="D3" s="2">
        <v>-40.384999999999998</v>
      </c>
      <c r="E3" s="2">
        <v>-240.816</v>
      </c>
      <c r="F3" s="2" t="s">
        <v>488</v>
      </c>
      <c r="G3" s="2" t="s">
        <v>488</v>
      </c>
      <c r="H3" s="2">
        <f>C3-$C$3</f>
        <v>0</v>
      </c>
      <c r="I3" s="2">
        <f>(E3-$E$3)*-1</f>
        <v>0</v>
      </c>
      <c r="J3" s="2">
        <f>D3-$D$3</f>
        <v>0</v>
      </c>
    </row>
    <row r="4" spans="1:18" x14ac:dyDescent="0.25">
      <c r="B4" s="2" t="s">
        <v>489</v>
      </c>
      <c r="C4" s="70">
        <v>-184.87100000000001</v>
      </c>
      <c r="D4" s="70">
        <v>19.114999999999998</v>
      </c>
      <c r="E4" s="70">
        <v>-444.31599999999997</v>
      </c>
      <c r="F4" s="2" t="s">
        <v>488</v>
      </c>
      <c r="G4" s="2" t="s">
        <v>490</v>
      </c>
      <c r="H4" s="2">
        <f t="shared" ref="H4:H21" si="0">C4-$C$3</f>
        <v>364</v>
      </c>
      <c r="I4" s="2">
        <f t="shared" ref="I4:I21" si="1">(E4-$E$3)*-1</f>
        <v>203.49999999999997</v>
      </c>
      <c r="J4" s="2">
        <f t="shared" ref="J4:J21" si="2">D4-$D$3</f>
        <v>59.5</v>
      </c>
    </row>
    <row r="5" spans="1:18" x14ac:dyDescent="0.25">
      <c r="B5" s="2" t="s">
        <v>491</v>
      </c>
      <c r="C5" s="70">
        <v>-188.071</v>
      </c>
      <c r="D5" s="70">
        <v>17.614999999999998</v>
      </c>
      <c r="E5" s="70">
        <v>-441.81599999999997</v>
      </c>
      <c r="F5" s="2" t="s">
        <v>492</v>
      </c>
      <c r="G5" s="2" t="s">
        <v>493</v>
      </c>
      <c r="H5" s="2">
        <f t="shared" si="0"/>
        <v>360.79999999999995</v>
      </c>
      <c r="I5" s="2">
        <f t="shared" si="1"/>
        <v>200.99999999999997</v>
      </c>
      <c r="J5" s="2">
        <f t="shared" si="2"/>
        <v>58</v>
      </c>
    </row>
    <row r="6" spans="1:18" x14ac:dyDescent="0.25">
      <c r="B6" s="2" t="s">
        <v>494</v>
      </c>
      <c r="C6" s="70">
        <v>-186.16200000000001</v>
      </c>
      <c r="D6" s="70">
        <v>17.614999999999998</v>
      </c>
      <c r="E6" s="70">
        <v>-441.81599999999997</v>
      </c>
      <c r="F6" s="2" t="s">
        <v>492</v>
      </c>
      <c r="G6" s="2" t="s">
        <v>493</v>
      </c>
      <c r="H6" s="2">
        <f t="shared" si="0"/>
        <v>362.70899999999995</v>
      </c>
      <c r="I6" s="2">
        <f t="shared" si="1"/>
        <v>200.99999999999997</v>
      </c>
      <c r="J6" s="2">
        <f t="shared" si="2"/>
        <v>58</v>
      </c>
    </row>
    <row r="7" spans="1:18" x14ac:dyDescent="0.25">
      <c r="B7" s="2" t="s">
        <v>495</v>
      </c>
      <c r="C7" s="70">
        <v>-188.071</v>
      </c>
      <c r="D7" s="70">
        <v>17.614999999999998</v>
      </c>
      <c r="E7" s="70">
        <v>-443.72399999999999</v>
      </c>
      <c r="F7" s="2" t="s">
        <v>492</v>
      </c>
      <c r="G7" s="2" t="s">
        <v>493</v>
      </c>
      <c r="H7" s="2">
        <f t="shared" si="0"/>
        <v>360.79999999999995</v>
      </c>
      <c r="I7" s="2">
        <f t="shared" si="1"/>
        <v>202.90799999999999</v>
      </c>
      <c r="J7" s="2">
        <f t="shared" si="2"/>
        <v>58</v>
      </c>
    </row>
    <row r="8" spans="1:18" x14ac:dyDescent="0.25">
      <c r="B8" s="2" t="s">
        <v>496</v>
      </c>
      <c r="C8" s="70">
        <v>-188.071</v>
      </c>
      <c r="D8" s="70">
        <v>19.114999999999998</v>
      </c>
      <c r="E8" s="70">
        <v>-444.31599999999997</v>
      </c>
      <c r="F8" s="2" t="s">
        <v>492</v>
      </c>
      <c r="G8" s="2" t="s">
        <v>497</v>
      </c>
      <c r="H8" s="2">
        <f t="shared" si="0"/>
        <v>360.79999999999995</v>
      </c>
      <c r="I8" s="2">
        <f t="shared" si="1"/>
        <v>203.49999999999997</v>
      </c>
      <c r="J8" s="2">
        <f t="shared" si="2"/>
        <v>59.5</v>
      </c>
    </row>
    <row r="9" spans="1:18" x14ac:dyDescent="0.25">
      <c r="B9" s="2" t="s">
        <v>303</v>
      </c>
      <c r="C9" s="70">
        <v>-184.87100000000001</v>
      </c>
      <c r="D9" s="70">
        <v>19.114999999999998</v>
      </c>
      <c r="E9" s="70">
        <v>-441.81599999999997</v>
      </c>
      <c r="F9" s="2" t="s">
        <v>492</v>
      </c>
      <c r="G9" s="2" t="s">
        <v>498</v>
      </c>
      <c r="H9" s="2">
        <f t="shared" si="0"/>
        <v>364</v>
      </c>
      <c r="I9" s="2">
        <f t="shared" si="1"/>
        <v>200.99999999999997</v>
      </c>
      <c r="J9" s="2">
        <f t="shared" si="2"/>
        <v>59.5</v>
      </c>
    </row>
    <row r="10" spans="1:18" x14ac:dyDescent="0.25">
      <c r="B10" s="2" t="s">
        <v>304</v>
      </c>
      <c r="C10" s="70">
        <v>-108.871</v>
      </c>
      <c r="D10" s="70">
        <v>17.614999999999998</v>
      </c>
      <c r="E10" s="70">
        <v>-443.08300000000003</v>
      </c>
      <c r="F10" s="2" t="s">
        <v>492</v>
      </c>
      <c r="G10" s="2" t="s">
        <v>499</v>
      </c>
      <c r="H10" s="2">
        <f t="shared" si="0"/>
        <v>440</v>
      </c>
      <c r="I10" s="2">
        <f t="shared" si="1"/>
        <v>202.26700000000002</v>
      </c>
      <c r="J10" s="2">
        <f t="shared" si="2"/>
        <v>58</v>
      </c>
    </row>
    <row r="11" spans="1:18" x14ac:dyDescent="0.25">
      <c r="B11" s="2" t="s">
        <v>501</v>
      </c>
      <c r="C11" s="70">
        <v>151.12899999999999</v>
      </c>
      <c r="D11" s="70">
        <v>79.617000000000004</v>
      </c>
      <c r="E11" s="70">
        <v>-404.31599999999997</v>
      </c>
      <c r="F11" s="2" t="s">
        <v>492</v>
      </c>
      <c r="G11" s="2" t="s">
        <v>502</v>
      </c>
      <c r="H11" s="2">
        <f t="shared" si="0"/>
        <v>700</v>
      </c>
      <c r="I11" s="2">
        <f t="shared" si="1"/>
        <v>163.49999999999997</v>
      </c>
      <c r="J11" s="2">
        <f t="shared" si="2"/>
        <v>120.00200000000001</v>
      </c>
    </row>
    <row r="12" spans="1:18" x14ac:dyDescent="0.25">
      <c r="B12" s="2" t="s">
        <v>503</v>
      </c>
      <c r="C12" s="70">
        <v>301.12900000000002</v>
      </c>
      <c r="D12" s="70">
        <v>17.614999999999998</v>
      </c>
      <c r="E12" s="70">
        <v>-424.31599999999997</v>
      </c>
      <c r="F12" s="2" t="s">
        <v>488</v>
      </c>
      <c r="G12" s="2" t="s">
        <v>504</v>
      </c>
      <c r="H12" s="2">
        <f t="shared" si="0"/>
        <v>850</v>
      </c>
      <c r="I12" s="2">
        <f t="shared" si="1"/>
        <v>183.49999999999997</v>
      </c>
      <c r="J12" s="2">
        <f t="shared" si="2"/>
        <v>58</v>
      </c>
      <c r="K12" s="2">
        <f>(H12-$H$11)*-1</f>
        <v>-150</v>
      </c>
      <c r="L12" s="2">
        <f>I12-$I$11</f>
        <v>20</v>
      </c>
      <c r="M12" s="2">
        <f>(J12-$J$11)*-1</f>
        <v>62.00200000000001</v>
      </c>
      <c r="N12" s="2" t="s">
        <v>505</v>
      </c>
    </row>
    <row r="13" spans="1:18" s="79" customFormat="1" x14ac:dyDescent="0.25">
      <c r="B13" s="79" t="s">
        <v>506</v>
      </c>
      <c r="C13" s="80">
        <v>271.12900000000002</v>
      </c>
      <c r="D13" s="80">
        <v>17.614999999999998</v>
      </c>
      <c r="E13" s="80">
        <v>-421.81599999999997</v>
      </c>
      <c r="F13" s="79" t="s">
        <v>488</v>
      </c>
      <c r="G13" s="79" t="s">
        <v>507</v>
      </c>
      <c r="H13" s="79">
        <f t="shared" si="0"/>
        <v>820</v>
      </c>
      <c r="I13" s="79">
        <f t="shared" si="1"/>
        <v>180.99999999999997</v>
      </c>
      <c r="J13" s="79">
        <f t="shared" si="2"/>
        <v>58</v>
      </c>
      <c r="K13" s="79">
        <f t="shared" ref="K13:K22" si="3">(H13-$H$11)*-1</f>
        <v>-120</v>
      </c>
      <c r="L13" s="79">
        <f t="shared" ref="L13:L22" si="4">I13-$I$11</f>
        <v>17.5</v>
      </c>
      <c r="M13" s="79">
        <f t="shared" ref="M13:M22" si="5">(J13-$J$11)*-1</f>
        <v>62.00200000000001</v>
      </c>
      <c r="N13" s="79" t="s">
        <v>508</v>
      </c>
      <c r="O13" s="79">
        <f>(K13-$K$12)*-1</f>
        <v>-30</v>
      </c>
      <c r="P13" s="79">
        <f>(L13-$L$12)*-1</f>
        <v>2.5</v>
      </c>
      <c r="Q13" s="79">
        <f>M13-$M$12</f>
        <v>0</v>
      </c>
      <c r="R13" s="79" t="s">
        <v>509</v>
      </c>
    </row>
    <row r="14" spans="1:18" x14ac:dyDescent="0.25">
      <c r="B14" s="2" t="s">
        <v>510</v>
      </c>
      <c r="C14" s="70">
        <v>151.12799999999999</v>
      </c>
      <c r="D14" s="70">
        <v>19.181000000000001</v>
      </c>
      <c r="E14" s="70">
        <v>-441.82600000000002</v>
      </c>
      <c r="F14" s="2" t="s">
        <v>511</v>
      </c>
      <c r="G14" s="2" t="s">
        <v>510</v>
      </c>
      <c r="H14" s="2">
        <f t="shared" si="0"/>
        <v>699.99900000000002</v>
      </c>
      <c r="I14" s="2">
        <f t="shared" si="1"/>
        <v>201.01000000000002</v>
      </c>
      <c r="J14" s="2">
        <f t="shared" si="2"/>
        <v>59.566000000000003</v>
      </c>
      <c r="K14" s="2">
        <f t="shared" si="3"/>
        <v>9.9999999997635314E-4</v>
      </c>
      <c r="L14" s="2">
        <f t="shared" si="4"/>
        <v>37.510000000000048</v>
      </c>
      <c r="M14" s="2">
        <f t="shared" si="5"/>
        <v>60.436000000000007</v>
      </c>
      <c r="N14" s="2" t="s">
        <v>508</v>
      </c>
    </row>
    <row r="15" spans="1:18" s="75" customFormat="1" x14ac:dyDescent="0.25">
      <c r="A15" s="75" t="s">
        <v>596</v>
      </c>
      <c r="B15" s="75" t="s">
        <v>512</v>
      </c>
      <c r="C15" s="76">
        <v>149.27799999999999</v>
      </c>
      <c r="D15" s="76">
        <v>21.181000000000001</v>
      </c>
      <c r="E15" s="76">
        <v>-441.88900000000001</v>
      </c>
      <c r="F15" s="75" t="s">
        <v>511</v>
      </c>
      <c r="G15" s="75" t="s">
        <v>513</v>
      </c>
      <c r="H15" s="75">
        <f t="shared" si="0"/>
        <v>698.149</v>
      </c>
      <c r="I15" s="75">
        <f t="shared" si="1"/>
        <v>201.07300000000001</v>
      </c>
      <c r="J15" s="75">
        <f t="shared" si="2"/>
        <v>61.566000000000003</v>
      </c>
      <c r="K15" s="75">
        <f t="shared" si="3"/>
        <v>1.8509999999999991</v>
      </c>
      <c r="L15" s="75">
        <f t="shared" si="4"/>
        <v>37.573000000000036</v>
      </c>
      <c r="M15" s="75">
        <f t="shared" si="5"/>
        <v>58.436000000000007</v>
      </c>
      <c r="N15" s="75" t="s">
        <v>508</v>
      </c>
      <c r="O15" s="75">
        <f>(K15-K$18)*-1</f>
        <v>-2.7250000000000227</v>
      </c>
      <c r="P15" s="75">
        <f>(L15-L$18)</f>
        <v>5.2000000000020918E-2</v>
      </c>
      <c r="Q15" s="75">
        <f>(M15-M$18)*-1</f>
        <v>0</v>
      </c>
      <c r="R15" s="75" t="s">
        <v>552</v>
      </c>
    </row>
    <row r="16" spans="1:18" s="75" customFormat="1" x14ac:dyDescent="0.25">
      <c r="A16" s="75" t="s">
        <v>596</v>
      </c>
      <c r="B16" s="75" t="s">
        <v>514</v>
      </c>
      <c r="C16" s="76">
        <v>149.27799999999999</v>
      </c>
      <c r="D16" s="76">
        <v>21.181000000000001</v>
      </c>
      <c r="E16" s="76">
        <v>-440.375</v>
      </c>
      <c r="F16" s="75" t="s">
        <v>511</v>
      </c>
      <c r="G16" s="75" t="s">
        <v>513</v>
      </c>
      <c r="H16" s="75">
        <f t="shared" si="0"/>
        <v>698.149</v>
      </c>
      <c r="I16" s="75">
        <f t="shared" si="1"/>
        <v>199.559</v>
      </c>
      <c r="J16" s="75">
        <f t="shared" si="2"/>
        <v>61.566000000000003</v>
      </c>
      <c r="K16" s="75">
        <f t="shared" si="3"/>
        <v>1.8509999999999991</v>
      </c>
      <c r="L16" s="75">
        <f t="shared" si="4"/>
        <v>36.059000000000026</v>
      </c>
      <c r="M16" s="75">
        <f t="shared" si="5"/>
        <v>58.436000000000007</v>
      </c>
      <c r="N16" s="75" t="s">
        <v>508</v>
      </c>
      <c r="O16" s="75">
        <f t="shared" ref="O16:O22" si="6">(K16-K$18)*-1</f>
        <v>-2.7250000000000227</v>
      </c>
      <c r="P16" s="75">
        <f t="shared" ref="P16:P22" si="7">(L16-L$18)</f>
        <v>-1.4619999999999891</v>
      </c>
      <c r="Q16" s="75">
        <f t="shared" ref="Q16:Q22" si="8">(M16-M$18)*-1</f>
        <v>0</v>
      </c>
      <c r="R16" s="75" t="s">
        <v>552</v>
      </c>
    </row>
    <row r="17" spans="1:23" s="75" customFormat="1" x14ac:dyDescent="0.25">
      <c r="A17" s="75" t="s">
        <v>596</v>
      </c>
      <c r="B17" s="75" t="s">
        <v>515</v>
      </c>
      <c r="C17" s="76">
        <v>152.97800000000001</v>
      </c>
      <c r="D17" s="76">
        <v>21.181000000000001</v>
      </c>
      <c r="E17" s="76">
        <v>-440.375</v>
      </c>
      <c r="F17" s="75" t="s">
        <v>511</v>
      </c>
      <c r="G17" s="75" t="s">
        <v>513</v>
      </c>
      <c r="H17" s="75">
        <f t="shared" si="0"/>
        <v>701.84899999999993</v>
      </c>
      <c r="I17" s="75">
        <f t="shared" si="1"/>
        <v>199.559</v>
      </c>
      <c r="J17" s="75">
        <f t="shared" si="2"/>
        <v>61.566000000000003</v>
      </c>
      <c r="K17" s="75">
        <f t="shared" si="3"/>
        <v>-1.8489999999999327</v>
      </c>
      <c r="L17" s="75">
        <f t="shared" si="4"/>
        <v>36.059000000000026</v>
      </c>
      <c r="M17" s="75">
        <f t="shared" si="5"/>
        <v>58.436000000000007</v>
      </c>
      <c r="N17" s="75" t="s">
        <v>508</v>
      </c>
      <c r="O17" s="75">
        <f t="shared" si="6"/>
        <v>0.97499999999990905</v>
      </c>
      <c r="P17" s="75">
        <f t="shared" si="7"/>
        <v>-1.4619999999999891</v>
      </c>
      <c r="Q17" s="75">
        <f t="shared" si="8"/>
        <v>0</v>
      </c>
      <c r="R17" s="75" t="s">
        <v>552</v>
      </c>
    </row>
    <row r="18" spans="1:23" s="75" customFormat="1" x14ac:dyDescent="0.25">
      <c r="A18" s="75" t="s">
        <v>596</v>
      </c>
      <c r="B18" s="75" t="s">
        <v>516</v>
      </c>
      <c r="C18" s="76">
        <v>152.00299999999999</v>
      </c>
      <c r="D18" s="76">
        <v>21.181000000000001</v>
      </c>
      <c r="E18" s="76">
        <v>-441.83699999999999</v>
      </c>
      <c r="F18" s="75" t="s">
        <v>511</v>
      </c>
      <c r="G18" s="75" t="s">
        <v>513</v>
      </c>
      <c r="H18" s="75">
        <f t="shared" si="0"/>
        <v>700.87400000000002</v>
      </c>
      <c r="I18" s="75">
        <f t="shared" si="1"/>
        <v>201.02099999999999</v>
      </c>
      <c r="J18" s="75">
        <f t="shared" si="2"/>
        <v>61.566000000000003</v>
      </c>
      <c r="K18" s="75">
        <f t="shared" si="3"/>
        <v>-0.87400000000002365</v>
      </c>
      <c r="L18" s="75">
        <f t="shared" si="4"/>
        <v>37.521000000000015</v>
      </c>
      <c r="M18" s="75">
        <f t="shared" si="5"/>
        <v>58.436000000000007</v>
      </c>
      <c r="N18" s="75" t="s">
        <v>508</v>
      </c>
      <c r="O18" s="75">
        <f t="shared" si="6"/>
        <v>0</v>
      </c>
      <c r="P18" s="75">
        <f t="shared" si="7"/>
        <v>0</v>
      </c>
      <c r="Q18" s="75">
        <f t="shared" si="8"/>
        <v>0</v>
      </c>
      <c r="R18" s="75" t="s">
        <v>553</v>
      </c>
    </row>
    <row r="19" spans="1:23" s="75" customFormat="1" x14ac:dyDescent="0.25">
      <c r="A19" s="75" t="s">
        <v>596</v>
      </c>
      <c r="B19" s="75" t="s">
        <v>517</v>
      </c>
      <c r="C19" s="76">
        <v>150.25299999999999</v>
      </c>
      <c r="D19" s="76">
        <v>21.181000000000001</v>
      </c>
      <c r="E19" s="76">
        <v>-441.83699999999999</v>
      </c>
      <c r="F19" s="75" t="s">
        <v>511</v>
      </c>
      <c r="G19" s="75" t="s">
        <v>513</v>
      </c>
      <c r="H19" s="75">
        <f t="shared" si="0"/>
        <v>699.12400000000002</v>
      </c>
      <c r="I19" s="75">
        <f t="shared" si="1"/>
        <v>201.02099999999999</v>
      </c>
      <c r="J19" s="75">
        <f t="shared" si="2"/>
        <v>61.566000000000003</v>
      </c>
      <c r="K19" s="75">
        <f t="shared" si="3"/>
        <v>0.87599999999997635</v>
      </c>
      <c r="L19" s="75">
        <f t="shared" si="4"/>
        <v>37.521000000000015</v>
      </c>
      <c r="M19" s="75">
        <f t="shared" si="5"/>
        <v>58.436000000000007</v>
      </c>
      <c r="N19" s="75" t="s">
        <v>508</v>
      </c>
      <c r="O19" s="75">
        <f t="shared" si="6"/>
        <v>-1.75</v>
      </c>
      <c r="P19" s="75">
        <f t="shared" si="7"/>
        <v>0</v>
      </c>
      <c r="Q19" s="75">
        <f t="shared" si="8"/>
        <v>0</v>
      </c>
      <c r="R19" s="75" t="s">
        <v>554</v>
      </c>
    </row>
    <row r="20" spans="1:23" s="75" customFormat="1" x14ac:dyDescent="0.25">
      <c r="A20" s="75" t="s">
        <v>596</v>
      </c>
      <c r="B20" s="75" t="s">
        <v>532</v>
      </c>
      <c r="C20" s="76">
        <v>149.27799999999999</v>
      </c>
      <c r="D20" s="76">
        <v>21.181000000000001</v>
      </c>
      <c r="E20" s="76">
        <v>-441.49599999999998</v>
      </c>
      <c r="F20" s="75" t="s">
        <v>488</v>
      </c>
      <c r="G20" s="75" t="s">
        <v>513</v>
      </c>
      <c r="H20" s="75">
        <f t="shared" si="0"/>
        <v>698.149</v>
      </c>
      <c r="I20" s="75">
        <f t="shared" si="1"/>
        <v>200.67999999999998</v>
      </c>
      <c r="J20" s="75">
        <f t="shared" si="2"/>
        <v>61.566000000000003</v>
      </c>
      <c r="K20" s="75">
        <f t="shared" si="3"/>
        <v>1.8509999999999991</v>
      </c>
      <c r="L20" s="75">
        <f t="shared" si="4"/>
        <v>37.180000000000007</v>
      </c>
      <c r="M20" s="75">
        <f t="shared" si="5"/>
        <v>58.436000000000007</v>
      </c>
      <c r="N20" s="75" t="s">
        <v>551</v>
      </c>
      <c r="O20" s="75">
        <f t="shared" si="6"/>
        <v>-2.7250000000000227</v>
      </c>
      <c r="P20" s="75">
        <f t="shared" si="7"/>
        <v>-0.34100000000000819</v>
      </c>
      <c r="Q20" s="75">
        <f t="shared" si="8"/>
        <v>0</v>
      </c>
      <c r="R20" s="75" t="s">
        <v>552</v>
      </c>
    </row>
    <row r="21" spans="1:23" s="75" customFormat="1" x14ac:dyDescent="0.25">
      <c r="A21" s="75" t="s">
        <v>596</v>
      </c>
      <c r="B21" s="75" t="s">
        <v>533</v>
      </c>
      <c r="C21" s="76">
        <v>151.12799999999999</v>
      </c>
      <c r="D21" s="76">
        <v>21.181000000000001</v>
      </c>
      <c r="E21" s="76">
        <v>-440.23399999999998</v>
      </c>
      <c r="F21" s="75" t="s">
        <v>488</v>
      </c>
      <c r="G21" s="75" t="s">
        <v>513</v>
      </c>
      <c r="H21" s="75">
        <f t="shared" si="0"/>
        <v>699.99900000000002</v>
      </c>
      <c r="I21" s="75">
        <f t="shared" si="1"/>
        <v>199.41799999999998</v>
      </c>
      <c r="J21" s="75">
        <f t="shared" si="2"/>
        <v>61.566000000000003</v>
      </c>
      <c r="K21" s="75">
        <f t="shared" si="3"/>
        <v>9.9999999997635314E-4</v>
      </c>
      <c r="L21" s="75">
        <f t="shared" si="4"/>
        <v>35.918000000000006</v>
      </c>
      <c r="M21" s="75">
        <f t="shared" si="5"/>
        <v>58.436000000000007</v>
      </c>
      <c r="N21" s="75" t="s">
        <v>551</v>
      </c>
      <c r="O21" s="75">
        <f t="shared" si="6"/>
        <v>-0.875</v>
      </c>
      <c r="P21" s="75">
        <f t="shared" si="7"/>
        <v>-1.6030000000000086</v>
      </c>
      <c r="Q21" s="75">
        <f t="shared" si="8"/>
        <v>0</v>
      </c>
      <c r="R21" s="75" t="s">
        <v>552</v>
      </c>
    </row>
    <row r="22" spans="1:23" s="75" customFormat="1" x14ac:dyDescent="0.25">
      <c r="A22" s="75" t="s">
        <v>596</v>
      </c>
      <c r="B22" s="75" t="s">
        <v>534</v>
      </c>
      <c r="C22" s="76">
        <v>151.12799999999999</v>
      </c>
      <c r="D22" s="76">
        <v>21.181000000000001</v>
      </c>
      <c r="E22" s="76">
        <v>-441.83699999999999</v>
      </c>
      <c r="F22" s="75" t="s">
        <v>488</v>
      </c>
      <c r="G22" s="75" t="s">
        <v>513</v>
      </c>
      <c r="H22" s="75">
        <f t="shared" ref="H22:H39" si="9">C22-$C$3</f>
        <v>699.99900000000002</v>
      </c>
      <c r="I22" s="75">
        <f t="shared" ref="I22:I39" si="10">(E22-$E$3)*-1</f>
        <v>201.02099999999999</v>
      </c>
      <c r="J22" s="75">
        <f t="shared" ref="J22:J39" si="11">D22-$D$3</f>
        <v>61.566000000000003</v>
      </c>
      <c r="K22" s="75">
        <f t="shared" si="3"/>
        <v>9.9999999997635314E-4</v>
      </c>
      <c r="L22" s="75">
        <f t="shared" si="4"/>
        <v>37.521000000000015</v>
      </c>
      <c r="M22" s="75">
        <f t="shared" si="5"/>
        <v>58.436000000000007</v>
      </c>
      <c r="N22" s="75" t="s">
        <v>551</v>
      </c>
      <c r="O22" s="75">
        <f t="shared" si="6"/>
        <v>-0.875</v>
      </c>
      <c r="P22" s="75">
        <f t="shared" si="7"/>
        <v>0</v>
      </c>
      <c r="Q22" s="75">
        <f t="shared" si="8"/>
        <v>0</v>
      </c>
      <c r="R22" s="75" t="s">
        <v>552</v>
      </c>
    </row>
    <row r="23" spans="1:23" s="73" customFormat="1" x14ac:dyDescent="0.25">
      <c r="A23" s="73">
        <v>1803000</v>
      </c>
      <c r="B23" s="73" t="s">
        <v>512</v>
      </c>
      <c r="C23" s="74">
        <v>149.27799999999999</v>
      </c>
      <c r="D23" s="74">
        <v>21.181000000000001</v>
      </c>
      <c r="E23" s="74">
        <v>-442.57400000000001</v>
      </c>
      <c r="F23" s="73" t="s">
        <v>594</v>
      </c>
      <c r="G23" s="73" t="s">
        <v>513</v>
      </c>
      <c r="H23" s="73">
        <f t="shared" si="9"/>
        <v>698.149</v>
      </c>
      <c r="I23" s="73">
        <f t="shared" si="10"/>
        <v>201.75800000000001</v>
      </c>
      <c r="J23" s="73">
        <f t="shared" si="11"/>
        <v>61.566000000000003</v>
      </c>
      <c r="K23" s="73">
        <f t="shared" ref="K23:K33" si="12">(H23-$H$11)*-1</f>
        <v>1.8509999999999991</v>
      </c>
      <c r="L23" s="73">
        <f t="shared" ref="L23:L33" si="13">I23-$I$11</f>
        <v>38.258000000000038</v>
      </c>
      <c r="M23" s="73">
        <f t="shared" ref="M23:M33" si="14">(J23-$J$11)*-1</f>
        <v>58.436000000000007</v>
      </c>
      <c r="N23" s="73" t="s">
        <v>615</v>
      </c>
      <c r="O23" s="73">
        <f>(K23-K$27)*-1</f>
        <v>-2.7250000000000227</v>
      </c>
      <c r="P23" s="73">
        <f>(L23-L$27)</f>
        <v>0.96000000000003638</v>
      </c>
      <c r="Q23" s="73">
        <f>(M23-M$27)*-1</f>
        <v>0</v>
      </c>
      <c r="R23" s="73" t="s">
        <v>595</v>
      </c>
      <c r="S23" s="73">
        <v>-2.7249999999999979</v>
      </c>
      <c r="T23" s="73">
        <v>0.9599999999999973</v>
      </c>
      <c r="U23" s="73">
        <v>0</v>
      </c>
      <c r="V23" s="73" t="s">
        <v>619</v>
      </c>
      <c r="W23" s="73">
        <f>SQRT((S24-S23)^2+(T24-T23)^2)</f>
        <v>2.5381231254610173</v>
      </c>
    </row>
    <row r="24" spans="1:23" s="73" customFormat="1" x14ac:dyDescent="0.25">
      <c r="A24" s="73">
        <v>1803000</v>
      </c>
      <c r="B24" s="73" t="s">
        <v>514</v>
      </c>
      <c r="C24" s="74">
        <v>149.303</v>
      </c>
      <c r="D24" s="74">
        <v>21.181000000000001</v>
      </c>
      <c r="E24" s="74">
        <v>-440.036</v>
      </c>
      <c r="F24" s="73" t="s">
        <v>594</v>
      </c>
      <c r="G24" s="73" t="s">
        <v>513</v>
      </c>
      <c r="H24" s="73">
        <f t="shared" ref="H24:H33" si="15">C24-$C$3</f>
        <v>698.17399999999998</v>
      </c>
      <c r="I24" s="73">
        <f t="shared" ref="I24:I33" si="16">(E24-$E$3)*-1</f>
        <v>199.22</v>
      </c>
      <c r="J24" s="73">
        <f t="shared" ref="J24:J33" si="17">D24-$D$3</f>
        <v>61.566000000000003</v>
      </c>
      <c r="K24" s="73">
        <f t="shared" si="12"/>
        <v>1.8260000000000218</v>
      </c>
      <c r="L24" s="73">
        <f t="shared" si="13"/>
        <v>35.720000000000027</v>
      </c>
      <c r="M24" s="73">
        <f t="shared" si="14"/>
        <v>58.436000000000007</v>
      </c>
      <c r="N24" s="73" t="s">
        <v>616</v>
      </c>
      <c r="O24" s="73">
        <f t="shared" ref="O24:O33" si="18">(K24-K$27)*-1</f>
        <v>-2.7000000000000455</v>
      </c>
      <c r="P24" s="73">
        <f t="shared" ref="P24:P33" si="19">(L24-L$27)</f>
        <v>-1.5779999999999745</v>
      </c>
      <c r="Q24" s="73">
        <f t="shared" ref="Q24:Q33" si="20">(M24-M$27)*-1</f>
        <v>0</v>
      </c>
      <c r="R24" s="73" t="s">
        <v>595</v>
      </c>
      <c r="S24" s="73">
        <v>-2.6999999999999957</v>
      </c>
      <c r="T24" s="73">
        <v>-1.578000000000003</v>
      </c>
      <c r="U24" s="73">
        <v>0</v>
      </c>
    </row>
    <row r="25" spans="1:23" s="73" customFormat="1" x14ac:dyDescent="0.25">
      <c r="A25" s="73">
        <v>1803000</v>
      </c>
      <c r="B25" s="73" t="s">
        <v>515</v>
      </c>
      <c r="C25" s="74">
        <v>152.953</v>
      </c>
      <c r="D25" s="74">
        <v>21.181000000000001</v>
      </c>
      <c r="E25" s="74">
        <v>-440.036</v>
      </c>
      <c r="F25" s="73" t="s">
        <v>594</v>
      </c>
      <c r="G25" s="73" t="s">
        <v>513</v>
      </c>
      <c r="H25" s="73">
        <f t="shared" si="15"/>
        <v>701.82399999999996</v>
      </c>
      <c r="I25" s="73">
        <f t="shared" si="16"/>
        <v>199.22</v>
      </c>
      <c r="J25" s="73">
        <f t="shared" si="17"/>
        <v>61.566000000000003</v>
      </c>
      <c r="K25" s="73">
        <f t="shared" si="12"/>
        <v>-1.8239999999999554</v>
      </c>
      <c r="L25" s="73">
        <f t="shared" si="13"/>
        <v>35.720000000000027</v>
      </c>
      <c r="M25" s="73">
        <f t="shared" si="14"/>
        <v>58.436000000000007</v>
      </c>
      <c r="N25" s="73" t="s">
        <v>617</v>
      </c>
      <c r="O25" s="73">
        <f t="shared" si="18"/>
        <v>0.94999999999993179</v>
      </c>
      <c r="P25" s="73">
        <f t="shared" si="19"/>
        <v>-1.5779999999999745</v>
      </c>
      <c r="Q25" s="73">
        <f t="shared" si="20"/>
        <v>0</v>
      </c>
      <c r="R25" s="73" t="s">
        <v>593</v>
      </c>
      <c r="S25" s="73">
        <v>0.95000000000000284</v>
      </c>
      <c r="T25" s="73">
        <v>-1.578000000000003</v>
      </c>
      <c r="U25" s="73">
        <v>0</v>
      </c>
      <c r="V25" s="73" t="s">
        <v>620</v>
      </c>
      <c r="W25" s="73">
        <f>SQRT((S25-S24)^2+(T25-T24)^2)</f>
        <v>3.6499999999999986</v>
      </c>
    </row>
    <row r="26" spans="1:23" s="73" customFormat="1" x14ac:dyDescent="0.25">
      <c r="A26" s="73">
        <v>1803000</v>
      </c>
      <c r="B26" s="73" t="s">
        <v>592</v>
      </c>
      <c r="C26" s="74">
        <v>152.97800000000001</v>
      </c>
      <c r="D26" s="74">
        <v>21.181000000000001</v>
      </c>
      <c r="E26" s="74">
        <v>-442.57400000000001</v>
      </c>
      <c r="F26" s="73" t="s">
        <v>594</v>
      </c>
      <c r="G26" s="73" t="s">
        <v>513</v>
      </c>
      <c r="H26" s="73">
        <f t="shared" si="15"/>
        <v>701.84899999999993</v>
      </c>
      <c r="I26" s="73">
        <f t="shared" si="16"/>
        <v>201.75800000000001</v>
      </c>
      <c r="J26" s="73">
        <f t="shared" si="17"/>
        <v>61.566000000000003</v>
      </c>
      <c r="K26" s="73">
        <f t="shared" si="12"/>
        <v>-1.8489999999999327</v>
      </c>
      <c r="L26" s="73">
        <f t="shared" si="13"/>
        <v>38.258000000000038</v>
      </c>
      <c r="M26" s="73">
        <f t="shared" si="14"/>
        <v>58.436000000000007</v>
      </c>
      <c r="N26" s="73" t="s">
        <v>615</v>
      </c>
      <c r="O26" s="73">
        <f t="shared" si="18"/>
        <v>0.97499999999990905</v>
      </c>
      <c r="P26" s="73">
        <f t="shared" si="19"/>
        <v>0.96000000000003638</v>
      </c>
      <c r="Q26" s="73">
        <f t="shared" si="20"/>
        <v>0</v>
      </c>
      <c r="R26" s="73" t="s">
        <v>593</v>
      </c>
      <c r="S26" s="73">
        <v>0.97500000000000142</v>
      </c>
      <c r="T26" s="73">
        <v>0.9599999999999973</v>
      </c>
      <c r="U26" s="73">
        <v>0</v>
      </c>
    </row>
    <row r="27" spans="1:23" s="73" customFormat="1" x14ac:dyDescent="0.25">
      <c r="A27" s="73">
        <v>1803000</v>
      </c>
      <c r="B27" s="73" t="s">
        <v>516</v>
      </c>
      <c r="C27" s="74">
        <v>152.00299999999999</v>
      </c>
      <c r="D27" s="74">
        <v>21.181000000000001</v>
      </c>
      <c r="E27" s="74">
        <v>-441.61399999999998</v>
      </c>
      <c r="F27" s="73" t="s">
        <v>594</v>
      </c>
      <c r="G27" s="73" t="s">
        <v>513</v>
      </c>
      <c r="H27" s="73">
        <f t="shared" si="15"/>
        <v>700.87400000000002</v>
      </c>
      <c r="I27" s="73">
        <f t="shared" si="16"/>
        <v>200.79799999999997</v>
      </c>
      <c r="J27" s="73">
        <f t="shared" si="17"/>
        <v>61.566000000000003</v>
      </c>
      <c r="K27" s="73">
        <f t="shared" si="12"/>
        <v>-0.87400000000002365</v>
      </c>
      <c r="L27" s="73">
        <f t="shared" si="13"/>
        <v>37.298000000000002</v>
      </c>
      <c r="M27" s="73">
        <f t="shared" si="14"/>
        <v>58.436000000000007</v>
      </c>
      <c r="N27" s="73" t="s">
        <v>618</v>
      </c>
      <c r="O27" s="73">
        <f t="shared" si="18"/>
        <v>0</v>
      </c>
      <c r="P27" s="73">
        <f t="shared" si="19"/>
        <v>0</v>
      </c>
      <c r="Q27" s="73">
        <f t="shared" si="20"/>
        <v>0</v>
      </c>
      <c r="R27" s="73" t="s">
        <v>593</v>
      </c>
      <c r="S27" s="73">
        <v>0</v>
      </c>
      <c r="T27" s="73">
        <v>0</v>
      </c>
      <c r="U27" s="73">
        <v>0</v>
      </c>
    </row>
    <row r="28" spans="1:23" s="73" customFormat="1" x14ac:dyDescent="0.25">
      <c r="A28" s="73">
        <v>1803000</v>
      </c>
      <c r="B28" s="73" t="s">
        <v>517</v>
      </c>
      <c r="C28" s="74">
        <v>150.25299999999999</v>
      </c>
      <c r="D28" s="74">
        <v>21.181000000000001</v>
      </c>
      <c r="E28" s="74">
        <v>-441.61399999999998</v>
      </c>
      <c r="F28" s="73" t="s">
        <v>594</v>
      </c>
      <c r="G28" s="73" t="s">
        <v>513</v>
      </c>
      <c r="H28" s="73">
        <f t="shared" si="15"/>
        <v>699.12400000000002</v>
      </c>
      <c r="I28" s="73">
        <f t="shared" si="16"/>
        <v>200.79799999999997</v>
      </c>
      <c r="J28" s="73">
        <f t="shared" si="17"/>
        <v>61.566000000000003</v>
      </c>
      <c r="K28" s="73">
        <f t="shared" si="12"/>
        <v>0.87599999999997635</v>
      </c>
      <c r="L28" s="73">
        <f t="shared" si="13"/>
        <v>37.298000000000002</v>
      </c>
      <c r="M28" s="73">
        <f t="shared" si="14"/>
        <v>58.436000000000007</v>
      </c>
      <c r="N28" s="73" t="s">
        <v>616</v>
      </c>
      <c r="O28" s="73">
        <f t="shared" si="18"/>
        <v>-1.75</v>
      </c>
      <c r="P28" s="73">
        <f t="shared" si="19"/>
        <v>0</v>
      </c>
      <c r="Q28" s="73">
        <f t="shared" si="20"/>
        <v>0</v>
      </c>
      <c r="R28" s="73" t="s">
        <v>593</v>
      </c>
      <c r="S28" s="73">
        <v>-1.7499999999999964</v>
      </c>
      <c r="T28" s="73">
        <v>0</v>
      </c>
      <c r="U28" s="73">
        <v>0</v>
      </c>
    </row>
    <row r="29" spans="1:23" s="73" customFormat="1" x14ac:dyDescent="0.25">
      <c r="A29" s="73">
        <v>1803000</v>
      </c>
      <c r="B29" s="73" t="s">
        <v>532</v>
      </c>
      <c r="C29" s="74">
        <v>149.291</v>
      </c>
      <c r="D29" s="73">
        <v>21.181000000000001</v>
      </c>
      <c r="E29" s="74">
        <v>-441.30500000000001</v>
      </c>
      <c r="F29" s="73" t="s">
        <v>594</v>
      </c>
      <c r="G29" s="73" t="s">
        <v>513</v>
      </c>
      <c r="H29" s="73">
        <f t="shared" si="15"/>
        <v>698.16200000000003</v>
      </c>
      <c r="I29" s="73">
        <f t="shared" si="16"/>
        <v>200.489</v>
      </c>
      <c r="J29" s="73">
        <f t="shared" si="17"/>
        <v>61.566000000000003</v>
      </c>
      <c r="K29" s="73">
        <f t="shared" si="12"/>
        <v>1.8379999999999654</v>
      </c>
      <c r="L29" s="73">
        <f t="shared" si="13"/>
        <v>36.989000000000033</v>
      </c>
      <c r="M29" s="73">
        <f t="shared" si="14"/>
        <v>58.436000000000007</v>
      </c>
      <c r="N29" s="73" t="s">
        <v>615</v>
      </c>
      <c r="O29" s="73">
        <f t="shared" si="18"/>
        <v>-2.7119999999999891</v>
      </c>
      <c r="P29" s="73">
        <f t="shared" si="19"/>
        <v>-0.30899999999996908</v>
      </c>
      <c r="Q29" s="73">
        <f t="shared" si="20"/>
        <v>0</v>
      </c>
      <c r="R29" s="73" t="s">
        <v>593</v>
      </c>
      <c r="S29" s="73">
        <v>-2.6999999999999957</v>
      </c>
      <c r="T29" s="73">
        <v>-0.30200000000000315</v>
      </c>
      <c r="U29" s="73">
        <v>0</v>
      </c>
    </row>
    <row r="30" spans="1:23" s="73" customFormat="1" x14ac:dyDescent="0.25">
      <c r="A30" s="73">
        <v>1803000</v>
      </c>
      <c r="B30" s="73" t="s">
        <v>533</v>
      </c>
      <c r="C30" s="74">
        <v>151.12799999999999</v>
      </c>
      <c r="D30" s="74">
        <v>21.181000000000001</v>
      </c>
      <c r="E30" s="74">
        <v>-440.036</v>
      </c>
      <c r="F30" s="73" t="s">
        <v>594</v>
      </c>
      <c r="G30" s="73" t="s">
        <v>513</v>
      </c>
      <c r="H30" s="73">
        <f t="shared" si="15"/>
        <v>699.99900000000002</v>
      </c>
      <c r="I30" s="73">
        <f t="shared" si="16"/>
        <v>199.22</v>
      </c>
      <c r="J30" s="73">
        <f t="shared" si="17"/>
        <v>61.566000000000003</v>
      </c>
      <c r="K30" s="73">
        <f t="shared" si="12"/>
        <v>9.9999999997635314E-4</v>
      </c>
      <c r="L30" s="73">
        <f t="shared" si="13"/>
        <v>35.720000000000027</v>
      </c>
      <c r="M30" s="73">
        <f t="shared" si="14"/>
        <v>58.436000000000007</v>
      </c>
      <c r="N30" s="73" t="s">
        <v>615</v>
      </c>
      <c r="O30" s="73">
        <f t="shared" si="18"/>
        <v>-0.875</v>
      </c>
      <c r="P30" s="73">
        <f t="shared" si="19"/>
        <v>-1.5779999999999745</v>
      </c>
      <c r="Q30" s="73">
        <f t="shared" si="20"/>
        <v>0</v>
      </c>
      <c r="R30" s="73" t="s">
        <v>593</v>
      </c>
      <c r="S30" s="73">
        <v>-0.875</v>
      </c>
      <c r="T30" s="73">
        <v>-1.578000000000003</v>
      </c>
      <c r="U30" s="73">
        <v>0</v>
      </c>
    </row>
    <row r="31" spans="1:23" s="73" customFormat="1" x14ac:dyDescent="0.25">
      <c r="A31" s="73">
        <v>1803000</v>
      </c>
      <c r="B31" s="73" t="s">
        <v>534</v>
      </c>
      <c r="C31" s="74">
        <v>151.12799999999999</v>
      </c>
      <c r="D31" s="74">
        <v>21.181000000000001</v>
      </c>
      <c r="E31" s="74">
        <v>-441.29599999999999</v>
      </c>
      <c r="F31" s="73" t="s">
        <v>594</v>
      </c>
      <c r="G31" s="73" t="s">
        <v>513</v>
      </c>
      <c r="H31" s="73">
        <f t="shared" si="15"/>
        <v>699.99900000000002</v>
      </c>
      <c r="I31" s="73">
        <f t="shared" si="16"/>
        <v>200.48</v>
      </c>
      <c r="J31" s="73">
        <f t="shared" si="17"/>
        <v>61.566000000000003</v>
      </c>
      <c r="K31" s="73">
        <f t="shared" si="12"/>
        <v>9.9999999997635314E-4</v>
      </c>
      <c r="L31" s="73">
        <f t="shared" si="13"/>
        <v>36.980000000000018</v>
      </c>
      <c r="M31" s="73">
        <f t="shared" si="14"/>
        <v>58.436000000000007</v>
      </c>
      <c r="N31" s="73" t="s">
        <v>615</v>
      </c>
      <c r="O31" s="73">
        <f t="shared" si="18"/>
        <v>-0.875</v>
      </c>
      <c r="P31" s="73">
        <f t="shared" si="19"/>
        <v>-0.31799999999998363</v>
      </c>
      <c r="Q31" s="73">
        <f t="shared" si="20"/>
        <v>0</v>
      </c>
      <c r="R31" s="73" t="s">
        <v>593</v>
      </c>
      <c r="S31" s="73">
        <v>-0.875</v>
      </c>
      <c r="T31" s="73">
        <v>-0.30200000000000315</v>
      </c>
      <c r="U31" s="73">
        <v>0</v>
      </c>
    </row>
    <row r="32" spans="1:23" s="73" customFormat="1" x14ac:dyDescent="0.25">
      <c r="A32" s="73">
        <v>1803000</v>
      </c>
      <c r="B32" s="73" t="s">
        <v>621</v>
      </c>
      <c r="C32" s="74">
        <v>152.99600000000001</v>
      </c>
      <c r="D32" s="74">
        <v>21.181000000000001</v>
      </c>
      <c r="E32" s="74">
        <v>-441.30500000000001</v>
      </c>
      <c r="F32" s="73" t="s">
        <v>594</v>
      </c>
      <c r="G32" s="73" t="s">
        <v>513</v>
      </c>
      <c r="H32" s="73">
        <f t="shared" si="15"/>
        <v>701.86699999999996</v>
      </c>
      <c r="I32" s="73">
        <f t="shared" si="16"/>
        <v>200.489</v>
      </c>
      <c r="J32" s="73">
        <f t="shared" si="17"/>
        <v>61.566000000000003</v>
      </c>
      <c r="K32" s="73">
        <f t="shared" si="12"/>
        <v>-1.8669999999999618</v>
      </c>
      <c r="L32" s="73">
        <f t="shared" si="13"/>
        <v>36.989000000000033</v>
      </c>
      <c r="M32" s="73">
        <f t="shared" si="14"/>
        <v>58.436000000000007</v>
      </c>
      <c r="O32" s="73">
        <f t="shared" si="18"/>
        <v>0.99299999999993815</v>
      </c>
      <c r="P32" s="73">
        <f t="shared" si="19"/>
        <v>-0.30899999999996908</v>
      </c>
      <c r="Q32" s="73">
        <f t="shared" si="20"/>
        <v>0</v>
      </c>
      <c r="R32" s="73" t="s">
        <v>593</v>
      </c>
    </row>
    <row r="33" spans="1:18" s="73" customFormat="1" x14ac:dyDescent="0.25">
      <c r="A33" s="73">
        <v>1803000</v>
      </c>
      <c r="B33" s="73" t="s">
        <v>622</v>
      </c>
      <c r="C33" s="74">
        <v>151.12799999999999</v>
      </c>
      <c r="D33" s="74">
        <v>21.181000000000001</v>
      </c>
      <c r="E33" s="74">
        <v>-442.57400000000001</v>
      </c>
      <c r="F33" s="73" t="s">
        <v>594</v>
      </c>
      <c r="G33" s="73" t="s">
        <v>513</v>
      </c>
      <c r="H33" s="73">
        <f t="shared" si="15"/>
        <v>699.99900000000002</v>
      </c>
      <c r="I33" s="73">
        <f t="shared" si="16"/>
        <v>201.75800000000001</v>
      </c>
      <c r="J33" s="73">
        <f t="shared" si="17"/>
        <v>61.566000000000003</v>
      </c>
      <c r="K33" s="73">
        <f t="shared" si="12"/>
        <v>9.9999999997635314E-4</v>
      </c>
      <c r="L33" s="73">
        <f t="shared" si="13"/>
        <v>38.258000000000038</v>
      </c>
      <c r="M33" s="73">
        <f t="shared" si="14"/>
        <v>58.436000000000007</v>
      </c>
      <c r="O33" s="73">
        <f t="shared" si="18"/>
        <v>-0.875</v>
      </c>
      <c r="P33" s="73">
        <f t="shared" si="19"/>
        <v>0.96000000000003638</v>
      </c>
      <c r="Q33" s="73">
        <f t="shared" si="20"/>
        <v>0</v>
      </c>
      <c r="R33" s="73" t="s">
        <v>593</v>
      </c>
    </row>
    <row r="34" spans="1:18" x14ac:dyDescent="0.25">
      <c r="B34" s="2" t="s">
        <v>518</v>
      </c>
      <c r="C34" s="70">
        <v>158.12899999999999</v>
      </c>
      <c r="D34" s="70">
        <v>17.616</v>
      </c>
      <c r="E34" s="70">
        <v>-443.11099999999999</v>
      </c>
      <c r="F34" s="2" t="s">
        <v>488</v>
      </c>
      <c r="G34" s="2" t="s">
        <v>519</v>
      </c>
      <c r="H34" s="2">
        <f t="shared" si="9"/>
        <v>707</v>
      </c>
      <c r="I34" s="2">
        <f t="shared" si="10"/>
        <v>202.29499999999999</v>
      </c>
      <c r="J34" s="2">
        <f t="shared" si="11"/>
        <v>58.000999999999998</v>
      </c>
      <c r="K34" s="2">
        <f t="shared" ref="K34" si="21">H34-H$39</f>
        <v>-0.875</v>
      </c>
      <c r="L34" s="2">
        <f>(I34-I$39)</f>
        <v>-7.6000000000021828E-2</v>
      </c>
      <c r="M34" s="2">
        <f t="shared" ref="M34" si="22">J34-J$39</f>
        <v>0</v>
      </c>
      <c r="N34" s="2" t="s">
        <v>539</v>
      </c>
    </row>
    <row r="35" spans="1:18" x14ac:dyDescent="0.25">
      <c r="B35" s="2" t="s">
        <v>535</v>
      </c>
      <c r="C35" s="70">
        <v>159.82900000000001</v>
      </c>
      <c r="D35" s="70">
        <v>17.616</v>
      </c>
      <c r="E35" s="70">
        <v>-444.22800000000001</v>
      </c>
      <c r="F35" s="2" t="s">
        <v>488</v>
      </c>
      <c r="G35" s="2" t="s">
        <v>500</v>
      </c>
      <c r="H35" s="2">
        <f t="shared" si="9"/>
        <v>708.7</v>
      </c>
      <c r="I35" s="2">
        <f t="shared" si="10"/>
        <v>203.41200000000001</v>
      </c>
      <c r="J35" s="2">
        <f t="shared" si="11"/>
        <v>58.000999999999998</v>
      </c>
      <c r="K35" s="2">
        <f t="shared" ref="K35:K40" si="23">H35-H$39</f>
        <v>0.82500000000004547</v>
      </c>
      <c r="L35" s="2">
        <f t="shared" ref="L35:L40" si="24">(I35-I$39)</f>
        <v>1.0409999999999968</v>
      </c>
      <c r="M35" s="2">
        <f t="shared" ref="M35:M40" si="25">J35-J$39</f>
        <v>0</v>
      </c>
      <c r="N35" s="2" t="s">
        <v>539</v>
      </c>
      <c r="O35" s="2">
        <f>K35-K$35</f>
        <v>0</v>
      </c>
      <c r="P35" s="2">
        <f t="shared" ref="P35:Q35" si="26">L35-L$35</f>
        <v>0</v>
      </c>
      <c r="Q35" s="2">
        <f t="shared" si="26"/>
        <v>0</v>
      </c>
      <c r="R35" s="2" t="s">
        <v>535</v>
      </c>
    </row>
    <row r="36" spans="1:18" x14ac:dyDescent="0.25">
      <c r="B36" s="2" t="s">
        <v>536</v>
      </c>
      <c r="C36" s="70">
        <v>159.82900000000001</v>
      </c>
      <c r="D36" s="70">
        <v>17.616</v>
      </c>
      <c r="E36" s="70">
        <v>-441.99400000000003</v>
      </c>
      <c r="F36" s="2" t="s">
        <v>488</v>
      </c>
      <c r="G36" s="2" t="s">
        <v>500</v>
      </c>
      <c r="H36" s="2">
        <f t="shared" si="9"/>
        <v>708.7</v>
      </c>
      <c r="I36" s="2">
        <f t="shared" si="10"/>
        <v>201.17800000000003</v>
      </c>
      <c r="J36" s="2">
        <f t="shared" si="11"/>
        <v>58.000999999999998</v>
      </c>
      <c r="K36" s="2">
        <f t="shared" si="23"/>
        <v>0.82500000000004547</v>
      </c>
      <c r="L36" s="2">
        <f t="shared" si="24"/>
        <v>-1.1929999999999836</v>
      </c>
      <c r="M36" s="2">
        <f t="shared" si="25"/>
        <v>0</v>
      </c>
      <c r="N36" s="2" t="s">
        <v>539</v>
      </c>
      <c r="O36" s="2">
        <f t="shared" ref="O36:O41" si="27">K36-K$35</f>
        <v>0</v>
      </c>
      <c r="P36" s="2">
        <f t="shared" ref="P36:P41" si="28">L36-L$35</f>
        <v>-2.2339999999999804</v>
      </c>
      <c r="Q36" s="2">
        <f t="shared" ref="Q36:Q41" si="29">M36-M$35</f>
        <v>0</v>
      </c>
      <c r="R36" s="2" t="s">
        <v>535</v>
      </c>
    </row>
    <row r="37" spans="1:18" x14ac:dyDescent="0.25">
      <c r="B37" s="2" t="s">
        <v>537</v>
      </c>
      <c r="C37" s="70">
        <v>156.429</v>
      </c>
      <c r="D37" s="70">
        <v>17.616</v>
      </c>
      <c r="E37" s="70">
        <v>-441.99400000000003</v>
      </c>
      <c r="F37" s="2" t="s">
        <v>488</v>
      </c>
      <c r="G37" s="2" t="s">
        <v>500</v>
      </c>
      <c r="H37" s="2">
        <f t="shared" si="9"/>
        <v>705.3</v>
      </c>
      <c r="I37" s="2">
        <f t="shared" si="10"/>
        <v>201.17800000000003</v>
      </c>
      <c r="J37" s="2">
        <f t="shared" si="11"/>
        <v>58.000999999999998</v>
      </c>
      <c r="K37" s="2">
        <f t="shared" si="23"/>
        <v>-2.5750000000000455</v>
      </c>
      <c r="L37" s="2">
        <f t="shared" si="24"/>
        <v>-1.1929999999999836</v>
      </c>
      <c r="M37" s="2">
        <f t="shared" si="25"/>
        <v>0</v>
      </c>
      <c r="N37" s="2" t="s">
        <v>539</v>
      </c>
      <c r="O37" s="2">
        <f t="shared" si="27"/>
        <v>-3.4000000000000909</v>
      </c>
      <c r="P37" s="2">
        <f t="shared" si="28"/>
        <v>-2.2339999999999804</v>
      </c>
      <c r="Q37" s="2">
        <f t="shared" si="29"/>
        <v>0</v>
      </c>
      <c r="R37" s="2" t="s">
        <v>591</v>
      </c>
    </row>
    <row r="38" spans="1:18" x14ac:dyDescent="0.25">
      <c r="B38" s="2" t="s">
        <v>538</v>
      </c>
      <c r="C38" s="70">
        <v>156.429</v>
      </c>
      <c r="D38" s="70">
        <v>17.616</v>
      </c>
      <c r="E38" s="70">
        <v>-444.22800000000001</v>
      </c>
      <c r="F38" s="2" t="s">
        <v>488</v>
      </c>
      <c r="G38" s="2" t="s">
        <v>500</v>
      </c>
      <c r="H38" s="2">
        <f t="shared" si="9"/>
        <v>705.3</v>
      </c>
      <c r="I38" s="2">
        <f t="shared" si="10"/>
        <v>203.41200000000001</v>
      </c>
      <c r="J38" s="2">
        <f t="shared" si="11"/>
        <v>58.000999999999998</v>
      </c>
      <c r="K38" s="2">
        <f t="shared" si="23"/>
        <v>-2.5750000000000455</v>
      </c>
      <c r="L38" s="2">
        <f t="shared" si="24"/>
        <v>1.0409999999999968</v>
      </c>
      <c r="M38" s="2">
        <f t="shared" si="25"/>
        <v>0</v>
      </c>
      <c r="N38" s="2" t="s">
        <v>539</v>
      </c>
      <c r="O38" s="2">
        <f t="shared" si="27"/>
        <v>-3.4000000000000909</v>
      </c>
      <c r="P38" s="2">
        <f t="shared" si="28"/>
        <v>0</v>
      </c>
      <c r="Q38" s="2">
        <f t="shared" si="29"/>
        <v>0</v>
      </c>
      <c r="R38" s="2" t="s">
        <v>591</v>
      </c>
    </row>
    <row r="39" spans="1:18" x14ac:dyDescent="0.25">
      <c r="A39" s="2" t="s">
        <v>589</v>
      </c>
      <c r="B39" s="2" t="s">
        <v>539</v>
      </c>
      <c r="C39" s="70">
        <v>159.00399999999999</v>
      </c>
      <c r="D39" s="70">
        <v>17.616</v>
      </c>
      <c r="E39" s="70">
        <v>-443.18700000000001</v>
      </c>
      <c r="F39" s="2" t="s">
        <v>488</v>
      </c>
      <c r="G39" s="2" t="s">
        <v>500</v>
      </c>
      <c r="H39" s="2">
        <f t="shared" si="9"/>
        <v>707.875</v>
      </c>
      <c r="I39" s="2">
        <f t="shared" si="10"/>
        <v>202.37100000000001</v>
      </c>
      <c r="J39" s="2">
        <f t="shared" si="11"/>
        <v>58.000999999999998</v>
      </c>
      <c r="K39" s="2">
        <f t="shared" si="23"/>
        <v>0</v>
      </c>
      <c r="L39" s="2">
        <f t="shared" si="24"/>
        <v>0</v>
      </c>
      <c r="M39" s="2">
        <f t="shared" si="25"/>
        <v>0</v>
      </c>
      <c r="N39" s="2" t="s">
        <v>539</v>
      </c>
      <c r="O39" s="2">
        <f t="shared" si="27"/>
        <v>-0.82500000000004547</v>
      </c>
      <c r="P39" s="2">
        <f t="shared" si="28"/>
        <v>-1.0409999999999968</v>
      </c>
      <c r="Q39" s="2">
        <f t="shared" si="29"/>
        <v>0</v>
      </c>
      <c r="R39" s="2" t="s">
        <v>591</v>
      </c>
    </row>
    <row r="40" spans="1:18" x14ac:dyDescent="0.25">
      <c r="A40" s="2" t="s">
        <v>590</v>
      </c>
      <c r="B40" s="2" t="s">
        <v>540</v>
      </c>
      <c r="C40" s="70">
        <v>157.25399999999999</v>
      </c>
      <c r="D40" s="70">
        <v>17.616</v>
      </c>
      <c r="E40" s="70">
        <v>-443.18700000000001</v>
      </c>
      <c r="F40" s="2" t="s">
        <v>488</v>
      </c>
      <c r="G40" s="2" t="s">
        <v>500</v>
      </c>
      <c r="H40" s="2">
        <f t="shared" ref="H40:H48" si="30">C40-$C$3</f>
        <v>706.125</v>
      </c>
      <c r="I40" s="2">
        <f t="shared" ref="I40:I48" si="31">(E40-$E$3)*-1</f>
        <v>202.37100000000001</v>
      </c>
      <c r="J40" s="2">
        <f t="shared" ref="J40:J48" si="32">D40-$D$3</f>
        <v>58.000999999999998</v>
      </c>
      <c r="K40" s="2">
        <f t="shared" si="23"/>
        <v>-1.75</v>
      </c>
      <c r="L40" s="2">
        <f t="shared" si="24"/>
        <v>0</v>
      </c>
      <c r="M40" s="2">
        <f t="shared" si="25"/>
        <v>0</v>
      </c>
      <c r="N40" s="2" t="s">
        <v>539</v>
      </c>
      <c r="O40" s="2">
        <f t="shared" si="27"/>
        <v>-2.5750000000000455</v>
      </c>
      <c r="P40" s="2">
        <f t="shared" si="28"/>
        <v>-1.0409999999999968</v>
      </c>
      <c r="Q40" s="2">
        <f t="shared" si="29"/>
        <v>0</v>
      </c>
      <c r="R40" s="2" t="s">
        <v>591</v>
      </c>
    </row>
    <row r="41" spans="1:18" x14ac:dyDescent="0.25">
      <c r="A41" s="2" t="s">
        <v>588</v>
      </c>
      <c r="B41" s="2" t="s">
        <v>586</v>
      </c>
      <c r="C41" s="70"/>
      <c r="D41" s="70"/>
      <c r="E41" s="70"/>
      <c r="K41" s="2">
        <f t="shared" ref="K41" si="33">H41-H$39</f>
        <v>-707.875</v>
      </c>
      <c r="L41" s="2">
        <f t="shared" ref="L41" si="34">(I41-I$39)*-1</f>
        <v>202.37100000000001</v>
      </c>
      <c r="M41" s="2">
        <f t="shared" ref="M41" si="35">J41-J$39</f>
        <v>-58.000999999999998</v>
      </c>
      <c r="N41" s="2" t="s">
        <v>539</v>
      </c>
      <c r="O41" s="2">
        <f t="shared" si="27"/>
        <v>-708.7</v>
      </c>
      <c r="P41" s="2">
        <f t="shared" si="28"/>
        <v>201.33</v>
      </c>
      <c r="Q41" s="2">
        <f t="shared" si="29"/>
        <v>-58.000999999999998</v>
      </c>
      <c r="R41" s="2" t="s">
        <v>591</v>
      </c>
    </row>
    <row r="42" spans="1:18" x14ac:dyDescent="0.25">
      <c r="B42" s="2" t="s">
        <v>520</v>
      </c>
      <c r="C42" s="70">
        <v>-163.971</v>
      </c>
      <c r="D42" s="70">
        <v>17.614999999999998</v>
      </c>
      <c r="E42" s="70">
        <v>-441.81599999999997</v>
      </c>
      <c r="F42" s="2" t="s">
        <v>488</v>
      </c>
      <c r="G42" s="2" t="s">
        <v>521</v>
      </c>
      <c r="H42" s="2">
        <f t="shared" si="30"/>
        <v>384.9</v>
      </c>
      <c r="I42" s="2">
        <f t="shared" si="31"/>
        <v>200.99999999999997</v>
      </c>
      <c r="J42" s="2">
        <f t="shared" si="32"/>
        <v>58</v>
      </c>
    </row>
    <row r="43" spans="1:18" x14ac:dyDescent="0.25">
      <c r="B43" s="2" t="s">
        <v>522</v>
      </c>
      <c r="C43" s="70">
        <v>-163.971</v>
      </c>
      <c r="D43" s="70">
        <v>17.614999999999998</v>
      </c>
      <c r="E43" s="70">
        <v>-446.81599999999997</v>
      </c>
      <c r="F43" s="2" t="s">
        <v>511</v>
      </c>
      <c r="G43" s="2" t="s">
        <v>521</v>
      </c>
      <c r="H43" s="2">
        <f t="shared" si="30"/>
        <v>384.9</v>
      </c>
      <c r="I43" s="2">
        <f t="shared" si="31"/>
        <v>205.99999999999997</v>
      </c>
      <c r="J43" s="2">
        <f t="shared" si="32"/>
        <v>58</v>
      </c>
    </row>
    <row r="44" spans="1:18" x14ac:dyDescent="0.25">
      <c r="B44" s="2" t="s">
        <v>523</v>
      </c>
      <c r="C44" s="70">
        <v>-163.971</v>
      </c>
      <c r="D44" s="70">
        <v>17.614999999999998</v>
      </c>
      <c r="E44" s="70">
        <v>-451.81599999999997</v>
      </c>
      <c r="F44" s="2" t="s">
        <v>511</v>
      </c>
      <c r="G44" s="2" t="s">
        <v>521</v>
      </c>
      <c r="H44" s="2">
        <f t="shared" si="30"/>
        <v>384.9</v>
      </c>
      <c r="I44" s="2">
        <f t="shared" si="31"/>
        <v>210.99999999999997</v>
      </c>
      <c r="J44" s="2">
        <f t="shared" si="32"/>
        <v>58</v>
      </c>
    </row>
    <row r="45" spans="1:18" x14ac:dyDescent="0.25">
      <c r="B45" s="2" t="s">
        <v>524</v>
      </c>
      <c r="C45" s="70">
        <v>-173.27099999999999</v>
      </c>
      <c r="D45" s="70">
        <v>17.614999999999998</v>
      </c>
      <c r="E45" s="70">
        <v>-458.31599999999997</v>
      </c>
      <c r="F45" s="2" t="s">
        <v>511</v>
      </c>
      <c r="G45" s="2" t="s">
        <v>521</v>
      </c>
      <c r="H45" s="2">
        <f t="shared" si="30"/>
        <v>375.6</v>
      </c>
      <c r="I45" s="2">
        <f t="shared" si="31"/>
        <v>217.49999999999997</v>
      </c>
      <c r="J45" s="2">
        <f t="shared" si="32"/>
        <v>58</v>
      </c>
    </row>
    <row r="46" spans="1:18" x14ac:dyDescent="0.25">
      <c r="B46" s="2" t="s">
        <v>525</v>
      </c>
      <c r="C46" s="70">
        <v>-180.67099999999999</v>
      </c>
      <c r="D46" s="70">
        <v>17.614999999999998</v>
      </c>
      <c r="E46" s="70">
        <v>-458.31599999999997</v>
      </c>
      <c r="F46" s="2" t="s">
        <v>511</v>
      </c>
      <c r="G46" s="2" t="s">
        <v>521</v>
      </c>
      <c r="H46" s="2">
        <f t="shared" si="30"/>
        <v>368.2</v>
      </c>
      <c r="I46" s="2">
        <f t="shared" si="31"/>
        <v>217.49999999999997</v>
      </c>
      <c r="J46" s="2">
        <f t="shared" si="32"/>
        <v>58</v>
      </c>
    </row>
    <row r="47" spans="1:18" x14ac:dyDescent="0.25">
      <c r="B47" s="2" t="s">
        <v>526</v>
      </c>
      <c r="C47" s="70">
        <v>-188.071</v>
      </c>
      <c r="D47" s="70">
        <v>17.614999999999998</v>
      </c>
      <c r="E47" s="70">
        <v>-458.31599999999997</v>
      </c>
      <c r="F47" s="2" t="s">
        <v>511</v>
      </c>
      <c r="G47" s="2" t="s">
        <v>521</v>
      </c>
      <c r="H47" s="2">
        <f t="shared" si="30"/>
        <v>360.79999999999995</v>
      </c>
      <c r="I47" s="2">
        <f t="shared" si="31"/>
        <v>217.49999999999997</v>
      </c>
      <c r="J47" s="2">
        <f t="shared" si="32"/>
        <v>58</v>
      </c>
    </row>
    <row r="48" spans="1:18" s="79" customFormat="1" x14ac:dyDescent="0.25">
      <c r="A48" s="79" t="s">
        <v>603</v>
      </c>
      <c r="B48" s="79" t="s">
        <v>602</v>
      </c>
      <c r="C48" s="80">
        <v>241.12899999999999</v>
      </c>
      <c r="D48" s="80">
        <v>28.216000000000001</v>
      </c>
      <c r="E48" s="80">
        <v>-419.34100000000001</v>
      </c>
      <c r="F48" s="79" t="s">
        <v>604</v>
      </c>
      <c r="G48" s="79" t="s">
        <v>605</v>
      </c>
      <c r="H48" s="79">
        <f t="shared" si="30"/>
        <v>790</v>
      </c>
      <c r="I48" s="79">
        <f t="shared" si="31"/>
        <v>178.52500000000001</v>
      </c>
      <c r="J48" s="79">
        <f t="shared" si="32"/>
        <v>68.600999999999999</v>
      </c>
      <c r="K48" s="79">
        <f t="shared" ref="K48" si="36">(H48-$H$11)*-1</f>
        <v>-90</v>
      </c>
      <c r="L48" s="79">
        <f t="shared" ref="L48" si="37">I48-$I$11</f>
        <v>15.025000000000034</v>
      </c>
      <c r="M48" s="79">
        <f t="shared" ref="M48" si="38">(J48-$J$11)*-1</f>
        <v>51.40100000000001</v>
      </c>
      <c r="N48" s="79" t="s">
        <v>551</v>
      </c>
      <c r="O48" s="79">
        <f>(K48-$K$12)*-1</f>
        <v>-60</v>
      </c>
      <c r="P48" s="79">
        <f>(L48-$L$12)*-1</f>
        <v>4.9749999999999659</v>
      </c>
      <c r="Q48" s="79">
        <f>M48-$M$12</f>
        <v>-10.600999999999999</v>
      </c>
      <c r="R48" s="79" t="s">
        <v>509</v>
      </c>
    </row>
    <row r="49" spans="2:7" x14ac:dyDescent="0.25">
      <c r="B49" s="2" t="s">
        <v>527</v>
      </c>
      <c r="C49" s="70">
        <v>23</v>
      </c>
      <c r="D49" s="70">
        <v>0</v>
      </c>
      <c r="E49" s="70">
        <v>0</v>
      </c>
      <c r="F49" s="2" t="s">
        <v>511</v>
      </c>
      <c r="G49" s="2" t="s">
        <v>519</v>
      </c>
    </row>
    <row r="50" spans="2:7" x14ac:dyDescent="0.25">
      <c r="B50" s="2" t="s">
        <v>528</v>
      </c>
      <c r="C50" s="70">
        <v>0.125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8"/>
  <sheetViews>
    <sheetView topLeftCell="A59" workbookViewId="0">
      <selection activeCell="C33" sqref="C33"/>
    </sheetView>
  </sheetViews>
  <sheetFormatPr defaultRowHeight="15.75" x14ac:dyDescent="0.25"/>
  <cols>
    <col min="1" max="3" width="9" style="47"/>
    <col min="4" max="6" width="9" style="47" customWidth="1"/>
    <col min="7" max="10" width="9" style="47"/>
    <col min="11" max="11" width="35.625" style="47" customWidth="1"/>
    <col min="12" max="16384" width="9" style="47"/>
  </cols>
  <sheetData>
    <row r="2" spans="2:11" ht="16.5" x14ac:dyDescent="0.25">
      <c r="B2" s="45"/>
      <c r="C2" s="86" t="s">
        <v>305</v>
      </c>
      <c r="D2" s="86"/>
      <c r="E2" s="86"/>
      <c r="F2" s="86"/>
      <c r="G2" s="86" t="s">
        <v>306</v>
      </c>
      <c r="H2" s="86"/>
      <c r="I2" s="86"/>
      <c r="J2" s="86"/>
      <c r="K2" s="46" t="s">
        <v>307</v>
      </c>
    </row>
    <row r="3" spans="2:11" ht="16.5" customHeight="1" x14ac:dyDescent="0.25">
      <c r="B3" s="48" t="s">
        <v>308</v>
      </c>
      <c r="C3" s="92" t="s">
        <v>309</v>
      </c>
      <c r="D3" s="92"/>
      <c r="E3" s="92"/>
      <c r="F3" s="92"/>
      <c r="G3" s="92"/>
      <c r="H3" s="92"/>
      <c r="I3" s="92"/>
      <c r="J3" s="93"/>
      <c r="K3" s="94" t="s">
        <v>310</v>
      </c>
    </row>
    <row r="4" spans="2:11" ht="16.5" x14ac:dyDescent="0.25">
      <c r="B4" s="49"/>
      <c r="C4" s="88" t="s">
        <v>311</v>
      </c>
      <c r="D4" s="88"/>
      <c r="E4" s="88"/>
      <c r="F4" s="88"/>
      <c r="G4" s="88"/>
      <c r="H4" s="88"/>
      <c r="I4" s="88"/>
      <c r="J4" s="89"/>
      <c r="K4" s="95"/>
    </row>
    <row r="5" spans="2:11" ht="16.5" customHeight="1" x14ac:dyDescent="0.25">
      <c r="B5" s="50"/>
      <c r="C5" s="90"/>
      <c r="D5" s="90"/>
      <c r="E5" s="90"/>
      <c r="F5" s="90"/>
      <c r="G5" s="90"/>
      <c r="H5" s="90"/>
      <c r="I5" s="90"/>
      <c r="J5" s="91"/>
      <c r="K5" s="95"/>
    </row>
    <row r="6" spans="2:11" ht="16.5" customHeight="1" x14ac:dyDescent="0.25">
      <c r="B6" s="48" t="s">
        <v>312</v>
      </c>
      <c r="C6" s="92" t="s">
        <v>313</v>
      </c>
      <c r="D6" s="92"/>
      <c r="E6" s="92"/>
      <c r="F6" s="92"/>
      <c r="G6" s="92"/>
      <c r="H6" s="92"/>
      <c r="I6" s="92"/>
      <c r="J6" s="93"/>
      <c r="K6" s="95"/>
    </row>
    <row r="7" spans="2:11" ht="16.5" customHeight="1" x14ac:dyDescent="0.25">
      <c r="B7" s="49"/>
      <c r="C7" s="88" t="s">
        <v>314</v>
      </c>
      <c r="D7" s="88"/>
      <c r="E7" s="88"/>
      <c r="F7" s="88"/>
      <c r="G7" s="88"/>
      <c r="H7" s="88"/>
      <c r="I7" s="88"/>
      <c r="J7" s="89"/>
      <c r="K7" s="95"/>
    </row>
    <row r="8" spans="2:11" ht="16.5" customHeight="1" x14ac:dyDescent="0.25">
      <c r="B8" s="50"/>
      <c r="C8" s="90" t="s">
        <v>315</v>
      </c>
      <c r="D8" s="90"/>
      <c r="E8" s="90"/>
      <c r="F8" s="90"/>
      <c r="G8" s="90"/>
      <c r="H8" s="90"/>
      <c r="I8" s="90"/>
      <c r="J8" s="91"/>
      <c r="K8" s="96"/>
    </row>
    <row r="9" spans="2:11" ht="16.5" customHeight="1" x14ac:dyDescent="0.25">
      <c r="B9" s="48" t="s">
        <v>316</v>
      </c>
      <c r="C9" s="92" t="s">
        <v>317</v>
      </c>
      <c r="D9" s="92"/>
      <c r="E9" s="92"/>
      <c r="F9" s="92"/>
      <c r="G9" s="92"/>
      <c r="H9" s="92"/>
      <c r="I9" s="92"/>
      <c r="J9" s="93"/>
      <c r="K9" s="51"/>
    </row>
    <row r="10" spans="2:11" ht="16.5" customHeight="1" x14ac:dyDescent="0.25">
      <c r="B10" s="49"/>
      <c r="C10" s="88"/>
      <c r="D10" s="88"/>
      <c r="E10" s="88"/>
      <c r="F10" s="88"/>
      <c r="G10" s="88"/>
      <c r="H10" s="88"/>
      <c r="I10" s="88"/>
      <c r="J10" s="89"/>
      <c r="K10" s="52"/>
    </row>
    <row r="11" spans="2:11" ht="16.5" x14ac:dyDescent="0.25">
      <c r="B11" s="49"/>
      <c r="C11" s="87" t="s">
        <v>318</v>
      </c>
      <c r="D11" s="88"/>
      <c r="E11" s="88"/>
      <c r="F11" s="88"/>
      <c r="G11" s="88"/>
      <c r="H11" s="88"/>
      <c r="I11" s="88" t="s">
        <v>319</v>
      </c>
      <c r="J11" s="89"/>
      <c r="K11" s="52"/>
    </row>
    <row r="12" spans="2:11" ht="16.5" customHeight="1" x14ac:dyDescent="0.25">
      <c r="B12" s="49"/>
      <c r="C12" s="87" t="s">
        <v>320</v>
      </c>
      <c r="D12" s="88"/>
      <c r="E12" s="88"/>
      <c r="F12" s="88"/>
      <c r="G12" s="88"/>
      <c r="H12" s="88"/>
      <c r="I12" s="88" t="s">
        <v>321</v>
      </c>
      <c r="J12" s="89"/>
      <c r="K12" s="52"/>
    </row>
    <row r="13" spans="2:11" ht="16.5" customHeight="1" x14ac:dyDescent="0.25">
      <c r="B13" s="49"/>
      <c r="C13" s="87" t="s">
        <v>322</v>
      </c>
      <c r="D13" s="88"/>
      <c r="E13" s="88"/>
      <c r="F13" s="88"/>
      <c r="G13" s="88"/>
      <c r="H13" s="88"/>
      <c r="I13" s="88" t="s">
        <v>323</v>
      </c>
      <c r="J13" s="89"/>
      <c r="K13" s="52"/>
    </row>
    <row r="14" spans="2:11" ht="16.5" x14ac:dyDescent="0.25">
      <c r="B14" s="49"/>
      <c r="C14" s="87" t="s">
        <v>324</v>
      </c>
      <c r="D14" s="88"/>
      <c r="E14" s="88"/>
      <c r="F14" s="88"/>
      <c r="G14" s="88"/>
      <c r="H14" s="88"/>
      <c r="I14" s="88" t="s">
        <v>325</v>
      </c>
      <c r="J14" s="89"/>
      <c r="K14" s="52"/>
    </row>
    <row r="15" spans="2:11" ht="16.5" customHeight="1" x14ac:dyDescent="0.25">
      <c r="B15" s="50"/>
      <c r="C15" s="87" t="s">
        <v>326</v>
      </c>
      <c r="D15" s="88"/>
      <c r="E15" s="88"/>
      <c r="F15" s="88"/>
      <c r="G15" s="88"/>
      <c r="H15" s="88"/>
      <c r="I15" s="90" t="s">
        <v>327</v>
      </c>
      <c r="J15" s="91"/>
      <c r="K15" s="53"/>
    </row>
    <row r="16" spans="2:11" ht="16.5" x14ac:dyDescent="0.25">
      <c r="B16" s="48" t="s">
        <v>328</v>
      </c>
      <c r="C16" s="54" t="s">
        <v>329</v>
      </c>
      <c r="D16" s="55"/>
      <c r="E16" s="55"/>
      <c r="F16" s="56"/>
      <c r="G16" s="55"/>
      <c r="H16" s="55"/>
      <c r="I16" s="55"/>
      <c r="J16" s="56"/>
      <c r="K16" s="51"/>
    </row>
    <row r="17" spans="2:11" ht="16.5" x14ac:dyDescent="0.25">
      <c r="B17" s="49"/>
      <c r="C17" s="57"/>
      <c r="D17" s="58"/>
      <c r="E17" s="58"/>
      <c r="F17" s="59"/>
      <c r="G17" s="58"/>
      <c r="H17" s="58"/>
      <c r="I17" s="58"/>
      <c r="J17" s="59"/>
      <c r="K17" s="52"/>
    </row>
    <row r="18" spans="2:11" ht="16.5" x14ac:dyDescent="0.25">
      <c r="B18" s="50"/>
      <c r="C18" s="60"/>
      <c r="D18" s="61"/>
      <c r="E18" s="61"/>
      <c r="F18" s="62"/>
      <c r="G18" s="61"/>
      <c r="H18" s="61"/>
      <c r="I18" s="61"/>
      <c r="J18" s="62"/>
      <c r="K18" s="53"/>
    </row>
    <row r="19" spans="2:11" ht="16.5" x14ac:dyDescent="0.25">
      <c r="B19" s="48" t="s">
        <v>330</v>
      </c>
      <c r="C19" s="54" t="s">
        <v>331</v>
      </c>
      <c r="D19" s="55"/>
      <c r="E19" s="55"/>
      <c r="F19" s="56"/>
      <c r="G19" s="55"/>
      <c r="H19" s="55"/>
      <c r="I19" s="55"/>
      <c r="J19" s="56"/>
      <c r="K19" s="51"/>
    </row>
    <row r="20" spans="2:11" ht="16.5" x14ac:dyDescent="0.25">
      <c r="B20" s="49"/>
      <c r="C20" s="57" t="s">
        <v>332</v>
      </c>
      <c r="D20" s="58"/>
      <c r="E20" s="58"/>
      <c r="F20" s="59"/>
      <c r="G20" s="58"/>
      <c r="H20" s="58"/>
      <c r="I20" s="58"/>
      <c r="J20" s="59"/>
      <c r="K20" s="52"/>
    </row>
    <row r="21" spans="2:11" ht="16.5" x14ac:dyDescent="0.25">
      <c r="B21" s="49"/>
      <c r="C21" s="57"/>
      <c r="D21" s="58"/>
      <c r="E21" s="58"/>
      <c r="F21" s="59"/>
      <c r="G21" s="58"/>
      <c r="H21" s="58"/>
      <c r="I21" s="58"/>
      <c r="J21" s="59"/>
      <c r="K21" s="52"/>
    </row>
    <row r="22" spans="2:11" ht="16.5" x14ac:dyDescent="0.25">
      <c r="B22" s="50"/>
      <c r="C22" s="60"/>
      <c r="D22" s="61"/>
      <c r="E22" s="61"/>
      <c r="F22" s="62"/>
      <c r="G22" s="61"/>
      <c r="H22" s="61"/>
      <c r="I22" s="61"/>
      <c r="J22" s="62"/>
      <c r="K22" s="53"/>
    </row>
    <row r="23" spans="2:11" ht="16.5" x14ac:dyDescent="0.25">
      <c r="B23" s="48" t="s">
        <v>333</v>
      </c>
      <c r="C23" s="54"/>
      <c r="D23" s="55"/>
      <c r="E23" s="55"/>
      <c r="F23" s="56"/>
      <c r="G23" s="55"/>
      <c r="H23" s="55"/>
      <c r="I23" s="55"/>
      <c r="J23" s="56"/>
      <c r="K23" s="51"/>
    </row>
    <row r="24" spans="2:11" ht="16.5" x14ac:dyDescent="0.25">
      <c r="B24" s="49"/>
      <c r="C24" s="57"/>
      <c r="D24" s="58"/>
      <c r="E24" s="58"/>
      <c r="F24" s="59"/>
      <c r="G24" s="58"/>
      <c r="H24" s="58"/>
      <c r="I24" s="58"/>
      <c r="J24" s="59"/>
      <c r="K24" s="52"/>
    </row>
    <row r="25" spans="2:11" ht="16.5" x14ac:dyDescent="0.25">
      <c r="B25" s="50"/>
      <c r="C25" s="60"/>
      <c r="D25" s="61"/>
      <c r="E25" s="61"/>
      <c r="F25" s="62"/>
      <c r="G25" s="61"/>
      <c r="H25" s="61"/>
      <c r="I25" s="61"/>
      <c r="J25" s="62"/>
      <c r="K25" s="53"/>
    </row>
    <row r="26" spans="2:11" ht="16.5" x14ac:dyDescent="0.25">
      <c r="B26" s="48" t="s">
        <v>334</v>
      </c>
      <c r="C26" s="54" t="s">
        <v>335</v>
      </c>
      <c r="D26" s="55"/>
      <c r="E26" s="55"/>
      <c r="F26" s="56"/>
      <c r="G26" s="55"/>
      <c r="H26" s="55"/>
      <c r="I26" s="55"/>
      <c r="J26" s="56"/>
      <c r="K26" s="52"/>
    </row>
    <row r="27" spans="2:11" ht="16.5" x14ac:dyDescent="0.25">
      <c r="B27" s="49"/>
      <c r="C27" s="57" t="s">
        <v>336</v>
      </c>
      <c r="D27" s="58"/>
      <c r="E27" s="58"/>
      <c r="F27" s="59"/>
      <c r="G27" s="58"/>
      <c r="H27" s="58"/>
      <c r="I27" s="58"/>
      <c r="J27" s="59"/>
      <c r="K27" s="52"/>
    </row>
    <row r="28" spans="2:11" x14ac:dyDescent="0.25">
      <c r="B28" s="63"/>
      <c r="C28" s="57" t="s">
        <v>337</v>
      </c>
      <c r="D28" s="58"/>
      <c r="E28" s="58"/>
      <c r="F28" s="59"/>
      <c r="G28" s="58"/>
      <c r="H28" s="58"/>
      <c r="I28" s="58"/>
      <c r="J28" s="59"/>
      <c r="K28" s="52"/>
    </row>
    <row r="29" spans="2:11" x14ac:dyDescent="0.25">
      <c r="B29" s="63"/>
      <c r="C29" s="57" t="s">
        <v>338</v>
      </c>
      <c r="D29" s="58"/>
      <c r="E29" s="58"/>
      <c r="F29" s="59"/>
      <c r="G29" s="58"/>
      <c r="H29" s="58"/>
      <c r="I29" s="58"/>
      <c r="J29" s="59"/>
      <c r="K29" s="52"/>
    </row>
    <row r="30" spans="2:11" x14ac:dyDescent="0.25">
      <c r="B30" s="63"/>
      <c r="C30" s="57" t="s">
        <v>339</v>
      </c>
      <c r="D30" s="58"/>
      <c r="E30" s="58"/>
      <c r="F30" s="59"/>
      <c r="G30" s="58"/>
      <c r="H30" s="58"/>
      <c r="I30" s="58"/>
      <c r="J30" s="59"/>
      <c r="K30" s="52"/>
    </row>
    <row r="31" spans="2:11" x14ac:dyDescent="0.25">
      <c r="B31" s="63"/>
      <c r="C31" s="57" t="s">
        <v>340</v>
      </c>
      <c r="D31" s="58"/>
      <c r="E31" s="58"/>
      <c r="F31" s="59"/>
      <c r="G31" s="58"/>
      <c r="H31" s="58"/>
      <c r="I31" s="58"/>
      <c r="J31" s="59"/>
      <c r="K31" s="52"/>
    </row>
    <row r="32" spans="2:11" x14ac:dyDescent="0.25">
      <c r="B32" s="63"/>
      <c r="C32" s="57" t="s">
        <v>341</v>
      </c>
      <c r="D32" s="58"/>
      <c r="E32" s="58"/>
      <c r="F32" s="59"/>
      <c r="G32" s="58"/>
      <c r="H32" s="58"/>
      <c r="I32" s="58"/>
      <c r="J32" s="59"/>
      <c r="K32" s="52"/>
    </row>
    <row r="33" spans="2:11" x14ac:dyDescent="0.25">
      <c r="B33" s="63"/>
      <c r="C33" s="57"/>
      <c r="D33" s="58"/>
      <c r="E33" s="58"/>
      <c r="F33" s="59"/>
      <c r="G33" s="58"/>
      <c r="H33" s="58"/>
      <c r="I33" s="58"/>
      <c r="J33" s="59"/>
      <c r="K33" s="52"/>
    </row>
    <row r="34" spans="2:11" x14ac:dyDescent="0.25">
      <c r="B34" s="64"/>
      <c r="C34" s="60"/>
      <c r="D34" s="61"/>
      <c r="E34" s="61"/>
      <c r="F34" s="62"/>
      <c r="G34" s="61"/>
      <c r="H34" s="61"/>
      <c r="I34" s="61"/>
      <c r="J34" s="62"/>
      <c r="K34" s="53"/>
    </row>
    <row r="39" spans="2:11" x14ac:dyDescent="0.25">
      <c r="B39" s="86" t="s">
        <v>312</v>
      </c>
      <c r="C39" s="86"/>
      <c r="D39" s="86"/>
      <c r="E39" s="86"/>
      <c r="F39" s="86"/>
    </row>
    <row r="40" spans="2:11" x14ac:dyDescent="0.25">
      <c r="B40" s="86"/>
      <c r="C40" s="86"/>
      <c r="D40" s="86"/>
      <c r="E40" s="86"/>
      <c r="F40" s="86"/>
    </row>
    <row r="41" spans="2:11" x14ac:dyDescent="0.25">
      <c r="B41" s="85" t="s">
        <v>342</v>
      </c>
      <c r="C41" s="85"/>
      <c r="D41" s="85"/>
      <c r="E41" s="85" t="s">
        <v>343</v>
      </c>
      <c r="F41" s="85"/>
    </row>
    <row r="42" spans="2:11" x14ac:dyDescent="0.25">
      <c r="B42" s="85" t="s">
        <v>344</v>
      </c>
      <c r="C42" s="85"/>
      <c r="D42" s="85"/>
      <c r="E42" s="85" t="s">
        <v>345</v>
      </c>
      <c r="F42" s="85"/>
    </row>
    <row r="43" spans="2:11" x14ac:dyDescent="0.25">
      <c r="B43" s="85" t="s">
        <v>346</v>
      </c>
      <c r="C43" s="85"/>
      <c r="D43" s="85"/>
      <c r="E43" s="85" t="s">
        <v>347</v>
      </c>
      <c r="F43" s="85"/>
    </row>
    <row r="44" spans="2:11" x14ac:dyDescent="0.25">
      <c r="B44" s="85" t="s">
        <v>348</v>
      </c>
      <c r="C44" s="85"/>
      <c r="D44" s="85"/>
      <c r="E44" s="85">
        <v>65</v>
      </c>
      <c r="F44" s="85"/>
    </row>
    <row r="45" spans="2:11" x14ac:dyDescent="0.25">
      <c r="B45" s="85" t="s">
        <v>349</v>
      </c>
      <c r="C45" s="85"/>
      <c r="D45" s="85"/>
      <c r="E45" s="85">
        <v>12.4</v>
      </c>
      <c r="F45" s="85"/>
    </row>
    <row r="46" spans="2:11" x14ac:dyDescent="0.25">
      <c r="B46" s="85" t="s">
        <v>350</v>
      </c>
      <c r="C46" s="85"/>
      <c r="D46" s="85"/>
      <c r="E46" s="85">
        <v>1.86</v>
      </c>
      <c r="F46" s="85"/>
    </row>
    <row r="47" spans="2:11" x14ac:dyDescent="0.25">
      <c r="B47" s="85" t="s">
        <v>351</v>
      </c>
      <c r="C47" s="85"/>
      <c r="D47" s="85"/>
      <c r="E47" s="85">
        <v>2.7E-2</v>
      </c>
      <c r="F47" s="85"/>
    </row>
    <row r="48" spans="2:11" x14ac:dyDescent="0.25">
      <c r="B48" s="85" t="s">
        <v>352</v>
      </c>
      <c r="C48" s="85"/>
      <c r="D48" s="85"/>
      <c r="E48" s="85">
        <v>14.9</v>
      </c>
      <c r="F48" s="85"/>
    </row>
    <row r="49" spans="2:7" x14ac:dyDescent="0.25">
      <c r="B49" s="85" t="s">
        <v>353</v>
      </c>
      <c r="C49" s="85"/>
      <c r="D49" s="85"/>
      <c r="E49" s="85">
        <v>3.0000000000000001E-3</v>
      </c>
      <c r="F49" s="85"/>
    </row>
    <row r="50" spans="2:7" x14ac:dyDescent="0.25">
      <c r="B50" s="85" t="s">
        <v>354</v>
      </c>
      <c r="C50" s="85"/>
      <c r="D50" s="85"/>
      <c r="E50" s="85">
        <v>49</v>
      </c>
      <c r="F50" s="85"/>
    </row>
    <row r="51" spans="2:7" x14ac:dyDescent="0.25">
      <c r="B51" s="85" t="s">
        <v>355</v>
      </c>
      <c r="C51" s="85"/>
      <c r="D51" s="85"/>
      <c r="E51" s="85" t="s">
        <v>356</v>
      </c>
      <c r="F51" s="85"/>
    </row>
    <row r="52" spans="2:7" x14ac:dyDescent="0.25">
      <c r="B52" s="85" t="s">
        <v>357</v>
      </c>
      <c r="C52" s="85"/>
      <c r="D52" s="85"/>
      <c r="E52" s="85" t="s">
        <v>358</v>
      </c>
      <c r="F52" s="85"/>
    </row>
    <row r="55" spans="2:7" x14ac:dyDescent="0.25">
      <c r="B55" s="86" t="s">
        <v>359</v>
      </c>
      <c r="C55" s="86"/>
      <c r="D55" s="86"/>
      <c r="E55" s="86"/>
      <c r="F55" s="86"/>
      <c r="G55" s="86"/>
    </row>
    <row r="56" spans="2:7" x14ac:dyDescent="0.25">
      <c r="B56" s="86"/>
      <c r="C56" s="86"/>
      <c r="D56" s="86"/>
      <c r="E56" s="86"/>
      <c r="F56" s="86"/>
      <c r="G56" s="86"/>
    </row>
    <row r="57" spans="2:7" x14ac:dyDescent="0.25">
      <c r="B57" s="85" t="s">
        <v>360</v>
      </c>
      <c r="C57" s="85"/>
      <c r="D57" s="85"/>
      <c r="E57" s="85" t="s">
        <v>361</v>
      </c>
      <c r="F57" s="85"/>
      <c r="G57" s="85"/>
    </row>
    <row r="58" spans="2:7" x14ac:dyDescent="0.25">
      <c r="B58" s="85" t="s">
        <v>362</v>
      </c>
      <c r="C58" s="85"/>
      <c r="D58" s="85"/>
      <c r="E58" s="85" t="s">
        <v>363</v>
      </c>
      <c r="F58" s="85"/>
      <c r="G58" s="85"/>
    </row>
    <row r="59" spans="2:7" x14ac:dyDescent="0.25">
      <c r="B59" s="85" t="s">
        <v>364</v>
      </c>
      <c r="C59" s="85"/>
      <c r="D59" s="85"/>
      <c r="E59" s="85" t="s">
        <v>365</v>
      </c>
      <c r="F59" s="85"/>
      <c r="G59" s="85"/>
    </row>
    <row r="60" spans="2:7" x14ac:dyDescent="0.25">
      <c r="B60" s="85" t="s">
        <v>366</v>
      </c>
      <c r="C60" s="85"/>
      <c r="D60" s="85"/>
      <c r="E60" s="85" t="s">
        <v>367</v>
      </c>
      <c r="F60" s="85"/>
      <c r="G60" s="85"/>
    </row>
    <row r="61" spans="2:7" x14ac:dyDescent="0.25">
      <c r="B61" s="85" t="s">
        <v>368</v>
      </c>
      <c r="C61" s="85"/>
      <c r="D61" s="85"/>
      <c r="E61" s="85" t="s">
        <v>369</v>
      </c>
      <c r="F61" s="85"/>
      <c r="G61" s="85"/>
    </row>
    <row r="62" spans="2:7" x14ac:dyDescent="0.25">
      <c r="B62" s="85" t="s">
        <v>370</v>
      </c>
      <c r="C62" s="85"/>
      <c r="D62" s="85"/>
      <c r="E62" s="85" t="s">
        <v>371</v>
      </c>
      <c r="F62" s="85"/>
      <c r="G62" s="85"/>
    </row>
    <row r="63" spans="2:7" x14ac:dyDescent="0.25">
      <c r="B63" s="85" t="s">
        <v>372</v>
      </c>
      <c r="C63" s="85"/>
      <c r="D63" s="85"/>
      <c r="E63" s="85" t="s">
        <v>373</v>
      </c>
      <c r="F63" s="85"/>
      <c r="G63" s="85"/>
    </row>
    <row r="65" spans="2:8" x14ac:dyDescent="0.25">
      <c r="B65" s="86" t="s">
        <v>316</v>
      </c>
      <c r="C65" s="86"/>
      <c r="D65" s="86"/>
      <c r="E65" s="86"/>
      <c r="F65" s="86"/>
      <c r="G65" s="86"/>
      <c r="H65" s="86"/>
    </row>
    <row r="66" spans="2:8" x14ac:dyDescent="0.25">
      <c r="B66" s="86"/>
      <c r="C66" s="86"/>
      <c r="D66" s="86"/>
      <c r="E66" s="86"/>
      <c r="F66" s="86"/>
      <c r="G66" s="86"/>
      <c r="H66" s="86"/>
    </row>
    <row r="67" spans="2:8" x14ac:dyDescent="0.25">
      <c r="B67" s="85" t="s">
        <v>374</v>
      </c>
      <c r="C67" s="85"/>
      <c r="D67" s="85"/>
      <c r="E67" s="85"/>
      <c r="F67" s="85"/>
      <c r="G67" s="85"/>
      <c r="H67" s="85"/>
    </row>
    <row r="68" spans="2:8" x14ac:dyDescent="0.25">
      <c r="B68" s="85"/>
      <c r="C68" s="85"/>
      <c r="D68" s="85"/>
      <c r="E68" s="85"/>
      <c r="F68" s="85"/>
      <c r="G68" s="85"/>
      <c r="H68" s="85"/>
    </row>
    <row r="69" spans="2:8" x14ac:dyDescent="0.25">
      <c r="B69" s="85" t="s">
        <v>375</v>
      </c>
      <c r="C69" s="85"/>
      <c r="D69" s="85"/>
      <c r="E69" s="85"/>
      <c r="F69" s="85"/>
      <c r="G69" s="85"/>
      <c r="H69" s="85"/>
    </row>
    <row r="70" spans="2:8" x14ac:dyDescent="0.25">
      <c r="B70" s="85" t="s">
        <v>376</v>
      </c>
      <c r="C70" s="85"/>
      <c r="D70" s="85"/>
      <c r="E70" s="85"/>
      <c r="F70" s="85"/>
      <c r="G70" s="85" t="s">
        <v>377</v>
      </c>
      <c r="H70" s="85"/>
    </row>
    <row r="71" spans="2:8" x14ac:dyDescent="0.25">
      <c r="B71" s="85" t="s">
        <v>378</v>
      </c>
      <c r="C71" s="85"/>
      <c r="D71" s="85"/>
      <c r="E71" s="85"/>
      <c r="F71" s="85"/>
      <c r="G71" s="85" t="s">
        <v>379</v>
      </c>
      <c r="H71" s="85"/>
    </row>
    <row r="72" spans="2:8" x14ac:dyDescent="0.25">
      <c r="B72" s="85" t="s">
        <v>380</v>
      </c>
      <c r="C72" s="85"/>
      <c r="D72" s="85"/>
      <c r="E72" s="85"/>
      <c r="F72" s="85"/>
      <c r="G72" s="85" t="s">
        <v>381</v>
      </c>
      <c r="H72" s="85"/>
    </row>
    <row r="73" spans="2:8" x14ac:dyDescent="0.25">
      <c r="B73" s="85" t="s">
        <v>382</v>
      </c>
      <c r="C73" s="85"/>
      <c r="D73" s="85"/>
      <c r="E73" s="85"/>
      <c r="F73" s="85"/>
      <c r="G73" s="85" t="s">
        <v>383</v>
      </c>
      <c r="H73" s="85"/>
    </row>
    <row r="74" spans="2:8" x14ac:dyDescent="0.25">
      <c r="B74" s="85"/>
      <c r="C74" s="85"/>
      <c r="D74" s="85"/>
      <c r="E74" s="85"/>
      <c r="F74" s="85"/>
      <c r="G74" s="85"/>
      <c r="H74" s="85"/>
    </row>
    <row r="75" spans="2:8" x14ac:dyDescent="0.25">
      <c r="B75" s="85" t="s">
        <v>384</v>
      </c>
      <c r="C75" s="85"/>
      <c r="D75" s="85"/>
      <c r="E75" s="85"/>
      <c r="F75" s="85"/>
      <c r="G75" s="85"/>
      <c r="H75" s="85"/>
    </row>
    <row r="76" spans="2:8" x14ac:dyDescent="0.25">
      <c r="B76" s="85" t="s">
        <v>385</v>
      </c>
      <c r="C76" s="85"/>
      <c r="D76" s="85"/>
      <c r="E76" s="85"/>
      <c r="F76" s="85"/>
      <c r="G76" s="85" t="s">
        <v>386</v>
      </c>
      <c r="H76" s="85"/>
    </row>
    <row r="77" spans="2:8" x14ac:dyDescent="0.25">
      <c r="B77" s="85" t="s">
        <v>387</v>
      </c>
      <c r="C77" s="85"/>
      <c r="D77" s="85"/>
      <c r="E77" s="85"/>
      <c r="F77" s="85"/>
      <c r="G77" s="85" t="s">
        <v>386</v>
      </c>
      <c r="H77" s="85"/>
    </row>
    <row r="78" spans="2:8" x14ac:dyDescent="0.25">
      <c r="B78" s="85" t="s">
        <v>388</v>
      </c>
      <c r="C78" s="85"/>
      <c r="D78" s="85"/>
      <c r="E78" s="85"/>
      <c r="F78" s="85"/>
      <c r="G78" s="85" t="s">
        <v>389</v>
      </c>
      <c r="H78" s="85"/>
    </row>
    <row r="79" spans="2:8" x14ac:dyDescent="0.25">
      <c r="B79" s="85" t="s">
        <v>390</v>
      </c>
      <c r="C79" s="85"/>
      <c r="D79" s="85"/>
      <c r="E79" s="85"/>
      <c r="F79" s="85"/>
      <c r="G79" s="85" t="s">
        <v>391</v>
      </c>
      <c r="H79" s="85"/>
    </row>
    <row r="80" spans="2:8" x14ac:dyDescent="0.25">
      <c r="B80" s="85" t="s">
        <v>392</v>
      </c>
      <c r="C80" s="85"/>
      <c r="D80" s="85"/>
      <c r="E80" s="85"/>
      <c r="F80" s="85"/>
      <c r="G80" s="85" t="s">
        <v>393</v>
      </c>
      <c r="H80" s="85"/>
    </row>
    <row r="81" spans="2:8" x14ac:dyDescent="0.25">
      <c r="B81" s="85" t="s">
        <v>394</v>
      </c>
      <c r="C81" s="85"/>
      <c r="D81" s="85"/>
      <c r="E81" s="85"/>
      <c r="F81" s="85"/>
      <c r="G81" s="85" t="s">
        <v>395</v>
      </c>
      <c r="H81" s="85"/>
    </row>
    <row r="82" spans="2:8" x14ac:dyDescent="0.25">
      <c r="B82" s="85"/>
      <c r="C82" s="85"/>
      <c r="D82" s="85"/>
      <c r="E82" s="85"/>
      <c r="F82" s="85"/>
      <c r="G82" s="85"/>
      <c r="H82" s="85"/>
    </row>
    <row r="83" spans="2:8" x14ac:dyDescent="0.25">
      <c r="B83" s="85" t="s">
        <v>396</v>
      </c>
      <c r="C83" s="85"/>
      <c r="D83" s="85"/>
      <c r="E83" s="85"/>
      <c r="F83" s="85"/>
      <c r="G83" s="85"/>
      <c r="H83" s="85"/>
    </row>
    <row r="84" spans="2:8" x14ac:dyDescent="0.25">
      <c r="B84" s="85" t="s">
        <v>318</v>
      </c>
      <c r="C84" s="85"/>
      <c r="D84" s="85"/>
      <c r="E84" s="85"/>
      <c r="F84" s="85"/>
      <c r="G84" s="85" t="s">
        <v>319</v>
      </c>
      <c r="H84" s="85"/>
    </row>
    <row r="85" spans="2:8" x14ac:dyDescent="0.25">
      <c r="B85" s="85" t="s">
        <v>320</v>
      </c>
      <c r="C85" s="85"/>
      <c r="D85" s="85"/>
      <c r="E85" s="85"/>
      <c r="F85" s="85"/>
      <c r="G85" s="85" t="s">
        <v>321</v>
      </c>
      <c r="H85" s="85"/>
    </row>
    <row r="86" spans="2:8" x14ac:dyDescent="0.25">
      <c r="B86" s="85" t="s">
        <v>322</v>
      </c>
      <c r="C86" s="85"/>
      <c r="D86" s="85"/>
      <c r="E86" s="85"/>
      <c r="F86" s="85"/>
      <c r="G86" s="85" t="s">
        <v>323</v>
      </c>
      <c r="H86" s="85"/>
    </row>
    <row r="87" spans="2:8" x14ac:dyDescent="0.25">
      <c r="B87" s="85" t="s">
        <v>324</v>
      </c>
      <c r="C87" s="85"/>
      <c r="D87" s="85"/>
      <c r="E87" s="85"/>
      <c r="F87" s="85"/>
      <c r="G87" s="85" t="s">
        <v>325</v>
      </c>
      <c r="H87" s="85"/>
    </row>
    <row r="88" spans="2:8" x14ac:dyDescent="0.25">
      <c r="B88" s="85" t="s">
        <v>326</v>
      </c>
      <c r="C88" s="85"/>
      <c r="D88" s="85"/>
      <c r="E88" s="85"/>
      <c r="F88" s="85"/>
      <c r="G88" s="85" t="s">
        <v>327</v>
      </c>
      <c r="H88" s="85"/>
    </row>
  </sheetData>
  <mergeCells count="106">
    <mergeCell ref="C2:F2"/>
    <mergeCell ref="G2:J2"/>
    <mergeCell ref="C3:J3"/>
    <mergeCell ref="K3:K8"/>
    <mergeCell ref="C4:J4"/>
    <mergeCell ref="C5:J5"/>
    <mergeCell ref="C6:J6"/>
    <mergeCell ref="C7:J7"/>
    <mergeCell ref="C8:J8"/>
    <mergeCell ref="C13:H13"/>
    <mergeCell ref="I13:J13"/>
    <mergeCell ref="C14:H14"/>
    <mergeCell ref="I14:J14"/>
    <mergeCell ref="C15:H15"/>
    <mergeCell ref="I15:J15"/>
    <mergeCell ref="C9:J9"/>
    <mergeCell ref="C10:J10"/>
    <mergeCell ref="C11:H11"/>
    <mergeCell ref="I11:J11"/>
    <mergeCell ref="C12:H12"/>
    <mergeCell ref="I12:J12"/>
    <mergeCell ref="B44:D44"/>
    <mergeCell ref="E44:F44"/>
    <mergeCell ref="B45:D45"/>
    <mergeCell ref="E45:F45"/>
    <mergeCell ref="B46:D46"/>
    <mergeCell ref="E46:F46"/>
    <mergeCell ref="B39:F40"/>
    <mergeCell ref="B41:D41"/>
    <mergeCell ref="E41:F41"/>
    <mergeCell ref="B42:D42"/>
    <mergeCell ref="E42:F42"/>
    <mergeCell ref="B43:D43"/>
    <mergeCell ref="E43:F43"/>
    <mergeCell ref="B50:D50"/>
    <mergeCell ref="E50:F50"/>
    <mergeCell ref="B51:D51"/>
    <mergeCell ref="E51:F51"/>
    <mergeCell ref="B52:D52"/>
    <mergeCell ref="E52:F52"/>
    <mergeCell ref="B47:D47"/>
    <mergeCell ref="E47:F47"/>
    <mergeCell ref="B48:D48"/>
    <mergeCell ref="E48:F48"/>
    <mergeCell ref="B49:D49"/>
    <mergeCell ref="E49:F49"/>
    <mergeCell ref="B60:D60"/>
    <mergeCell ref="E60:G60"/>
    <mergeCell ref="B61:D61"/>
    <mergeCell ref="E61:G61"/>
    <mergeCell ref="B62:D62"/>
    <mergeCell ref="E62:G62"/>
    <mergeCell ref="B55:G56"/>
    <mergeCell ref="B57:D57"/>
    <mergeCell ref="E57:G57"/>
    <mergeCell ref="B58:D58"/>
    <mergeCell ref="E58:G58"/>
    <mergeCell ref="B59:D59"/>
    <mergeCell ref="E59:G59"/>
    <mergeCell ref="B69:F69"/>
    <mergeCell ref="G69:H69"/>
    <mergeCell ref="B70:F70"/>
    <mergeCell ref="G70:H70"/>
    <mergeCell ref="B71:F71"/>
    <mergeCell ref="G71:H71"/>
    <mergeCell ref="B63:D63"/>
    <mergeCell ref="E63:G63"/>
    <mergeCell ref="B65:H66"/>
    <mergeCell ref="B67:F67"/>
    <mergeCell ref="G67:H67"/>
    <mergeCell ref="B68:F68"/>
    <mergeCell ref="G68:H68"/>
    <mergeCell ref="B75:F75"/>
    <mergeCell ref="G75:H75"/>
    <mergeCell ref="B76:F76"/>
    <mergeCell ref="G76:H76"/>
    <mergeCell ref="B77:F77"/>
    <mergeCell ref="G77:H77"/>
    <mergeCell ref="B72:F72"/>
    <mergeCell ref="G72:H72"/>
    <mergeCell ref="B73:F73"/>
    <mergeCell ref="G73:H73"/>
    <mergeCell ref="B74:F74"/>
    <mergeCell ref="G74:H74"/>
    <mergeCell ref="B81:F81"/>
    <mergeCell ref="G81:H81"/>
    <mergeCell ref="B82:F82"/>
    <mergeCell ref="G82:H82"/>
    <mergeCell ref="B83:F83"/>
    <mergeCell ref="G83:H83"/>
    <mergeCell ref="B78:F78"/>
    <mergeCell ref="G78:H78"/>
    <mergeCell ref="B79:F79"/>
    <mergeCell ref="G79:H79"/>
    <mergeCell ref="B80:F80"/>
    <mergeCell ref="G80:H80"/>
    <mergeCell ref="B87:F87"/>
    <mergeCell ref="G87:H87"/>
    <mergeCell ref="B88:F88"/>
    <mergeCell ref="G88:H88"/>
    <mergeCell ref="B84:F84"/>
    <mergeCell ref="G84:H84"/>
    <mergeCell ref="B85:F85"/>
    <mergeCell ref="G85:H85"/>
    <mergeCell ref="B86:F86"/>
    <mergeCell ref="G86:H86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"/>
    </sheetView>
  </sheetViews>
  <sheetFormatPr defaultRowHeight="16.5" x14ac:dyDescent="0.25"/>
  <cols>
    <col min="1" max="1" width="35.125" style="65" bestFit="1" customWidth="1"/>
    <col min="2" max="2" width="8.5" style="65" bestFit="1" customWidth="1"/>
    <col min="3" max="3" width="5.5" style="65" bestFit="1" customWidth="1"/>
    <col min="4" max="5" width="9" style="65"/>
    <col min="6" max="6" width="10.375" style="65" bestFit="1" customWidth="1"/>
    <col min="7" max="8" width="12.75" style="65" bestFit="1" customWidth="1"/>
    <col min="9" max="9" width="12.875" style="65" customWidth="1"/>
    <col min="10" max="16384" width="9" style="65"/>
  </cols>
  <sheetData>
    <row r="1" spans="1:9" x14ac:dyDescent="0.25">
      <c r="A1" s="47" t="s">
        <v>397</v>
      </c>
      <c r="F1" s="65" t="s">
        <v>398</v>
      </c>
      <c r="G1" s="65" t="s">
        <v>399</v>
      </c>
      <c r="H1" s="65" t="s">
        <v>400</v>
      </c>
      <c r="I1" s="65" t="s">
        <v>401</v>
      </c>
    </row>
    <row r="2" spans="1:9" x14ac:dyDescent="0.25">
      <c r="A2" s="47"/>
      <c r="B2" s="65" t="s">
        <v>402</v>
      </c>
      <c r="C2" s="65" t="s">
        <v>403</v>
      </c>
      <c r="F2" s="65">
        <v>1</v>
      </c>
      <c r="G2" s="65">
        <f>RADIANS(F2)</f>
        <v>1.7453292519943295E-2</v>
      </c>
      <c r="H2" s="65">
        <f>SIN(G2)</f>
        <v>1.7452406437283512E-2</v>
      </c>
      <c r="I2" s="65">
        <f>G2-H2</f>
        <v>8.8608265978382117E-7</v>
      </c>
    </row>
    <row r="3" spans="1:9" x14ac:dyDescent="0.25">
      <c r="A3" s="47" t="s">
        <v>404</v>
      </c>
      <c r="B3" s="65">
        <v>0.06</v>
      </c>
      <c r="C3" s="65" t="s">
        <v>405</v>
      </c>
      <c r="F3" s="65">
        <v>2</v>
      </c>
      <c r="G3" s="65">
        <f t="shared" ref="G3:G15" si="0">RADIANS(F3)</f>
        <v>3.4906585039886591E-2</v>
      </c>
      <c r="H3" s="65">
        <f t="shared" ref="H3:H15" si="1">SIN(G3)</f>
        <v>3.4899496702500969E-2</v>
      </c>
      <c r="I3" s="65">
        <f t="shared" ref="I3:I15" si="2">G3-H3</f>
        <v>7.0883373856217569E-6</v>
      </c>
    </row>
    <row r="4" spans="1:9" x14ac:dyDescent="0.25">
      <c r="A4" s="47" t="s">
        <v>406</v>
      </c>
      <c r="B4" s="65">
        <v>500</v>
      </c>
      <c r="C4" s="65" t="s">
        <v>407</v>
      </c>
      <c r="F4" s="65">
        <v>3</v>
      </c>
      <c r="G4" s="65">
        <f t="shared" si="0"/>
        <v>5.235987755982989E-2</v>
      </c>
      <c r="H4" s="65">
        <f t="shared" si="1"/>
        <v>5.2335956242943835E-2</v>
      </c>
      <c r="I4" s="65">
        <f t="shared" si="2"/>
        <v>2.3921316886055255E-5</v>
      </c>
    </row>
    <row r="5" spans="1:9" x14ac:dyDescent="0.25">
      <c r="A5" s="47" t="s">
        <v>408</v>
      </c>
      <c r="B5" s="65">
        <f>B3/B4</f>
        <v>1.1999999999999999E-4</v>
      </c>
      <c r="C5" s="65" t="s">
        <v>409</v>
      </c>
      <c r="F5" s="65">
        <v>4</v>
      </c>
      <c r="G5" s="65">
        <f t="shared" si="0"/>
        <v>6.9813170079773182E-2</v>
      </c>
      <c r="H5" s="65">
        <f t="shared" si="1"/>
        <v>6.9756473744125302E-2</v>
      </c>
      <c r="I5" s="65">
        <f t="shared" si="2"/>
        <v>5.6696335647879459E-5</v>
      </c>
    </row>
    <row r="6" spans="1:9" x14ac:dyDescent="0.25">
      <c r="A6" s="47" t="s">
        <v>410</v>
      </c>
      <c r="B6" s="65" t="s">
        <v>411</v>
      </c>
      <c r="C6" s="65" t="s">
        <v>412</v>
      </c>
      <c r="F6" s="65">
        <v>5</v>
      </c>
      <c r="G6" s="65">
        <f t="shared" si="0"/>
        <v>8.7266462599716474E-2</v>
      </c>
      <c r="H6" s="65">
        <f t="shared" si="1"/>
        <v>8.7155742747658166E-2</v>
      </c>
      <c r="I6" s="65">
        <f t="shared" si="2"/>
        <v>1.1071985205830803E-4</v>
      </c>
    </row>
    <row r="7" spans="1:9" x14ac:dyDescent="0.25">
      <c r="F7" s="65">
        <v>6</v>
      </c>
      <c r="G7" s="65">
        <f t="shared" si="0"/>
        <v>0.10471975511965978</v>
      </c>
      <c r="H7" s="65">
        <f t="shared" si="1"/>
        <v>0.10452846326765347</v>
      </c>
      <c r="I7" s="65">
        <f t="shared" si="2"/>
        <v>1.9129185200630894E-4</v>
      </c>
    </row>
    <row r="8" spans="1:9" x14ac:dyDescent="0.25">
      <c r="F8" s="65">
        <v>7</v>
      </c>
      <c r="G8" s="65">
        <f t="shared" si="0"/>
        <v>0.12217304763960307</v>
      </c>
      <c r="H8" s="65">
        <f t="shared" si="1"/>
        <v>0.12186934340514748</v>
      </c>
      <c r="I8" s="65">
        <f t="shared" si="2"/>
        <v>3.0370423445559569E-4</v>
      </c>
    </row>
    <row r="9" spans="1:9" x14ac:dyDescent="0.25">
      <c r="F9" s="65">
        <v>8</v>
      </c>
      <c r="G9" s="65">
        <f t="shared" si="0"/>
        <v>0.13962634015954636</v>
      </c>
      <c r="H9" s="65">
        <f t="shared" si="1"/>
        <v>0.13917310096006544</v>
      </c>
      <c r="I9" s="65">
        <f t="shared" si="2"/>
        <v>4.5323919948092595E-4</v>
      </c>
    </row>
    <row r="10" spans="1:9" x14ac:dyDescent="0.25">
      <c r="F10" s="65">
        <v>9</v>
      </c>
      <c r="G10" s="65">
        <f t="shared" si="0"/>
        <v>0.15707963267948966</v>
      </c>
      <c r="H10" s="65">
        <f t="shared" si="1"/>
        <v>0.15643446504023087</v>
      </c>
      <c r="I10" s="65">
        <f t="shared" si="2"/>
        <v>6.4516763925878684E-4</v>
      </c>
    </row>
    <row r="11" spans="1:9" x14ac:dyDescent="0.25">
      <c r="F11" s="65">
        <v>10</v>
      </c>
      <c r="G11" s="65">
        <f t="shared" si="0"/>
        <v>0.17453292519943295</v>
      </c>
      <c r="H11" s="65">
        <f t="shared" si="1"/>
        <v>0.17364817766693033</v>
      </c>
      <c r="I11" s="65">
        <f t="shared" si="2"/>
        <v>8.8474753250261662E-4</v>
      </c>
    </row>
    <row r="12" spans="1:9" x14ac:dyDescent="0.25">
      <c r="F12" s="65">
        <v>11</v>
      </c>
      <c r="G12" s="65">
        <f t="shared" si="0"/>
        <v>0.19198621771937624</v>
      </c>
      <c r="H12" s="65">
        <f t="shared" si="1"/>
        <v>0.1908089953765448</v>
      </c>
      <c r="I12" s="65">
        <f t="shared" si="2"/>
        <v>1.1772223428314355E-3</v>
      </c>
    </row>
    <row r="13" spans="1:9" x14ac:dyDescent="0.25">
      <c r="F13" s="65">
        <v>12</v>
      </c>
      <c r="G13" s="65">
        <f t="shared" si="0"/>
        <v>0.20943951023931956</v>
      </c>
      <c r="H13" s="65">
        <f t="shared" si="1"/>
        <v>0.20791169081775934</v>
      </c>
      <c r="I13" s="65">
        <f t="shared" si="2"/>
        <v>1.527819421560217E-3</v>
      </c>
    </row>
    <row r="14" spans="1:9" x14ac:dyDescent="0.25">
      <c r="F14" s="65">
        <v>13</v>
      </c>
      <c r="G14" s="65">
        <f t="shared" si="0"/>
        <v>0.22689280275926285</v>
      </c>
      <c r="H14" s="65">
        <f t="shared" si="1"/>
        <v>0.224951054343865</v>
      </c>
      <c r="I14" s="65">
        <f t="shared" si="2"/>
        <v>1.9417484153978481E-3</v>
      </c>
    </row>
    <row r="15" spans="1:9" x14ac:dyDescent="0.25">
      <c r="F15" s="65">
        <v>14</v>
      </c>
      <c r="G15" s="65">
        <f t="shared" si="0"/>
        <v>0.24434609527920614</v>
      </c>
      <c r="H15" s="65">
        <f t="shared" si="1"/>
        <v>0.24192189559966773</v>
      </c>
      <c r="I15" s="65">
        <f t="shared" si="2"/>
        <v>2.4241996795384135E-3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E11" sqref="E11"/>
    </sheetView>
  </sheetViews>
  <sheetFormatPr defaultRowHeight="16.5" x14ac:dyDescent="0.25"/>
  <cols>
    <col min="1" max="1" width="4.375" style="65" bestFit="1" customWidth="1"/>
    <col min="2" max="2" width="31.625" style="65" bestFit="1" customWidth="1"/>
    <col min="3" max="3" width="38.375" style="65" bestFit="1" customWidth="1"/>
    <col min="4" max="4" width="26.125" style="65" bestFit="1" customWidth="1"/>
    <col min="5" max="5" width="48.5" style="65" bestFit="1" customWidth="1"/>
    <col min="6" max="6" width="20.75" style="65" bestFit="1" customWidth="1"/>
    <col min="7" max="7" width="9.75" style="65" bestFit="1" customWidth="1"/>
    <col min="8" max="16384" width="9" style="65"/>
  </cols>
  <sheetData>
    <row r="1" spans="1:7" s="66" customFormat="1" x14ac:dyDescent="0.25">
      <c r="A1" s="66" t="s">
        <v>413</v>
      </c>
      <c r="B1" s="66" t="s">
        <v>414</v>
      </c>
      <c r="C1" s="66" t="s">
        <v>415</v>
      </c>
      <c r="D1" s="66" t="s">
        <v>416</v>
      </c>
      <c r="E1" s="66" t="s">
        <v>417</v>
      </c>
      <c r="F1" s="66" t="s">
        <v>418</v>
      </c>
      <c r="G1" s="66" t="s">
        <v>419</v>
      </c>
    </row>
    <row r="2" spans="1:7" s="66" customFormat="1" x14ac:dyDescent="0.25">
      <c r="A2" s="65">
        <v>0</v>
      </c>
      <c r="B2" s="65" t="s">
        <v>420</v>
      </c>
    </row>
    <row r="3" spans="1:7" x14ac:dyDescent="0.25">
      <c r="A3" s="65">
        <v>1</v>
      </c>
      <c r="B3" s="65" t="s">
        <v>421</v>
      </c>
      <c r="C3" s="67" t="s">
        <v>422</v>
      </c>
      <c r="D3" s="65" t="s">
        <v>423</v>
      </c>
    </row>
    <row r="4" spans="1:7" x14ac:dyDescent="0.25">
      <c r="A4" s="65">
        <v>2</v>
      </c>
      <c r="B4" s="65" t="s">
        <v>424</v>
      </c>
      <c r="C4" s="67" t="s">
        <v>425</v>
      </c>
      <c r="D4" s="65" t="s">
        <v>423</v>
      </c>
    </row>
    <row r="5" spans="1:7" ht="33" x14ac:dyDescent="0.25">
      <c r="A5" s="65">
        <v>3</v>
      </c>
      <c r="B5" s="65" t="s">
        <v>426</v>
      </c>
      <c r="C5" s="67" t="s">
        <v>427</v>
      </c>
      <c r="D5" s="67" t="s">
        <v>428</v>
      </c>
    </row>
    <row r="6" spans="1:7" x14ac:dyDescent="0.25">
      <c r="A6" s="65">
        <v>4</v>
      </c>
      <c r="B6" s="65" t="s">
        <v>429</v>
      </c>
      <c r="C6" s="67" t="s">
        <v>430</v>
      </c>
      <c r="D6" s="67" t="s">
        <v>431</v>
      </c>
      <c r="E6" s="65" t="s">
        <v>432</v>
      </c>
    </row>
    <row r="7" spans="1:7" x14ac:dyDescent="0.25">
      <c r="A7" s="65">
        <v>5</v>
      </c>
      <c r="B7" s="65" t="s">
        <v>433</v>
      </c>
      <c r="C7" s="67" t="s">
        <v>434</v>
      </c>
      <c r="D7" s="67" t="s">
        <v>435</v>
      </c>
    </row>
    <row r="8" spans="1:7" x14ac:dyDescent="0.25">
      <c r="A8" s="65">
        <v>6</v>
      </c>
      <c r="B8" s="65" t="s">
        <v>436</v>
      </c>
      <c r="C8" s="67" t="s">
        <v>437</v>
      </c>
      <c r="D8" s="67"/>
    </row>
    <row r="9" spans="1:7" x14ac:dyDescent="0.25">
      <c r="A9" s="65">
        <v>7</v>
      </c>
      <c r="B9" s="65" t="s">
        <v>438</v>
      </c>
      <c r="C9" s="67" t="s">
        <v>430</v>
      </c>
      <c r="D9" s="67" t="s">
        <v>439</v>
      </c>
    </row>
    <row r="10" spans="1:7" ht="33" x14ac:dyDescent="0.25">
      <c r="A10" s="65">
        <v>8</v>
      </c>
      <c r="B10" s="65" t="s">
        <v>440</v>
      </c>
      <c r="C10" s="67" t="s">
        <v>441</v>
      </c>
      <c r="D10" s="67"/>
      <c r="E10" s="65" t="s">
        <v>442</v>
      </c>
      <c r="F10" s="65" t="s">
        <v>443</v>
      </c>
    </row>
    <row r="11" spans="1:7" ht="33" x14ac:dyDescent="0.25">
      <c r="A11" s="65">
        <v>9</v>
      </c>
      <c r="B11" s="65" t="s">
        <v>444</v>
      </c>
      <c r="C11" s="67" t="s">
        <v>445</v>
      </c>
      <c r="D11" s="67"/>
      <c r="E11" s="67" t="s">
        <v>446</v>
      </c>
    </row>
    <row r="12" spans="1:7" x14ac:dyDescent="0.25">
      <c r="A12" s="65">
        <v>10</v>
      </c>
      <c r="B12" s="65" t="s">
        <v>447</v>
      </c>
      <c r="C12" s="67" t="s">
        <v>448</v>
      </c>
      <c r="D12" s="67"/>
    </row>
    <row r="13" spans="1:7" ht="33" x14ac:dyDescent="0.25">
      <c r="A13" s="65">
        <v>11</v>
      </c>
      <c r="B13" s="65" t="s">
        <v>449</v>
      </c>
      <c r="C13" s="67" t="s">
        <v>450</v>
      </c>
      <c r="D13" s="67"/>
      <c r="E13" s="65" t="s">
        <v>451</v>
      </c>
    </row>
    <row r="14" spans="1:7" ht="33" x14ac:dyDescent="0.25">
      <c r="A14" s="65">
        <v>12</v>
      </c>
      <c r="B14" s="65" t="s">
        <v>452</v>
      </c>
      <c r="C14" s="67" t="s">
        <v>453</v>
      </c>
      <c r="D14" s="67"/>
      <c r="E14" s="65" t="s">
        <v>454</v>
      </c>
    </row>
    <row r="15" spans="1:7" ht="33" x14ac:dyDescent="0.25">
      <c r="A15" s="65">
        <v>13</v>
      </c>
      <c r="B15" s="65" t="s">
        <v>455</v>
      </c>
      <c r="C15" s="67" t="s">
        <v>456</v>
      </c>
      <c r="E15" s="65" t="s">
        <v>457</v>
      </c>
    </row>
  </sheetData>
  <phoneticPr fontId="8" type="noConversion"/>
  <pageMargins left="0.7" right="0.7" top="0.75" bottom="0.75" header="0.3" footer="0.3"/>
  <pageSetup paperSize="9" orientation="landscape" horizontalDpi="300" verticalDpi="3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6.5" x14ac:dyDescent="0.25"/>
  <cols>
    <col min="1" max="16384" width="9" style="65"/>
  </cols>
  <sheetData/>
  <phoneticPr fontId="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workbookViewId="0">
      <selection activeCell="H32" sqref="H32"/>
    </sheetView>
  </sheetViews>
  <sheetFormatPr defaultRowHeight="16.5" x14ac:dyDescent="0.25"/>
  <cols>
    <col min="1" max="1" width="9" style="68"/>
    <col min="2" max="2" width="30.375" style="68" customWidth="1"/>
    <col min="3" max="3" width="10.875" style="68" customWidth="1"/>
    <col min="4" max="16384" width="9" style="68"/>
  </cols>
  <sheetData>
    <row r="1" spans="1:3" x14ac:dyDescent="0.25">
      <c r="A1" s="68" t="s">
        <v>458</v>
      </c>
      <c r="B1" s="68" t="s">
        <v>459</v>
      </c>
      <c r="C1" s="68" t="s">
        <v>460</v>
      </c>
    </row>
    <row r="2" spans="1:3" x14ac:dyDescent="0.25">
      <c r="A2" s="68" t="s">
        <v>461</v>
      </c>
      <c r="B2" s="68" t="s">
        <v>462</v>
      </c>
      <c r="C2" s="68" t="s">
        <v>463</v>
      </c>
    </row>
    <row r="3" spans="1:3" x14ac:dyDescent="0.25">
      <c r="A3" s="68" t="s">
        <v>461</v>
      </c>
      <c r="B3" s="68" t="s">
        <v>464</v>
      </c>
      <c r="C3" s="68" t="s">
        <v>465</v>
      </c>
    </row>
    <row r="4" spans="1:3" x14ac:dyDescent="0.25">
      <c r="A4" s="68" t="s">
        <v>461</v>
      </c>
      <c r="B4" s="68" t="s">
        <v>466</v>
      </c>
      <c r="C4" s="68" t="s">
        <v>467</v>
      </c>
    </row>
    <row r="5" spans="1:3" x14ac:dyDescent="0.25">
      <c r="A5" s="68" t="s">
        <v>468</v>
      </c>
      <c r="B5" s="68" t="s">
        <v>469</v>
      </c>
      <c r="C5" s="68" t="s">
        <v>470</v>
      </c>
    </row>
    <row r="6" spans="1:3" x14ac:dyDescent="0.25">
      <c r="A6" s="68" t="s">
        <v>468</v>
      </c>
      <c r="B6" s="68" t="s">
        <v>471</v>
      </c>
      <c r="C6" s="68" t="s">
        <v>472</v>
      </c>
    </row>
    <row r="7" spans="1:3" x14ac:dyDescent="0.25">
      <c r="A7" s="68" t="s">
        <v>468</v>
      </c>
      <c r="B7" s="68" t="s">
        <v>473</v>
      </c>
      <c r="C7" s="68" t="s">
        <v>474</v>
      </c>
    </row>
    <row r="8" spans="1:3" x14ac:dyDescent="0.25">
      <c r="A8" s="68" t="s">
        <v>468</v>
      </c>
      <c r="B8" s="68" t="s">
        <v>475</v>
      </c>
      <c r="C8" s="68" t="s">
        <v>476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6.5" x14ac:dyDescent="0.25"/>
  <cols>
    <col min="1" max="16384" width="9" style="65"/>
  </cols>
  <sheetData/>
  <phoneticPr fontId="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25"/>
  <sheetData>
    <row r="1" spans="1:1" x14ac:dyDescent="0.25">
      <c r="A1" t="s">
        <v>477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pageSetUpPr fitToPage="1"/>
  </sheetPr>
  <dimension ref="A1:Q5"/>
  <sheetViews>
    <sheetView topLeftCell="K1" zoomScale="85" zoomScaleNormal="85" workbookViewId="0">
      <pane ySplit="1" topLeftCell="A2" activePane="bottomLeft" state="frozen"/>
      <selection pane="bottomLeft" activeCell="N2" sqref="N2"/>
    </sheetView>
  </sheetViews>
  <sheetFormatPr defaultRowHeight="16.5" x14ac:dyDescent="0.25"/>
  <cols>
    <col min="1" max="1" width="13.625" style="1" bestFit="1" customWidth="1"/>
    <col min="2" max="2" width="8.25" style="1" bestFit="1" customWidth="1"/>
    <col min="3" max="3" width="10.625" style="1" bestFit="1" customWidth="1"/>
    <col min="4" max="4" width="29.125" style="1" bestFit="1" customWidth="1"/>
    <col min="5" max="5" width="20.25" style="1" bestFit="1" customWidth="1"/>
    <col min="6" max="6" width="9.875" style="1" bestFit="1" customWidth="1"/>
    <col min="7" max="7" width="8.125" style="1" bestFit="1" customWidth="1"/>
    <col min="8" max="8" width="11.25" style="1" bestFit="1" customWidth="1"/>
    <col min="9" max="9" width="9.375" style="1" bestFit="1" customWidth="1"/>
    <col min="10" max="10" width="27.125" style="1" bestFit="1" customWidth="1"/>
    <col min="11" max="11" width="9.375" style="1" bestFit="1" customWidth="1"/>
    <col min="12" max="12" width="19.25" style="1" bestFit="1" customWidth="1"/>
    <col min="13" max="13" width="35" style="1" bestFit="1" customWidth="1"/>
    <col min="14" max="14" width="32.875" style="1" bestFit="1" customWidth="1"/>
    <col min="15" max="15" width="29.125" style="1" bestFit="1" customWidth="1"/>
    <col min="16" max="16" width="25.875" style="1" bestFit="1" customWidth="1"/>
    <col min="17" max="17" width="23.75" style="1" bestFit="1" customWidth="1"/>
    <col min="18" max="1027" width="8.75" style="1"/>
    <col min="1028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160</v>
      </c>
      <c r="K1" s="1" t="s">
        <v>66</v>
      </c>
      <c r="L1" s="1" t="s">
        <v>83</v>
      </c>
      <c r="M1" s="1" t="s">
        <v>82</v>
      </c>
      <c r="N1" s="1" t="s">
        <v>80</v>
      </c>
      <c r="O1" s="1" t="s">
        <v>81</v>
      </c>
      <c r="P1" s="1" t="s">
        <v>67</v>
      </c>
      <c r="Q1" s="1" t="s">
        <v>68</v>
      </c>
    </row>
    <row r="2" spans="1:17" x14ac:dyDescent="0.25">
      <c r="A2" s="1" t="s">
        <v>228</v>
      </c>
      <c r="B2" s="1" t="s">
        <v>293</v>
      </c>
      <c r="C2" s="1" t="s">
        <v>232</v>
      </c>
      <c r="D2" s="1">
        <v>0</v>
      </c>
      <c r="E2" s="1" t="str">
        <f>CONCATENATE(A2,",",B2,",",C2)</f>
        <v>MsX,FA,X軸</v>
      </c>
      <c r="F2" s="1" t="str">
        <f t="shared" ref="F2:F5" si="0">B2</f>
        <v>FA</v>
      </c>
      <c r="G2" s="1">
        <v>0</v>
      </c>
      <c r="H2" s="1">
        <v>0</v>
      </c>
      <c r="I2" s="1">
        <v>0</v>
      </c>
      <c r="J2" s="1" t="str">
        <f t="shared" ref="J2:J5" si="1">CONCATENATE(E2,",R",G2,"-",H2,"-",I2)</f>
        <v>MsX,FA,X軸,R0-0-0</v>
      </c>
      <c r="K2" s="44" t="s">
        <v>237</v>
      </c>
      <c r="L2" s="1" t="str">
        <f ca="1">LOOKUP(K2,'Driver List'!A$2:A$4,'Driver List'!E$2:E$5)</f>
        <v>ACTIVE</v>
      </c>
      <c r="M2" s="1">
        <f ca="1">LOOKUP(K2,'Driver List'!A$2:A$4,'Driver List'!C$2:C$5)</f>
        <v>10000</v>
      </c>
      <c r="N2" s="1">
        <v>10</v>
      </c>
      <c r="O2" s="1">
        <f t="shared" ref="O2:O5" ca="1" si="2">M2/N2</f>
        <v>1000</v>
      </c>
      <c r="P2" s="1" t="str">
        <f ca="1">LOOKUP(K2,'Driver List'!A$2:A$4,'Driver List'!B$2:B$5)</f>
        <v>OUT_FALLING_DIR_LOW</v>
      </c>
      <c r="Q2" s="1" t="str">
        <f ca="1">LOOKUP(K2,'Driver List'!A$2:A$4,'Driver List'!D$2:D$5)</f>
        <v>EXTERNAL_ENCODER</v>
      </c>
    </row>
    <row r="3" spans="1:17" x14ac:dyDescent="0.25">
      <c r="A3" s="1" t="s">
        <v>229</v>
      </c>
      <c r="B3" s="1" t="s">
        <v>294</v>
      </c>
      <c r="C3" s="1" t="s">
        <v>233</v>
      </c>
      <c r="D3" s="1">
        <v>1</v>
      </c>
      <c r="E3" s="1" t="str">
        <f t="shared" ref="E3:E5" si="3">CONCATENATE(A3,",",B3,",",C3)</f>
        <v>MsY,FA,Y軸</v>
      </c>
      <c r="F3" s="1" t="str">
        <f t="shared" si="0"/>
        <v>FA</v>
      </c>
      <c r="G3" s="1">
        <v>0</v>
      </c>
      <c r="H3" s="1">
        <v>0</v>
      </c>
      <c r="I3" s="1">
        <v>1</v>
      </c>
      <c r="J3" s="1" t="str">
        <f t="shared" si="1"/>
        <v>MsY,FA,Y軸,R0-0-1</v>
      </c>
      <c r="K3" s="1" t="s">
        <v>71</v>
      </c>
      <c r="L3" s="1" t="str">
        <f ca="1">LOOKUP(K3,'Driver List'!A$2:A$4,'Driver List'!E$2:E$5)</f>
        <v>ACTIVE</v>
      </c>
      <c r="M3" s="1">
        <f ca="1">LOOKUP(K3,'Driver List'!A$2:A$4,'Driver List'!C$2:C$5)</f>
        <v>8192</v>
      </c>
      <c r="N3" s="1">
        <v>10</v>
      </c>
      <c r="O3" s="1">
        <f t="shared" ca="1" si="2"/>
        <v>819.2</v>
      </c>
      <c r="P3" s="1" t="str">
        <f ca="1">LOOKUP(K3,'Driver List'!A$2:A$4,'Driver List'!B$2:B$5)</f>
        <v>A_B_Phase</v>
      </c>
      <c r="Q3" s="1" t="str">
        <f ca="1">LOOKUP(K3,'Driver List'!A$2:A$4,'Driver List'!D$2:D$5)</f>
        <v>EXTERNAL_ENCODER</v>
      </c>
    </row>
    <row r="4" spans="1:17" x14ac:dyDescent="0.25">
      <c r="A4" s="1" t="s">
        <v>230</v>
      </c>
      <c r="B4" s="1" t="s">
        <v>295</v>
      </c>
      <c r="C4" s="1" t="s">
        <v>234</v>
      </c>
      <c r="D4" s="1">
        <v>2</v>
      </c>
      <c r="E4" s="1" t="str">
        <f t="shared" si="3"/>
        <v>MsZ,FA,Z軸</v>
      </c>
      <c r="F4" s="1" t="str">
        <f t="shared" si="0"/>
        <v>FA</v>
      </c>
      <c r="G4" s="1">
        <v>0</v>
      </c>
      <c r="H4" s="1">
        <v>0</v>
      </c>
      <c r="I4" s="1">
        <v>2</v>
      </c>
      <c r="J4" s="1" t="str">
        <f t="shared" si="1"/>
        <v>MsZ,FA,Z軸,R0-0-2</v>
      </c>
      <c r="K4" s="1" t="s">
        <v>71</v>
      </c>
      <c r="L4" s="1" t="str">
        <f ca="1">LOOKUP(K4,'Driver List'!A$2:A$4,'Driver List'!E$2:E$5)</f>
        <v>ACTIVE</v>
      </c>
      <c r="M4" s="1">
        <f ca="1">LOOKUP(K4,'Driver List'!A$2:A$4,'Driver List'!C$2:C$5)</f>
        <v>8192</v>
      </c>
      <c r="N4" s="1">
        <v>10</v>
      </c>
      <c r="O4" s="1">
        <f t="shared" ca="1" si="2"/>
        <v>819.2</v>
      </c>
      <c r="P4" s="1" t="str">
        <f ca="1">LOOKUP(K4,'Driver List'!A$2:A$4,'Driver List'!B$2:B$5)</f>
        <v>A_B_Phase</v>
      </c>
      <c r="Q4" s="1" t="str">
        <f ca="1">LOOKUP(K4,'Driver List'!A$2:A$4,'Driver List'!D$2:D$5)</f>
        <v>EXTERNAL_ENCODER</v>
      </c>
    </row>
    <row r="5" spans="1:17" x14ac:dyDescent="0.25">
      <c r="A5" s="1" t="s">
        <v>231</v>
      </c>
      <c r="B5" s="1" t="s">
        <v>296</v>
      </c>
      <c r="C5" s="1" t="s">
        <v>235</v>
      </c>
      <c r="D5" s="1">
        <v>3</v>
      </c>
      <c r="E5" s="1" t="str">
        <f t="shared" si="3"/>
        <v>MpUV,FA,UV光掃描</v>
      </c>
      <c r="F5" s="1" t="str">
        <f t="shared" si="0"/>
        <v>FA</v>
      </c>
      <c r="G5" s="1">
        <v>0</v>
      </c>
      <c r="H5" s="1">
        <v>0</v>
      </c>
      <c r="I5" s="1">
        <v>3</v>
      </c>
      <c r="J5" s="1" t="str">
        <f t="shared" si="1"/>
        <v>MpUV,FA,UV光掃描,R0-0-3</v>
      </c>
      <c r="K5" s="1" t="s">
        <v>236</v>
      </c>
      <c r="L5" s="1" t="str">
        <f ca="1">LOOKUP(K5,'Driver List'!A$2:A$4,'Driver List'!E$2:E$5)</f>
        <v>INACTIVE</v>
      </c>
      <c r="M5" s="1">
        <f ca="1">LOOKUP(K5,'Driver List'!A$2:A$4,'Driver List'!C$2:C$5)</f>
        <v>5000</v>
      </c>
      <c r="N5" s="1">
        <v>6</v>
      </c>
      <c r="O5" s="1">
        <f t="shared" ca="1" si="2"/>
        <v>833.33333333333337</v>
      </c>
      <c r="P5" s="1" t="str">
        <f ca="1">LOOKUP(K5,'Driver List'!A$2:A$4,'Driver List'!B$2:B$5)</f>
        <v>OUT_FALLING_DIR_LOW</v>
      </c>
      <c r="Q5" s="1" t="str">
        <f ca="1">LOOKUP(K5,'Driver List'!A$2:A$4,'Driver List'!D$2:D$5)</f>
        <v>INTERNAL_COMMAND</v>
      </c>
    </row>
  </sheetData>
  <autoFilter ref="A1:Q5">
    <sortState ref="A2:R57">
      <sortCondition ref="B1:B57"/>
    </sortState>
  </autoFilter>
  <phoneticPr fontId="8" type="noConversion"/>
  <printOptions gridLines="1"/>
  <pageMargins left="0.70866141732283472" right="0.70866141732283472" top="0.35433070866141736" bottom="0.35433070866141736" header="0.51181102362204722" footer="0.51181102362204722"/>
  <pageSetup paperSize="9" scale="86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/>
  <dimension ref="A1:R14"/>
  <sheetViews>
    <sheetView zoomScaleNormal="100" workbookViewId="0">
      <selection activeCell="K14" sqref="K14"/>
    </sheetView>
  </sheetViews>
  <sheetFormatPr defaultRowHeight="16.5" x14ac:dyDescent="0.25"/>
  <cols>
    <col min="1" max="1" width="8.5" style="13" bestFit="1" customWidth="1"/>
    <col min="2" max="2" width="18.375" style="13" bestFit="1" customWidth="1"/>
    <col min="3" max="3" width="9.5" style="14" bestFit="1" customWidth="1"/>
    <col min="4" max="4" width="19.25" style="13" bestFit="1" customWidth="1"/>
    <col min="5" max="5" width="27.25" style="13" bestFit="1" customWidth="1"/>
    <col min="6" max="6" width="26.75" style="14" bestFit="1" customWidth="1"/>
    <col min="7" max="7" width="11.625" style="13" bestFit="1" customWidth="1"/>
    <col min="8" max="8" width="30.5" style="13" bestFit="1" customWidth="1"/>
    <col min="9" max="9" width="51" style="13" bestFit="1" customWidth="1"/>
    <col min="10" max="10" width="25.375" style="13" bestFit="1" customWidth="1"/>
    <col min="11" max="11" width="7.75" style="13" bestFit="1" customWidth="1"/>
    <col min="12" max="12" width="18" style="13" bestFit="1" customWidth="1"/>
    <col min="13" max="13" width="14" style="13" bestFit="1" customWidth="1"/>
    <col min="14" max="14" width="14.875" style="13" bestFit="1" customWidth="1"/>
    <col min="15" max="15" width="19.25" style="13" bestFit="1" customWidth="1"/>
    <col min="16" max="16" width="15.25" style="13" bestFit="1" customWidth="1"/>
    <col min="17" max="17" width="15.5" style="13" bestFit="1" customWidth="1"/>
    <col min="18" max="18" width="16.5" style="13" bestFit="1" customWidth="1"/>
    <col min="19" max="1026" width="8.75" style="13"/>
    <col min="1027" max="16384" width="9" style="13"/>
  </cols>
  <sheetData>
    <row r="1" spans="1:18" x14ac:dyDescent="0.25">
      <c r="A1" s="11" t="s">
        <v>9</v>
      </c>
      <c r="B1" s="11" t="s">
        <v>59</v>
      </c>
      <c r="C1" s="12" t="s">
        <v>10</v>
      </c>
      <c r="D1" s="11" t="s">
        <v>11</v>
      </c>
      <c r="E1" s="11" t="s">
        <v>12</v>
      </c>
      <c r="F1" s="12" t="s">
        <v>13</v>
      </c>
      <c r="G1" s="11" t="s">
        <v>60</v>
      </c>
      <c r="H1" s="11" t="s">
        <v>2</v>
      </c>
      <c r="I1" s="11" t="s">
        <v>84</v>
      </c>
      <c r="J1" s="11" t="s">
        <v>90</v>
      </c>
      <c r="K1" s="11" t="s">
        <v>87</v>
      </c>
      <c r="L1" s="11" t="s">
        <v>85</v>
      </c>
      <c r="M1" s="11" t="s">
        <v>86</v>
      </c>
      <c r="N1" s="11" t="s">
        <v>93</v>
      </c>
      <c r="O1" s="11" t="s">
        <v>91</v>
      </c>
      <c r="P1" s="11" t="s">
        <v>92</v>
      </c>
      <c r="Q1" s="11" t="s">
        <v>88</v>
      </c>
      <c r="R1" s="11" t="s">
        <v>89</v>
      </c>
    </row>
    <row r="2" spans="1:18" x14ac:dyDescent="0.25">
      <c r="A2" s="11" t="str">
        <f>INDEX(馬達列舉!$B:$B,MATCH(C2,馬達列舉!$A:$A, 0),1)</f>
        <v>FA</v>
      </c>
      <c r="B2" s="13" t="str">
        <f>INDEX(馬達列舉!$C:$C,MATCH(C2,馬達列舉!$A:$A, 0),1)</f>
        <v>X軸</v>
      </c>
      <c r="C2" s="12" t="s">
        <v>272</v>
      </c>
      <c r="D2" s="11" t="s">
        <v>270</v>
      </c>
      <c r="E2" s="11" t="str">
        <f>CONCATENATE(C2,"_",D2)</f>
        <v>MsX_HOME</v>
      </c>
      <c r="F2" s="71">
        <v>0</v>
      </c>
      <c r="G2" s="11">
        <f>INDEX(馬達列舉!$D:$D,MATCH(C2,馬達列舉!$A:$A, 0),1)</f>
        <v>0</v>
      </c>
      <c r="H2" s="11" t="s">
        <v>276</v>
      </c>
      <c r="I2" s="13" t="str">
        <f>CONCATENATE(E2,H2)</f>
        <v>MsX_HOME原點</v>
      </c>
      <c r="J2" s="13">
        <f ca="1">INDEX(馬達列舉!$O:$O,MATCH(C2,馬達列舉!$A:$A, 0),1)</f>
        <v>1000</v>
      </c>
      <c r="K2" s="13">
        <v>1</v>
      </c>
      <c r="L2" s="13">
        <v>1</v>
      </c>
      <c r="M2" s="13">
        <v>50</v>
      </c>
      <c r="N2" s="13">
        <f ca="1">K2*J2</f>
        <v>1000</v>
      </c>
      <c r="O2" s="13">
        <f ca="1">L2*J2</f>
        <v>1000</v>
      </c>
      <c r="P2" s="13">
        <f ca="1">M2*J2</f>
        <v>50000</v>
      </c>
      <c r="Q2" s="13">
        <v>0.2</v>
      </c>
      <c r="R2" s="13">
        <v>0.2</v>
      </c>
    </row>
    <row r="3" spans="1:18" x14ac:dyDescent="0.25">
      <c r="A3" s="11" t="str">
        <f>INDEX(馬達列舉!$B:$B,MATCH(C3,馬達列舉!$A:$A, 0),1)</f>
        <v>FA</v>
      </c>
      <c r="B3" s="13" t="str">
        <f>INDEX(馬達列舉!$C:$C,MATCH(C3,馬達列舉!$A:$A, 0),1)</f>
        <v>X軸</v>
      </c>
      <c r="C3" s="12" t="s">
        <v>272</v>
      </c>
      <c r="D3" s="13" t="s">
        <v>271</v>
      </c>
      <c r="E3" s="11" t="str">
        <f t="shared" ref="E3:E14" si="0">CONCATENATE(C3,"_",D3)</f>
        <v>MsX_ZERO</v>
      </c>
      <c r="F3" s="72">
        <v>1</v>
      </c>
      <c r="G3" s="11">
        <f>INDEX(馬達列舉!$D:$D,MATCH(C3,馬達列舉!$A:$A, 0),1)</f>
        <v>0</v>
      </c>
      <c r="H3" s="13" t="s">
        <v>282</v>
      </c>
      <c r="I3" s="13" t="str">
        <f t="shared" ref="I3:I13" si="1">CONCATENATE(E3,H3)</f>
        <v>MsX_ZERO零位</v>
      </c>
      <c r="J3" s="13">
        <f ca="1">INDEX(馬達列舉!$O:$O,MATCH(C3,馬達列舉!$A:$A, 0),1)</f>
        <v>1000</v>
      </c>
      <c r="K3" s="13">
        <v>1</v>
      </c>
      <c r="L3" s="13">
        <v>1</v>
      </c>
      <c r="M3" s="13">
        <v>50</v>
      </c>
      <c r="N3" s="13">
        <f t="shared" ref="N3:N13" ca="1" si="2">K3*J3</f>
        <v>1000</v>
      </c>
      <c r="O3" s="13">
        <f t="shared" ref="O3:O13" ca="1" si="3">L3*J3</f>
        <v>1000</v>
      </c>
      <c r="P3" s="13">
        <f t="shared" ref="P3:P13" ca="1" si="4">M3*J3</f>
        <v>50000</v>
      </c>
      <c r="Q3" s="13">
        <v>0.2</v>
      </c>
      <c r="R3" s="13">
        <v>0.2</v>
      </c>
    </row>
    <row r="4" spans="1:18" x14ac:dyDescent="0.25">
      <c r="A4" s="11" t="str">
        <f>INDEX(馬達列舉!$B:$B,MATCH(C4,馬達列舉!$A:$A, 0),1)</f>
        <v>FA</v>
      </c>
      <c r="B4" s="13" t="str">
        <f>INDEX(馬達列舉!$C:$C,MATCH(C4,馬達列舉!$A:$A, 0),1)</f>
        <v>X軸</v>
      </c>
      <c r="C4" s="12" t="s">
        <v>285</v>
      </c>
      <c r="D4" s="13" t="s">
        <v>290</v>
      </c>
      <c r="E4" s="11" t="str">
        <f t="shared" si="0"/>
        <v>MsX_PITCH</v>
      </c>
      <c r="F4" s="71">
        <v>2</v>
      </c>
      <c r="G4" s="11">
        <f>INDEX(馬達列舉!$D:$D,MATCH(C4,馬達列舉!$A:$A, 0),1)</f>
        <v>0</v>
      </c>
      <c r="H4" s="13" t="s">
        <v>291</v>
      </c>
      <c r="I4" s="13" t="str">
        <f t="shared" si="1"/>
        <v>MsX_PITCHDIE間距</v>
      </c>
      <c r="J4" s="13">
        <f ca="1">INDEX(馬達列舉!$O:$O,MATCH(C4,馬達列舉!$A:$A, 0),1)</f>
        <v>1000</v>
      </c>
      <c r="K4" s="13">
        <v>1</v>
      </c>
      <c r="L4" s="13">
        <v>1</v>
      </c>
      <c r="M4" s="13">
        <v>50</v>
      </c>
      <c r="N4" s="13">
        <f t="shared" ca="1" si="2"/>
        <v>1000</v>
      </c>
      <c r="O4" s="13">
        <f t="shared" ca="1" si="3"/>
        <v>1000</v>
      </c>
      <c r="P4" s="13">
        <f t="shared" ca="1" si="4"/>
        <v>50000</v>
      </c>
      <c r="Q4" s="13">
        <v>0.2</v>
      </c>
      <c r="R4" s="13">
        <v>0.2</v>
      </c>
    </row>
    <row r="5" spans="1:18" x14ac:dyDescent="0.25">
      <c r="A5" s="11" t="str">
        <f>INDEX(馬達列舉!$B:$B,MATCH(C5,馬達列舉!$A:$A, 0),1)</f>
        <v>FA</v>
      </c>
      <c r="B5" s="13" t="str">
        <f>INDEX(馬達列舉!$C:$C,MATCH(C5,馬達列舉!$A:$A, 0),1)</f>
        <v>Y軸</v>
      </c>
      <c r="C5" s="14" t="s">
        <v>283</v>
      </c>
      <c r="D5" s="13" t="s">
        <v>273</v>
      </c>
      <c r="E5" s="11" t="str">
        <f t="shared" si="0"/>
        <v>MsY_HOME</v>
      </c>
      <c r="F5" s="72">
        <v>3</v>
      </c>
      <c r="G5" s="11">
        <f>INDEX(馬達列舉!$D:$D,MATCH(C5,馬達列舉!$A:$A, 0),1)</f>
        <v>1</v>
      </c>
      <c r="H5" s="13" t="s">
        <v>276</v>
      </c>
      <c r="I5" s="13" t="str">
        <f t="shared" si="1"/>
        <v>MsY_HOME原點</v>
      </c>
      <c r="J5" s="13">
        <f ca="1">INDEX(馬達列舉!$O:$O,MATCH(C5,馬達列舉!$A:$A, 0),1)</f>
        <v>819.2</v>
      </c>
      <c r="K5" s="13">
        <v>1</v>
      </c>
      <c r="L5" s="13">
        <v>1</v>
      </c>
      <c r="M5" s="13">
        <v>50</v>
      </c>
      <c r="N5" s="13">
        <f t="shared" ca="1" si="2"/>
        <v>819.2</v>
      </c>
      <c r="O5" s="13">
        <f t="shared" ca="1" si="3"/>
        <v>819.2</v>
      </c>
      <c r="P5" s="13">
        <f t="shared" ca="1" si="4"/>
        <v>40960</v>
      </c>
      <c r="Q5" s="13">
        <v>0.2</v>
      </c>
      <c r="R5" s="13">
        <v>0.2</v>
      </c>
    </row>
    <row r="6" spans="1:18" x14ac:dyDescent="0.25">
      <c r="A6" s="11" t="str">
        <f>INDEX(馬達列舉!$B:$B,MATCH(C6,馬達列舉!$A:$A, 0),1)</f>
        <v>FA</v>
      </c>
      <c r="B6" s="13" t="str">
        <f>INDEX(馬達列舉!$C:$C,MATCH(C6,馬達列舉!$A:$A, 0),1)</f>
        <v>Y軸</v>
      </c>
      <c r="C6" s="14" t="s">
        <v>283</v>
      </c>
      <c r="D6" s="13" t="s">
        <v>277</v>
      </c>
      <c r="E6" s="11" t="str">
        <f t="shared" si="0"/>
        <v>MsY_ZERO</v>
      </c>
      <c r="F6" s="71">
        <v>4</v>
      </c>
      <c r="G6" s="11">
        <f>INDEX(馬達列舉!$D:$D,MATCH(C6,馬達列舉!$A:$A, 0),1)</f>
        <v>1</v>
      </c>
      <c r="H6" s="13" t="s">
        <v>282</v>
      </c>
      <c r="I6" s="13" t="str">
        <f t="shared" si="1"/>
        <v>MsY_ZERO零位</v>
      </c>
      <c r="J6" s="13">
        <f ca="1">INDEX(馬達列舉!$O:$O,MATCH(C6,馬達列舉!$A:$A, 0),1)</f>
        <v>819.2</v>
      </c>
      <c r="K6" s="13">
        <v>1</v>
      </c>
      <c r="L6" s="13">
        <v>1</v>
      </c>
      <c r="M6" s="13">
        <v>50</v>
      </c>
      <c r="N6" s="13">
        <f t="shared" ca="1" si="2"/>
        <v>819.2</v>
      </c>
      <c r="O6" s="13">
        <f t="shared" ca="1" si="3"/>
        <v>819.2</v>
      </c>
      <c r="P6" s="13">
        <f t="shared" ca="1" si="4"/>
        <v>40960</v>
      </c>
      <c r="Q6" s="13">
        <v>0.2</v>
      </c>
      <c r="R6" s="13">
        <v>0.2</v>
      </c>
    </row>
    <row r="7" spans="1:18" x14ac:dyDescent="0.25">
      <c r="A7" s="11" t="str">
        <f>INDEX(馬達列舉!$B:$B,MATCH(C7,馬達列舉!$A:$A, 0),1)</f>
        <v>FA</v>
      </c>
      <c r="B7" s="13" t="str">
        <f>INDEX(馬達列舉!$C:$C,MATCH(C7,馬達列舉!$A:$A, 0),1)</f>
        <v>Z軸</v>
      </c>
      <c r="C7" s="14" t="s">
        <v>284</v>
      </c>
      <c r="D7" s="13" t="s">
        <v>274</v>
      </c>
      <c r="E7" s="11" t="str">
        <f t="shared" si="0"/>
        <v>MsZ_HOME</v>
      </c>
      <c r="F7" s="72">
        <v>5</v>
      </c>
      <c r="G7" s="11">
        <f>INDEX(馬達列舉!$D:$D,MATCH(C7,馬達列舉!$A:$A, 0),1)</f>
        <v>2</v>
      </c>
      <c r="H7" s="13" t="s">
        <v>276</v>
      </c>
      <c r="I7" s="13" t="str">
        <f t="shared" si="1"/>
        <v>MsZ_HOME原點</v>
      </c>
      <c r="J7" s="13">
        <f ca="1">INDEX(馬達列舉!$O:$O,MATCH(C7,馬達列舉!$A:$A, 0),1)</f>
        <v>819.2</v>
      </c>
      <c r="K7" s="13">
        <v>1</v>
      </c>
      <c r="L7" s="13">
        <v>1</v>
      </c>
      <c r="M7" s="13">
        <v>50</v>
      </c>
      <c r="N7" s="13">
        <f t="shared" ca="1" si="2"/>
        <v>819.2</v>
      </c>
      <c r="O7" s="13">
        <f t="shared" ca="1" si="3"/>
        <v>819.2</v>
      </c>
      <c r="P7" s="13">
        <f t="shared" ca="1" si="4"/>
        <v>40960</v>
      </c>
      <c r="Q7" s="13">
        <v>0.2</v>
      </c>
      <c r="R7" s="13">
        <v>0.2</v>
      </c>
    </row>
    <row r="8" spans="1:18" x14ac:dyDescent="0.25">
      <c r="A8" s="11" t="str">
        <f>INDEX(馬達列舉!$B:$B,MATCH(C8,馬達列舉!$A:$A, 0),1)</f>
        <v>FA</v>
      </c>
      <c r="B8" s="13" t="str">
        <f>INDEX(馬達列舉!$C:$C,MATCH(C8,馬達列舉!$A:$A, 0),1)</f>
        <v>Z軸</v>
      </c>
      <c r="C8" s="14" t="s">
        <v>284</v>
      </c>
      <c r="D8" s="13" t="s">
        <v>275</v>
      </c>
      <c r="E8" s="11" t="str">
        <f t="shared" si="0"/>
        <v>MsZ_ZERO</v>
      </c>
      <c r="F8" s="71">
        <v>6</v>
      </c>
      <c r="G8" s="11">
        <f>INDEX(馬達列舉!$D:$D,MATCH(C8,馬達列舉!$A:$A, 0),1)</f>
        <v>2</v>
      </c>
      <c r="H8" s="13" t="s">
        <v>282</v>
      </c>
      <c r="I8" s="13" t="str">
        <f t="shared" si="1"/>
        <v>MsZ_ZERO零位</v>
      </c>
      <c r="J8" s="13">
        <f ca="1">INDEX(馬達列舉!$O:$O,MATCH(C8,馬達列舉!$A:$A, 0),1)</f>
        <v>819.2</v>
      </c>
      <c r="K8" s="13">
        <v>1</v>
      </c>
      <c r="L8" s="13">
        <v>1</v>
      </c>
      <c r="M8" s="13">
        <v>50</v>
      </c>
      <c r="N8" s="13">
        <f t="shared" ca="1" si="2"/>
        <v>819.2</v>
      </c>
      <c r="O8" s="13">
        <f t="shared" ca="1" si="3"/>
        <v>819.2</v>
      </c>
      <c r="P8" s="13">
        <f t="shared" ca="1" si="4"/>
        <v>40960</v>
      </c>
      <c r="Q8" s="13">
        <v>0.2</v>
      </c>
      <c r="R8" s="13">
        <v>0.2</v>
      </c>
    </row>
    <row r="9" spans="1:18" x14ac:dyDescent="0.25">
      <c r="A9" s="11" t="str">
        <f>INDEX(馬達列舉!$B:$B,MATCH(C9,馬達列舉!$A:$A, 0),1)</f>
        <v>FA</v>
      </c>
      <c r="B9" s="13" t="str">
        <f>INDEX(馬達列舉!$C:$C,MATCH(C9,馬達列舉!$A:$A, 0),1)</f>
        <v>Z軸</v>
      </c>
      <c r="C9" s="14" t="s">
        <v>284</v>
      </c>
      <c r="D9" s="13" t="s">
        <v>278</v>
      </c>
      <c r="E9" s="11" t="str">
        <f t="shared" si="0"/>
        <v>MsZ_DISP_CALI</v>
      </c>
      <c r="F9" s="72">
        <v>7</v>
      </c>
      <c r="G9" s="11">
        <f>INDEX(馬達列舉!$D:$D,MATCH(C9,馬達列舉!$A:$A, 0),1)</f>
        <v>2</v>
      </c>
      <c r="H9" s="13" t="s">
        <v>280</v>
      </c>
      <c r="I9" s="13" t="str">
        <f t="shared" si="1"/>
        <v>MsZ_DISP_CALI噴頭校正高度</v>
      </c>
      <c r="J9" s="13">
        <f ca="1">INDEX(馬達列舉!$O:$O,MATCH(C9,馬達列舉!$A:$A, 0),1)</f>
        <v>819.2</v>
      </c>
      <c r="K9" s="13">
        <v>1</v>
      </c>
      <c r="L9" s="13">
        <v>1</v>
      </c>
      <c r="M9" s="13">
        <v>50</v>
      </c>
      <c r="N9" s="13">
        <f t="shared" ca="1" si="2"/>
        <v>819.2</v>
      </c>
      <c r="O9" s="13">
        <f t="shared" ca="1" si="3"/>
        <v>819.2</v>
      </c>
      <c r="P9" s="13">
        <f t="shared" ca="1" si="4"/>
        <v>40960</v>
      </c>
      <c r="Q9" s="13">
        <v>0.2</v>
      </c>
      <c r="R9" s="13">
        <v>0.2</v>
      </c>
    </row>
    <row r="10" spans="1:18" x14ac:dyDescent="0.25">
      <c r="A10" s="11" t="str">
        <f>INDEX(馬達列舉!$B:$B,MATCH(C10,馬達列舉!$A:$A, 0),1)</f>
        <v>FA</v>
      </c>
      <c r="B10" s="13" t="str">
        <f>INDEX(馬達列舉!$C:$C,MATCH(C10,馬達列舉!$A:$A, 0),1)</f>
        <v>Z軸</v>
      </c>
      <c r="C10" s="14" t="s">
        <v>284</v>
      </c>
      <c r="D10" s="13" t="s">
        <v>279</v>
      </c>
      <c r="E10" s="11" t="str">
        <f t="shared" si="0"/>
        <v>MsZ_DISP_WORK</v>
      </c>
      <c r="F10" s="71">
        <v>8</v>
      </c>
      <c r="G10" s="11">
        <f>INDEX(馬達列舉!$D:$D,MATCH(C10,馬達列舉!$A:$A, 0),1)</f>
        <v>2</v>
      </c>
      <c r="H10" s="13" t="s">
        <v>281</v>
      </c>
      <c r="I10" s="13" t="str">
        <f t="shared" si="1"/>
        <v>MsZ_DISP_WORK噴頭工作高度</v>
      </c>
      <c r="J10" s="13">
        <f ca="1">INDEX(馬達列舉!$O:$O,MATCH(C10,馬達列舉!$A:$A, 0),1)</f>
        <v>819.2</v>
      </c>
      <c r="K10" s="13">
        <v>1</v>
      </c>
      <c r="L10" s="13">
        <v>1</v>
      </c>
      <c r="M10" s="13">
        <v>50</v>
      </c>
      <c r="N10" s="13">
        <f t="shared" ca="1" si="2"/>
        <v>819.2</v>
      </c>
      <c r="O10" s="13">
        <f t="shared" ca="1" si="3"/>
        <v>819.2</v>
      </c>
      <c r="P10" s="13">
        <f t="shared" ca="1" si="4"/>
        <v>40960</v>
      </c>
      <c r="Q10" s="13">
        <v>0.2</v>
      </c>
      <c r="R10" s="13">
        <v>0.2</v>
      </c>
    </row>
    <row r="11" spans="1:18" x14ac:dyDescent="0.25">
      <c r="A11" s="11" t="str">
        <f>INDEX(馬達列舉!$B:$B,MATCH(C11,馬達列舉!$A:$A, 0),1)</f>
        <v>FA</v>
      </c>
      <c r="B11" s="13" t="str">
        <f>INDEX(馬達列舉!$C:$C,MATCH(C11,馬達列舉!$A:$A, 0),1)</f>
        <v>UV光掃描</v>
      </c>
      <c r="C11" s="14" t="s">
        <v>286</v>
      </c>
      <c r="D11" s="13" t="s">
        <v>287</v>
      </c>
      <c r="E11" s="11" t="str">
        <f t="shared" si="0"/>
        <v>MpUV_HOME</v>
      </c>
      <c r="F11" s="72">
        <v>9</v>
      </c>
      <c r="G11" s="11">
        <f>INDEX(馬達列舉!$D:$D,MATCH(C11,馬達列舉!$A:$A, 0),1)</f>
        <v>3</v>
      </c>
      <c r="H11" s="11" t="s">
        <v>276</v>
      </c>
      <c r="I11" s="13" t="str">
        <f t="shared" si="1"/>
        <v>MpUV_HOME原點</v>
      </c>
      <c r="J11" s="13">
        <f ca="1">INDEX(馬達列舉!$O:$O,MATCH(C11,馬達列舉!$A:$A, 0),1)</f>
        <v>833.33333333333337</v>
      </c>
      <c r="K11" s="13">
        <v>1</v>
      </c>
      <c r="L11" s="13">
        <v>1</v>
      </c>
      <c r="M11" s="13">
        <v>50</v>
      </c>
      <c r="N11" s="13">
        <f t="shared" ca="1" si="2"/>
        <v>833.33333333333337</v>
      </c>
      <c r="O11" s="13">
        <f t="shared" ca="1" si="3"/>
        <v>833.33333333333337</v>
      </c>
      <c r="P11" s="13">
        <f t="shared" ca="1" si="4"/>
        <v>41666.666666666672</v>
      </c>
      <c r="Q11" s="13">
        <v>0.2</v>
      </c>
      <c r="R11" s="13">
        <v>0.2</v>
      </c>
    </row>
    <row r="12" spans="1:18" x14ac:dyDescent="0.25">
      <c r="A12" s="11" t="str">
        <f>INDEX(馬達列舉!$B:$B,MATCH(C12,馬達列舉!$A:$A, 0),1)</f>
        <v>FA</v>
      </c>
      <c r="B12" s="13" t="str">
        <f>INDEX(馬達列舉!$C:$C,MATCH(C12,馬達列舉!$A:$A, 0),1)</f>
        <v>UV光掃描</v>
      </c>
      <c r="C12" s="14" t="s">
        <v>286</v>
      </c>
      <c r="D12" s="13" t="s">
        <v>288</v>
      </c>
      <c r="E12" s="11" t="str">
        <f t="shared" si="0"/>
        <v>MpUV_FIRST</v>
      </c>
      <c r="F12" s="71">
        <v>10</v>
      </c>
      <c r="G12" s="11">
        <f>INDEX(馬達列舉!$D:$D,MATCH(C12,馬達列舉!$A:$A, 0),1)</f>
        <v>3</v>
      </c>
      <c r="H12" s="13" t="s">
        <v>292</v>
      </c>
      <c r="I12" s="13" t="str">
        <f t="shared" si="1"/>
        <v>MpUV_FIRST第一組DIE位置</v>
      </c>
      <c r="J12" s="13">
        <f ca="1">INDEX(馬達列舉!$O:$O,MATCH(C12,馬達列舉!$A:$A, 0),1)</f>
        <v>833.33333333333337</v>
      </c>
      <c r="K12" s="13">
        <v>1</v>
      </c>
      <c r="L12" s="13">
        <v>1</v>
      </c>
      <c r="M12" s="13">
        <v>50</v>
      </c>
      <c r="N12" s="13">
        <f t="shared" ca="1" si="2"/>
        <v>833.33333333333337</v>
      </c>
      <c r="O12" s="13">
        <f t="shared" ca="1" si="3"/>
        <v>833.33333333333337</v>
      </c>
      <c r="P12" s="13">
        <f t="shared" ca="1" si="4"/>
        <v>41666.666666666672</v>
      </c>
      <c r="Q12" s="13">
        <v>0.2</v>
      </c>
      <c r="R12" s="13">
        <v>0.2</v>
      </c>
    </row>
    <row r="13" spans="1:18" x14ac:dyDescent="0.25">
      <c r="A13" s="11" t="str">
        <f>INDEX(馬達列舉!$B:$B,MATCH(C13,馬達列舉!$A:$A, 0),1)</f>
        <v>FA</v>
      </c>
      <c r="B13" s="13" t="str">
        <f>INDEX(馬達列舉!$C:$C,MATCH(C13,馬達列舉!$A:$A, 0),1)</f>
        <v>UV光掃描</v>
      </c>
      <c r="C13" s="14" t="s">
        <v>286</v>
      </c>
      <c r="D13" s="13" t="s">
        <v>289</v>
      </c>
      <c r="E13" s="11" t="str">
        <f t="shared" si="0"/>
        <v>MpUV_PITCH</v>
      </c>
      <c r="F13" s="72">
        <v>11</v>
      </c>
      <c r="G13" s="11">
        <f>INDEX(馬達列舉!$D:$D,MATCH(C13,馬達列舉!$A:$A, 0),1)</f>
        <v>3</v>
      </c>
      <c r="H13" s="13" t="s">
        <v>291</v>
      </c>
      <c r="I13" s="13" t="str">
        <f t="shared" si="1"/>
        <v>MpUV_PITCHDIE間距</v>
      </c>
      <c r="J13" s="13">
        <f ca="1">INDEX(馬達列舉!$O:$O,MATCH(C13,馬達列舉!$A:$A, 0),1)</f>
        <v>833.33333333333337</v>
      </c>
      <c r="K13" s="13">
        <v>23</v>
      </c>
      <c r="L13" s="13">
        <v>1</v>
      </c>
      <c r="M13" s="13">
        <v>50</v>
      </c>
      <c r="N13" s="13">
        <f t="shared" ca="1" si="2"/>
        <v>19166.666666666668</v>
      </c>
      <c r="O13" s="13">
        <f t="shared" ca="1" si="3"/>
        <v>833.33333333333337</v>
      </c>
      <c r="P13" s="13">
        <f t="shared" ca="1" si="4"/>
        <v>41666.666666666672</v>
      </c>
      <c r="Q13" s="13">
        <v>0.2</v>
      </c>
      <c r="R13" s="13">
        <v>0.2</v>
      </c>
    </row>
    <row r="14" spans="1:18" x14ac:dyDescent="0.25">
      <c r="A14" s="11" t="str">
        <f>INDEX(馬達列舉!$B:$B,MATCH(C14,馬達列舉!$A:$A, 0),1)</f>
        <v>FA</v>
      </c>
      <c r="B14" s="13" t="str">
        <f>INDEX(馬達列舉!$C:$C,MATCH(C14,馬達列舉!$A:$A, 0),1)</f>
        <v>UV光掃描</v>
      </c>
      <c r="C14" s="14" t="s">
        <v>231</v>
      </c>
      <c r="D14" s="13" t="s">
        <v>606</v>
      </c>
      <c r="E14" s="11" t="str">
        <f t="shared" si="0"/>
        <v>MpUV_READY</v>
      </c>
      <c r="F14" s="71">
        <v>12</v>
      </c>
      <c r="G14" s="11">
        <f>INDEX(馬達列舉!$D:$D,MATCH(C14,馬達列舉!$A:$A, 0),1)</f>
        <v>3</v>
      </c>
      <c r="H14" s="13" t="s">
        <v>292</v>
      </c>
      <c r="I14" s="13" t="str">
        <f t="shared" ref="I14" si="5">CONCATENATE(E14,H14)</f>
        <v>MpUV_READY第一組DIE位置</v>
      </c>
      <c r="J14" s="13">
        <f ca="1">INDEX(馬達列舉!$O:$O,MATCH(C14,馬達列舉!$A:$A, 0),1)</f>
        <v>833.33333333333337</v>
      </c>
      <c r="K14" s="13">
        <v>1</v>
      </c>
      <c r="L14" s="13">
        <v>1</v>
      </c>
      <c r="M14" s="13">
        <v>50</v>
      </c>
      <c r="N14" s="13">
        <f t="shared" ref="N14" ca="1" si="6">K14*J14</f>
        <v>833.33333333333337</v>
      </c>
      <c r="O14" s="13">
        <f t="shared" ref="O14" ca="1" si="7">L14*J14</f>
        <v>833.33333333333337</v>
      </c>
      <c r="P14" s="13">
        <f t="shared" ref="P14" ca="1" si="8">M14*J14</f>
        <v>41666.666666666672</v>
      </c>
      <c r="Q14" s="13">
        <v>0.2</v>
      </c>
      <c r="R14" s="13">
        <v>0.2</v>
      </c>
    </row>
  </sheetData>
  <autoFilter ref="A1:H2">
    <sortState ref="A2:H127">
      <sortCondition ref="G1:G127"/>
    </sortState>
  </autoFilter>
  <phoneticPr fontId="8" type="noConversion"/>
  <printOptions gridLines="1"/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pageSetUpPr fitToPage="1"/>
  </sheetPr>
  <dimension ref="A1:AC32"/>
  <sheetViews>
    <sheetView topLeftCell="K1" zoomScale="85" zoomScaleNormal="85" workbookViewId="0">
      <selection activeCell="O15" sqref="O15:O32"/>
    </sheetView>
  </sheetViews>
  <sheetFormatPr defaultRowHeight="16.5" outlineLevelCol="1" x14ac:dyDescent="0.25"/>
  <cols>
    <col min="1" max="1" width="19.875" style="15" bestFit="1" customWidth="1" outlineLevel="1"/>
    <col min="2" max="3" width="25.375" style="15" bestFit="1" customWidth="1" outlineLevel="1"/>
    <col min="4" max="4" width="14.5" style="15" bestFit="1" customWidth="1" outlineLevel="1"/>
    <col min="5" max="5" width="23.375" style="16" bestFit="1" customWidth="1" outlineLevel="1"/>
    <col min="6" max="6" width="14.5" style="20" bestFit="1" customWidth="1"/>
    <col min="7" max="7" width="4" style="26" bestFit="1" customWidth="1"/>
    <col min="8" max="8" width="14.5" style="20" bestFit="1" customWidth="1"/>
    <col min="9" max="9" width="4" style="20" bestFit="1" customWidth="1"/>
    <col min="10" max="10" width="16.25" style="20" bestFit="1" customWidth="1"/>
    <col min="11" max="11" width="5" style="19" bestFit="1" customWidth="1"/>
    <col min="12" max="12" width="22.625" style="20" bestFit="1" customWidth="1"/>
    <col min="13" max="13" width="5" style="19" bestFit="1" customWidth="1"/>
    <col min="14" max="14" width="11" style="15" bestFit="1" customWidth="1"/>
    <col min="15" max="15" width="5" style="15" bestFit="1" customWidth="1"/>
    <col min="16" max="16" width="15.125" style="15" bestFit="1" customWidth="1"/>
    <col min="17" max="17" width="5" style="15" bestFit="1" customWidth="1"/>
    <col min="18" max="18" width="12.875" style="15" bestFit="1" customWidth="1"/>
    <col min="19" max="19" width="11.75" style="15" bestFit="1" customWidth="1"/>
    <col min="20" max="20" width="22.625" style="15" bestFit="1" customWidth="1"/>
    <col min="21" max="21" width="10.375" style="11" bestFit="1" customWidth="1" outlineLevel="1"/>
    <col min="22" max="22" width="16.25" style="11" bestFit="1" customWidth="1" outlineLevel="1"/>
    <col min="23" max="23" width="16.75" style="11" bestFit="1" customWidth="1" outlineLevel="1"/>
    <col min="24" max="24" width="30.75" style="11" bestFit="1" customWidth="1" outlineLevel="1"/>
    <col min="25" max="25" width="17.125" style="15" customWidth="1"/>
    <col min="26" max="26" width="13.25" style="15" bestFit="1" customWidth="1"/>
    <col min="27" max="27" width="34.125" bestFit="1" customWidth="1"/>
    <col min="28" max="28" width="35.375" style="15" bestFit="1" customWidth="1"/>
    <col min="29" max="29" width="25.875" style="15" bestFit="1" customWidth="1"/>
    <col min="30" max="1012" width="8.75" style="15"/>
    <col min="1013" max="16384" width="9" style="15"/>
  </cols>
  <sheetData>
    <row r="1" spans="1:29" x14ac:dyDescent="0.25">
      <c r="A1" s="15" t="s">
        <v>193</v>
      </c>
      <c r="B1" s="15" t="s">
        <v>194</v>
      </c>
      <c r="C1" s="15" t="s">
        <v>195</v>
      </c>
      <c r="D1" s="15" t="s">
        <v>196</v>
      </c>
      <c r="E1" s="15" t="s">
        <v>197</v>
      </c>
      <c r="F1" s="15" t="s">
        <v>198</v>
      </c>
      <c r="G1" s="15" t="s">
        <v>199</v>
      </c>
      <c r="H1" s="15" t="s">
        <v>200</v>
      </c>
      <c r="I1" s="15" t="s">
        <v>201</v>
      </c>
      <c r="J1" s="15" t="s">
        <v>202</v>
      </c>
      <c r="K1" s="15" t="s">
        <v>203</v>
      </c>
      <c r="L1" s="15" t="s">
        <v>204</v>
      </c>
      <c r="M1" s="15" t="s">
        <v>205</v>
      </c>
      <c r="N1" s="15" t="s">
        <v>206</v>
      </c>
      <c r="O1" s="15" t="s">
        <v>207</v>
      </c>
      <c r="P1" s="15" t="s">
        <v>208</v>
      </c>
      <c r="Q1" s="15" t="s">
        <v>209</v>
      </c>
      <c r="R1" s="15" t="s">
        <v>210</v>
      </c>
      <c r="S1" s="15" t="s">
        <v>211</v>
      </c>
      <c r="T1" s="15" t="s">
        <v>212</v>
      </c>
      <c r="U1" s="15" t="s">
        <v>213</v>
      </c>
      <c r="V1" s="15" t="s">
        <v>214</v>
      </c>
      <c r="W1" s="15" t="s">
        <v>215</v>
      </c>
      <c r="X1" s="15" t="s">
        <v>216</v>
      </c>
      <c r="Y1" s="15" t="s">
        <v>217</v>
      </c>
      <c r="Z1" s="15" t="s">
        <v>218</v>
      </c>
      <c r="AA1" s="15" t="s">
        <v>219</v>
      </c>
      <c r="AB1" s="15" t="s">
        <v>220</v>
      </c>
      <c r="AC1" s="15" t="s">
        <v>221</v>
      </c>
    </row>
    <row r="2" spans="1:29" s="18" customFormat="1" ht="19.5" x14ac:dyDescent="0.3">
      <c r="A2" s="17" t="s">
        <v>22</v>
      </c>
      <c r="B2" s="17" t="s">
        <v>22</v>
      </c>
      <c r="C2" s="17"/>
      <c r="D2" s="17" t="s">
        <v>22</v>
      </c>
      <c r="E2" s="17" t="s">
        <v>24</v>
      </c>
      <c r="F2" s="28"/>
      <c r="G2" s="29"/>
      <c r="H2" s="28"/>
      <c r="I2" s="28"/>
      <c r="J2" s="28"/>
      <c r="K2" s="17"/>
      <c r="L2" s="28"/>
      <c r="M2" s="17"/>
      <c r="N2" s="17"/>
      <c r="O2" s="17"/>
      <c r="P2" s="17"/>
      <c r="Q2" s="17"/>
      <c r="R2" s="17"/>
      <c r="S2" s="17"/>
      <c r="T2" s="17"/>
      <c r="U2" s="17" t="s">
        <v>22</v>
      </c>
      <c r="V2" s="17" t="s">
        <v>22</v>
      </c>
      <c r="W2" s="17" t="s">
        <v>22</v>
      </c>
      <c r="X2" s="17" t="s">
        <v>25</v>
      </c>
      <c r="Y2" s="17"/>
      <c r="Z2" s="17"/>
      <c r="AC2" s="40"/>
    </row>
    <row r="3" spans="1:29" s="18" customFormat="1" ht="19.5" x14ac:dyDescent="0.3">
      <c r="A3" s="17" t="s">
        <v>238</v>
      </c>
      <c r="B3" s="17"/>
      <c r="C3" s="17"/>
      <c r="D3" s="17"/>
      <c r="E3" s="17"/>
      <c r="F3" s="30" t="s">
        <v>95</v>
      </c>
      <c r="G3" s="30"/>
      <c r="H3" s="30" t="s">
        <v>96</v>
      </c>
      <c r="I3" s="30"/>
      <c r="J3" s="30" t="s">
        <v>97</v>
      </c>
      <c r="K3" s="30"/>
      <c r="L3" s="30" t="s">
        <v>98</v>
      </c>
      <c r="M3" s="30"/>
      <c r="N3" s="30" t="s">
        <v>99</v>
      </c>
      <c r="O3" s="30"/>
      <c r="P3" s="30" t="s">
        <v>100</v>
      </c>
      <c r="Q3" s="30"/>
      <c r="R3" s="30" t="s">
        <v>101</v>
      </c>
      <c r="S3" s="30" t="s">
        <v>102</v>
      </c>
      <c r="T3" s="30"/>
      <c r="U3" s="27"/>
      <c r="V3" s="27"/>
      <c r="W3" s="27"/>
      <c r="X3" s="27"/>
      <c r="Y3" s="27"/>
      <c r="Z3" s="27"/>
      <c r="AC3" s="40"/>
    </row>
    <row r="4" spans="1:29" s="18" customFormat="1" ht="19.5" x14ac:dyDescent="0.3">
      <c r="A4" s="17" t="s">
        <v>222</v>
      </c>
      <c r="B4" s="17" t="s">
        <v>223</v>
      </c>
      <c r="C4" s="17" t="s">
        <v>224</v>
      </c>
      <c r="D4" s="17" t="s">
        <v>2</v>
      </c>
      <c r="E4" s="17" t="s">
        <v>16</v>
      </c>
      <c r="F4" s="31" t="s">
        <v>104</v>
      </c>
      <c r="G4" s="31"/>
      <c r="H4" s="32" t="s">
        <v>105</v>
      </c>
      <c r="I4" s="32"/>
      <c r="J4" s="32"/>
      <c r="K4" s="32"/>
      <c r="L4" s="32"/>
      <c r="M4" s="32"/>
      <c r="N4" s="32"/>
      <c r="O4" s="32"/>
      <c r="P4" s="33" t="s">
        <v>125</v>
      </c>
      <c r="Q4" s="33"/>
      <c r="R4" s="34" t="s">
        <v>106</v>
      </c>
      <c r="S4" s="35" t="s">
        <v>124</v>
      </c>
      <c r="T4" s="35" t="s">
        <v>159</v>
      </c>
      <c r="U4" s="27" t="s">
        <v>17</v>
      </c>
      <c r="V4" s="27" t="s">
        <v>18</v>
      </c>
      <c r="W4" s="27" t="s">
        <v>23</v>
      </c>
      <c r="X4" s="27" t="s">
        <v>26</v>
      </c>
      <c r="Y4" s="27" t="s">
        <v>21</v>
      </c>
      <c r="Z4" s="27" t="s">
        <v>188</v>
      </c>
      <c r="AA4" s="18" t="s">
        <v>186</v>
      </c>
      <c r="AB4" s="18" t="s">
        <v>187</v>
      </c>
      <c r="AC4" s="18" t="s">
        <v>192</v>
      </c>
    </row>
    <row r="5" spans="1:29" s="18" customFormat="1" ht="19.5" x14ac:dyDescent="0.3">
      <c r="A5" s="11" t="s">
        <v>189</v>
      </c>
      <c r="B5" s="11" t="s">
        <v>172</v>
      </c>
      <c r="C5" s="11" t="s">
        <v>172</v>
      </c>
      <c r="D5" s="11" t="s">
        <v>173</v>
      </c>
      <c r="E5" s="11" t="str">
        <f t="shared" ref="E5:E32" si="0">CONCATENATE(A5,D5)</f>
        <v>SYS空點常開</v>
      </c>
      <c r="F5" s="11" t="s">
        <v>164</v>
      </c>
      <c r="G5" s="36" t="str">
        <f xml:space="preserve"> INDEX('Device Table'!C$4:C$11,MATCH(F5,'Device Table'!B$4:B$11, 0),1)</f>
        <v>0</v>
      </c>
      <c r="H5" s="36">
        <v>0</v>
      </c>
      <c r="I5" s="36">
        <v>0</v>
      </c>
      <c r="J5" s="36">
        <v>0</v>
      </c>
      <c r="K5" s="1">
        <f xml:space="preserve"> INDEX('Device Table'!G:G,MATCH(J5,'Device Table'!F:F, 0),1)</f>
        <v>0</v>
      </c>
      <c r="L5" s="11">
        <v>0</v>
      </c>
      <c r="M5" s="1">
        <f xml:space="preserve"> INDEX('Device Table'!I:I,MATCH(L5,'Device Table'!H:H, 0),1)</f>
        <v>0</v>
      </c>
      <c r="N5" s="11">
        <v>0</v>
      </c>
      <c r="O5" s="11">
        <f xml:space="preserve"> INDEX('Device Table'!K:K,MATCH(N5,'Device Table'!J:J, 0),1)</f>
        <v>0</v>
      </c>
      <c r="P5" s="11">
        <v>0</v>
      </c>
      <c r="Q5" s="11">
        <v>0</v>
      </c>
      <c r="R5" s="11">
        <v>0</v>
      </c>
      <c r="S5" s="1">
        <v>1</v>
      </c>
      <c r="T5" s="1" t="str">
        <f t="shared" ref="T5:T7" si="1">CONCATENATE("&amp;H",DEC2HEX(G5,2),DEC2HEX(I5,2),DEC2HEX(K5,2),DEC2HEX(M5,2),DEC2HEX(O5,2),DEC2HEX(Q5,2),DEC2HEX(R5,2),DEC2HEX(S5,2))</f>
        <v>&amp;H0000000000000001</v>
      </c>
      <c r="U5" s="11"/>
      <c r="V5" s="11"/>
      <c r="W5" s="11"/>
      <c r="X5" s="11"/>
      <c r="Y5" s="11"/>
      <c r="Z5" s="11"/>
      <c r="AA5" s="2" t="str">
        <f t="shared" ref="AA5:AA7" si="2">CONCATENATE(Y5,",",B5,",",D5)</f>
        <v>,DUMMY_INPUT_NO,空點常開</v>
      </c>
      <c r="AB5" s="40" t="str">
        <f>CONCATENATE("Label",A5)</f>
        <v>LabelSYS</v>
      </c>
      <c r="AC5" s="40" t="str">
        <f>C5&amp;","&amp;Y5&amp;","&amp;Z5</f>
        <v>DUMMY_INPUT_NO,,</v>
      </c>
    </row>
    <row r="6" spans="1:29" s="18" customFormat="1" ht="19.5" x14ac:dyDescent="0.3">
      <c r="A6" s="11" t="s">
        <v>189</v>
      </c>
      <c r="B6" s="11" t="s">
        <v>174</v>
      </c>
      <c r="C6" s="11" t="s">
        <v>174</v>
      </c>
      <c r="D6" s="11" t="s">
        <v>175</v>
      </c>
      <c r="E6" s="11" t="str">
        <f t="shared" si="0"/>
        <v>SYS空點常關</v>
      </c>
      <c r="F6" s="11" t="s">
        <v>164</v>
      </c>
      <c r="G6" s="36" t="str">
        <f xml:space="preserve"> INDEX('Device Table'!C$4:C$11,MATCH(F6,'Device Table'!B$4:B$11, 0),1)</f>
        <v>0</v>
      </c>
      <c r="H6" s="36">
        <v>0</v>
      </c>
      <c r="I6" s="36">
        <v>0</v>
      </c>
      <c r="J6" s="36">
        <v>0</v>
      </c>
      <c r="K6" s="1">
        <f xml:space="preserve"> INDEX('Device Table'!G:G,MATCH(J6,'Device Table'!F:F, 0),1)</f>
        <v>0</v>
      </c>
      <c r="L6" s="11">
        <v>0</v>
      </c>
      <c r="M6" s="1">
        <f xml:space="preserve"> INDEX('Device Table'!I:I,MATCH(L6,'Device Table'!H:H, 0),1)</f>
        <v>0</v>
      </c>
      <c r="N6" s="11">
        <v>0</v>
      </c>
      <c r="O6" s="11">
        <f xml:space="preserve"> INDEX('Device Table'!K$4:K$36,MATCH(N6,'Device Table'!J$4:J$36, 0),1)</f>
        <v>0</v>
      </c>
      <c r="P6" s="11">
        <v>0</v>
      </c>
      <c r="Q6" s="11">
        <v>0</v>
      </c>
      <c r="R6" s="11">
        <v>0</v>
      </c>
      <c r="S6" s="1">
        <v>2</v>
      </c>
      <c r="T6" s="1" t="str">
        <f t="shared" si="1"/>
        <v>&amp;H0000000000000002</v>
      </c>
      <c r="U6" s="11"/>
      <c r="V6" s="11"/>
      <c r="W6" s="11"/>
      <c r="X6" s="11"/>
      <c r="Y6" s="11"/>
      <c r="Z6" s="11"/>
      <c r="AA6" s="2" t="str">
        <f t="shared" si="2"/>
        <v>,DUMMY_INPUT_NC,空點常關</v>
      </c>
      <c r="AB6" s="40" t="str">
        <f t="shared" ref="AB6:AB15" si="3">CONCATENATE("Label",A6)</f>
        <v>LabelSYS</v>
      </c>
      <c r="AC6" s="40" t="str">
        <f t="shared" ref="AC6:AC15" si="4">C6&amp;","&amp;Y6&amp;","&amp;Z6</f>
        <v>DUMMY_INPUT_NC,,</v>
      </c>
    </row>
    <row r="7" spans="1:29" s="18" customFormat="1" ht="19.5" x14ac:dyDescent="0.3">
      <c r="A7" s="11" t="s">
        <v>190</v>
      </c>
      <c r="B7" s="11" t="s">
        <v>161</v>
      </c>
      <c r="C7" s="11" t="s">
        <v>161</v>
      </c>
      <c r="D7" s="11" t="s">
        <v>163</v>
      </c>
      <c r="E7" s="11" t="str">
        <f t="shared" si="0"/>
        <v>SYS急停輸入</v>
      </c>
      <c r="F7" s="11" t="s">
        <v>165</v>
      </c>
      <c r="G7" s="36" t="str">
        <f xml:space="preserve"> INDEX('Device Table'!C$4:C$11,MATCH(F7,'Device Table'!B$4:B$11, 0),1)</f>
        <v>1</v>
      </c>
      <c r="H7" s="36">
        <v>0</v>
      </c>
      <c r="I7" s="36">
        <v>0</v>
      </c>
      <c r="J7" s="36" t="s">
        <v>157</v>
      </c>
      <c r="K7" s="1">
        <f xml:space="preserve"> INDEX('Device Table'!G:G,MATCH(J7,'Device Table'!F:F, 0),1)</f>
        <v>0</v>
      </c>
      <c r="L7" s="11" t="s">
        <v>166</v>
      </c>
      <c r="M7" s="1">
        <f xml:space="preserve"> INDEX('Device Table'!I:I,MATCH(L7,'Device Table'!H:H, 0),1)</f>
        <v>1</v>
      </c>
      <c r="N7" s="11">
        <v>0</v>
      </c>
      <c r="O7" s="11">
        <f xml:space="preserve"> INDEX('Device Table'!K$4:K$36,MATCH(N7,'Device Table'!J$4:J$36, 0),1)</f>
        <v>0</v>
      </c>
      <c r="P7" s="11">
        <v>0</v>
      </c>
      <c r="Q7" s="11">
        <v>0</v>
      </c>
      <c r="R7" s="11">
        <v>0</v>
      </c>
      <c r="S7" s="1">
        <v>0</v>
      </c>
      <c r="T7" s="1" t="str">
        <f t="shared" si="1"/>
        <v>&amp;H0100000100000000</v>
      </c>
      <c r="U7" s="11"/>
      <c r="V7" s="11"/>
      <c r="W7" s="11"/>
      <c r="X7" s="11"/>
      <c r="Y7" s="11"/>
      <c r="Z7" s="11"/>
      <c r="AA7" s="2" t="str">
        <f t="shared" si="2"/>
        <v>,EMG,急停輸入</v>
      </c>
      <c r="AB7" s="40" t="str">
        <f t="shared" si="3"/>
        <v>LabelSYS</v>
      </c>
      <c r="AC7" s="40" t="str">
        <f t="shared" si="4"/>
        <v>EMG,,</v>
      </c>
    </row>
    <row r="8" spans="1:29" ht="19.5" x14ac:dyDescent="0.3">
      <c r="A8" s="11" t="s">
        <v>243</v>
      </c>
      <c r="B8" s="11" t="s">
        <v>244</v>
      </c>
      <c r="C8" s="11" t="s">
        <v>244</v>
      </c>
      <c r="D8" s="11" t="s">
        <v>239</v>
      </c>
      <c r="E8" s="11" t="str">
        <f t="shared" si="0"/>
        <v>GRIPPER連線檢知1</v>
      </c>
      <c r="F8" s="38" t="s">
        <v>126</v>
      </c>
      <c r="G8" s="36" t="str">
        <f xml:space="preserve"> INDEX('Device Table'!C$4:C$11,MATCH(F8,'Device Table'!B$4:B$11, 0),1)</f>
        <v>2</v>
      </c>
      <c r="H8" s="36">
        <v>0</v>
      </c>
      <c r="I8" s="36">
        <v>0</v>
      </c>
      <c r="J8" s="36" t="s">
        <v>302</v>
      </c>
      <c r="K8" s="1" t="str">
        <f xml:space="preserve"> INDEX('Device Table'!G:G,MATCH(J8,'Device Table'!F:F, 0),1)</f>
        <v>0</v>
      </c>
      <c r="L8" s="37" t="s">
        <v>178</v>
      </c>
      <c r="M8" s="1">
        <f xml:space="preserve"> INDEX('Device Table'!I:I,MATCH(L8,'Device Table'!H:H, 0),1)</f>
        <v>1</v>
      </c>
      <c r="N8" s="12" t="s">
        <v>158</v>
      </c>
      <c r="O8" s="11">
        <f xml:space="preserve"> INDEX('Device Table'!K$4:K$36,MATCH(N8,'Device Table'!J$4:J$36, 0),1)</f>
        <v>0</v>
      </c>
      <c r="P8" s="1">
        <v>0</v>
      </c>
      <c r="Q8" s="11">
        <v>0</v>
      </c>
      <c r="R8" s="1">
        <v>0</v>
      </c>
      <c r="S8" s="11">
        <v>0</v>
      </c>
      <c r="T8" s="1" t="str">
        <f t="shared" ref="T8:T13" si="5">CONCATENATE("&amp;H",DEC2HEX(G8,2),DEC2HEX(I8,2),DEC2HEX(K8,2),DEC2HEX(M8,2),DEC2HEX(O8,2),DEC2HEX(Q8,2),DEC2HEX(R8,2),DEC2HEX(S8,2))</f>
        <v>&amp;H0200000100000000</v>
      </c>
      <c r="Y8" s="15" t="s">
        <v>252</v>
      </c>
      <c r="Z8" s="11" t="str">
        <f t="shared" ref="Z8:Z17" si="6">CONCATENATE("X",DEC2OCT(S8))</f>
        <v>X0</v>
      </c>
      <c r="AA8" s="2" t="str">
        <f>CONCATENATE(Y8,",",Z8,",",B8,",",D8)</f>
        <v>PLC,X0,APPROX1,連線檢知1</v>
      </c>
      <c r="AB8" s="40" t="str">
        <f t="shared" si="3"/>
        <v>LabelGRIPPER</v>
      </c>
      <c r="AC8" s="40" t="str">
        <f t="shared" si="4"/>
        <v>APPROX1,PLC,X0</v>
      </c>
    </row>
    <row r="9" spans="1:29" ht="19.5" x14ac:dyDescent="0.3">
      <c r="A9" s="11" t="s">
        <v>243</v>
      </c>
      <c r="B9" s="11" t="s">
        <v>245</v>
      </c>
      <c r="C9" s="11" t="s">
        <v>245</v>
      </c>
      <c r="D9" s="11" t="s">
        <v>240</v>
      </c>
      <c r="E9" s="11" t="str">
        <f t="shared" si="0"/>
        <v>GRIPPER連線檢知2</v>
      </c>
      <c r="F9" s="38" t="s">
        <v>126</v>
      </c>
      <c r="G9" s="36" t="str">
        <f xml:space="preserve"> INDEX('Device Table'!C$4:C$11,MATCH(F9,'Device Table'!B$4:B$11, 0),1)</f>
        <v>2</v>
      </c>
      <c r="H9" s="36">
        <v>0</v>
      </c>
      <c r="I9" s="36">
        <v>0</v>
      </c>
      <c r="J9" s="36" t="s">
        <v>302</v>
      </c>
      <c r="K9" s="1" t="str">
        <f xml:space="preserve"> INDEX('Device Table'!G:G,MATCH(J9,'Device Table'!F:F, 0),1)</f>
        <v>0</v>
      </c>
      <c r="L9" s="37" t="s">
        <v>178</v>
      </c>
      <c r="M9" s="1">
        <f xml:space="preserve"> INDEX('Device Table'!I:I,MATCH(L9,'Device Table'!H:H, 0),1)</f>
        <v>1</v>
      </c>
      <c r="N9" s="12" t="s">
        <v>158</v>
      </c>
      <c r="O9" s="11">
        <f xml:space="preserve"> INDEX('Device Table'!K$4:K$36,MATCH(N9,'Device Table'!J$4:J$36, 0),1)</f>
        <v>0</v>
      </c>
      <c r="P9" s="1">
        <v>0</v>
      </c>
      <c r="Q9" s="11">
        <v>0</v>
      </c>
      <c r="R9" s="1">
        <v>0</v>
      </c>
      <c r="S9" s="11">
        <v>1</v>
      </c>
      <c r="T9" s="1" t="str">
        <f t="shared" si="5"/>
        <v>&amp;H0200000100000001</v>
      </c>
      <c r="Y9" s="15" t="s">
        <v>252</v>
      </c>
      <c r="Z9" s="11" t="str">
        <f t="shared" si="6"/>
        <v>X1</v>
      </c>
      <c r="AA9" s="2" t="str">
        <f t="shared" ref="AA9:AA15" si="7">CONCATENATE(Y9,",",Z9,",",B9,",",D9)</f>
        <v>PLC,X1,APPROX2,連線檢知2</v>
      </c>
      <c r="AB9" s="40" t="str">
        <f t="shared" si="3"/>
        <v>LabelGRIPPER</v>
      </c>
      <c r="AC9" s="40" t="str">
        <f t="shared" si="4"/>
        <v>APPROX2,PLC,X1</v>
      </c>
    </row>
    <row r="10" spans="1:29" ht="19.5" x14ac:dyDescent="0.3">
      <c r="A10" s="11" t="s">
        <v>568</v>
      </c>
      <c r="B10" s="11"/>
      <c r="C10" s="11"/>
      <c r="D10" s="11"/>
      <c r="E10" s="11" t="str">
        <f t="shared" si="0"/>
        <v>//</v>
      </c>
      <c r="F10" s="38" t="s">
        <v>126</v>
      </c>
      <c r="G10" s="36" t="str">
        <f xml:space="preserve"> INDEX('Device Table'!C$4:C$11,MATCH(F10,'Device Table'!B$4:B$11, 0),1)</f>
        <v>2</v>
      </c>
      <c r="H10" s="36">
        <v>0</v>
      </c>
      <c r="I10" s="36">
        <v>0</v>
      </c>
      <c r="J10" s="36" t="s">
        <v>301</v>
      </c>
      <c r="K10" s="1" t="str">
        <f xml:space="preserve"> INDEX('Device Table'!G:G,MATCH(J10,'Device Table'!F:F, 0),1)</f>
        <v>0</v>
      </c>
      <c r="L10" s="37" t="s">
        <v>178</v>
      </c>
      <c r="M10" s="1">
        <f xml:space="preserve"> INDEX('Device Table'!I:I,MATCH(L10,'Device Table'!H:H, 0),1)</f>
        <v>1</v>
      </c>
      <c r="N10" s="12" t="s">
        <v>158</v>
      </c>
      <c r="O10" s="11">
        <f xml:space="preserve"> INDEX('Device Table'!K$4:K$36,MATCH(N10,'Device Table'!J$4:J$36, 0),1)</f>
        <v>0</v>
      </c>
      <c r="P10" s="1">
        <v>0</v>
      </c>
      <c r="Q10" s="11">
        <v>0</v>
      </c>
      <c r="R10" s="1">
        <v>0</v>
      </c>
      <c r="S10" s="11">
        <v>2</v>
      </c>
      <c r="T10" s="1" t="str">
        <f t="shared" si="5"/>
        <v>&amp;H0200000100000002</v>
      </c>
      <c r="Y10" s="15" t="s">
        <v>252</v>
      </c>
      <c r="Z10" s="11" t="str">
        <f t="shared" si="6"/>
        <v>X2</v>
      </c>
      <c r="AA10" s="2" t="str">
        <f t="shared" si="7"/>
        <v>PLC,X2,,</v>
      </c>
      <c r="AB10" s="40" t="str">
        <f t="shared" si="3"/>
        <v>Label//</v>
      </c>
      <c r="AC10" s="40" t="str">
        <f t="shared" si="4"/>
        <v>,PLC,X2</v>
      </c>
    </row>
    <row r="11" spans="1:29" ht="19.5" x14ac:dyDescent="0.3">
      <c r="A11" s="11" t="s">
        <v>247</v>
      </c>
      <c r="B11" s="11" t="s">
        <v>247</v>
      </c>
      <c r="C11" s="11" t="s">
        <v>247</v>
      </c>
      <c r="D11" s="11"/>
      <c r="E11" s="11" t="str">
        <f t="shared" si="0"/>
        <v>//</v>
      </c>
      <c r="F11" s="38" t="s">
        <v>126</v>
      </c>
      <c r="G11" s="36" t="str">
        <f xml:space="preserve"> INDEX('Device Table'!C$4:C$11,MATCH(F11,'Device Table'!B$4:B$11, 0),1)</f>
        <v>2</v>
      </c>
      <c r="H11" s="36">
        <v>0</v>
      </c>
      <c r="I11" s="36">
        <v>0</v>
      </c>
      <c r="J11" s="36" t="s">
        <v>301</v>
      </c>
      <c r="K11" s="1" t="str">
        <f xml:space="preserve"> INDEX('Device Table'!G:G,MATCH(J11,'Device Table'!F:F, 0),1)</f>
        <v>0</v>
      </c>
      <c r="L11" s="37" t="s">
        <v>135</v>
      </c>
      <c r="M11" s="1">
        <f xml:space="preserve"> INDEX('Device Table'!I:I,MATCH(L11,'Device Table'!H:H, 0),1)</f>
        <v>1</v>
      </c>
      <c r="N11" s="12" t="s">
        <v>158</v>
      </c>
      <c r="O11" s="11">
        <f xml:space="preserve"> INDEX('Device Table'!K$4:K$36,MATCH(N11,'Device Table'!J$4:J$36, 0),1)</f>
        <v>0</v>
      </c>
      <c r="P11" s="1">
        <v>0</v>
      </c>
      <c r="Q11" s="11">
        <v>0</v>
      </c>
      <c r="R11" s="1">
        <v>0</v>
      </c>
      <c r="S11" s="11">
        <v>3</v>
      </c>
      <c r="T11" s="1" t="str">
        <f t="shared" si="5"/>
        <v>&amp;H0200000100000003</v>
      </c>
      <c r="Y11" s="15" t="s">
        <v>252</v>
      </c>
      <c r="Z11" s="11" t="str">
        <f t="shared" si="6"/>
        <v>X3</v>
      </c>
      <c r="AA11" s="2" t="str">
        <f t="shared" si="7"/>
        <v>PLC,X3,//,</v>
      </c>
      <c r="AB11" s="40" t="str">
        <f t="shared" si="3"/>
        <v>Label//</v>
      </c>
      <c r="AC11" s="40" t="str">
        <f t="shared" si="4"/>
        <v>//,PLC,X3</v>
      </c>
    </row>
    <row r="12" spans="1:29" ht="19.5" x14ac:dyDescent="0.3">
      <c r="A12" s="11" t="s">
        <v>248</v>
      </c>
      <c r="B12" s="11" t="s">
        <v>249</v>
      </c>
      <c r="C12" s="11" t="s">
        <v>249</v>
      </c>
      <c r="D12" s="11" t="s">
        <v>241</v>
      </c>
      <c r="E12" s="11" t="str">
        <f t="shared" si="0"/>
        <v>SYS暫停鍵</v>
      </c>
      <c r="F12" s="38" t="s">
        <v>126</v>
      </c>
      <c r="G12" s="36" t="str">
        <f xml:space="preserve"> INDEX('Device Table'!C$4:C$11,MATCH(F12,'Device Table'!B$4:B$11, 0),1)</f>
        <v>2</v>
      </c>
      <c r="H12" s="36">
        <v>0</v>
      </c>
      <c r="I12" s="36">
        <v>0</v>
      </c>
      <c r="J12" s="36" t="s">
        <v>301</v>
      </c>
      <c r="K12" s="1" t="str">
        <f xml:space="preserve"> INDEX('Device Table'!G:G,MATCH(J12,'Device Table'!F:F, 0),1)</f>
        <v>0</v>
      </c>
      <c r="L12" s="37" t="s">
        <v>135</v>
      </c>
      <c r="M12" s="1">
        <f xml:space="preserve"> INDEX('Device Table'!I:I,MATCH(L12,'Device Table'!H:H, 0),1)</f>
        <v>1</v>
      </c>
      <c r="N12" s="12" t="s">
        <v>158</v>
      </c>
      <c r="O12" s="11">
        <f xml:space="preserve"> INDEX('Device Table'!K$4:K$36,MATCH(N12,'Device Table'!J$4:J$36, 0),1)</f>
        <v>0</v>
      </c>
      <c r="P12" s="1">
        <v>0</v>
      </c>
      <c r="Q12" s="11">
        <v>0</v>
      </c>
      <c r="R12" s="1">
        <v>0</v>
      </c>
      <c r="S12" s="11">
        <v>4</v>
      </c>
      <c r="T12" s="1" t="str">
        <f t="shared" si="5"/>
        <v>&amp;H0200000100000004</v>
      </c>
      <c r="Y12" s="15" t="s">
        <v>252</v>
      </c>
      <c r="Z12" s="11" t="str">
        <f t="shared" si="6"/>
        <v>X4</v>
      </c>
      <c r="AA12" s="2" t="str">
        <f t="shared" si="7"/>
        <v>PLC,X4,PB_PAUSE,暫停鍵</v>
      </c>
      <c r="AB12" s="40" t="str">
        <f t="shared" si="3"/>
        <v>LabelSYS</v>
      </c>
      <c r="AC12" s="40" t="str">
        <f t="shared" si="4"/>
        <v>PB_PAUSE,PLC,X4</v>
      </c>
    </row>
    <row r="13" spans="1:29" ht="19.5" x14ac:dyDescent="0.3">
      <c r="A13" s="11" t="s">
        <v>250</v>
      </c>
      <c r="B13" s="11" t="s">
        <v>251</v>
      </c>
      <c r="C13" s="11" t="s">
        <v>251</v>
      </c>
      <c r="D13" s="11" t="s">
        <v>242</v>
      </c>
      <c r="E13" s="11" t="str">
        <f t="shared" si="0"/>
        <v>HEATER溫度到達</v>
      </c>
      <c r="F13" s="38" t="s">
        <v>126</v>
      </c>
      <c r="G13" s="36" t="str">
        <f xml:space="preserve"> INDEX('Device Table'!C$4:C$11,MATCH(F13,'Device Table'!B$4:B$11, 0),1)</f>
        <v>2</v>
      </c>
      <c r="H13" s="36">
        <v>0</v>
      </c>
      <c r="I13" s="36">
        <v>0</v>
      </c>
      <c r="J13" s="36" t="s">
        <v>301</v>
      </c>
      <c r="K13" s="1" t="str">
        <f xml:space="preserve"> INDEX('Device Table'!G:G,MATCH(J13,'Device Table'!F:F, 0),1)</f>
        <v>0</v>
      </c>
      <c r="L13" s="37" t="s">
        <v>135</v>
      </c>
      <c r="M13" s="1">
        <f xml:space="preserve"> INDEX('Device Table'!I:I,MATCH(L13,'Device Table'!H:H, 0),1)</f>
        <v>1</v>
      </c>
      <c r="N13" s="12" t="s">
        <v>158</v>
      </c>
      <c r="O13" s="11">
        <f xml:space="preserve"> INDEX('Device Table'!K$4:K$36,MATCH(N13,'Device Table'!J$4:J$36, 0),1)</f>
        <v>0</v>
      </c>
      <c r="P13" s="1">
        <v>0</v>
      </c>
      <c r="Q13" s="11">
        <v>0</v>
      </c>
      <c r="R13" s="1">
        <v>0</v>
      </c>
      <c r="S13" s="11">
        <v>5</v>
      </c>
      <c r="T13" s="1" t="str">
        <f t="shared" si="5"/>
        <v>&amp;H0200000100000005</v>
      </c>
      <c r="Y13" s="15" t="s">
        <v>252</v>
      </c>
      <c r="Z13" s="11" t="str">
        <f t="shared" si="6"/>
        <v>X5</v>
      </c>
      <c r="AA13" s="2" t="str">
        <f t="shared" si="7"/>
        <v>PLC,X5,TEMP_REACH,溫度到達</v>
      </c>
      <c r="AB13" s="40" t="str">
        <f t="shared" si="3"/>
        <v>LabelHEATER</v>
      </c>
      <c r="AC13" s="40" t="str">
        <f t="shared" si="4"/>
        <v>TEMP_REACH,PLC,X5</v>
      </c>
    </row>
    <row r="14" spans="1:29" ht="19.5" x14ac:dyDescent="0.3">
      <c r="A14" s="11" t="s">
        <v>300</v>
      </c>
      <c r="B14" s="11" t="s">
        <v>247</v>
      </c>
      <c r="C14" s="11" t="s">
        <v>247</v>
      </c>
      <c r="D14" s="11"/>
      <c r="E14" s="11" t="str">
        <f t="shared" si="0"/>
        <v>//</v>
      </c>
      <c r="F14" s="38" t="s">
        <v>126</v>
      </c>
      <c r="G14" s="36" t="str">
        <f xml:space="preserve"> INDEX('Device Table'!C$4:C$11,MATCH(F14,'Device Table'!B$4:B$11, 0),1)</f>
        <v>2</v>
      </c>
      <c r="H14" s="36">
        <v>0</v>
      </c>
      <c r="I14" s="36">
        <v>0</v>
      </c>
      <c r="J14" s="36" t="s">
        <v>574</v>
      </c>
      <c r="K14" s="1" t="str">
        <f xml:space="preserve"> INDEX('Device Table'!G:G,MATCH(J14,'Device Table'!F:F, 0),1)</f>
        <v>0</v>
      </c>
      <c r="L14" s="37" t="s">
        <v>135</v>
      </c>
      <c r="M14" s="1">
        <f xml:space="preserve"> INDEX('Device Table'!I:I,MATCH(L14,'Device Table'!H:H, 0),1)</f>
        <v>1</v>
      </c>
      <c r="N14" s="12" t="s">
        <v>158</v>
      </c>
      <c r="O14" s="11">
        <f xml:space="preserve"> INDEX('Device Table'!K$4:K$36,MATCH(N14,'Device Table'!J$4:J$36, 0),1)</f>
        <v>0</v>
      </c>
      <c r="P14" s="1">
        <v>0</v>
      </c>
      <c r="Q14" s="11">
        <v>0</v>
      </c>
      <c r="R14" s="1">
        <v>0</v>
      </c>
      <c r="S14" s="11">
        <v>6</v>
      </c>
      <c r="T14" s="1" t="str">
        <f t="shared" ref="T14:T32" si="8">CONCATENATE("&amp;H",DEC2HEX(G14,2),DEC2HEX(I14,2),DEC2HEX(K14,2),DEC2HEX(M14,2),DEC2HEX(O14,2),DEC2HEX(Q14,2),DEC2HEX(R14,2),DEC2HEX(S14,2))</f>
        <v>&amp;H0200000100000006</v>
      </c>
      <c r="Y14" s="15" t="s">
        <v>252</v>
      </c>
      <c r="Z14" s="11" t="str">
        <f t="shared" si="6"/>
        <v>X6</v>
      </c>
      <c r="AA14" s="2" t="str">
        <f t="shared" si="7"/>
        <v>PLC,X6,//,</v>
      </c>
      <c r="AB14" s="40" t="str">
        <f t="shared" si="3"/>
        <v>Label//</v>
      </c>
      <c r="AC14" s="40" t="str">
        <f t="shared" si="4"/>
        <v>//,PLC,X6</v>
      </c>
    </row>
    <row r="15" spans="1:29" ht="19.5" x14ac:dyDescent="0.3">
      <c r="A15" s="11" t="s">
        <v>541</v>
      </c>
      <c r="B15" s="11" t="s">
        <v>542</v>
      </c>
      <c r="C15" s="11" t="s">
        <v>542</v>
      </c>
      <c r="D15" s="11" t="s">
        <v>543</v>
      </c>
      <c r="E15" s="11" t="str">
        <f t="shared" si="0"/>
        <v>GRIPPER機械爪有無</v>
      </c>
      <c r="F15" s="38" t="s">
        <v>126</v>
      </c>
      <c r="G15" s="36" t="str">
        <f xml:space="preserve"> INDEX('Device Table'!C$4:C$11,MATCH(F15,'Device Table'!B$4:B$11, 0),1)</f>
        <v>2</v>
      </c>
      <c r="H15" s="36">
        <v>0</v>
      </c>
      <c r="I15" s="36">
        <v>0</v>
      </c>
      <c r="J15" s="36" t="s">
        <v>574</v>
      </c>
      <c r="K15" s="1" t="str">
        <f xml:space="preserve"> INDEX('Device Table'!G:G,MATCH(J15,'Device Table'!F:F, 0),1)</f>
        <v>0</v>
      </c>
      <c r="L15" s="37" t="s">
        <v>135</v>
      </c>
      <c r="M15" s="1">
        <f xml:space="preserve"> INDEX('Device Table'!I:I,MATCH(L15,'Device Table'!H:H, 0),1)</f>
        <v>1</v>
      </c>
      <c r="N15" s="12" t="s">
        <v>158</v>
      </c>
      <c r="O15" s="11">
        <f xml:space="preserve"> INDEX('Device Table'!K$4:K$36,MATCH(N15,'Device Table'!J$4:J$36, 0),1)</f>
        <v>0</v>
      </c>
      <c r="P15" s="1">
        <v>0</v>
      </c>
      <c r="Q15" s="11">
        <v>0</v>
      </c>
      <c r="R15" s="1">
        <v>0</v>
      </c>
      <c r="S15" s="11">
        <v>7</v>
      </c>
      <c r="T15" s="1" t="str">
        <f t="shared" si="8"/>
        <v>&amp;H0200000100000007</v>
      </c>
      <c r="Y15" s="15" t="s">
        <v>252</v>
      </c>
      <c r="Z15" s="11" t="str">
        <f t="shared" si="6"/>
        <v>X7</v>
      </c>
      <c r="AA15" s="2" t="str">
        <f t="shared" si="7"/>
        <v>PLC,X7,GRIP_MOUNT,機械爪有無</v>
      </c>
      <c r="AB15" s="40" t="str">
        <f t="shared" si="3"/>
        <v>LabelGRIPPER</v>
      </c>
      <c r="AC15" s="40" t="str">
        <f t="shared" si="4"/>
        <v>GRIP_MOUNT,PLC,X7</v>
      </c>
    </row>
    <row r="16" spans="1:29" ht="19.5" x14ac:dyDescent="0.3">
      <c r="A16" s="78" t="s">
        <v>265</v>
      </c>
      <c r="B16" s="1" t="s">
        <v>612</v>
      </c>
      <c r="C16" s="1" t="s">
        <v>612</v>
      </c>
      <c r="D16" s="1" t="s">
        <v>613</v>
      </c>
      <c r="E16" s="11" t="str">
        <f t="shared" si="0"/>
        <v>SYS塗膠回應</v>
      </c>
      <c r="F16" s="38" t="s">
        <v>126</v>
      </c>
      <c r="G16" s="36" t="str">
        <f xml:space="preserve"> INDEX('Device Table'!C$4:C$11,MATCH(F16,'Device Table'!B$4:B$11, 0),1)</f>
        <v>2</v>
      </c>
      <c r="H16" s="36">
        <v>0</v>
      </c>
      <c r="I16" s="36">
        <v>0</v>
      </c>
      <c r="J16" s="36" t="s">
        <v>128</v>
      </c>
      <c r="K16" s="1" t="str">
        <f xml:space="preserve"> INDEX('Device Table'!G:G,MATCH(J16,'Device Table'!F:F, 0),1)</f>
        <v>0</v>
      </c>
      <c r="L16" s="37" t="s">
        <v>135</v>
      </c>
      <c r="M16" s="1">
        <f xml:space="preserve"> INDEX('Device Table'!I:I,MATCH(L16,'Device Table'!H:H, 0),1)</f>
        <v>1</v>
      </c>
      <c r="N16" s="12" t="s">
        <v>614</v>
      </c>
      <c r="O16" s="11">
        <f xml:space="preserve"> INDEX('Device Table'!K$4:K$36,MATCH(N16,'Device Table'!J$4:J$36, 0),1)</f>
        <v>2</v>
      </c>
      <c r="P16" s="1">
        <v>0</v>
      </c>
      <c r="Q16" s="11">
        <v>0</v>
      </c>
      <c r="R16" s="1">
        <v>0</v>
      </c>
      <c r="S16" s="11">
        <v>0</v>
      </c>
      <c r="T16" s="1" t="str">
        <f t="shared" si="8"/>
        <v>&amp;H0200000102000000</v>
      </c>
      <c r="Z16" s="11" t="str">
        <f t="shared" si="6"/>
        <v>X0</v>
      </c>
      <c r="AA16" s="2"/>
      <c r="AB16" s="40"/>
      <c r="AC16" s="40"/>
    </row>
    <row r="17" spans="1:28" ht="19.5" x14ac:dyDescent="0.3">
      <c r="A17" s="11" t="s">
        <v>561</v>
      </c>
      <c r="B17" s="11" t="s">
        <v>558</v>
      </c>
      <c r="C17" s="11" t="s">
        <v>558</v>
      </c>
      <c r="D17" s="11" t="s">
        <v>565</v>
      </c>
      <c r="E17" s="11" t="str">
        <f t="shared" si="0"/>
        <v>GRIPPER光電偵測左</v>
      </c>
      <c r="F17" s="20" t="s">
        <v>562</v>
      </c>
      <c r="G17" s="36">
        <f xml:space="preserve"> INDEX('Device Table'!C$4:C$11,MATCH(F17,'Device Table'!B$4:B$11, 0),1)</f>
        <v>16</v>
      </c>
      <c r="H17" s="36">
        <v>0</v>
      </c>
      <c r="I17" s="36">
        <v>0</v>
      </c>
      <c r="J17" s="36">
        <v>0</v>
      </c>
      <c r="K17" s="1">
        <f xml:space="preserve"> INDEX('Device Table'!G:G,MATCH(J17,'Device Table'!F:F, 0),1)</f>
        <v>0</v>
      </c>
      <c r="L17" s="22" t="s">
        <v>584</v>
      </c>
      <c r="M17" s="1">
        <f xml:space="preserve"> INDEX('Device Table'!I:I,MATCH(L17,'Device Table'!H:H, 0),1)</f>
        <v>2</v>
      </c>
      <c r="N17" s="2" t="s">
        <v>556</v>
      </c>
      <c r="O17" s="11">
        <f xml:space="preserve"> INDEX('Device Table'!K$4:K$36,MATCH(N17,'Device Table'!J$4:J$36, 0),1)</f>
        <v>0</v>
      </c>
      <c r="P17" s="1">
        <v>0</v>
      </c>
      <c r="Q17" s="11">
        <v>0</v>
      </c>
      <c r="R17" s="11">
        <v>0</v>
      </c>
      <c r="S17" s="11">
        <v>0</v>
      </c>
      <c r="T17" s="11" t="str">
        <f t="shared" si="8"/>
        <v>&amp;H1000000200000000</v>
      </c>
      <c r="Z17" s="11" t="str">
        <f t="shared" si="6"/>
        <v>X0</v>
      </c>
      <c r="AB17" s="40" t="str">
        <f>CONCATENATE("Label",B17)</f>
        <v>LabelPD_LEFT</v>
      </c>
    </row>
    <row r="18" spans="1:28" ht="19.5" x14ac:dyDescent="0.3">
      <c r="A18" s="11" t="s">
        <v>576</v>
      </c>
      <c r="E18" s="11" t="str">
        <f t="shared" si="0"/>
        <v>//</v>
      </c>
      <c r="F18" s="20" t="s">
        <v>562</v>
      </c>
      <c r="G18" s="36">
        <f xml:space="preserve"> INDEX('Device Table'!C$4:C$11,MATCH(F18,'Device Table'!B$4:B$11, 0),1)</f>
        <v>16</v>
      </c>
      <c r="H18" s="36">
        <v>0</v>
      </c>
      <c r="I18" s="36">
        <v>0</v>
      </c>
      <c r="J18" s="36">
        <v>0</v>
      </c>
      <c r="K18" s="1">
        <f xml:space="preserve"> INDEX('Device Table'!G:G,MATCH(J18,'Device Table'!F:F, 0),1)</f>
        <v>0</v>
      </c>
      <c r="L18" s="22" t="s">
        <v>584</v>
      </c>
      <c r="M18" s="1">
        <f xml:space="preserve"> INDEX('Device Table'!I:I,MATCH(L18,'Device Table'!H:H, 0),1)</f>
        <v>2</v>
      </c>
      <c r="N18" s="2" t="s">
        <v>556</v>
      </c>
      <c r="O18" s="11">
        <f xml:space="preserve"> INDEX('Device Table'!K$4:K$36,MATCH(N18,'Device Table'!J$4:J$36, 0),1)</f>
        <v>0</v>
      </c>
      <c r="P18" s="1">
        <v>0</v>
      </c>
      <c r="Q18" s="11">
        <v>1</v>
      </c>
      <c r="R18" s="11">
        <v>0</v>
      </c>
      <c r="S18" s="11">
        <v>0</v>
      </c>
      <c r="T18" s="1" t="str">
        <f t="shared" si="8"/>
        <v>&amp;H1000000200010000</v>
      </c>
      <c r="AB18" s="40" t="str">
        <f>CONCATENATE("Label",B25)</f>
        <v>LabelPD_RIGHT</v>
      </c>
    </row>
    <row r="19" spans="1:28" ht="19.5" x14ac:dyDescent="0.3">
      <c r="A19" s="11" t="s">
        <v>576</v>
      </c>
      <c r="E19" s="11" t="str">
        <f t="shared" si="0"/>
        <v>//</v>
      </c>
      <c r="F19" s="20" t="s">
        <v>562</v>
      </c>
      <c r="G19" s="36">
        <f xml:space="preserve"> INDEX('Device Table'!C$4:C$11,MATCH(F19,'Device Table'!B$4:B$11, 0),1)</f>
        <v>16</v>
      </c>
      <c r="H19" s="36">
        <v>0</v>
      </c>
      <c r="I19" s="36">
        <v>0</v>
      </c>
      <c r="J19" s="36">
        <v>0</v>
      </c>
      <c r="K19" s="1">
        <f xml:space="preserve"> INDEX('Device Table'!G:G,MATCH(J19,'Device Table'!F:F, 0),1)</f>
        <v>0</v>
      </c>
      <c r="L19" s="22" t="s">
        <v>572</v>
      </c>
      <c r="M19" s="1">
        <f xml:space="preserve"> INDEX('Device Table'!I:I,MATCH(L19,'Device Table'!H:H, 0),1)</f>
        <v>2</v>
      </c>
      <c r="N19" s="2" t="s">
        <v>556</v>
      </c>
      <c r="O19" s="11">
        <f xml:space="preserve"> INDEX('Device Table'!K$4:K$36,MATCH(N19,'Device Table'!J$4:J$36, 0),1)</f>
        <v>0</v>
      </c>
      <c r="P19" s="1">
        <v>0</v>
      </c>
      <c r="Q19" s="11">
        <v>2</v>
      </c>
      <c r="R19" s="11">
        <v>0</v>
      </c>
      <c r="S19" s="11">
        <v>0</v>
      </c>
      <c r="T19" s="11" t="str">
        <f t="shared" si="8"/>
        <v>&amp;H1000000200020000</v>
      </c>
      <c r="AB19" s="40" t="str">
        <f>CONCATENATE("Label",B32)</f>
        <v>LabelTOP_THERMAL_SENSOR</v>
      </c>
    </row>
    <row r="20" spans="1:28" ht="19.5" x14ac:dyDescent="0.3">
      <c r="A20" s="11" t="s">
        <v>576</v>
      </c>
      <c r="E20" s="11" t="str">
        <f t="shared" si="0"/>
        <v>//</v>
      </c>
      <c r="F20" s="20" t="s">
        <v>562</v>
      </c>
      <c r="G20" s="36">
        <f xml:space="preserve"> INDEX('Device Table'!C$4:C$11,MATCH(F20,'Device Table'!B$4:B$11, 0),1)</f>
        <v>16</v>
      </c>
      <c r="H20" s="36">
        <v>0</v>
      </c>
      <c r="I20" s="36">
        <v>0</v>
      </c>
      <c r="J20" s="36">
        <v>0</v>
      </c>
      <c r="K20" s="1">
        <f xml:space="preserve"> INDEX('Device Table'!G:G,MATCH(J20,'Device Table'!F:F, 0),1)</f>
        <v>0</v>
      </c>
      <c r="L20" s="22" t="s">
        <v>572</v>
      </c>
      <c r="M20" s="1">
        <f xml:space="preserve"> INDEX('Device Table'!I:I,MATCH(L20,'Device Table'!H:H, 0),1)</f>
        <v>2</v>
      </c>
      <c r="N20" s="2" t="s">
        <v>556</v>
      </c>
      <c r="O20" s="11">
        <f xml:space="preserve"> INDEX('Device Table'!K$4:K$36,MATCH(N20,'Device Table'!J$4:J$36, 0),1)</f>
        <v>0</v>
      </c>
      <c r="P20" s="1">
        <v>0</v>
      </c>
      <c r="Q20" s="11">
        <v>3</v>
      </c>
      <c r="R20" s="11">
        <v>0</v>
      </c>
      <c r="S20" s="11">
        <v>0</v>
      </c>
      <c r="T20" s="1" t="str">
        <f t="shared" si="8"/>
        <v>&amp;H1000000200030000</v>
      </c>
      <c r="AB20" s="40" t="str">
        <f>CONCATENATE("Label",B29)</f>
        <v>LabelGRIP_SEN</v>
      </c>
    </row>
    <row r="21" spans="1:28" x14ac:dyDescent="0.25">
      <c r="A21" s="11" t="s">
        <v>576</v>
      </c>
      <c r="E21" s="11" t="str">
        <f t="shared" si="0"/>
        <v>//</v>
      </c>
      <c r="F21" s="20" t="s">
        <v>562</v>
      </c>
      <c r="G21" s="36">
        <f xml:space="preserve"> INDEX('Device Table'!C$4:C$11,MATCH(F21,'Device Table'!B$4:B$11, 0),1)</f>
        <v>16</v>
      </c>
      <c r="H21" s="36">
        <v>0</v>
      </c>
      <c r="I21" s="36">
        <v>0</v>
      </c>
      <c r="J21" s="36">
        <v>0</v>
      </c>
      <c r="K21" s="1">
        <f xml:space="preserve"> INDEX('Device Table'!G:G,MATCH(J21,'Device Table'!F:F, 0),1)</f>
        <v>0</v>
      </c>
      <c r="L21" s="22" t="s">
        <v>572</v>
      </c>
      <c r="M21" s="1">
        <f xml:space="preserve"> INDEX('Device Table'!I:I,MATCH(L21,'Device Table'!H:H, 0),1)</f>
        <v>2</v>
      </c>
      <c r="N21" s="2" t="s">
        <v>556</v>
      </c>
      <c r="O21" s="11">
        <f xml:space="preserve"> INDEX('Device Table'!K$4:K$36,MATCH(N21,'Device Table'!J$4:J$36, 0),1)</f>
        <v>0</v>
      </c>
      <c r="P21" s="1">
        <v>0</v>
      </c>
      <c r="Q21" s="11">
        <v>4</v>
      </c>
      <c r="R21" s="11">
        <v>0</v>
      </c>
      <c r="S21" s="11">
        <v>0</v>
      </c>
      <c r="T21" s="11" t="str">
        <f t="shared" si="8"/>
        <v>&amp;H1000000200040000</v>
      </c>
    </row>
    <row r="22" spans="1:28" x14ac:dyDescent="0.25">
      <c r="A22" s="11" t="s">
        <v>576</v>
      </c>
      <c r="E22" s="11" t="str">
        <f t="shared" si="0"/>
        <v>//</v>
      </c>
      <c r="F22" s="20" t="s">
        <v>562</v>
      </c>
      <c r="G22" s="36">
        <f xml:space="preserve"> INDEX('Device Table'!C$4:C$11,MATCH(F22,'Device Table'!B$4:B$11, 0),1)</f>
        <v>16</v>
      </c>
      <c r="H22" s="36">
        <v>0</v>
      </c>
      <c r="I22" s="36">
        <v>0</v>
      </c>
      <c r="J22" s="36">
        <v>0</v>
      </c>
      <c r="K22" s="1">
        <f xml:space="preserve"> INDEX('Device Table'!G:G,MATCH(J22,'Device Table'!F:F, 0),1)</f>
        <v>0</v>
      </c>
      <c r="L22" s="22" t="s">
        <v>572</v>
      </c>
      <c r="M22" s="1">
        <f xml:space="preserve"> INDEX('Device Table'!I:I,MATCH(L22,'Device Table'!H:H, 0),1)</f>
        <v>2</v>
      </c>
      <c r="N22" s="2" t="s">
        <v>556</v>
      </c>
      <c r="O22" s="11">
        <f xml:space="preserve"> INDEX('Device Table'!K$4:K$36,MATCH(N22,'Device Table'!J$4:J$36, 0),1)</f>
        <v>0</v>
      </c>
      <c r="P22" s="1">
        <v>0</v>
      </c>
      <c r="Q22" s="11">
        <v>5</v>
      </c>
      <c r="R22" s="11">
        <v>0</v>
      </c>
      <c r="S22" s="11">
        <v>0</v>
      </c>
      <c r="T22" s="1" t="str">
        <f t="shared" si="8"/>
        <v>&amp;H1000000200050000</v>
      </c>
    </row>
    <row r="23" spans="1:28" x14ac:dyDescent="0.25">
      <c r="A23" s="11" t="s">
        <v>576</v>
      </c>
      <c r="E23" s="11" t="str">
        <f t="shared" si="0"/>
        <v>//</v>
      </c>
      <c r="F23" s="20" t="s">
        <v>562</v>
      </c>
      <c r="G23" s="36">
        <f xml:space="preserve"> INDEX('Device Table'!C$4:C$11,MATCH(F23,'Device Table'!B$4:B$11, 0),1)</f>
        <v>16</v>
      </c>
      <c r="H23" s="36">
        <v>0</v>
      </c>
      <c r="I23" s="36">
        <v>0</v>
      </c>
      <c r="J23" s="36">
        <v>0</v>
      </c>
      <c r="K23" s="1">
        <f xml:space="preserve"> INDEX('Device Table'!G:G,MATCH(J23,'Device Table'!F:F, 0),1)</f>
        <v>0</v>
      </c>
      <c r="L23" s="22" t="s">
        <v>572</v>
      </c>
      <c r="M23" s="1">
        <f xml:space="preserve"> INDEX('Device Table'!I:I,MATCH(L23,'Device Table'!H:H, 0),1)</f>
        <v>2</v>
      </c>
      <c r="N23" s="2" t="s">
        <v>556</v>
      </c>
      <c r="O23" s="11">
        <f xml:space="preserve"> INDEX('Device Table'!K$4:K$36,MATCH(N23,'Device Table'!J$4:J$36, 0),1)</f>
        <v>0</v>
      </c>
      <c r="P23" s="1">
        <v>0</v>
      </c>
      <c r="Q23" s="11">
        <v>6</v>
      </c>
      <c r="R23" s="11">
        <v>0</v>
      </c>
      <c r="S23" s="11">
        <v>0</v>
      </c>
      <c r="T23" s="11" t="str">
        <f t="shared" si="8"/>
        <v>&amp;H1000000200060000</v>
      </c>
    </row>
    <row r="24" spans="1:28" x14ac:dyDescent="0.25">
      <c r="A24" s="11" t="s">
        <v>576</v>
      </c>
      <c r="E24" s="11" t="str">
        <f t="shared" si="0"/>
        <v>//</v>
      </c>
      <c r="F24" s="20" t="s">
        <v>562</v>
      </c>
      <c r="G24" s="36">
        <f xml:space="preserve"> INDEX('Device Table'!C$4:C$11,MATCH(F24,'Device Table'!B$4:B$11, 0),1)</f>
        <v>16</v>
      </c>
      <c r="H24" s="36">
        <v>0</v>
      </c>
      <c r="I24" s="36">
        <v>0</v>
      </c>
      <c r="J24" s="36">
        <v>0</v>
      </c>
      <c r="K24" s="1">
        <f xml:space="preserve"> INDEX('Device Table'!G:G,MATCH(J24,'Device Table'!F:F, 0),1)</f>
        <v>0</v>
      </c>
      <c r="L24" s="22" t="s">
        <v>572</v>
      </c>
      <c r="M24" s="1">
        <f xml:space="preserve"> INDEX('Device Table'!I:I,MATCH(L24,'Device Table'!H:H, 0),1)</f>
        <v>2</v>
      </c>
      <c r="N24" s="2" t="s">
        <v>556</v>
      </c>
      <c r="O24" s="11">
        <f xml:space="preserve"> INDEX('Device Table'!K$4:K$36,MATCH(N24,'Device Table'!J$4:J$36, 0),1)</f>
        <v>0</v>
      </c>
      <c r="P24" s="1">
        <v>0</v>
      </c>
      <c r="Q24" s="11">
        <v>7</v>
      </c>
      <c r="R24" s="11">
        <v>0</v>
      </c>
      <c r="S24" s="11">
        <v>0</v>
      </c>
      <c r="T24" s="1" t="str">
        <f t="shared" si="8"/>
        <v>&amp;H1000000200070000</v>
      </c>
    </row>
    <row r="25" spans="1:28" x14ac:dyDescent="0.25">
      <c r="A25" s="11" t="s">
        <v>561</v>
      </c>
      <c r="B25" s="11" t="s">
        <v>559</v>
      </c>
      <c r="C25" s="11" t="s">
        <v>559</v>
      </c>
      <c r="D25" s="11" t="s">
        <v>566</v>
      </c>
      <c r="E25" s="11" t="str">
        <f t="shared" si="0"/>
        <v>GRIPPER光電偵測右</v>
      </c>
      <c r="F25" s="20" t="s">
        <v>562</v>
      </c>
      <c r="G25" s="36">
        <f xml:space="preserve"> INDEX('Device Table'!C$4:C$11,MATCH(F25,'Device Table'!B$4:B$11, 0),1)</f>
        <v>16</v>
      </c>
      <c r="H25" s="36">
        <v>0</v>
      </c>
      <c r="I25" s="36">
        <v>0</v>
      </c>
      <c r="J25" s="36">
        <v>0</v>
      </c>
      <c r="K25" s="1">
        <f xml:space="preserve"> INDEX('Device Table'!G:G,MATCH(J25,'Device Table'!F:F, 0),1)</f>
        <v>0</v>
      </c>
      <c r="L25" s="22" t="s">
        <v>572</v>
      </c>
      <c r="M25" s="1">
        <f xml:space="preserve"> INDEX('Device Table'!I:I,MATCH(L25,'Device Table'!H:H, 0),1)</f>
        <v>2</v>
      </c>
      <c r="N25" s="2" t="s">
        <v>556</v>
      </c>
      <c r="O25" s="11">
        <f xml:space="preserve"> INDEX('Device Table'!K$4:K$36,MATCH(N25,'Device Table'!J$4:J$36, 0),1)</f>
        <v>0</v>
      </c>
      <c r="P25" s="1">
        <v>0</v>
      </c>
      <c r="Q25" s="11">
        <v>8</v>
      </c>
      <c r="R25" s="11">
        <v>0</v>
      </c>
      <c r="S25" s="11">
        <v>0</v>
      </c>
      <c r="T25" s="11" t="str">
        <f t="shared" si="8"/>
        <v>&amp;H1000000200080000</v>
      </c>
    </row>
    <row r="26" spans="1:28" x14ac:dyDescent="0.25">
      <c r="A26" s="11" t="s">
        <v>576</v>
      </c>
      <c r="E26" s="11" t="str">
        <f t="shared" si="0"/>
        <v>//</v>
      </c>
      <c r="F26" s="20" t="s">
        <v>562</v>
      </c>
      <c r="G26" s="36">
        <f xml:space="preserve"> INDEX('Device Table'!C$4:C$11,MATCH(F26,'Device Table'!B$4:B$11, 0),1)</f>
        <v>16</v>
      </c>
      <c r="H26" s="36">
        <v>0</v>
      </c>
      <c r="I26" s="36">
        <v>0</v>
      </c>
      <c r="J26" s="36">
        <v>0</v>
      </c>
      <c r="K26" s="1">
        <f xml:space="preserve"> INDEX('Device Table'!G:G,MATCH(J26,'Device Table'!F:F, 0),1)</f>
        <v>0</v>
      </c>
      <c r="L26" s="22" t="s">
        <v>572</v>
      </c>
      <c r="M26" s="1">
        <f xml:space="preserve"> INDEX('Device Table'!I:I,MATCH(L26,'Device Table'!H:H, 0),1)</f>
        <v>2</v>
      </c>
      <c r="N26" s="2" t="s">
        <v>556</v>
      </c>
      <c r="O26" s="11">
        <f xml:space="preserve"> INDEX('Device Table'!K$4:K$36,MATCH(N26,'Device Table'!J$4:J$36, 0),1)</f>
        <v>0</v>
      </c>
      <c r="P26" s="1">
        <v>0</v>
      </c>
      <c r="Q26" s="11">
        <v>9</v>
      </c>
      <c r="R26" s="11">
        <v>0</v>
      </c>
      <c r="S26" s="11">
        <v>0</v>
      </c>
      <c r="T26" s="1" t="str">
        <f t="shared" si="8"/>
        <v>&amp;H1000000200090000</v>
      </c>
    </row>
    <row r="27" spans="1:28" x14ac:dyDescent="0.25">
      <c r="A27" s="11" t="s">
        <v>576</v>
      </c>
      <c r="E27" s="11" t="str">
        <f t="shared" si="0"/>
        <v>//</v>
      </c>
      <c r="F27" s="20" t="s">
        <v>562</v>
      </c>
      <c r="G27" s="36">
        <f xml:space="preserve"> INDEX('Device Table'!C$4:C$11,MATCH(F27,'Device Table'!B$4:B$11, 0),1)</f>
        <v>16</v>
      </c>
      <c r="H27" s="36">
        <v>0</v>
      </c>
      <c r="I27" s="36">
        <v>0</v>
      </c>
      <c r="J27" s="36">
        <v>0</v>
      </c>
      <c r="K27" s="1">
        <f xml:space="preserve"> INDEX('Device Table'!G:G,MATCH(J27,'Device Table'!F:F, 0),1)</f>
        <v>0</v>
      </c>
      <c r="L27" s="22" t="s">
        <v>572</v>
      </c>
      <c r="M27" s="1">
        <f xml:space="preserve"> INDEX('Device Table'!I:I,MATCH(L27,'Device Table'!H:H, 0),1)</f>
        <v>2</v>
      </c>
      <c r="N27" s="2" t="s">
        <v>556</v>
      </c>
      <c r="O27" s="11">
        <f xml:space="preserve"> INDEX('Device Table'!K$4:K$36,MATCH(N27,'Device Table'!J$4:J$36, 0),1)</f>
        <v>0</v>
      </c>
      <c r="P27" s="1">
        <v>0</v>
      </c>
      <c r="Q27" s="11">
        <v>10</v>
      </c>
      <c r="R27" s="11">
        <v>0</v>
      </c>
      <c r="S27" s="11">
        <v>0</v>
      </c>
      <c r="T27" s="11" t="str">
        <f t="shared" si="8"/>
        <v>&amp;H10000002000A0000</v>
      </c>
    </row>
    <row r="28" spans="1:28" x14ac:dyDescent="0.25">
      <c r="A28" s="11" t="s">
        <v>576</v>
      </c>
      <c r="E28" s="11" t="str">
        <f t="shared" si="0"/>
        <v>//</v>
      </c>
      <c r="F28" s="20" t="s">
        <v>562</v>
      </c>
      <c r="G28" s="36">
        <f xml:space="preserve"> INDEX('Device Table'!C$4:C$11,MATCH(F28,'Device Table'!B$4:B$11, 0),1)</f>
        <v>16</v>
      </c>
      <c r="H28" s="36">
        <v>0</v>
      </c>
      <c r="I28" s="36">
        <v>0</v>
      </c>
      <c r="J28" s="36">
        <v>0</v>
      </c>
      <c r="K28" s="1">
        <f xml:space="preserve"> INDEX('Device Table'!G:G,MATCH(J28,'Device Table'!F:F, 0),1)</f>
        <v>0</v>
      </c>
      <c r="L28" s="22" t="s">
        <v>572</v>
      </c>
      <c r="M28" s="1">
        <f xml:space="preserve"> INDEX('Device Table'!I:I,MATCH(L28,'Device Table'!H:H, 0),1)</f>
        <v>2</v>
      </c>
      <c r="N28" s="2" t="s">
        <v>556</v>
      </c>
      <c r="O28" s="11">
        <f xml:space="preserve"> INDEX('Device Table'!K$4:K$36,MATCH(N28,'Device Table'!J$4:J$36, 0),1)</f>
        <v>0</v>
      </c>
      <c r="P28" s="1">
        <v>0</v>
      </c>
      <c r="Q28" s="11">
        <v>11</v>
      </c>
      <c r="R28" s="11">
        <v>0</v>
      </c>
      <c r="S28" s="11">
        <v>0</v>
      </c>
      <c r="T28" s="1" t="str">
        <f t="shared" si="8"/>
        <v>&amp;H10000002000B0000</v>
      </c>
    </row>
    <row r="29" spans="1:28" x14ac:dyDescent="0.25">
      <c r="A29" s="11" t="s">
        <v>561</v>
      </c>
      <c r="B29" s="11" t="s">
        <v>246</v>
      </c>
      <c r="C29" s="11" t="s">
        <v>246</v>
      </c>
      <c r="D29" s="11" t="s">
        <v>569</v>
      </c>
      <c r="E29" s="11" t="str">
        <f t="shared" si="0"/>
        <v>GRIPPER夾爪放位檢知</v>
      </c>
      <c r="F29" s="20" t="s">
        <v>562</v>
      </c>
      <c r="G29" s="36">
        <f xml:space="preserve"> INDEX('Device Table'!C$4:C$11,MATCH(F29,'Device Table'!B$4:B$11, 0),1)</f>
        <v>16</v>
      </c>
      <c r="H29" s="36">
        <v>0</v>
      </c>
      <c r="I29" s="36">
        <v>0</v>
      </c>
      <c r="J29" s="36">
        <v>0</v>
      </c>
      <c r="K29" s="1">
        <f xml:space="preserve"> INDEX('Device Table'!G:G,MATCH(J29,'Device Table'!F:F, 0),1)</f>
        <v>0</v>
      </c>
      <c r="L29" s="22" t="s">
        <v>572</v>
      </c>
      <c r="M29" s="1">
        <f xml:space="preserve"> INDEX('Device Table'!I:I,MATCH(L29,'Device Table'!H:H, 0),1)</f>
        <v>2</v>
      </c>
      <c r="N29" s="2" t="s">
        <v>556</v>
      </c>
      <c r="O29" s="11">
        <f xml:space="preserve"> INDEX('Device Table'!K$4:K$36,MATCH(N29,'Device Table'!J$4:J$36, 0),1)</f>
        <v>0</v>
      </c>
      <c r="P29" s="1">
        <v>0</v>
      </c>
      <c r="Q29" s="11">
        <v>12</v>
      </c>
      <c r="R29" s="11">
        <v>0</v>
      </c>
      <c r="S29" s="11">
        <v>0</v>
      </c>
      <c r="T29" s="11" t="str">
        <f t="shared" si="8"/>
        <v>&amp;H10000002000C0000</v>
      </c>
    </row>
    <row r="30" spans="1:28" x14ac:dyDescent="0.25">
      <c r="A30" s="11" t="s">
        <v>576</v>
      </c>
      <c r="E30" s="11" t="str">
        <f t="shared" si="0"/>
        <v>//</v>
      </c>
      <c r="F30" s="20" t="s">
        <v>562</v>
      </c>
      <c r="G30" s="36">
        <f xml:space="preserve"> INDEX('Device Table'!C$4:C$11,MATCH(F30,'Device Table'!B$4:B$11, 0),1)</f>
        <v>16</v>
      </c>
      <c r="H30" s="36">
        <v>0</v>
      </c>
      <c r="I30" s="36">
        <v>0</v>
      </c>
      <c r="J30" s="36">
        <v>0</v>
      </c>
      <c r="K30" s="1">
        <f xml:space="preserve"> INDEX('Device Table'!G:G,MATCH(J30,'Device Table'!F:F, 0),1)</f>
        <v>0</v>
      </c>
      <c r="L30" s="22" t="s">
        <v>572</v>
      </c>
      <c r="M30" s="1">
        <f xml:space="preserve"> INDEX('Device Table'!I:I,MATCH(L30,'Device Table'!H:H, 0),1)</f>
        <v>2</v>
      </c>
      <c r="N30" s="2" t="s">
        <v>556</v>
      </c>
      <c r="O30" s="11">
        <f xml:space="preserve"> INDEX('Device Table'!K$4:K$36,MATCH(N30,'Device Table'!J$4:J$36, 0),1)</f>
        <v>0</v>
      </c>
      <c r="P30" s="1">
        <v>0</v>
      </c>
      <c r="Q30" s="11">
        <v>13</v>
      </c>
      <c r="R30" s="11">
        <v>0</v>
      </c>
      <c r="S30" s="11">
        <v>0</v>
      </c>
      <c r="T30" s="1" t="str">
        <f t="shared" si="8"/>
        <v>&amp;H10000002000D0000</v>
      </c>
    </row>
    <row r="31" spans="1:28" x14ac:dyDescent="0.25">
      <c r="A31" s="11" t="s">
        <v>576</v>
      </c>
      <c r="E31" s="11" t="str">
        <f t="shared" si="0"/>
        <v>//</v>
      </c>
      <c r="F31" s="20" t="s">
        <v>562</v>
      </c>
      <c r="G31" s="36">
        <f xml:space="preserve"> INDEX('Device Table'!C$4:C$11,MATCH(F31,'Device Table'!B$4:B$11, 0),1)</f>
        <v>16</v>
      </c>
      <c r="H31" s="36">
        <v>0</v>
      </c>
      <c r="I31" s="36">
        <v>0</v>
      </c>
      <c r="J31" s="36">
        <v>0</v>
      </c>
      <c r="K31" s="1">
        <f xml:space="preserve"> INDEX('Device Table'!G:G,MATCH(J31,'Device Table'!F:F, 0),1)</f>
        <v>0</v>
      </c>
      <c r="L31" s="22" t="s">
        <v>572</v>
      </c>
      <c r="M31" s="1">
        <f xml:space="preserve"> INDEX('Device Table'!I:I,MATCH(L31,'Device Table'!H:H, 0),1)</f>
        <v>2</v>
      </c>
      <c r="N31" s="2" t="s">
        <v>556</v>
      </c>
      <c r="O31" s="11">
        <f xml:space="preserve"> INDEX('Device Table'!K$4:K$36,MATCH(N31,'Device Table'!J$4:J$36, 0),1)</f>
        <v>0</v>
      </c>
      <c r="P31" s="1">
        <v>0</v>
      </c>
      <c r="Q31" s="11">
        <v>14</v>
      </c>
      <c r="R31" s="11">
        <v>0</v>
      </c>
      <c r="S31" s="11">
        <v>0</v>
      </c>
      <c r="T31" s="11" t="str">
        <f t="shared" si="8"/>
        <v>&amp;H10000002000E0000</v>
      </c>
    </row>
    <row r="32" spans="1:28" x14ac:dyDescent="0.25">
      <c r="A32" s="11" t="s">
        <v>561</v>
      </c>
      <c r="B32" s="11" t="s">
        <v>560</v>
      </c>
      <c r="C32" s="11" t="s">
        <v>560</v>
      </c>
      <c r="D32" s="11" t="s">
        <v>567</v>
      </c>
      <c r="E32" s="11" t="str">
        <f t="shared" si="0"/>
        <v>GRIPPER溫度檢知</v>
      </c>
      <c r="F32" s="20" t="s">
        <v>562</v>
      </c>
      <c r="G32" s="36">
        <f xml:space="preserve"> INDEX('Device Table'!C$4:C$11,MATCH(F32,'Device Table'!B$4:B$11, 0),1)</f>
        <v>16</v>
      </c>
      <c r="H32" s="36">
        <v>0</v>
      </c>
      <c r="I32" s="36">
        <v>0</v>
      </c>
      <c r="J32" s="36">
        <v>0</v>
      </c>
      <c r="K32" s="1">
        <f xml:space="preserve"> INDEX('Device Table'!G:G,MATCH(J32,'Device Table'!F:F, 0),1)</f>
        <v>0</v>
      </c>
      <c r="L32" s="22" t="s">
        <v>572</v>
      </c>
      <c r="M32" s="1">
        <f xml:space="preserve"> INDEX('Device Table'!I:I,MATCH(L32,'Device Table'!H:H, 0),1)</f>
        <v>2</v>
      </c>
      <c r="N32" s="2" t="s">
        <v>556</v>
      </c>
      <c r="O32" s="11">
        <f xml:space="preserve"> INDEX('Device Table'!K$4:K$36,MATCH(N32,'Device Table'!J$4:J$36, 0),1)</f>
        <v>0</v>
      </c>
      <c r="P32" s="1">
        <v>0</v>
      </c>
      <c r="Q32" s="11">
        <v>15</v>
      </c>
      <c r="R32" s="11">
        <v>0</v>
      </c>
      <c r="S32" s="11">
        <v>0</v>
      </c>
      <c r="T32" s="1" t="str">
        <f t="shared" si="8"/>
        <v>&amp;H10000002000F0000</v>
      </c>
    </row>
  </sheetData>
  <autoFilter ref="A4:AA4"/>
  <phoneticPr fontId="8" type="noConversion"/>
  <printOptions gridLines="1"/>
  <pageMargins left="0.23622047244094491" right="0.23622047244094491" top="0.15748031496062992" bottom="0.15748031496062992" header="0.31496062992125984" footer="0.31496062992125984"/>
  <pageSetup paperSize="9" scale="86" firstPageNumber="0" fitToHeight="0"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>
    <pageSetUpPr fitToPage="1"/>
  </sheetPr>
  <dimension ref="A1:AQ35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:E34"/>
    </sheetView>
  </sheetViews>
  <sheetFormatPr defaultRowHeight="16.5" x14ac:dyDescent="0.25"/>
  <cols>
    <col min="1" max="1" width="41.125" customWidth="1"/>
    <col min="2" max="2" width="25.375" bestFit="1" customWidth="1"/>
    <col min="3" max="3" width="17" style="2" bestFit="1" customWidth="1"/>
    <col min="4" max="4" width="14.5" bestFit="1" customWidth="1"/>
    <col min="5" max="5" width="23.375" bestFit="1" customWidth="1"/>
    <col min="6" max="6" width="14.5" style="20" bestFit="1" customWidth="1"/>
    <col min="7" max="7" width="4.875" style="26" bestFit="1" customWidth="1"/>
    <col min="8" max="8" width="14.5" style="20" bestFit="1" customWidth="1"/>
    <col min="9" max="9" width="4.875" style="20" bestFit="1" customWidth="1"/>
    <col min="10" max="10" width="15.875" style="20" bestFit="1" customWidth="1"/>
    <col min="11" max="11" width="6.125" style="19" bestFit="1" customWidth="1"/>
    <col min="12" max="12" width="15.25" style="20" bestFit="1" customWidth="1"/>
    <col min="13" max="13" width="6.125" style="19" bestFit="1" customWidth="1"/>
    <col min="14" max="14" width="11" style="15" bestFit="1" customWidth="1"/>
    <col min="15" max="15" width="6.125" style="15" bestFit="1" customWidth="1"/>
    <col min="16" max="16" width="15.125" style="15" bestFit="1" customWidth="1"/>
    <col min="17" max="17" width="6.125" style="15" bestFit="1" customWidth="1"/>
    <col min="18" max="18" width="12.875" style="15" bestFit="1" customWidth="1"/>
    <col min="19" max="19" width="11.75" style="15" bestFit="1" customWidth="1"/>
    <col min="20" max="20" width="22.625" style="15" bestFit="1" customWidth="1"/>
    <col min="21" max="21" width="10.375" style="1" bestFit="1" customWidth="1"/>
    <col min="22" max="22" width="16.25" style="1" bestFit="1" customWidth="1"/>
    <col min="23" max="23" width="10.625" style="1" bestFit="1" customWidth="1"/>
    <col min="24" max="24" width="24.25" style="1" bestFit="1" customWidth="1"/>
    <col min="25" max="25" width="17.125" customWidth="1"/>
    <col min="26" max="26" width="49.625" hidden="1" customWidth="1"/>
    <col min="32" max="1018" width="8.75"/>
  </cols>
  <sheetData>
    <row r="1" spans="1:43" s="7" customFormat="1" ht="19.5" x14ac:dyDescent="0.3">
      <c r="A1" s="8" t="s">
        <v>529</v>
      </c>
      <c r="B1" s="8" t="s">
        <v>194</v>
      </c>
      <c r="C1" s="8" t="s">
        <v>195</v>
      </c>
      <c r="D1" s="8" t="s">
        <v>196</v>
      </c>
      <c r="E1" s="8" t="s">
        <v>197</v>
      </c>
      <c r="F1" s="8" t="s">
        <v>198</v>
      </c>
      <c r="G1" s="8" t="s">
        <v>199</v>
      </c>
      <c r="H1" s="8" t="s">
        <v>200</v>
      </c>
      <c r="I1" s="8" t="s">
        <v>201</v>
      </c>
      <c r="J1" s="8" t="s">
        <v>202</v>
      </c>
      <c r="K1" s="8" t="s">
        <v>203</v>
      </c>
      <c r="L1" s="8" t="s">
        <v>204</v>
      </c>
      <c r="M1" s="8" t="s">
        <v>205</v>
      </c>
      <c r="N1" s="8" t="s">
        <v>206</v>
      </c>
      <c r="O1" s="8" t="s">
        <v>207</v>
      </c>
      <c r="P1" s="8" t="s">
        <v>208</v>
      </c>
      <c r="Q1" s="8" t="s">
        <v>209</v>
      </c>
      <c r="R1" s="8" t="s">
        <v>210</v>
      </c>
      <c r="S1" s="8" t="s">
        <v>211</v>
      </c>
      <c r="T1" s="8" t="s">
        <v>212</v>
      </c>
      <c r="U1" s="8"/>
      <c r="V1" s="8"/>
      <c r="W1" s="8"/>
      <c r="X1" s="8" t="s">
        <v>14</v>
      </c>
      <c r="Y1" s="8" t="s">
        <v>15</v>
      </c>
      <c r="Z1" s="8"/>
    </row>
    <row r="2" spans="1:43" s="7" customFormat="1" ht="19.5" x14ac:dyDescent="0.3">
      <c r="A2" s="8" t="s">
        <v>176</v>
      </c>
      <c r="B2" s="8"/>
      <c r="C2" s="8"/>
      <c r="D2" s="8"/>
      <c r="E2" s="8"/>
      <c r="F2" s="30" t="s">
        <v>95</v>
      </c>
      <c r="G2" s="30"/>
      <c r="H2" s="30" t="s">
        <v>96</v>
      </c>
      <c r="I2" s="30"/>
      <c r="J2" s="30" t="s">
        <v>97</v>
      </c>
      <c r="K2" s="30"/>
      <c r="L2" s="30" t="s">
        <v>98</v>
      </c>
      <c r="M2" s="30"/>
      <c r="N2" s="30" t="s">
        <v>99</v>
      </c>
      <c r="O2" s="30"/>
      <c r="P2" s="30" t="s">
        <v>100</v>
      </c>
      <c r="Q2" s="30"/>
      <c r="R2" s="30" t="s">
        <v>101</v>
      </c>
      <c r="S2" s="30" t="s">
        <v>102</v>
      </c>
      <c r="T2" s="30"/>
      <c r="U2" s="8"/>
      <c r="V2" s="8"/>
      <c r="W2" s="8"/>
      <c r="X2" s="8"/>
      <c r="Y2" s="8"/>
      <c r="Z2" s="8"/>
    </row>
    <row r="3" spans="1:43" s="10" customFormat="1" ht="19.5" x14ac:dyDescent="0.3">
      <c r="A3" s="9" t="s">
        <v>227</v>
      </c>
      <c r="B3" s="9" t="s">
        <v>226</v>
      </c>
      <c r="C3" s="9" t="s">
        <v>225</v>
      </c>
      <c r="D3" s="9" t="s">
        <v>2</v>
      </c>
      <c r="E3" s="9" t="s">
        <v>16</v>
      </c>
      <c r="F3" s="31" t="s">
        <v>104</v>
      </c>
      <c r="G3" s="31"/>
      <c r="H3" s="32" t="s">
        <v>105</v>
      </c>
      <c r="I3" s="32"/>
      <c r="J3" s="32"/>
      <c r="K3" s="32"/>
      <c r="L3" s="32"/>
      <c r="M3" s="32"/>
      <c r="N3" s="32"/>
      <c r="O3" s="32"/>
      <c r="P3" s="33" t="s">
        <v>125</v>
      </c>
      <c r="Q3" s="33"/>
      <c r="R3" s="34" t="s">
        <v>106</v>
      </c>
      <c r="S3" s="35" t="s">
        <v>124</v>
      </c>
      <c r="T3" s="35" t="s">
        <v>159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/>
    </row>
    <row r="4" spans="1:43" s="10" customFormat="1" ht="19.5" x14ac:dyDescent="0.3">
      <c r="A4" s="11" t="s">
        <v>65</v>
      </c>
      <c r="B4" s="11" t="s">
        <v>171</v>
      </c>
      <c r="C4" s="11" t="s">
        <v>171</v>
      </c>
      <c r="D4" s="11" t="s">
        <v>162</v>
      </c>
      <c r="E4" s="1" t="str">
        <f t="shared" ref="E4" si="0">CONCATENATE(A4,D4)</f>
        <v>系統空點</v>
      </c>
      <c r="F4" s="31" t="s">
        <v>170</v>
      </c>
      <c r="G4" s="36" t="str">
        <f xml:space="preserve"> INDEX('Device Table'!C$4:C$11,MATCH(F4,'Device Table'!B$4:B$11, 0),1)</f>
        <v>0</v>
      </c>
      <c r="H4" s="36">
        <v>0</v>
      </c>
      <c r="I4" s="36">
        <v>0</v>
      </c>
      <c r="J4" s="1">
        <v>0</v>
      </c>
      <c r="K4" s="1">
        <f xml:space="preserve"> INDEX('Device Table'!G$4:G$16,MATCH(J4,'Device Table'!F$4:F$16, 0),1)</f>
        <v>0</v>
      </c>
      <c r="L4" s="1">
        <v>0</v>
      </c>
      <c r="M4" s="1">
        <f xml:space="preserve"> INDEX('Device Table'!I:I,MATCH(L4,'Device Table'!H:H, 0),1)</f>
        <v>0</v>
      </c>
      <c r="N4" s="1">
        <v>0</v>
      </c>
      <c r="O4" s="1">
        <f xml:space="preserve"> INDEX('Device Table'!K$4:K$16,MATCH(N4,'Device Table'!J$4:J$16, 0),1)</f>
        <v>0</v>
      </c>
      <c r="P4" s="1"/>
      <c r="Q4" s="1">
        <v>0</v>
      </c>
      <c r="R4" s="1">
        <v>0</v>
      </c>
      <c r="S4" s="1">
        <v>8</v>
      </c>
      <c r="T4" s="1" t="str">
        <f t="shared" ref="T4:T35" si="1">CONCATENATE("&amp;H",DEC2HEX(G4,2),DEC2HEX(I4,2),DEC2HEX(K4,2),DEC2HEX(M4,2),DEC2HEX(O4,2),DEC2HEX(Q4,2),DEC2HEX(R4,2),DEC2HEX(S4,2))</f>
        <v>&amp;H0000000000000008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11" t="s">
        <v>243</v>
      </c>
      <c r="B5" s="1" t="s">
        <v>563</v>
      </c>
      <c r="C5" s="1" t="s">
        <v>563</v>
      </c>
      <c r="D5" s="1" t="s">
        <v>564</v>
      </c>
      <c r="E5" s="1" t="str">
        <f t="shared" ref="E5:E34" si="2">CONCATENATE(A5,D5)</f>
        <v>GRIPPER光電偵測致能</v>
      </c>
      <c r="F5" s="38" t="s">
        <v>126</v>
      </c>
      <c r="G5" s="36" t="str">
        <f xml:space="preserve"> INDEX('Device Table'!C$4:C$11,MATCH(F5,'Device Table'!B$4:B$11, 0),1)</f>
        <v>2</v>
      </c>
      <c r="H5" s="36">
        <v>0</v>
      </c>
      <c r="I5" s="36">
        <v>0</v>
      </c>
      <c r="J5" s="38" t="s">
        <v>302</v>
      </c>
      <c r="K5" s="1" t="str">
        <f xml:space="preserve"> INDEX('Device Table'!G$4:G$16,MATCH(J5,'Device Table'!F$4:F$16, 0),1)</f>
        <v>0</v>
      </c>
      <c r="L5" s="38" t="s">
        <v>179</v>
      </c>
      <c r="M5" s="1">
        <f xml:space="preserve"> INDEX('Device Table'!I:I,MATCH(L5,'Device Table'!H:H, 0),1)</f>
        <v>1</v>
      </c>
      <c r="N5" s="12" t="s">
        <v>191</v>
      </c>
      <c r="O5" s="1">
        <f xml:space="preserve"> INDEX('Device Table'!K$4:K$16,MATCH(N5,'Device Table'!J$4:J$16, 0),1)</f>
        <v>1</v>
      </c>
      <c r="P5" s="1">
        <v>0</v>
      </c>
      <c r="Q5" s="11">
        <v>0</v>
      </c>
      <c r="R5" s="1">
        <v>0</v>
      </c>
      <c r="S5" s="11">
        <v>0</v>
      </c>
      <c r="T5" s="1" t="str">
        <f t="shared" si="1"/>
        <v>&amp;H0200000101000000</v>
      </c>
      <c r="Y5" s="1" t="str">
        <f>CONCATENATE("Y",DEC2OCT(S5))</f>
        <v>Y0</v>
      </c>
      <c r="Z5" s="1"/>
    </row>
    <row r="6" spans="1:43" s="1" customFormat="1" x14ac:dyDescent="0.25">
      <c r="A6" s="39" t="s">
        <v>253</v>
      </c>
      <c r="B6" s="1" t="s">
        <v>254</v>
      </c>
      <c r="C6" s="1" t="s">
        <v>254</v>
      </c>
      <c r="D6" s="1" t="s">
        <v>544</v>
      </c>
      <c r="E6" s="1" t="str">
        <f t="shared" si="2"/>
        <v>LSR雷射光致能1</v>
      </c>
      <c r="F6" s="38" t="s">
        <v>126</v>
      </c>
      <c r="G6" s="36" t="str">
        <f xml:space="preserve"> INDEX('Device Table'!C$4:C$11,MATCH(F6,'Device Table'!B$4:B$11, 0),1)</f>
        <v>2</v>
      </c>
      <c r="H6" s="36">
        <v>0</v>
      </c>
      <c r="I6" s="36">
        <v>0</v>
      </c>
      <c r="J6" s="38" t="s">
        <v>302</v>
      </c>
      <c r="K6" s="1" t="str">
        <f xml:space="preserve"> INDEX('Device Table'!G$4:G$16,MATCH(J6,'Device Table'!F$4:F$16, 0),1)</f>
        <v>0</v>
      </c>
      <c r="L6" s="38" t="s">
        <v>179</v>
      </c>
      <c r="M6" s="1">
        <f xml:space="preserve"> INDEX('Device Table'!I:I,MATCH(L6,'Device Table'!H:H, 0),1)</f>
        <v>1</v>
      </c>
      <c r="N6" s="12" t="s">
        <v>191</v>
      </c>
      <c r="O6" s="1">
        <f xml:space="preserve"> INDEX('Device Table'!K$4:K$16,MATCH(N6,'Device Table'!J$4:J$16, 0),1)</f>
        <v>1</v>
      </c>
      <c r="P6" s="1">
        <v>0</v>
      </c>
      <c r="Q6" s="11">
        <v>0</v>
      </c>
      <c r="R6" s="1">
        <v>0</v>
      </c>
      <c r="S6" s="11">
        <v>1</v>
      </c>
      <c r="T6" s="1" t="str">
        <f t="shared" si="1"/>
        <v>&amp;H0200000101000001</v>
      </c>
      <c r="Y6" s="1" t="str">
        <f t="shared" ref="Y6:Y32" si="3">CONCATENATE("Y",DEC2OCT(S6))</f>
        <v>Y1</v>
      </c>
    </row>
    <row r="7" spans="1:43" s="1" customFormat="1" x14ac:dyDescent="0.25">
      <c r="A7" s="39" t="s">
        <v>253</v>
      </c>
      <c r="B7" s="1" t="s">
        <v>255</v>
      </c>
      <c r="C7" s="1" t="s">
        <v>255</v>
      </c>
      <c r="D7" s="1" t="s">
        <v>545</v>
      </c>
      <c r="E7" s="1" t="str">
        <f t="shared" si="2"/>
        <v>LSR雷射光致能2</v>
      </c>
      <c r="F7" s="38" t="s">
        <v>126</v>
      </c>
      <c r="G7" s="36" t="str">
        <f xml:space="preserve"> INDEX('Device Table'!C$4:C$11,MATCH(F7,'Device Table'!B$4:B$11, 0),1)</f>
        <v>2</v>
      </c>
      <c r="H7" s="36">
        <v>0</v>
      </c>
      <c r="I7" s="36">
        <v>0</v>
      </c>
      <c r="J7" s="38" t="s">
        <v>301</v>
      </c>
      <c r="K7" s="1" t="str">
        <f xml:space="preserve"> INDEX('Device Table'!G$4:G$16,MATCH(J7,'Device Table'!F$4:F$16, 0),1)</f>
        <v>0</v>
      </c>
      <c r="L7" s="38" t="s">
        <v>135</v>
      </c>
      <c r="M7" s="1">
        <f xml:space="preserve"> INDEX('Device Table'!I:I,MATCH(L7,'Device Table'!H:H, 0),1)</f>
        <v>1</v>
      </c>
      <c r="N7" s="12" t="s">
        <v>191</v>
      </c>
      <c r="O7" s="1">
        <f xml:space="preserve"> INDEX('Device Table'!K$4:K$16,MATCH(N7,'Device Table'!J$4:J$16, 0),1)</f>
        <v>1</v>
      </c>
      <c r="P7" s="1">
        <v>0</v>
      </c>
      <c r="Q7" s="11">
        <v>0</v>
      </c>
      <c r="R7" s="1">
        <v>0</v>
      </c>
      <c r="S7" s="11">
        <v>2</v>
      </c>
      <c r="T7" s="1" t="str">
        <f t="shared" si="1"/>
        <v>&amp;H0200000101000002</v>
      </c>
      <c r="Y7" s="1" t="str">
        <f t="shared" si="3"/>
        <v>Y2</v>
      </c>
    </row>
    <row r="8" spans="1:43" s="1" customFormat="1" x14ac:dyDescent="0.25">
      <c r="A8" s="39" t="s">
        <v>256</v>
      </c>
      <c r="E8" s="1" t="str">
        <f t="shared" si="2"/>
        <v>//</v>
      </c>
      <c r="F8" s="38" t="s">
        <v>126</v>
      </c>
      <c r="G8" s="36" t="str">
        <f xml:space="preserve"> INDEX('Device Table'!C$4:C$11,MATCH(F8,'Device Table'!B$4:B$11, 0),1)</f>
        <v>2</v>
      </c>
      <c r="H8" s="36">
        <v>0</v>
      </c>
      <c r="I8" s="36">
        <v>0</v>
      </c>
      <c r="J8" s="38" t="s">
        <v>301</v>
      </c>
      <c r="K8" s="1" t="str">
        <f xml:space="preserve"> INDEX('Device Table'!G$4:G$16,MATCH(J8,'Device Table'!F$4:F$16, 0),1)</f>
        <v>0</v>
      </c>
      <c r="L8" s="38" t="s">
        <v>135</v>
      </c>
      <c r="M8" s="1">
        <f xml:space="preserve"> INDEX('Device Table'!I:I,MATCH(L8,'Device Table'!H:H, 0),1)</f>
        <v>1</v>
      </c>
      <c r="N8" s="12" t="s">
        <v>191</v>
      </c>
      <c r="O8" s="1">
        <f xml:space="preserve"> INDEX('Device Table'!K$4:K$16,MATCH(N8,'Device Table'!J$4:J$16, 0),1)</f>
        <v>1</v>
      </c>
      <c r="P8" s="1">
        <v>0</v>
      </c>
      <c r="Q8" s="11">
        <v>0</v>
      </c>
      <c r="R8" s="1">
        <v>0</v>
      </c>
      <c r="S8" s="11">
        <v>3</v>
      </c>
      <c r="T8" s="1" t="str">
        <f t="shared" si="1"/>
        <v>&amp;H0200000101000003</v>
      </c>
      <c r="Y8" s="1" t="str">
        <f t="shared" si="3"/>
        <v>Y3</v>
      </c>
    </row>
    <row r="9" spans="1:43" s="1" customFormat="1" x14ac:dyDescent="0.25">
      <c r="A9" s="39" t="s">
        <v>256</v>
      </c>
      <c r="E9" s="1" t="str">
        <f t="shared" si="2"/>
        <v>//</v>
      </c>
      <c r="F9" s="38" t="s">
        <v>126</v>
      </c>
      <c r="G9" s="36" t="str">
        <f xml:space="preserve"> INDEX('Device Table'!C$4:C$11,MATCH(F9,'Device Table'!B$4:B$11, 0),1)</f>
        <v>2</v>
      </c>
      <c r="H9" s="36">
        <v>0</v>
      </c>
      <c r="I9" s="36">
        <v>0</v>
      </c>
      <c r="J9" s="38" t="s">
        <v>301</v>
      </c>
      <c r="K9" s="1" t="str">
        <f xml:space="preserve"> INDEX('Device Table'!G$4:G$16,MATCH(J9,'Device Table'!F$4:F$16, 0),1)</f>
        <v>0</v>
      </c>
      <c r="L9" s="38" t="s">
        <v>135</v>
      </c>
      <c r="M9" s="1">
        <f xml:space="preserve"> INDEX('Device Table'!I:I,MATCH(L9,'Device Table'!H:H, 0),1)</f>
        <v>1</v>
      </c>
      <c r="N9" s="12" t="s">
        <v>191</v>
      </c>
      <c r="O9" s="1">
        <f xml:space="preserve"> INDEX('Device Table'!K$4:K$16,MATCH(N9,'Device Table'!J$4:J$16, 0),1)</f>
        <v>1</v>
      </c>
      <c r="P9" s="1">
        <v>0</v>
      </c>
      <c r="Q9" s="11">
        <v>0</v>
      </c>
      <c r="R9" s="1">
        <v>0</v>
      </c>
      <c r="S9" s="11">
        <v>4</v>
      </c>
      <c r="T9" s="1" t="str">
        <f t="shared" si="1"/>
        <v>&amp;H0200000101000004</v>
      </c>
      <c r="Y9" s="1" t="str">
        <f t="shared" si="3"/>
        <v>Y4</v>
      </c>
    </row>
    <row r="10" spans="1:43" s="1" customFormat="1" x14ac:dyDescent="0.25">
      <c r="A10" s="39" t="s">
        <v>256</v>
      </c>
      <c r="E10" s="1" t="str">
        <f t="shared" si="2"/>
        <v>//</v>
      </c>
      <c r="F10" s="38" t="s">
        <v>126</v>
      </c>
      <c r="G10" s="36" t="str">
        <f xml:space="preserve"> INDEX('Device Table'!C:C,MATCH(F10,'Device Table'!B:B, 0),1)</f>
        <v>2</v>
      </c>
      <c r="H10" s="36">
        <v>0</v>
      </c>
      <c r="I10" s="36">
        <v>0</v>
      </c>
      <c r="J10" s="38" t="s">
        <v>301</v>
      </c>
      <c r="K10" s="1" t="str">
        <f xml:space="preserve"> INDEX('Device Table'!G$4:G$16,MATCH(J10,'Device Table'!F$4:F$16, 0),1)</f>
        <v>0</v>
      </c>
      <c r="L10" s="38" t="s">
        <v>135</v>
      </c>
      <c r="M10" s="1">
        <f xml:space="preserve"> INDEX('Device Table'!I:I,MATCH(L10,'Device Table'!H:H, 0),1)</f>
        <v>1</v>
      </c>
      <c r="N10" s="12" t="s">
        <v>191</v>
      </c>
      <c r="O10" s="1">
        <f xml:space="preserve"> INDEX('Device Table'!K$4:K$16,MATCH(N10,'Device Table'!J$4:J$16, 0),1)</f>
        <v>1</v>
      </c>
      <c r="P10" s="1">
        <v>0</v>
      </c>
      <c r="Q10" s="11">
        <v>0</v>
      </c>
      <c r="R10" s="1">
        <v>0</v>
      </c>
      <c r="S10" s="11">
        <v>5</v>
      </c>
      <c r="T10" s="1" t="str">
        <f t="shared" si="1"/>
        <v>&amp;H0200000101000005</v>
      </c>
      <c r="Y10" s="1" t="str">
        <f t="shared" si="3"/>
        <v>Y5</v>
      </c>
    </row>
    <row r="11" spans="1:43" s="1" customFormat="1" x14ac:dyDescent="0.25">
      <c r="A11" s="39" t="s">
        <v>256</v>
      </c>
      <c r="E11" s="1" t="str">
        <f t="shared" si="2"/>
        <v>//</v>
      </c>
      <c r="F11" s="38" t="s">
        <v>126</v>
      </c>
      <c r="G11" s="36" t="str">
        <f xml:space="preserve"> INDEX('Device Table'!C:C,MATCH(F11,'Device Table'!B:B, 0),1)</f>
        <v>2</v>
      </c>
      <c r="H11" s="36">
        <v>0</v>
      </c>
      <c r="I11" s="36">
        <v>0</v>
      </c>
      <c r="J11" s="38" t="s">
        <v>301</v>
      </c>
      <c r="K11" s="1" t="str">
        <f xml:space="preserve"> INDEX('Device Table'!G$4:G$16,MATCH(J11,'Device Table'!F$4:F$16, 0),1)</f>
        <v>0</v>
      </c>
      <c r="L11" s="38" t="s">
        <v>135</v>
      </c>
      <c r="M11" s="1">
        <f xml:space="preserve"> INDEX('Device Table'!I:I,MATCH(L11,'Device Table'!H:H, 0),1)</f>
        <v>1</v>
      </c>
      <c r="N11" s="12" t="s">
        <v>191</v>
      </c>
      <c r="O11" s="1">
        <f xml:space="preserve"> INDEX('Device Table'!K$4:K$16,MATCH(N11,'Device Table'!J$4:J$16, 0),1)</f>
        <v>1</v>
      </c>
      <c r="P11" s="1">
        <v>0</v>
      </c>
      <c r="Q11" s="11">
        <v>0</v>
      </c>
      <c r="R11" s="1">
        <v>0</v>
      </c>
      <c r="S11" s="11">
        <v>6</v>
      </c>
      <c r="T11" s="1" t="str">
        <f t="shared" si="1"/>
        <v>&amp;H0200000101000006</v>
      </c>
      <c r="Y11" s="1" t="str">
        <f t="shared" si="3"/>
        <v>Y6</v>
      </c>
    </row>
    <row r="12" spans="1:43" s="1" customFormat="1" x14ac:dyDescent="0.25">
      <c r="A12" s="39" t="s">
        <v>256</v>
      </c>
      <c r="E12" s="1" t="str">
        <f t="shared" si="2"/>
        <v>//</v>
      </c>
      <c r="F12" s="38" t="s">
        <v>126</v>
      </c>
      <c r="G12" s="36" t="str">
        <f xml:space="preserve"> INDEX('Device Table'!C:C,MATCH(F12,'Device Table'!B:B, 0),1)</f>
        <v>2</v>
      </c>
      <c r="H12" s="36">
        <v>0</v>
      </c>
      <c r="I12" s="36">
        <v>0</v>
      </c>
      <c r="J12" s="38" t="s">
        <v>301</v>
      </c>
      <c r="K12" s="1" t="str">
        <f xml:space="preserve"> INDEX('Device Table'!G$4:G$16,MATCH(J12,'Device Table'!F$4:F$16, 0),1)</f>
        <v>0</v>
      </c>
      <c r="L12" s="38" t="s">
        <v>135</v>
      </c>
      <c r="M12" s="1">
        <f xml:space="preserve"> INDEX('Device Table'!I:I,MATCH(L12,'Device Table'!H:H, 0),1)</f>
        <v>1</v>
      </c>
      <c r="N12" s="12" t="s">
        <v>191</v>
      </c>
      <c r="O12" s="1">
        <f xml:space="preserve"> INDEX('Device Table'!K$4:K$16,MATCH(N12,'Device Table'!J$4:J$16, 0),1)</f>
        <v>1</v>
      </c>
      <c r="P12" s="1">
        <v>0</v>
      </c>
      <c r="Q12" s="11">
        <v>0</v>
      </c>
      <c r="R12" s="1">
        <v>0</v>
      </c>
      <c r="S12" s="11">
        <v>7</v>
      </c>
      <c r="T12" s="1" t="str">
        <f t="shared" si="1"/>
        <v>&amp;H0200000101000007</v>
      </c>
      <c r="Y12" s="1" t="str">
        <f t="shared" si="3"/>
        <v>Y7</v>
      </c>
    </row>
    <row r="13" spans="1:43" s="1" customFormat="1" x14ac:dyDescent="0.25">
      <c r="A13" s="77" t="s">
        <v>623</v>
      </c>
      <c r="B13" s="1" t="s">
        <v>259</v>
      </c>
      <c r="C13" s="1" t="s">
        <v>259</v>
      </c>
      <c r="D13" s="1" t="s">
        <v>269</v>
      </c>
      <c r="E13" s="1" t="str">
        <f t="shared" si="2"/>
        <v>DISPENSOR膠加壓</v>
      </c>
      <c r="F13" s="38" t="s">
        <v>126</v>
      </c>
      <c r="G13" s="36" t="str">
        <f xml:space="preserve"> INDEX('Device Table'!C:C,MATCH(F13,'Device Table'!B:B, 0),1)</f>
        <v>2</v>
      </c>
      <c r="H13" s="36">
        <v>0</v>
      </c>
      <c r="I13" s="36">
        <v>0</v>
      </c>
      <c r="J13" s="38" t="s">
        <v>301</v>
      </c>
      <c r="K13" s="1" t="str">
        <f xml:space="preserve"> INDEX('Device Table'!G$4:G$16,MATCH(J13,'Device Table'!F$4:F$16, 0),1)</f>
        <v>0</v>
      </c>
      <c r="L13" s="38" t="s">
        <v>135</v>
      </c>
      <c r="M13" s="1">
        <f xml:space="preserve"> INDEX('Device Table'!I:I,MATCH(L13,'Device Table'!H:H, 0),1)</f>
        <v>1</v>
      </c>
      <c r="N13" s="12" t="s">
        <v>191</v>
      </c>
      <c r="O13" s="1">
        <f xml:space="preserve"> INDEX('Device Table'!K$4:K$16,MATCH(N13,'Device Table'!J$4:J$16, 0),1)</f>
        <v>1</v>
      </c>
      <c r="P13" s="1">
        <v>0</v>
      </c>
      <c r="Q13" s="11">
        <v>0</v>
      </c>
      <c r="R13" s="1">
        <v>0</v>
      </c>
      <c r="S13" s="11">
        <v>16</v>
      </c>
      <c r="T13" s="1" t="str">
        <f t="shared" si="1"/>
        <v>&amp;H0200000101000010</v>
      </c>
      <c r="Y13" s="1" t="str">
        <f t="shared" si="3"/>
        <v>Y20</v>
      </c>
    </row>
    <row r="14" spans="1:43" s="1" customFormat="1" x14ac:dyDescent="0.25">
      <c r="A14" s="42" t="s">
        <v>266</v>
      </c>
      <c r="B14" s="1" t="s">
        <v>257</v>
      </c>
      <c r="C14" s="1" t="s">
        <v>257</v>
      </c>
      <c r="D14" s="1" t="s">
        <v>267</v>
      </c>
      <c r="E14" s="1" t="str">
        <f t="shared" si="2"/>
        <v>GRIPPER夾手吸附</v>
      </c>
      <c r="F14" s="38" t="s">
        <v>126</v>
      </c>
      <c r="G14" s="36" t="str">
        <f xml:space="preserve"> INDEX('Device Table'!C:C,MATCH(F14,'Device Table'!B:B, 0),1)</f>
        <v>2</v>
      </c>
      <c r="H14" s="36">
        <v>0</v>
      </c>
      <c r="I14" s="36">
        <v>0</v>
      </c>
      <c r="J14" s="38" t="s">
        <v>301</v>
      </c>
      <c r="K14" s="1" t="str">
        <f xml:space="preserve"> INDEX('Device Table'!G$4:G$16,MATCH(J14,'Device Table'!F$4:F$16, 0),1)</f>
        <v>0</v>
      </c>
      <c r="L14" s="38" t="s">
        <v>135</v>
      </c>
      <c r="M14" s="1">
        <f xml:space="preserve"> INDEX('Device Table'!I:I,MATCH(L14,'Device Table'!H:H, 0),1)</f>
        <v>1</v>
      </c>
      <c r="N14" s="12" t="s">
        <v>191</v>
      </c>
      <c r="O14" s="1">
        <f xml:space="preserve"> INDEX('Device Table'!K$4:K$16,MATCH(N14,'Device Table'!J$4:J$16, 0),1)</f>
        <v>1</v>
      </c>
      <c r="P14" s="1">
        <v>0</v>
      </c>
      <c r="Q14" s="11">
        <v>0</v>
      </c>
      <c r="R14" s="1">
        <v>0</v>
      </c>
      <c r="S14" s="11">
        <v>17</v>
      </c>
      <c r="T14" s="1" t="str">
        <f t="shared" si="1"/>
        <v>&amp;H0200000101000011</v>
      </c>
      <c r="Y14" s="1" t="str">
        <f t="shared" si="3"/>
        <v>Y21</v>
      </c>
    </row>
    <row r="15" spans="1:43" s="1" customFormat="1" x14ac:dyDescent="0.25">
      <c r="A15" s="42" t="s">
        <v>243</v>
      </c>
      <c r="B15" s="1" t="s">
        <v>530</v>
      </c>
      <c r="C15" s="1" t="s">
        <v>530</v>
      </c>
      <c r="D15" s="1" t="s">
        <v>531</v>
      </c>
      <c r="E15" s="1" t="str">
        <f t="shared" si="2"/>
        <v>GRIPPER夾手開</v>
      </c>
      <c r="F15" s="38" t="s">
        <v>126</v>
      </c>
      <c r="G15" s="36" t="str">
        <f xml:space="preserve"> INDEX('Device Table'!C:C,MATCH(F15,'Device Table'!B:B, 0),1)</f>
        <v>2</v>
      </c>
      <c r="H15" s="36">
        <v>0</v>
      </c>
      <c r="I15" s="36">
        <v>0</v>
      </c>
      <c r="J15" s="38" t="s">
        <v>301</v>
      </c>
      <c r="K15" s="1" t="str">
        <f xml:space="preserve"> INDEX('Device Table'!G$4:G$16,MATCH(J15,'Device Table'!F$4:F$16, 0),1)</f>
        <v>0</v>
      </c>
      <c r="L15" s="38" t="s">
        <v>135</v>
      </c>
      <c r="M15" s="1">
        <f xml:space="preserve"> INDEX('Device Table'!I:I,MATCH(L15,'Device Table'!H:H, 0),1)</f>
        <v>1</v>
      </c>
      <c r="N15" s="12" t="s">
        <v>191</v>
      </c>
      <c r="O15" s="1">
        <f xml:space="preserve"> INDEX('Device Table'!K$4:K$16,MATCH(N15,'Device Table'!J$4:J$16, 0),1)</f>
        <v>1</v>
      </c>
      <c r="P15" s="1">
        <v>0</v>
      </c>
      <c r="Q15" s="11">
        <v>0</v>
      </c>
      <c r="R15" s="1">
        <v>0</v>
      </c>
      <c r="S15" s="11">
        <v>18</v>
      </c>
      <c r="T15" s="1" t="str">
        <f t="shared" si="1"/>
        <v>&amp;H0200000101000012</v>
      </c>
      <c r="Y15" s="1" t="str">
        <f t="shared" si="3"/>
        <v>Y22</v>
      </c>
    </row>
    <row r="16" spans="1:43" s="1" customFormat="1" x14ac:dyDescent="0.25">
      <c r="A16" s="42" t="s">
        <v>624</v>
      </c>
      <c r="B16" s="1" t="s">
        <v>258</v>
      </c>
      <c r="C16" s="1" t="s">
        <v>258</v>
      </c>
      <c r="D16" s="1" t="s">
        <v>268</v>
      </c>
      <c r="E16" s="1" t="str">
        <f t="shared" si="2"/>
        <v>//DISPENSOR塗膠</v>
      </c>
      <c r="F16" s="38" t="s">
        <v>126</v>
      </c>
      <c r="G16" s="36" t="str">
        <f xml:space="preserve"> INDEX('Device Table'!C:C,MATCH(F16,'Device Table'!B:B, 0),1)</f>
        <v>2</v>
      </c>
      <c r="H16" s="36">
        <v>0</v>
      </c>
      <c r="I16" s="36">
        <v>0</v>
      </c>
      <c r="J16" s="38" t="s">
        <v>301</v>
      </c>
      <c r="K16" s="1" t="str">
        <f xml:space="preserve"> INDEX('Device Table'!G$4:G$16,MATCH(J16,'Device Table'!F$4:F$16, 0),1)</f>
        <v>0</v>
      </c>
      <c r="L16" s="38" t="s">
        <v>135</v>
      </c>
      <c r="M16" s="1">
        <f xml:space="preserve"> INDEX('Device Table'!I:I,MATCH(L16,'Device Table'!H:H, 0),1)</f>
        <v>1</v>
      </c>
      <c r="N16" s="12" t="s">
        <v>191</v>
      </c>
      <c r="O16" s="1">
        <f xml:space="preserve"> INDEX('Device Table'!K$4:K$16,MATCH(N16,'Device Table'!J$4:J$16, 0),1)</f>
        <v>1</v>
      </c>
      <c r="P16" s="1">
        <v>0</v>
      </c>
      <c r="Q16" s="11">
        <v>0</v>
      </c>
      <c r="R16" s="1">
        <v>0</v>
      </c>
      <c r="S16" s="11">
        <v>19</v>
      </c>
      <c r="T16" s="1" t="str">
        <f t="shared" si="1"/>
        <v>&amp;H0200000101000013</v>
      </c>
      <c r="Y16" s="1" t="str">
        <f t="shared" si="3"/>
        <v>Y23</v>
      </c>
    </row>
    <row r="17" spans="1:25" s="1" customFormat="1" x14ac:dyDescent="0.25">
      <c r="A17" s="77" t="s">
        <v>597</v>
      </c>
      <c r="E17" s="1" t="str">
        <f t="shared" si="2"/>
        <v>//</v>
      </c>
      <c r="F17" s="38" t="s">
        <v>126</v>
      </c>
      <c r="G17" s="36" t="str">
        <f xml:space="preserve"> INDEX('Device Table'!C:C,MATCH(F17,'Device Table'!B:B, 0),1)</f>
        <v>2</v>
      </c>
      <c r="H17" s="36">
        <v>0</v>
      </c>
      <c r="I17" s="36">
        <v>0</v>
      </c>
      <c r="J17" s="38" t="s">
        <v>301</v>
      </c>
      <c r="K17" s="1" t="str">
        <f xml:space="preserve"> INDEX('Device Table'!G$4:G$16,MATCH(J17,'Device Table'!F$4:F$16, 0),1)</f>
        <v>0</v>
      </c>
      <c r="L17" s="38" t="s">
        <v>135</v>
      </c>
      <c r="M17" s="1">
        <f xml:space="preserve"> INDEX('Device Table'!I:I,MATCH(L17,'Device Table'!H:H, 0),1)</f>
        <v>1</v>
      </c>
      <c r="N17" s="12" t="s">
        <v>191</v>
      </c>
      <c r="O17" s="1">
        <f xml:space="preserve"> INDEX('Device Table'!K$4:K$16,MATCH(N17,'Device Table'!J$4:J$16, 0),1)</f>
        <v>1</v>
      </c>
      <c r="P17" s="1">
        <v>0</v>
      </c>
      <c r="Q17" s="11">
        <v>0</v>
      </c>
      <c r="R17" s="1">
        <v>0</v>
      </c>
      <c r="S17" s="11">
        <v>20</v>
      </c>
      <c r="T17" s="1" t="str">
        <f t="shared" si="1"/>
        <v>&amp;H0200000101000014</v>
      </c>
      <c r="Y17" s="1" t="str">
        <f t="shared" si="3"/>
        <v>Y24</v>
      </c>
    </row>
    <row r="18" spans="1:25" s="1" customFormat="1" x14ac:dyDescent="0.25">
      <c r="A18" s="77" t="s">
        <v>256</v>
      </c>
      <c r="E18" s="1" t="str">
        <f t="shared" si="2"/>
        <v>//</v>
      </c>
      <c r="F18" s="38" t="s">
        <v>126</v>
      </c>
      <c r="G18" s="36" t="str">
        <f xml:space="preserve"> INDEX('Device Table'!C:C,MATCH(F18,'Device Table'!B:B, 0),1)</f>
        <v>2</v>
      </c>
      <c r="H18" s="36">
        <v>0</v>
      </c>
      <c r="I18" s="36">
        <v>0</v>
      </c>
      <c r="J18" s="38" t="s">
        <v>301</v>
      </c>
      <c r="K18" s="1" t="str">
        <f xml:space="preserve"> INDEX('Device Table'!G$4:G$16,MATCH(J18,'Device Table'!F$4:F$16, 0),1)</f>
        <v>0</v>
      </c>
      <c r="L18" s="38" t="s">
        <v>135</v>
      </c>
      <c r="M18" s="1">
        <f xml:space="preserve"> INDEX('Device Table'!I:I,MATCH(L18,'Device Table'!H:H, 0),1)</f>
        <v>1</v>
      </c>
      <c r="N18" s="12" t="s">
        <v>191</v>
      </c>
      <c r="O18" s="1">
        <f xml:space="preserve"> INDEX('Device Table'!K$4:K$16,MATCH(N18,'Device Table'!J$4:J$16, 0),1)</f>
        <v>1</v>
      </c>
      <c r="P18" s="1">
        <v>0</v>
      </c>
      <c r="Q18" s="11">
        <v>0</v>
      </c>
      <c r="R18" s="1">
        <v>0</v>
      </c>
      <c r="S18" s="11">
        <v>21</v>
      </c>
      <c r="T18" s="1" t="str">
        <f t="shared" si="1"/>
        <v>&amp;H0200000101000015</v>
      </c>
      <c r="Y18" s="1" t="str">
        <f t="shared" si="3"/>
        <v>Y25</v>
      </c>
    </row>
    <row r="19" spans="1:25" s="1" customFormat="1" x14ac:dyDescent="0.25">
      <c r="A19" s="77" t="s">
        <v>256</v>
      </c>
      <c r="E19" s="1" t="str">
        <f t="shared" si="2"/>
        <v>//</v>
      </c>
      <c r="F19" s="38" t="s">
        <v>126</v>
      </c>
      <c r="G19" s="36" t="str">
        <f xml:space="preserve"> INDEX('Device Table'!C:C,MATCH(F19,'Device Table'!B:B, 0),1)</f>
        <v>2</v>
      </c>
      <c r="H19" s="36">
        <v>0</v>
      </c>
      <c r="I19" s="36">
        <v>0</v>
      </c>
      <c r="J19" s="38" t="s">
        <v>301</v>
      </c>
      <c r="K19" s="1" t="str">
        <f xml:space="preserve"> INDEX('Device Table'!G$4:G$16,MATCH(J19,'Device Table'!F$4:F$16, 0),1)</f>
        <v>0</v>
      </c>
      <c r="L19" s="38" t="s">
        <v>135</v>
      </c>
      <c r="M19" s="1">
        <f xml:space="preserve"> INDEX('Device Table'!I:I,MATCH(L19,'Device Table'!H:H, 0),1)</f>
        <v>1</v>
      </c>
      <c r="N19" s="12" t="s">
        <v>191</v>
      </c>
      <c r="O19" s="1">
        <f xml:space="preserve"> INDEX('Device Table'!K$4:K$16,MATCH(N19,'Device Table'!J$4:J$16, 0),1)</f>
        <v>1</v>
      </c>
      <c r="P19" s="1">
        <v>0</v>
      </c>
      <c r="Q19" s="11">
        <v>0</v>
      </c>
      <c r="R19" s="1">
        <v>0</v>
      </c>
      <c r="S19" s="11">
        <v>22</v>
      </c>
      <c r="T19" s="1" t="str">
        <f t="shared" si="1"/>
        <v>&amp;H0200000101000016</v>
      </c>
      <c r="Y19" s="1" t="str">
        <f t="shared" si="3"/>
        <v>Y26</v>
      </c>
    </row>
    <row r="20" spans="1:25" s="1" customFormat="1" x14ac:dyDescent="0.25">
      <c r="A20" s="77" t="s">
        <v>256</v>
      </c>
      <c r="E20" s="1" t="str">
        <f t="shared" si="2"/>
        <v>//</v>
      </c>
      <c r="F20" s="38" t="s">
        <v>126</v>
      </c>
      <c r="G20" s="36" t="str">
        <f xml:space="preserve"> INDEX('Device Table'!C:C,MATCH(F20,'Device Table'!B:B, 0),1)</f>
        <v>2</v>
      </c>
      <c r="H20" s="36">
        <v>0</v>
      </c>
      <c r="I20" s="36">
        <v>0</v>
      </c>
      <c r="J20" s="38" t="s">
        <v>301</v>
      </c>
      <c r="K20" s="1" t="str">
        <f xml:space="preserve"> INDEX('Device Table'!G$4:G$16,MATCH(J20,'Device Table'!F$4:F$16, 0),1)</f>
        <v>0</v>
      </c>
      <c r="L20" s="38" t="s">
        <v>135</v>
      </c>
      <c r="M20" s="1">
        <f xml:space="preserve"> INDEX('Device Table'!I:I,MATCH(L20,'Device Table'!H:H, 0),1)</f>
        <v>1</v>
      </c>
      <c r="N20" s="12" t="s">
        <v>191</v>
      </c>
      <c r="O20" s="1">
        <f xml:space="preserve"> INDEX('Device Table'!K$4:K$16,MATCH(N20,'Device Table'!J$4:J$16, 0),1)</f>
        <v>1</v>
      </c>
      <c r="P20" s="1">
        <v>0</v>
      </c>
      <c r="Q20" s="11">
        <v>0</v>
      </c>
      <c r="R20" s="1">
        <v>0</v>
      </c>
      <c r="S20" s="11">
        <v>23</v>
      </c>
      <c r="T20" s="1" t="str">
        <f t="shared" si="1"/>
        <v>&amp;H0200000101000017</v>
      </c>
      <c r="Y20" s="1" t="str">
        <f t="shared" si="3"/>
        <v>Y27</v>
      </c>
    </row>
    <row r="21" spans="1:25" s="1" customFormat="1" x14ac:dyDescent="0.25">
      <c r="A21" s="78" t="s">
        <v>265</v>
      </c>
      <c r="B21" s="1" t="s">
        <v>260</v>
      </c>
      <c r="C21" s="1" t="s">
        <v>260</v>
      </c>
      <c r="D21" s="1" t="s">
        <v>546</v>
      </c>
      <c r="E21" s="1" t="str">
        <f t="shared" si="2"/>
        <v>SYS暫停</v>
      </c>
      <c r="F21" s="38" t="s">
        <v>126</v>
      </c>
      <c r="G21" s="36" t="str">
        <f xml:space="preserve"> INDEX('Device Table'!C:C,MATCH(F21,'Device Table'!B:B, 0),1)</f>
        <v>2</v>
      </c>
      <c r="H21" s="36">
        <v>0</v>
      </c>
      <c r="I21" s="36">
        <v>0</v>
      </c>
      <c r="J21" s="38" t="s">
        <v>301</v>
      </c>
      <c r="K21" s="1" t="str">
        <f xml:space="preserve"> INDEX('Device Table'!G$4:G$16,MATCH(J21,'Device Table'!F$4:F$16, 0),1)</f>
        <v>0</v>
      </c>
      <c r="L21" s="38" t="s">
        <v>135</v>
      </c>
      <c r="M21" s="1">
        <f xml:space="preserve"> INDEX('Device Table'!I:I,MATCH(L21,'Device Table'!H:H, 0),1)</f>
        <v>1</v>
      </c>
      <c r="N21" s="12" t="s">
        <v>191</v>
      </c>
      <c r="O21" s="1">
        <f xml:space="preserve"> INDEX('Device Table'!K$4:K$16,MATCH(N21,'Device Table'!J$4:J$16, 0),1)</f>
        <v>1</v>
      </c>
      <c r="P21" s="1">
        <v>0</v>
      </c>
      <c r="Q21" s="11">
        <v>0</v>
      </c>
      <c r="R21" s="1">
        <v>0</v>
      </c>
      <c r="S21" s="11">
        <v>24</v>
      </c>
      <c r="T21" s="1" t="str">
        <f t="shared" si="1"/>
        <v>&amp;H0200000101000018</v>
      </c>
      <c r="Y21" s="1" t="str">
        <f t="shared" si="3"/>
        <v>Y30</v>
      </c>
    </row>
    <row r="22" spans="1:25" s="1" customFormat="1" x14ac:dyDescent="0.25">
      <c r="A22" s="78" t="s">
        <v>265</v>
      </c>
      <c r="B22" s="1" t="s">
        <v>261</v>
      </c>
      <c r="C22" s="1" t="s">
        <v>261</v>
      </c>
      <c r="D22" s="1" t="s">
        <v>547</v>
      </c>
      <c r="E22" s="1" t="str">
        <f t="shared" si="2"/>
        <v>SYS紅燈</v>
      </c>
      <c r="F22" s="38" t="s">
        <v>126</v>
      </c>
      <c r="G22" s="36" t="str">
        <f xml:space="preserve"> INDEX('Device Table'!C:C,MATCH(F22,'Device Table'!B:B, 0),1)</f>
        <v>2</v>
      </c>
      <c r="H22" s="36">
        <v>0</v>
      </c>
      <c r="I22" s="36">
        <v>0</v>
      </c>
      <c r="J22" s="38" t="s">
        <v>301</v>
      </c>
      <c r="K22" s="1" t="str">
        <f xml:space="preserve"> INDEX('Device Table'!G$4:G$16,MATCH(J22,'Device Table'!F$4:F$16, 0),1)</f>
        <v>0</v>
      </c>
      <c r="L22" s="38" t="s">
        <v>135</v>
      </c>
      <c r="M22" s="1">
        <f xml:space="preserve"> INDEX('Device Table'!I:I,MATCH(L22,'Device Table'!H:H, 0),1)</f>
        <v>1</v>
      </c>
      <c r="N22" s="12" t="s">
        <v>191</v>
      </c>
      <c r="O22" s="1">
        <f xml:space="preserve"> INDEX('Device Table'!K$4:K$16,MATCH(N22,'Device Table'!J$4:J$16, 0),1)</f>
        <v>1</v>
      </c>
      <c r="P22" s="1">
        <v>0</v>
      </c>
      <c r="Q22" s="11">
        <v>0</v>
      </c>
      <c r="R22" s="1">
        <v>0</v>
      </c>
      <c r="S22" s="11">
        <v>25</v>
      </c>
      <c r="T22" s="1" t="str">
        <f t="shared" si="1"/>
        <v>&amp;H0200000101000019</v>
      </c>
      <c r="Y22" s="1" t="str">
        <f t="shared" si="3"/>
        <v>Y31</v>
      </c>
    </row>
    <row r="23" spans="1:25" s="1" customFormat="1" x14ac:dyDescent="0.25">
      <c r="A23" s="78" t="s">
        <v>265</v>
      </c>
      <c r="B23" s="1" t="s">
        <v>262</v>
      </c>
      <c r="C23" s="1" t="s">
        <v>262</v>
      </c>
      <c r="D23" s="1" t="s">
        <v>548</v>
      </c>
      <c r="E23" s="1" t="str">
        <f t="shared" si="2"/>
        <v>SYS綠燈</v>
      </c>
      <c r="F23" s="38" t="s">
        <v>126</v>
      </c>
      <c r="G23" s="36" t="str">
        <f xml:space="preserve"> INDEX('Device Table'!C:C,MATCH(F23,'Device Table'!B:B, 0),1)</f>
        <v>2</v>
      </c>
      <c r="H23" s="36">
        <v>0</v>
      </c>
      <c r="I23" s="36">
        <v>0</v>
      </c>
      <c r="J23" s="38" t="s">
        <v>301</v>
      </c>
      <c r="K23" s="1" t="str">
        <f xml:space="preserve"> INDEX('Device Table'!G$4:G$16,MATCH(J23,'Device Table'!F$4:F$16, 0),1)</f>
        <v>0</v>
      </c>
      <c r="L23" s="38" t="s">
        <v>135</v>
      </c>
      <c r="M23" s="1">
        <f xml:space="preserve"> INDEX('Device Table'!I:I,MATCH(L23,'Device Table'!H:H, 0),1)</f>
        <v>1</v>
      </c>
      <c r="N23" s="12" t="s">
        <v>191</v>
      </c>
      <c r="O23" s="1">
        <f xml:space="preserve"> INDEX('Device Table'!K$4:K$16,MATCH(N23,'Device Table'!J$4:J$16, 0),1)</f>
        <v>1</v>
      </c>
      <c r="P23" s="1">
        <v>0</v>
      </c>
      <c r="Q23" s="11">
        <v>0</v>
      </c>
      <c r="R23" s="1">
        <v>0</v>
      </c>
      <c r="S23" s="11">
        <v>26</v>
      </c>
      <c r="T23" s="1" t="str">
        <f t="shared" si="1"/>
        <v>&amp;H020000010100001A</v>
      </c>
      <c r="Y23" s="1" t="str">
        <f t="shared" si="3"/>
        <v>Y32</v>
      </c>
    </row>
    <row r="24" spans="1:25" s="1" customFormat="1" x14ac:dyDescent="0.25">
      <c r="A24" s="78" t="s">
        <v>265</v>
      </c>
      <c r="B24" s="1" t="s">
        <v>263</v>
      </c>
      <c r="C24" s="1" t="s">
        <v>263</v>
      </c>
      <c r="D24" s="1" t="s">
        <v>549</v>
      </c>
      <c r="E24" s="1" t="str">
        <f t="shared" si="2"/>
        <v>SYS黃燈</v>
      </c>
      <c r="F24" s="38" t="s">
        <v>126</v>
      </c>
      <c r="G24" s="36" t="str">
        <f xml:space="preserve"> INDEX('Device Table'!C:C,MATCH(F24,'Device Table'!B:B, 0),1)</f>
        <v>2</v>
      </c>
      <c r="H24" s="36">
        <v>0</v>
      </c>
      <c r="I24" s="36">
        <v>0</v>
      </c>
      <c r="J24" s="38" t="s">
        <v>301</v>
      </c>
      <c r="K24" s="1" t="str">
        <f xml:space="preserve"> INDEX('Device Table'!G$4:G$16,MATCH(J24,'Device Table'!F$4:F$16, 0),1)</f>
        <v>0</v>
      </c>
      <c r="L24" s="38" t="s">
        <v>135</v>
      </c>
      <c r="M24" s="1">
        <f xml:space="preserve"> INDEX('Device Table'!I:I,MATCH(L24,'Device Table'!H:H, 0),1)</f>
        <v>1</v>
      </c>
      <c r="N24" s="12" t="s">
        <v>191</v>
      </c>
      <c r="O24" s="1">
        <f xml:space="preserve"> INDEX('Device Table'!K$4:K$16,MATCH(N24,'Device Table'!J$4:J$16, 0),1)</f>
        <v>1</v>
      </c>
      <c r="P24" s="1">
        <v>0</v>
      </c>
      <c r="Q24" s="11">
        <v>0</v>
      </c>
      <c r="R24" s="1">
        <v>0</v>
      </c>
      <c r="S24" s="11">
        <v>27</v>
      </c>
      <c r="T24" s="1" t="str">
        <f t="shared" si="1"/>
        <v>&amp;H020000010100001B</v>
      </c>
      <c r="Y24" s="1" t="str">
        <f t="shared" si="3"/>
        <v>Y33</v>
      </c>
    </row>
    <row r="25" spans="1:25" s="1" customFormat="1" x14ac:dyDescent="0.25">
      <c r="A25" s="78" t="s">
        <v>265</v>
      </c>
      <c r="B25" s="1" t="s">
        <v>264</v>
      </c>
      <c r="C25" s="1" t="s">
        <v>264</v>
      </c>
      <c r="D25" s="1" t="s">
        <v>550</v>
      </c>
      <c r="E25" s="1" t="str">
        <f t="shared" si="2"/>
        <v>SYS蜂鳴器</v>
      </c>
      <c r="F25" s="38" t="s">
        <v>126</v>
      </c>
      <c r="G25" s="36" t="str">
        <f xml:space="preserve"> INDEX('Device Table'!C:C,MATCH(F25,'Device Table'!B:B, 0),1)</f>
        <v>2</v>
      </c>
      <c r="H25" s="36">
        <v>0</v>
      </c>
      <c r="I25" s="36">
        <v>0</v>
      </c>
      <c r="J25" s="38" t="s">
        <v>301</v>
      </c>
      <c r="K25" s="1" t="str">
        <f xml:space="preserve"> INDEX('Device Table'!G$4:G$16,MATCH(J25,'Device Table'!F$4:F$16, 0),1)</f>
        <v>0</v>
      </c>
      <c r="L25" s="38" t="s">
        <v>135</v>
      </c>
      <c r="M25" s="1">
        <f xml:space="preserve"> INDEX('Device Table'!I:I,MATCH(L25,'Device Table'!H:H, 0),1)</f>
        <v>1</v>
      </c>
      <c r="N25" s="12" t="s">
        <v>191</v>
      </c>
      <c r="O25" s="1">
        <f xml:space="preserve"> INDEX('Device Table'!K$4:K$16,MATCH(N25,'Device Table'!J$4:J$16, 0),1)</f>
        <v>1</v>
      </c>
      <c r="P25" s="1">
        <v>0</v>
      </c>
      <c r="Q25" s="11">
        <v>0</v>
      </c>
      <c r="R25" s="1">
        <v>0</v>
      </c>
      <c r="S25" s="11">
        <v>28</v>
      </c>
      <c r="T25" s="1" t="str">
        <f t="shared" si="1"/>
        <v>&amp;H020000010100001C</v>
      </c>
      <c r="Y25" s="1" t="str">
        <f t="shared" si="3"/>
        <v>Y34</v>
      </c>
    </row>
    <row r="26" spans="1:25" s="1" customFormat="1" x14ac:dyDescent="0.25">
      <c r="A26" s="78" t="s">
        <v>256</v>
      </c>
      <c r="E26" s="1" t="str">
        <f t="shared" si="2"/>
        <v>//</v>
      </c>
      <c r="F26" s="38" t="s">
        <v>126</v>
      </c>
      <c r="G26" s="36" t="str">
        <f xml:space="preserve"> INDEX('Device Table'!C:C,MATCH(F26,'Device Table'!B:B, 0),1)</f>
        <v>2</v>
      </c>
      <c r="H26" s="36">
        <v>0</v>
      </c>
      <c r="I26" s="36">
        <v>0</v>
      </c>
      <c r="J26" s="38" t="s">
        <v>301</v>
      </c>
      <c r="K26" s="1" t="str">
        <f xml:space="preserve"> INDEX('Device Table'!G$4:G$16,MATCH(J26,'Device Table'!F$4:F$16, 0),1)</f>
        <v>0</v>
      </c>
      <c r="L26" s="38" t="s">
        <v>135</v>
      </c>
      <c r="M26" s="1">
        <f xml:space="preserve"> INDEX('Device Table'!I:I,MATCH(L26,'Device Table'!H:H, 0),1)</f>
        <v>1</v>
      </c>
      <c r="N26" s="12" t="s">
        <v>191</v>
      </c>
      <c r="O26" s="1">
        <f xml:space="preserve"> INDEX('Device Table'!K$4:K$16,MATCH(N26,'Device Table'!J$4:J$16, 0),1)</f>
        <v>1</v>
      </c>
      <c r="P26" s="1">
        <v>0</v>
      </c>
      <c r="Q26" s="11">
        <v>0</v>
      </c>
      <c r="R26" s="1">
        <v>0</v>
      </c>
      <c r="S26" s="11">
        <v>29</v>
      </c>
      <c r="T26" s="1" t="str">
        <f t="shared" si="1"/>
        <v>&amp;H020000010100001D</v>
      </c>
      <c r="Y26" s="1" t="str">
        <f t="shared" si="3"/>
        <v>Y35</v>
      </c>
    </row>
    <row r="27" spans="1:25" s="1" customFormat="1" x14ac:dyDescent="0.25">
      <c r="A27" s="78" t="s">
        <v>256</v>
      </c>
      <c r="E27" s="1" t="str">
        <f t="shared" si="2"/>
        <v>//</v>
      </c>
      <c r="F27" s="38" t="s">
        <v>126</v>
      </c>
      <c r="G27" s="36" t="str">
        <f xml:space="preserve"> INDEX('Device Table'!C:C,MATCH(F27,'Device Table'!B:B, 0),1)</f>
        <v>2</v>
      </c>
      <c r="H27" s="36">
        <v>0</v>
      </c>
      <c r="I27" s="36">
        <v>0</v>
      </c>
      <c r="J27" s="38" t="s">
        <v>301</v>
      </c>
      <c r="K27" s="1" t="str">
        <f xml:space="preserve"> INDEX('Device Table'!G$4:G$16,MATCH(J27,'Device Table'!F$4:F$16, 0),1)</f>
        <v>0</v>
      </c>
      <c r="L27" s="38" t="s">
        <v>135</v>
      </c>
      <c r="M27" s="1">
        <f xml:space="preserve"> INDEX('Device Table'!I:I,MATCH(L27,'Device Table'!H:H, 0),1)</f>
        <v>1</v>
      </c>
      <c r="N27" s="12" t="s">
        <v>191</v>
      </c>
      <c r="O27" s="1">
        <f xml:space="preserve"> INDEX('Device Table'!K$4:K$16,MATCH(N27,'Device Table'!J$4:J$16, 0),1)</f>
        <v>1</v>
      </c>
      <c r="P27" s="1">
        <v>0</v>
      </c>
      <c r="Q27" s="11">
        <v>0</v>
      </c>
      <c r="R27" s="1">
        <v>0</v>
      </c>
      <c r="S27" s="11">
        <v>30</v>
      </c>
      <c r="T27" s="1" t="str">
        <f t="shared" si="1"/>
        <v>&amp;H020000010100001E</v>
      </c>
      <c r="Y27" s="1" t="str">
        <f t="shared" si="3"/>
        <v>Y36</v>
      </c>
    </row>
    <row r="28" spans="1:25" s="1" customFormat="1" x14ac:dyDescent="0.25">
      <c r="A28" s="78" t="s">
        <v>256</v>
      </c>
      <c r="E28" s="1" t="str">
        <f t="shared" si="2"/>
        <v>//</v>
      </c>
      <c r="F28" s="38" t="s">
        <v>126</v>
      </c>
      <c r="G28" s="36" t="str">
        <f xml:space="preserve"> INDEX('Device Table'!C:C,MATCH(F28,'Device Table'!B:B, 0),1)</f>
        <v>2</v>
      </c>
      <c r="H28" s="36">
        <v>0</v>
      </c>
      <c r="I28" s="36">
        <v>0</v>
      </c>
      <c r="J28" s="38" t="s">
        <v>301</v>
      </c>
      <c r="K28" s="1" t="str">
        <f xml:space="preserve"> INDEX('Device Table'!G$4:G$16,MATCH(J28,'Device Table'!F$4:F$16, 0),1)</f>
        <v>0</v>
      </c>
      <c r="L28" s="38" t="s">
        <v>135</v>
      </c>
      <c r="M28" s="1">
        <f xml:space="preserve"> INDEX('Device Table'!I:I,MATCH(L28,'Device Table'!H:H, 0),1)</f>
        <v>1</v>
      </c>
      <c r="N28" s="12" t="s">
        <v>191</v>
      </c>
      <c r="O28" s="1">
        <f xml:space="preserve"> INDEX('Device Table'!K$4:K$16,MATCH(N28,'Device Table'!J$4:J$16, 0),1)</f>
        <v>1</v>
      </c>
      <c r="P28" s="1">
        <v>0</v>
      </c>
      <c r="Q28" s="11">
        <v>0</v>
      </c>
      <c r="R28" s="1">
        <v>0</v>
      </c>
      <c r="S28" s="11">
        <v>31</v>
      </c>
      <c r="T28" s="1" t="str">
        <f t="shared" si="1"/>
        <v>&amp;H020000010100001F</v>
      </c>
      <c r="Y28" s="1" t="str">
        <f t="shared" si="3"/>
        <v>Y37</v>
      </c>
    </row>
    <row r="29" spans="1:25" s="1" customFormat="1" x14ac:dyDescent="0.25">
      <c r="A29" s="78" t="s">
        <v>265</v>
      </c>
      <c r="B29" s="1" t="s">
        <v>607</v>
      </c>
      <c r="C29" s="1" t="s">
        <v>599</v>
      </c>
      <c r="D29" s="1" t="s">
        <v>610</v>
      </c>
      <c r="E29" s="1" t="str">
        <f t="shared" si="2"/>
        <v>SYS塗膠自動控制</v>
      </c>
      <c r="F29" s="38" t="s">
        <v>126</v>
      </c>
      <c r="G29" s="36" t="str">
        <f xml:space="preserve"> INDEX('Device Table'!C:C,MATCH(F29,'Device Table'!B:B, 0),1)</f>
        <v>2</v>
      </c>
      <c r="H29" s="36">
        <v>0</v>
      </c>
      <c r="I29" s="36">
        <v>0</v>
      </c>
      <c r="J29" s="38" t="s">
        <v>301</v>
      </c>
      <c r="K29" s="1" t="str">
        <f xml:space="preserve"> INDEX('Device Table'!G$4:G$16,MATCH(J29,'Device Table'!F$4:F$16, 0),1)</f>
        <v>0</v>
      </c>
      <c r="L29" s="38" t="s">
        <v>135</v>
      </c>
      <c r="M29" s="1">
        <f xml:space="preserve"> INDEX('Device Table'!I:I,MATCH(L29,'Device Table'!H:H, 0),1)</f>
        <v>1</v>
      </c>
      <c r="N29" s="12" t="s">
        <v>598</v>
      </c>
      <c r="O29" s="1">
        <f xml:space="preserve"> INDEX('Device Table'!K$4:K$16,MATCH(N29,'Device Table'!J$4:J$16, 0),1)</f>
        <v>2</v>
      </c>
      <c r="P29" s="1">
        <v>0</v>
      </c>
      <c r="Q29" s="11">
        <v>2</v>
      </c>
      <c r="R29" s="1">
        <v>0</v>
      </c>
      <c r="S29" s="11">
        <v>0</v>
      </c>
      <c r="T29" s="1" t="str">
        <f t="shared" si="1"/>
        <v>&amp;H0200000102020000</v>
      </c>
    </row>
    <row r="30" spans="1:25" s="1" customFormat="1" x14ac:dyDescent="0.25">
      <c r="A30" s="78" t="s">
        <v>608</v>
      </c>
      <c r="B30" s="1" t="s">
        <v>609</v>
      </c>
      <c r="C30" s="1" t="s">
        <v>609</v>
      </c>
      <c r="D30" s="1" t="s">
        <v>611</v>
      </c>
      <c r="E30" s="1" t="str">
        <f t="shared" si="2"/>
        <v>SYS塗膠手動控制</v>
      </c>
      <c r="F30" s="38" t="s">
        <v>126</v>
      </c>
      <c r="G30" s="36" t="str">
        <f xml:space="preserve"> INDEX('Device Table'!C:C,MATCH(F30,'Device Table'!B:B, 0),1)</f>
        <v>2</v>
      </c>
      <c r="H30" s="36">
        <v>0</v>
      </c>
      <c r="I30" s="36">
        <v>0</v>
      </c>
      <c r="J30" s="38" t="s">
        <v>301</v>
      </c>
      <c r="K30" s="1" t="str">
        <f xml:space="preserve"> INDEX('Device Table'!G$4:G$16,MATCH(J30,'Device Table'!F$4:F$16, 0),1)</f>
        <v>0</v>
      </c>
      <c r="L30" s="38" t="s">
        <v>135</v>
      </c>
      <c r="M30" s="1">
        <f xml:space="preserve"> INDEX('Device Table'!I:I,MATCH(L30,'Device Table'!H:H, 0),1)</f>
        <v>1</v>
      </c>
      <c r="N30" s="12" t="s">
        <v>169</v>
      </c>
      <c r="O30" s="1">
        <f xml:space="preserve"> INDEX('Device Table'!K$4:K$16,MATCH(N30,'Device Table'!J$4:J$16, 0),1)</f>
        <v>2</v>
      </c>
      <c r="P30" s="1">
        <v>0</v>
      </c>
      <c r="Q30" s="11">
        <v>2</v>
      </c>
      <c r="R30" s="1">
        <v>0</v>
      </c>
      <c r="S30" s="11">
        <v>1</v>
      </c>
      <c r="T30" s="1" t="str">
        <f t="shared" si="1"/>
        <v>&amp;H0200000102020001</v>
      </c>
    </row>
    <row r="31" spans="1:25" s="1" customFormat="1" x14ac:dyDescent="0.25">
      <c r="A31" s="78" t="s">
        <v>265</v>
      </c>
      <c r="B31" s="1" t="s">
        <v>600</v>
      </c>
      <c r="C31" s="1" t="s">
        <v>600</v>
      </c>
      <c r="D31" s="1" t="s">
        <v>601</v>
      </c>
      <c r="E31" s="1" t="str">
        <f t="shared" si="2"/>
        <v>SYS塗膠時間</v>
      </c>
      <c r="F31" s="38" t="s">
        <v>126</v>
      </c>
      <c r="G31" s="36" t="str">
        <f xml:space="preserve"> INDEX('Device Table'!C:C,MATCH(F31,'Device Table'!B:B, 0),1)</f>
        <v>2</v>
      </c>
      <c r="H31" s="36">
        <v>0</v>
      </c>
      <c r="I31" s="36">
        <v>0</v>
      </c>
      <c r="J31" s="38" t="s">
        <v>301</v>
      </c>
      <c r="K31" s="1" t="str">
        <f xml:space="preserve"> INDEX('Device Table'!G$4:G$16,MATCH(J31,'Device Table'!F$4:F$16, 0),1)</f>
        <v>0</v>
      </c>
      <c r="L31" s="38" t="s">
        <v>135</v>
      </c>
      <c r="M31" s="1">
        <f xml:space="preserve"> INDEX('Device Table'!I:I,MATCH(L31,'Device Table'!H:H, 0),1)</f>
        <v>1</v>
      </c>
      <c r="N31" s="12" t="s">
        <v>598</v>
      </c>
      <c r="O31" s="1">
        <f xml:space="preserve"> INDEX('Device Table'!K$4:K$16,MATCH(N31,'Device Table'!J$4:J$16, 0),1)</f>
        <v>2</v>
      </c>
      <c r="P31" s="1">
        <v>0</v>
      </c>
      <c r="Q31" s="11">
        <v>3</v>
      </c>
      <c r="R31" s="1">
        <v>0</v>
      </c>
      <c r="S31" s="11">
        <v>0</v>
      </c>
      <c r="T31" s="1" t="str">
        <f t="shared" si="1"/>
        <v>&amp;H0200000102030000</v>
      </c>
    </row>
    <row r="32" spans="1:25" s="1" customFormat="1" x14ac:dyDescent="0.25">
      <c r="A32" s="78" t="s">
        <v>265</v>
      </c>
      <c r="B32" s="1" t="s">
        <v>577</v>
      </c>
      <c r="C32" s="1" t="s">
        <v>577</v>
      </c>
      <c r="D32" s="1" t="s">
        <v>581</v>
      </c>
      <c r="E32" s="1" t="str">
        <f t="shared" si="2"/>
        <v>SYS偏振1</v>
      </c>
      <c r="F32" s="38" t="s">
        <v>562</v>
      </c>
      <c r="G32" s="36">
        <f xml:space="preserve"> INDEX('Device Table'!C:C,MATCH(F32,'Device Table'!B:B, 0),1)</f>
        <v>16</v>
      </c>
      <c r="H32" s="36">
        <v>0</v>
      </c>
      <c r="I32" s="36">
        <v>0</v>
      </c>
      <c r="J32" s="38">
        <v>0</v>
      </c>
      <c r="K32" s="11">
        <v>0</v>
      </c>
      <c r="L32" s="37" t="s">
        <v>585</v>
      </c>
      <c r="M32" s="1">
        <f xml:space="preserve"> INDEX('Device Table'!I:I,MATCH(L32,'Device Table'!H:H, 0),1)</f>
        <v>1</v>
      </c>
      <c r="N32" s="1" t="s">
        <v>575</v>
      </c>
      <c r="O32" s="1">
        <f xml:space="preserve"> INDEX('Device Table'!K$4:K$16,MATCH(N32,'Device Table'!J$4:J$16, 0),1)</f>
        <v>1</v>
      </c>
      <c r="P32" s="11">
        <v>0</v>
      </c>
      <c r="Q32" s="11">
        <v>0</v>
      </c>
      <c r="R32" s="11">
        <v>0</v>
      </c>
      <c r="S32" s="11">
        <v>0</v>
      </c>
      <c r="T32" s="1" t="str">
        <f t="shared" si="1"/>
        <v>&amp;H1000000101000000</v>
      </c>
      <c r="Y32" s="1" t="str">
        <f t="shared" si="3"/>
        <v>Y0</v>
      </c>
    </row>
    <row r="33" spans="1:20" s="1" customFormat="1" x14ac:dyDescent="0.25">
      <c r="A33" s="78" t="s">
        <v>265</v>
      </c>
      <c r="B33" s="1" t="s">
        <v>578</v>
      </c>
      <c r="C33" s="1" t="s">
        <v>578</v>
      </c>
      <c r="D33" s="1" t="s">
        <v>582</v>
      </c>
      <c r="E33" s="1" t="str">
        <f t="shared" si="2"/>
        <v>SYS偏振2</v>
      </c>
      <c r="F33" s="38" t="s">
        <v>562</v>
      </c>
      <c r="G33" s="36">
        <f xml:space="preserve"> INDEX('Device Table'!C:C,MATCH(F33,'Device Table'!B:B, 0),1)</f>
        <v>16</v>
      </c>
      <c r="H33" s="36">
        <v>0</v>
      </c>
      <c r="I33" s="36">
        <v>0</v>
      </c>
      <c r="J33" s="38">
        <v>0</v>
      </c>
      <c r="K33" s="11">
        <v>0</v>
      </c>
      <c r="L33" s="37" t="s">
        <v>585</v>
      </c>
      <c r="M33" s="1">
        <f xml:space="preserve"> INDEX('Device Table'!I:I,MATCH(L33,'Device Table'!H:H, 0),1)</f>
        <v>1</v>
      </c>
      <c r="N33" s="1" t="s">
        <v>575</v>
      </c>
      <c r="O33" s="1">
        <f xml:space="preserve"> INDEX('Device Table'!K$4:K$16,MATCH(N33,'Device Table'!J$4:J$16, 0),1)</f>
        <v>1</v>
      </c>
      <c r="P33" s="1">
        <v>0</v>
      </c>
      <c r="Q33" s="11">
        <v>1</v>
      </c>
      <c r="R33" s="11">
        <v>0</v>
      </c>
      <c r="S33" s="11">
        <v>0</v>
      </c>
      <c r="T33" s="1" t="str">
        <f t="shared" si="1"/>
        <v>&amp;H1000000101010000</v>
      </c>
    </row>
    <row r="34" spans="1:20" s="1" customFormat="1" x14ac:dyDescent="0.25">
      <c r="A34" s="78" t="s">
        <v>265</v>
      </c>
      <c r="B34" s="1" t="s">
        <v>579</v>
      </c>
      <c r="C34" s="1" t="s">
        <v>579</v>
      </c>
      <c r="D34" s="1" t="s">
        <v>583</v>
      </c>
      <c r="E34" s="1" t="str">
        <f t="shared" si="2"/>
        <v>SYS偏振3</v>
      </c>
      <c r="F34" s="38" t="s">
        <v>562</v>
      </c>
      <c r="G34" s="36">
        <f xml:space="preserve"> INDEX('Device Table'!C:C,MATCH(F34,'Device Table'!B:B, 0),1)</f>
        <v>16</v>
      </c>
      <c r="H34" s="36">
        <v>0</v>
      </c>
      <c r="I34" s="36">
        <v>0</v>
      </c>
      <c r="J34" s="38">
        <v>0</v>
      </c>
      <c r="K34" s="11">
        <v>0</v>
      </c>
      <c r="L34" s="37" t="s">
        <v>570</v>
      </c>
      <c r="M34" s="1">
        <f xml:space="preserve"> INDEX('Device Table'!I:I,MATCH(L34,'Device Table'!H:H, 0),1)</f>
        <v>1</v>
      </c>
      <c r="N34" s="1" t="s">
        <v>575</v>
      </c>
      <c r="O34" s="1">
        <f xml:space="preserve"> INDEX('Device Table'!K$4:K$16,MATCH(N34,'Device Table'!J$4:J$16, 0),1)</f>
        <v>1</v>
      </c>
      <c r="P34" s="11">
        <v>0</v>
      </c>
      <c r="Q34" s="11">
        <v>2</v>
      </c>
      <c r="R34" s="11">
        <v>0</v>
      </c>
      <c r="S34" s="11">
        <v>0</v>
      </c>
      <c r="T34" s="1" t="str">
        <f t="shared" si="1"/>
        <v>&amp;H1000000101020000</v>
      </c>
    </row>
    <row r="35" spans="1:20" s="1" customFormat="1" x14ac:dyDescent="0.25">
      <c r="A35" s="1" t="s">
        <v>580</v>
      </c>
      <c r="F35" s="38" t="s">
        <v>562</v>
      </c>
      <c r="G35" s="36">
        <f xml:space="preserve"> INDEX('Device Table'!C:C,MATCH(F35,'Device Table'!B:B, 0),1)</f>
        <v>16</v>
      </c>
      <c r="H35" s="36">
        <v>0</v>
      </c>
      <c r="I35" s="36">
        <v>0</v>
      </c>
      <c r="J35" s="38">
        <v>0</v>
      </c>
      <c r="K35" s="11">
        <v>0</v>
      </c>
      <c r="L35" s="37" t="s">
        <v>570</v>
      </c>
      <c r="M35" s="1">
        <f xml:space="preserve"> INDEX('Device Table'!I:I,MATCH(L35,'Device Table'!H:H, 0),1)</f>
        <v>1</v>
      </c>
      <c r="N35" s="1" t="s">
        <v>575</v>
      </c>
      <c r="O35" s="1">
        <f xml:space="preserve"> INDEX('Device Table'!K$4:K$16,MATCH(N35,'Device Table'!J$4:J$16, 0),1)</f>
        <v>1</v>
      </c>
      <c r="P35" s="1">
        <v>0</v>
      </c>
      <c r="Q35" s="11">
        <v>3</v>
      </c>
      <c r="R35" s="11">
        <v>0</v>
      </c>
      <c r="S35" s="11">
        <v>0</v>
      </c>
      <c r="T35" s="1" t="str">
        <f t="shared" si="1"/>
        <v>&amp;H1000000101030000</v>
      </c>
    </row>
  </sheetData>
  <autoFilter ref="A3:Y3"/>
  <phoneticPr fontId="14" type="noConversion"/>
  <printOptions gridLines="1"/>
  <pageMargins left="0.23622047244094491" right="0.23622047244094491" top="0.15748031496062992" bottom="0.15748031496062992" header="0.31496062992125984" footer="0.31496062992125984"/>
  <pageSetup paperSize="9" scale="94" firstPageNumber="0" fitToHeight="0" orientation="landscape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R5"/>
  <sheetViews>
    <sheetView zoomScale="85" zoomScaleNormal="85" workbookViewId="0">
      <selection activeCell="E14" sqref="E14"/>
    </sheetView>
  </sheetViews>
  <sheetFormatPr defaultRowHeight="16.5" x14ac:dyDescent="0.25"/>
  <cols>
    <col min="1" max="1" width="17.625" style="2" bestFit="1" customWidth="1"/>
    <col min="2" max="2" width="10.875" style="2" bestFit="1" customWidth="1"/>
    <col min="3" max="3" width="14.125" style="2" bestFit="1" customWidth="1"/>
    <col min="4" max="4" width="12.5" style="2" bestFit="1" customWidth="1"/>
    <col min="5" max="5" width="13.75" style="2" bestFit="1" customWidth="1"/>
    <col min="6" max="6" width="17.875" style="2" bestFit="1" customWidth="1"/>
    <col min="7" max="7" width="15" style="2" bestFit="1" customWidth="1"/>
    <col min="8" max="8" width="20.25" style="2" bestFit="1" customWidth="1"/>
    <col min="9" max="9" width="25.875" style="2" customWidth="1"/>
    <col min="10" max="10" width="23.75" style="2" customWidth="1"/>
    <col min="11" max="11" width="15.25" style="2" bestFit="1" customWidth="1"/>
    <col min="12" max="12" width="15" style="2" bestFit="1" customWidth="1"/>
    <col min="13" max="13" width="17.375" style="2" bestFit="1" customWidth="1"/>
    <col min="14" max="14" width="14.625" style="2" customWidth="1"/>
    <col min="15" max="15" width="15" style="2" bestFit="1" customWidth="1"/>
    <col min="16" max="16" width="20" style="2" bestFit="1" customWidth="1"/>
    <col min="17" max="17" width="16.625" style="2" bestFit="1" customWidth="1"/>
    <col min="18" max="18" width="8.25" style="2" bestFit="1" customWidth="1"/>
    <col min="19" max="16384" width="9" style="2"/>
  </cols>
  <sheetData>
    <row r="1" spans="1:18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</row>
    <row r="2" spans="1:18" x14ac:dyDescent="0.25">
      <c r="A2" s="2" t="str">
        <f>T(馬達列舉!E2)</f>
        <v>MsX,FA,X軸</v>
      </c>
      <c r="B2" s="2" t="str">
        <f>T(馬達列舉!B2)</f>
        <v>FA</v>
      </c>
      <c r="C2" s="2">
        <f>(馬達列舉!G2)</f>
        <v>0</v>
      </c>
      <c r="D2" s="2">
        <f>(馬達列舉!H2)</f>
        <v>0</v>
      </c>
      <c r="E2" s="2">
        <f>(馬達列舉!I2)</f>
        <v>0</v>
      </c>
      <c r="F2" s="2" t="str">
        <f ca="1">(馬達列舉!L2)</f>
        <v>ACTIVE</v>
      </c>
      <c r="G2" s="6">
        <v>0</v>
      </c>
      <c r="H2" s="5" t="s">
        <v>177</v>
      </c>
      <c r="I2" s="2" t="str">
        <f ca="1">(馬達列舉!P2)</f>
        <v>OUT_FALLING_DIR_LOW</v>
      </c>
      <c r="J2" s="2" t="str">
        <f ca="1">(馬達列舉!Q2)</f>
        <v>EXTERNAL_ENCODER</v>
      </c>
      <c r="K2" s="5" t="s">
        <v>46</v>
      </c>
      <c r="L2" s="5" t="s">
        <v>64</v>
      </c>
      <c r="M2" s="5" t="s">
        <v>47</v>
      </c>
      <c r="N2" s="5" t="s">
        <v>46</v>
      </c>
      <c r="O2" s="5" t="s">
        <v>46</v>
      </c>
      <c r="P2" s="5" t="s">
        <v>64</v>
      </c>
      <c r="Q2" s="6">
        <f ca="1">(馬達列舉!O2)</f>
        <v>1000</v>
      </c>
      <c r="R2" s="5" t="s">
        <v>48</v>
      </c>
    </row>
    <row r="3" spans="1:18" x14ac:dyDescent="0.25">
      <c r="A3" s="2" t="str">
        <f>T(馬達列舉!E3)</f>
        <v>MsY,FA,Y軸</v>
      </c>
      <c r="B3" s="2" t="str">
        <f>T(馬達列舉!B3)</f>
        <v>FA</v>
      </c>
      <c r="C3" s="2">
        <f>(馬達列舉!G3)</f>
        <v>0</v>
      </c>
      <c r="D3" s="2">
        <f>(馬達列舉!H3)</f>
        <v>0</v>
      </c>
      <c r="E3" s="2">
        <f>(馬達列舉!I3)</f>
        <v>1</v>
      </c>
      <c r="F3" s="2" t="str">
        <f ca="1">(馬達列舉!L3)</f>
        <v>ACTIVE</v>
      </c>
      <c r="G3" s="6">
        <v>0</v>
      </c>
      <c r="H3" s="5" t="s">
        <v>177</v>
      </c>
      <c r="I3" s="2" t="str">
        <f ca="1">(馬達列舉!P3)</f>
        <v>A_B_Phase</v>
      </c>
      <c r="J3" s="2" t="str">
        <f ca="1">(馬達列舉!Q3)</f>
        <v>EXTERNAL_ENCODER</v>
      </c>
      <c r="K3" s="5" t="s">
        <v>46</v>
      </c>
      <c r="L3" s="5" t="s">
        <v>64</v>
      </c>
      <c r="M3" s="5" t="s">
        <v>47</v>
      </c>
      <c r="N3" s="5" t="s">
        <v>46</v>
      </c>
      <c r="O3" s="5" t="s">
        <v>46</v>
      </c>
      <c r="P3" s="5" t="s">
        <v>64</v>
      </c>
      <c r="Q3" s="6">
        <f ca="1">(馬達列舉!O3)</f>
        <v>819.2</v>
      </c>
      <c r="R3" s="5" t="s">
        <v>48</v>
      </c>
    </row>
    <row r="4" spans="1:18" x14ac:dyDescent="0.25">
      <c r="A4" s="2" t="str">
        <f>T(馬達列舉!E4)</f>
        <v>MsZ,FA,Z軸</v>
      </c>
      <c r="B4" s="2" t="str">
        <f>T(馬達列舉!B4)</f>
        <v>FA</v>
      </c>
      <c r="C4" s="2">
        <f>(馬達列舉!G4)</f>
        <v>0</v>
      </c>
      <c r="D4" s="2">
        <f>(馬達列舉!H4)</f>
        <v>0</v>
      </c>
      <c r="E4" s="2">
        <f>(馬達列舉!I4)</f>
        <v>2</v>
      </c>
      <c r="F4" s="2" t="str">
        <f ca="1">(馬達列舉!L4)</f>
        <v>ACTIVE</v>
      </c>
      <c r="G4" s="6">
        <v>0</v>
      </c>
      <c r="H4" s="5" t="s">
        <v>62</v>
      </c>
      <c r="I4" s="2" t="str">
        <f ca="1">(馬達列舉!P4)</f>
        <v>A_B_Phase</v>
      </c>
      <c r="J4" s="2" t="str">
        <f ca="1">(馬達列舉!Q4)</f>
        <v>EXTERNAL_ENCODER</v>
      </c>
      <c r="K4" s="5" t="s">
        <v>46</v>
      </c>
      <c r="L4" s="5" t="s">
        <v>64</v>
      </c>
      <c r="M4" s="5" t="s">
        <v>47</v>
      </c>
      <c r="N4" s="5" t="s">
        <v>46</v>
      </c>
      <c r="O4" s="5" t="s">
        <v>46</v>
      </c>
      <c r="P4" s="5" t="s">
        <v>64</v>
      </c>
      <c r="Q4" s="6">
        <f ca="1">(馬達列舉!O4)</f>
        <v>819.2</v>
      </c>
      <c r="R4" s="5" t="s">
        <v>48</v>
      </c>
    </row>
    <row r="5" spans="1:18" x14ac:dyDescent="0.25">
      <c r="A5" s="2" t="str">
        <f>T(馬達列舉!E5)</f>
        <v>MpUV,FA,UV光掃描</v>
      </c>
      <c r="B5" s="2" t="str">
        <f>T(馬達列舉!B5)</f>
        <v>FA</v>
      </c>
      <c r="C5" s="2">
        <f>(馬達列舉!G5)</f>
        <v>0</v>
      </c>
      <c r="D5" s="2">
        <f>(馬達列舉!H5)</f>
        <v>0</v>
      </c>
      <c r="E5" s="2">
        <f>(馬達列舉!I5)</f>
        <v>3</v>
      </c>
      <c r="F5" s="2" t="str">
        <f ca="1">(馬達列舉!L5)</f>
        <v>INACTIVE</v>
      </c>
      <c r="G5" s="6">
        <v>0</v>
      </c>
      <c r="H5" s="5" t="s">
        <v>62</v>
      </c>
      <c r="I5" s="2" t="str">
        <f ca="1">(馬達列舉!P5)</f>
        <v>OUT_FALLING_DIR_LOW</v>
      </c>
      <c r="J5" s="2" t="str">
        <f ca="1">(馬達列舉!Q5)</f>
        <v>INTERNAL_COMMAND</v>
      </c>
      <c r="K5" s="5" t="s">
        <v>46</v>
      </c>
      <c r="L5" s="5" t="s">
        <v>64</v>
      </c>
      <c r="M5" s="5" t="s">
        <v>47</v>
      </c>
      <c r="N5" s="5" t="s">
        <v>46</v>
      </c>
      <c r="O5" s="5" t="s">
        <v>46</v>
      </c>
      <c r="P5" s="5" t="s">
        <v>64</v>
      </c>
      <c r="Q5" s="6">
        <f ca="1">(馬達列舉!O5)</f>
        <v>833.33333333333337</v>
      </c>
      <c r="R5" s="5" t="s">
        <v>48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K13"/>
  <sheetViews>
    <sheetView zoomScale="85" zoomScaleNormal="85" workbookViewId="0">
      <selection activeCell="F22" sqref="F22"/>
    </sheetView>
  </sheetViews>
  <sheetFormatPr defaultRowHeight="16.5" x14ac:dyDescent="0.25"/>
  <cols>
    <col min="1" max="1" width="31.875" style="4" customWidth="1"/>
    <col min="2" max="2" width="5.375" style="2" customWidth="1"/>
    <col min="3" max="3" width="2.75" style="2" customWidth="1"/>
    <col min="4" max="6" width="13.375" style="2" customWidth="1"/>
    <col min="7" max="8" width="4.875" style="2" customWidth="1"/>
    <col min="9" max="10" width="2.75" style="2" customWidth="1"/>
    <col min="11" max="11" width="7.5" style="2" customWidth="1"/>
    <col min="12" max="16384" width="9" style="2"/>
  </cols>
  <sheetData>
    <row r="1" spans="1:11" x14ac:dyDescent="0.25">
      <c r="A1" s="4" t="s">
        <v>49</v>
      </c>
      <c r="B1" s="2" t="s">
        <v>50</v>
      </c>
      <c r="C1" s="2" t="s">
        <v>61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</row>
    <row r="2" spans="1:11" x14ac:dyDescent="0.25">
      <c r="A2" s="4" t="str">
        <f>馬達點位列舉!I2</f>
        <v>MsX_HOME原點</v>
      </c>
      <c r="B2" s="5" t="s">
        <v>94</v>
      </c>
      <c r="C2" s="4">
        <f>馬達點位列舉!G2</f>
        <v>0</v>
      </c>
      <c r="D2" s="6">
        <f ca="1">馬達點位列舉!O2</f>
        <v>1000</v>
      </c>
      <c r="E2" s="6">
        <f ca="1">馬達點位列舉!P2</f>
        <v>50000</v>
      </c>
      <c r="F2" s="6">
        <f ca="1">馬達點位列舉!N2</f>
        <v>1000</v>
      </c>
      <c r="G2" s="6">
        <f>馬達點位列舉!Q2</f>
        <v>0.2</v>
      </c>
      <c r="H2" s="6">
        <f>馬達點位列舉!R2</f>
        <v>0.2</v>
      </c>
      <c r="I2" s="6">
        <v>0</v>
      </c>
      <c r="J2" s="6">
        <v>0</v>
      </c>
      <c r="K2" s="6" t="b">
        <v>1</v>
      </c>
    </row>
    <row r="3" spans="1:11" x14ac:dyDescent="0.25">
      <c r="A3" s="4" t="str">
        <f>馬達點位列舉!I3</f>
        <v>MsX_ZERO零位</v>
      </c>
      <c r="B3" s="5" t="s">
        <v>297</v>
      </c>
      <c r="C3" s="4">
        <f>馬達點位列舉!G3</f>
        <v>0</v>
      </c>
      <c r="D3" s="6">
        <f ca="1">馬達點位列舉!O3</f>
        <v>1000</v>
      </c>
      <c r="E3" s="6">
        <f ca="1">馬達點位列舉!P3</f>
        <v>50000</v>
      </c>
      <c r="F3" s="6">
        <f ca="1">馬達點位列舉!N3</f>
        <v>1000</v>
      </c>
      <c r="G3" s="6">
        <f>馬達點位列舉!Q3</f>
        <v>0.2</v>
      </c>
      <c r="H3" s="6">
        <f>馬達點位列舉!R3</f>
        <v>0.2</v>
      </c>
      <c r="I3" s="6">
        <v>0</v>
      </c>
      <c r="J3" s="6">
        <v>0</v>
      </c>
      <c r="K3" s="6" t="b">
        <v>0</v>
      </c>
    </row>
    <row r="4" spans="1:11" x14ac:dyDescent="0.25">
      <c r="A4" s="4" t="str">
        <f>馬達點位列舉!I4</f>
        <v>MsX_PITCHDIE間距</v>
      </c>
      <c r="B4" s="5" t="s">
        <v>298</v>
      </c>
      <c r="C4" s="4">
        <f>馬達點位列舉!G4</f>
        <v>0</v>
      </c>
      <c r="D4" s="6">
        <f ca="1">馬達點位列舉!O4</f>
        <v>1000</v>
      </c>
      <c r="E4" s="6">
        <f ca="1">馬達點位列舉!P4</f>
        <v>50000</v>
      </c>
      <c r="F4" s="6">
        <f ca="1">馬達點位列舉!N4</f>
        <v>1000</v>
      </c>
      <c r="G4" s="6">
        <f>馬達點位列舉!Q4</f>
        <v>0.2</v>
      </c>
      <c r="H4" s="6">
        <f>馬達點位列舉!R4</f>
        <v>0.2</v>
      </c>
      <c r="I4" s="6">
        <v>0</v>
      </c>
      <c r="J4" s="6">
        <v>0</v>
      </c>
      <c r="K4" s="6" t="b">
        <v>0</v>
      </c>
    </row>
    <row r="5" spans="1:11" x14ac:dyDescent="0.25">
      <c r="A5" s="4" t="str">
        <f>馬達點位列舉!I5</f>
        <v>MsY_HOME原點</v>
      </c>
      <c r="B5" s="5" t="s">
        <v>94</v>
      </c>
      <c r="C5" s="4">
        <f>馬達點位列舉!G5</f>
        <v>1</v>
      </c>
      <c r="D5" s="6">
        <f ca="1">馬達點位列舉!O5</f>
        <v>819.2</v>
      </c>
      <c r="E5" s="6">
        <f ca="1">馬達點位列舉!P5</f>
        <v>40960</v>
      </c>
      <c r="F5" s="6">
        <f ca="1">馬達點位列舉!N5</f>
        <v>819.2</v>
      </c>
      <c r="G5" s="6">
        <f>馬達點位列舉!Q5</f>
        <v>0.2</v>
      </c>
      <c r="H5" s="6">
        <f>馬達點位列舉!R5</f>
        <v>0.2</v>
      </c>
      <c r="I5" s="6">
        <v>0</v>
      </c>
      <c r="J5" s="6">
        <v>0</v>
      </c>
      <c r="K5" s="6" t="b">
        <v>1</v>
      </c>
    </row>
    <row r="6" spans="1:11" x14ac:dyDescent="0.25">
      <c r="A6" s="4" t="str">
        <f>馬達點位列舉!I6</f>
        <v>MsY_ZERO零位</v>
      </c>
      <c r="B6" s="5" t="s">
        <v>297</v>
      </c>
      <c r="C6" s="4">
        <f>馬達點位列舉!G6</f>
        <v>1</v>
      </c>
      <c r="D6" s="6">
        <f ca="1">馬達點位列舉!O6</f>
        <v>819.2</v>
      </c>
      <c r="E6" s="6">
        <f ca="1">馬達點位列舉!P6</f>
        <v>40960</v>
      </c>
      <c r="F6" s="6">
        <f ca="1">馬達點位列舉!N6</f>
        <v>819.2</v>
      </c>
      <c r="G6" s="6">
        <f>馬達點位列舉!Q6</f>
        <v>0.2</v>
      </c>
      <c r="H6" s="6">
        <f>馬達點位列舉!R6</f>
        <v>0.2</v>
      </c>
      <c r="I6" s="6">
        <v>0</v>
      </c>
      <c r="J6" s="6">
        <v>0</v>
      </c>
      <c r="K6" s="6" t="b">
        <v>0</v>
      </c>
    </row>
    <row r="7" spans="1:11" x14ac:dyDescent="0.25">
      <c r="A7" s="4" t="str">
        <f>馬達點位列舉!I7</f>
        <v>MsZ_HOME原點</v>
      </c>
      <c r="B7" s="5" t="s">
        <v>94</v>
      </c>
      <c r="C7" s="4">
        <f>馬達點位列舉!G7</f>
        <v>2</v>
      </c>
      <c r="D7" s="6">
        <f ca="1">馬達點位列舉!O7</f>
        <v>819.2</v>
      </c>
      <c r="E7" s="6">
        <f ca="1">馬達點位列舉!P7</f>
        <v>40960</v>
      </c>
      <c r="F7" s="6">
        <f ca="1">馬達點位列舉!N7</f>
        <v>819.2</v>
      </c>
      <c r="G7" s="6">
        <f>馬達點位列舉!Q7</f>
        <v>0.2</v>
      </c>
      <c r="H7" s="6">
        <f>馬達點位列舉!R7</f>
        <v>0.2</v>
      </c>
      <c r="I7" s="6">
        <v>0</v>
      </c>
      <c r="J7" s="6">
        <v>0</v>
      </c>
      <c r="K7" s="6" t="b">
        <v>1</v>
      </c>
    </row>
    <row r="8" spans="1:11" x14ac:dyDescent="0.25">
      <c r="A8" s="4" t="str">
        <f>馬達點位列舉!I8</f>
        <v>MsZ_ZERO零位</v>
      </c>
      <c r="B8" s="5" t="s">
        <v>299</v>
      </c>
      <c r="C8" s="4">
        <f>馬達點位列舉!G8</f>
        <v>2</v>
      </c>
      <c r="D8" s="6">
        <f ca="1">馬達點位列舉!O8</f>
        <v>819.2</v>
      </c>
      <c r="E8" s="6">
        <f ca="1">馬達點位列舉!P8</f>
        <v>40960</v>
      </c>
      <c r="F8" s="6">
        <f ca="1">馬達點位列舉!N8</f>
        <v>819.2</v>
      </c>
      <c r="G8" s="6">
        <f>馬達點位列舉!Q8</f>
        <v>0.2</v>
      </c>
      <c r="H8" s="6">
        <f>馬達點位列舉!R8</f>
        <v>0.2</v>
      </c>
      <c r="I8" s="6">
        <v>0</v>
      </c>
      <c r="J8" s="6">
        <v>0</v>
      </c>
      <c r="K8" s="6" t="b">
        <v>0</v>
      </c>
    </row>
    <row r="9" spans="1:11" s="3" customFormat="1" x14ac:dyDescent="0.25">
      <c r="A9" s="4" t="str">
        <f>馬達點位列舉!I9</f>
        <v>MsZ_DISP_CALI噴頭校正高度</v>
      </c>
      <c r="B9" s="5" t="s">
        <v>299</v>
      </c>
      <c r="C9" s="4">
        <f>馬達點位列舉!G9</f>
        <v>2</v>
      </c>
      <c r="D9" s="6">
        <f ca="1">馬達點位列舉!O9</f>
        <v>819.2</v>
      </c>
      <c r="E9" s="6">
        <f ca="1">馬達點位列舉!P9</f>
        <v>40960</v>
      </c>
      <c r="F9" s="6">
        <f ca="1">馬達點位列舉!N9</f>
        <v>819.2</v>
      </c>
      <c r="G9" s="6">
        <f>馬達點位列舉!Q9</f>
        <v>0.2</v>
      </c>
      <c r="H9" s="6">
        <f>馬達點位列舉!R9</f>
        <v>0.2</v>
      </c>
      <c r="I9" s="6">
        <v>0</v>
      </c>
      <c r="J9" s="6">
        <v>0</v>
      </c>
      <c r="K9" s="6" t="b">
        <v>0</v>
      </c>
    </row>
    <row r="10" spans="1:11" s="3" customFormat="1" x14ac:dyDescent="0.25">
      <c r="A10" s="4" t="str">
        <f>馬達點位列舉!I10</f>
        <v>MsZ_DISP_WORK噴頭工作高度</v>
      </c>
      <c r="B10" s="5" t="s">
        <v>299</v>
      </c>
      <c r="C10" s="4">
        <f>馬達點位列舉!G10</f>
        <v>2</v>
      </c>
      <c r="D10" s="6">
        <f ca="1">馬達點位列舉!O10</f>
        <v>819.2</v>
      </c>
      <c r="E10" s="6">
        <f ca="1">馬達點位列舉!P10</f>
        <v>40960</v>
      </c>
      <c r="F10" s="6">
        <f ca="1">馬達點位列舉!N10</f>
        <v>819.2</v>
      </c>
      <c r="G10" s="6">
        <f>馬達點位列舉!Q10</f>
        <v>0.2</v>
      </c>
      <c r="H10" s="6">
        <f>馬達點位列舉!R10</f>
        <v>0.2</v>
      </c>
      <c r="I10" s="6">
        <v>0</v>
      </c>
      <c r="J10" s="6">
        <v>0</v>
      </c>
      <c r="K10" s="6" t="b">
        <v>0</v>
      </c>
    </row>
    <row r="11" spans="1:11" x14ac:dyDescent="0.25">
      <c r="A11" s="4" t="str">
        <f>馬達點位列舉!I11</f>
        <v>MpUV_HOME原點</v>
      </c>
      <c r="B11" s="5" t="s">
        <v>94</v>
      </c>
      <c r="C11" s="4">
        <f>馬達點位列舉!G11</f>
        <v>3</v>
      </c>
      <c r="D11" s="6">
        <f ca="1">馬達點位列舉!O11</f>
        <v>833.33333333333337</v>
      </c>
      <c r="E11" s="6">
        <f ca="1">馬達點位列舉!P11</f>
        <v>41666.666666666672</v>
      </c>
      <c r="F11" s="6">
        <f ca="1">馬達點位列舉!N11</f>
        <v>833.33333333333337</v>
      </c>
      <c r="G11" s="6">
        <f>馬達點位列舉!Q11</f>
        <v>0.2</v>
      </c>
      <c r="H11" s="6">
        <f>馬達點位列舉!R11</f>
        <v>0.2</v>
      </c>
      <c r="I11" s="6">
        <v>0</v>
      </c>
      <c r="J11" s="6">
        <v>0</v>
      </c>
      <c r="K11" s="6" t="b">
        <v>1</v>
      </c>
    </row>
    <row r="12" spans="1:11" x14ac:dyDescent="0.25">
      <c r="A12" s="4" t="str">
        <f>馬達點位列舉!I12</f>
        <v>MpUV_FIRST第一組DIE位置</v>
      </c>
      <c r="B12" s="5" t="s">
        <v>297</v>
      </c>
      <c r="C12" s="4">
        <f>馬達點位列舉!G12</f>
        <v>3</v>
      </c>
      <c r="D12" s="6">
        <f ca="1">馬達點位列舉!O12</f>
        <v>833.33333333333337</v>
      </c>
      <c r="E12" s="6">
        <f ca="1">馬達點位列舉!P12</f>
        <v>41666.666666666672</v>
      </c>
      <c r="F12" s="6">
        <f ca="1">馬達點位列舉!N12</f>
        <v>833.33333333333337</v>
      </c>
      <c r="G12" s="6">
        <f>馬達點位列舉!Q12</f>
        <v>0.2</v>
      </c>
      <c r="H12" s="6">
        <f>馬達點位列舉!R12</f>
        <v>0.2</v>
      </c>
      <c r="I12" s="6">
        <v>0</v>
      </c>
      <c r="J12" s="6">
        <v>0</v>
      </c>
      <c r="K12" s="6" t="b">
        <v>0</v>
      </c>
    </row>
    <row r="13" spans="1:11" x14ac:dyDescent="0.25">
      <c r="A13" s="4" t="str">
        <f>馬達點位列舉!I13</f>
        <v>MpUV_PITCHDIE間距</v>
      </c>
      <c r="B13" s="5" t="s">
        <v>94</v>
      </c>
      <c r="C13" s="4">
        <f>馬達點位列舉!G13</f>
        <v>3</v>
      </c>
      <c r="D13" s="6">
        <f ca="1">馬達點位列舉!O13</f>
        <v>833.33333333333337</v>
      </c>
      <c r="E13" s="6">
        <f ca="1">馬達點位列舉!P13</f>
        <v>41666.666666666672</v>
      </c>
      <c r="F13" s="6">
        <f ca="1">馬達點位列舉!N13</f>
        <v>19166.666666666668</v>
      </c>
      <c r="G13" s="6">
        <f>馬達點位列舉!Q13</f>
        <v>0.2</v>
      </c>
      <c r="H13" s="6">
        <f>馬達點位列舉!R13</f>
        <v>0.2</v>
      </c>
      <c r="I13" s="6">
        <v>0</v>
      </c>
      <c r="J13" s="6">
        <v>0</v>
      </c>
      <c r="K13" s="6" t="b">
        <v>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2" sqref="E32"/>
    </sheetView>
  </sheetViews>
  <sheetFormatPr defaultRowHeight="16.5" x14ac:dyDescent="0.25"/>
  <cols>
    <col min="1" max="1" width="11.625" bestFit="1" customWidth="1"/>
    <col min="2" max="2" width="25.375" bestFit="1" customWidth="1"/>
    <col min="3" max="3" width="30.875" bestFit="1" customWidth="1"/>
    <col min="4" max="4" width="22.5" bestFit="1" customWidth="1"/>
    <col min="5" max="5" width="16.125" bestFit="1" customWidth="1"/>
  </cols>
  <sheetData>
    <row r="1" spans="1:5" x14ac:dyDescent="0.25">
      <c r="A1" t="s">
        <v>72</v>
      </c>
      <c r="B1" t="s">
        <v>73</v>
      </c>
      <c r="C1" t="s">
        <v>75</v>
      </c>
      <c r="D1" t="s">
        <v>76</v>
      </c>
      <c r="E1" t="s">
        <v>77</v>
      </c>
    </row>
    <row r="2" spans="1:5" x14ac:dyDescent="0.25">
      <c r="A2" t="s">
        <v>69</v>
      </c>
      <c r="B2" t="s">
        <v>63</v>
      </c>
      <c r="C2">
        <v>10000</v>
      </c>
      <c r="D2" t="s">
        <v>45</v>
      </c>
      <c r="E2" t="s">
        <v>78</v>
      </c>
    </row>
    <row r="3" spans="1:5" x14ac:dyDescent="0.25">
      <c r="A3" t="s">
        <v>70</v>
      </c>
      <c r="B3" t="s">
        <v>63</v>
      </c>
      <c r="C3">
        <v>5000</v>
      </c>
      <c r="D3" t="s">
        <v>168</v>
      </c>
      <c r="E3" t="s">
        <v>79</v>
      </c>
    </row>
    <row r="4" spans="1:5" x14ac:dyDescent="0.25">
      <c r="A4" t="s">
        <v>71</v>
      </c>
      <c r="B4" t="s">
        <v>74</v>
      </c>
      <c r="C4">
        <v>8192</v>
      </c>
      <c r="D4" t="s">
        <v>45</v>
      </c>
      <c r="E4" t="s">
        <v>78</v>
      </c>
    </row>
    <row r="5" spans="1:5" s="2" customFormat="1" x14ac:dyDescent="0.25">
      <c r="A5" s="41" t="s">
        <v>237</v>
      </c>
      <c r="B5" s="41" t="s">
        <v>63</v>
      </c>
      <c r="C5" s="41">
        <v>10000</v>
      </c>
      <c r="D5" s="41" t="s">
        <v>45</v>
      </c>
      <c r="E5" s="41" t="s">
        <v>78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workbookViewId="0">
      <selection activeCell="H25" sqref="H25"/>
    </sheetView>
  </sheetViews>
  <sheetFormatPr defaultRowHeight="16.5" x14ac:dyDescent="0.25"/>
  <cols>
    <col min="1" max="1" width="5.5" bestFit="1" customWidth="1"/>
    <col min="2" max="2" width="14.25" bestFit="1" customWidth="1"/>
    <col min="3" max="3" width="3.5" bestFit="1" customWidth="1"/>
    <col min="4" max="4" width="12.375" customWidth="1"/>
    <col min="5" max="5" width="20.5" customWidth="1"/>
    <col min="6" max="6" width="17.75" bestFit="1" customWidth="1"/>
    <col min="7" max="7" width="2.5" bestFit="1" customWidth="1"/>
    <col min="8" max="8" width="24.25" bestFit="1" customWidth="1"/>
    <col min="9" max="9" width="3.5" bestFit="1" customWidth="1"/>
    <col min="10" max="10" width="14.25" bestFit="1" customWidth="1"/>
    <col min="11" max="11" width="2.5" bestFit="1" customWidth="1"/>
    <col min="12" max="12" width="24.75" bestFit="1" customWidth="1"/>
    <col min="13" max="13" width="2.5" bestFit="1" customWidth="1"/>
    <col min="14" max="14" width="9.375" customWidth="1"/>
    <col min="15" max="15" width="8.25" customWidth="1"/>
    <col min="17" max="17" width="7.5" bestFit="1" customWidth="1"/>
  </cols>
  <sheetData>
    <row r="1" spans="1:17" s="2" customFormat="1" x14ac:dyDescent="0.25">
      <c r="B1" s="2">
        <v>7</v>
      </c>
      <c r="D1" s="2">
        <v>6</v>
      </c>
      <c r="F1" s="2">
        <v>5</v>
      </c>
      <c r="H1" s="2">
        <v>4</v>
      </c>
      <c r="J1" s="2">
        <v>3</v>
      </c>
      <c r="L1" s="2">
        <v>2</v>
      </c>
      <c r="N1" s="2">
        <v>1</v>
      </c>
      <c r="O1" s="2">
        <v>0</v>
      </c>
    </row>
    <row r="2" spans="1:17" s="21" customFormat="1" x14ac:dyDescent="0.25">
      <c r="B2" s="84" t="s">
        <v>95</v>
      </c>
      <c r="C2" s="84"/>
      <c r="D2" s="84" t="s">
        <v>96</v>
      </c>
      <c r="E2" s="84"/>
      <c r="F2" s="84" t="s">
        <v>97</v>
      </c>
      <c r="G2" s="84"/>
      <c r="H2" s="84" t="s">
        <v>98</v>
      </c>
      <c r="I2" s="84"/>
      <c r="J2" s="84" t="s">
        <v>99</v>
      </c>
      <c r="K2" s="84"/>
      <c r="L2" s="84" t="s">
        <v>100</v>
      </c>
      <c r="M2" s="84"/>
      <c r="N2" s="21" t="s">
        <v>101</v>
      </c>
      <c r="O2" s="21" t="s">
        <v>102</v>
      </c>
    </row>
    <row r="3" spans="1:17" s="2" customFormat="1" x14ac:dyDescent="0.25">
      <c r="A3" s="2" t="s">
        <v>103</v>
      </c>
      <c r="B3" s="81" t="s">
        <v>104</v>
      </c>
      <c r="C3" s="81"/>
      <c r="D3" s="82" t="s">
        <v>105</v>
      </c>
      <c r="E3" s="82"/>
      <c r="F3" s="82"/>
      <c r="G3" s="82"/>
      <c r="H3" s="82"/>
      <c r="I3" s="82"/>
      <c r="J3" s="82"/>
      <c r="K3" s="82"/>
      <c r="L3" s="83" t="s">
        <v>125</v>
      </c>
      <c r="M3" s="83"/>
      <c r="N3" s="25" t="s">
        <v>106</v>
      </c>
      <c r="O3" s="24" t="s">
        <v>124</v>
      </c>
      <c r="Q3" s="2" t="s">
        <v>107</v>
      </c>
    </row>
    <row r="4" spans="1:17" s="2" customFormat="1" x14ac:dyDescent="0.25">
      <c r="B4" s="2" t="s">
        <v>108</v>
      </c>
      <c r="C4" s="22" t="s">
        <v>109</v>
      </c>
      <c r="D4" s="22" t="s">
        <v>127</v>
      </c>
      <c r="E4" s="22" t="s">
        <v>127</v>
      </c>
      <c r="F4" s="22" t="s">
        <v>128</v>
      </c>
      <c r="G4" s="22" t="s">
        <v>127</v>
      </c>
      <c r="H4" s="22" t="s">
        <v>110</v>
      </c>
      <c r="I4" s="2">
        <v>0</v>
      </c>
      <c r="J4" s="22" t="s">
        <v>111</v>
      </c>
      <c r="K4" s="2">
        <v>0</v>
      </c>
      <c r="L4" s="22" t="s">
        <v>155</v>
      </c>
      <c r="M4" s="2">
        <v>0</v>
      </c>
      <c r="N4" s="2" t="s">
        <v>112</v>
      </c>
      <c r="O4" s="2" t="s">
        <v>113</v>
      </c>
      <c r="Q4" s="2">
        <v>64</v>
      </c>
    </row>
    <row r="5" spans="1:17" s="2" customFormat="1" x14ac:dyDescent="0.25">
      <c r="B5" s="2" t="s">
        <v>114</v>
      </c>
      <c r="C5" s="22" t="s">
        <v>115</v>
      </c>
      <c r="D5" s="22"/>
      <c r="E5" s="22"/>
      <c r="F5" s="22" t="s">
        <v>129</v>
      </c>
      <c r="G5" s="22" t="s">
        <v>150</v>
      </c>
      <c r="H5" s="2" t="s">
        <v>167</v>
      </c>
      <c r="I5" s="2">
        <v>1</v>
      </c>
      <c r="J5" s="2" t="s">
        <v>116</v>
      </c>
      <c r="K5" s="2">
        <v>1</v>
      </c>
      <c r="L5" s="2" t="s">
        <v>156</v>
      </c>
      <c r="M5" s="2">
        <v>0</v>
      </c>
    </row>
    <row r="6" spans="1:17" s="2" customFormat="1" x14ac:dyDescent="0.25">
      <c r="B6" s="2" t="s">
        <v>117</v>
      </c>
      <c r="C6" s="22" t="s">
        <v>118</v>
      </c>
      <c r="D6" s="22"/>
      <c r="E6" s="22"/>
      <c r="F6" s="22" t="s">
        <v>130</v>
      </c>
      <c r="G6" s="22" t="s">
        <v>151</v>
      </c>
      <c r="H6" s="2" t="s">
        <v>119</v>
      </c>
      <c r="I6" s="2">
        <v>2</v>
      </c>
      <c r="J6" s="2" t="s">
        <v>120</v>
      </c>
      <c r="K6" s="2">
        <v>0</v>
      </c>
      <c r="L6" s="2" t="s">
        <v>185</v>
      </c>
      <c r="M6" s="2">
        <v>0</v>
      </c>
    </row>
    <row r="7" spans="1:17" s="2" customFormat="1" x14ac:dyDescent="0.25">
      <c r="B7" s="2" t="s">
        <v>121</v>
      </c>
      <c r="C7" s="22" t="s">
        <v>122</v>
      </c>
      <c r="D7" s="22"/>
      <c r="E7" s="22"/>
      <c r="F7" s="22" t="s">
        <v>131</v>
      </c>
      <c r="G7" s="22" t="s">
        <v>152</v>
      </c>
      <c r="H7" s="22" t="s">
        <v>134</v>
      </c>
      <c r="I7" s="2">
        <v>0</v>
      </c>
      <c r="J7" s="23" t="s">
        <v>123</v>
      </c>
      <c r="K7" s="2">
        <v>1</v>
      </c>
      <c r="L7" s="22" t="s">
        <v>555</v>
      </c>
      <c r="M7" s="2">
        <v>0</v>
      </c>
    </row>
    <row r="8" spans="1:17" s="2" customFormat="1" x14ac:dyDescent="0.25">
      <c r="B8" s="2" t="s">
        <v>180</v>
      </c>
      <c r="C8" s="2">
        <v>4</v>
      </c>
      <c r="F8" s="22" t="s">
        <v>132</v>
      </c>
      <c r="G8" s="22" t="s">
        <v>153</v>
      </c>
      <c r="H8" s="22" t="s">
        <v>135</v>
      </c>
      <c r="I8" s="2">
        <v>1</v>
      </c>
      <c r="J8" s="22" t="s">
        <v>169</v>
      </c>
      <c r="K8" s="2">
        <v>2</v>
      </c>
      <c r="L8" s="2">
        <v>0</v>
      </c>
      <c r="M8" s="2">
        <v>0</v>
      </c>
    </row>
    <row r="9" spans="1:17" s="2" customFormat="1" x14ac:dyDescent="0.25">
      <c r="B9" s="2" t="s">
        <v>557</v>
      </c>
      <c r="C9" s="2">
        <v>16</v>
      </c>
      <c r="F9" s="22" t="s">
        <v>133</v>
      </c>
      <c r="G9" s="22" t="s">
        <v>154</v>
      </c>
      <c r="H9" s="22" t="s">
        <v>136</v>
      </c>
      <c r="I9" s="2">
        <v>2</v>
      </c>
      <c r="J9" t="s">
        <v>183</v>
      </c>
      <c r="K9">
        <v>0</v>
      </c>
    </row>
    <row r="10" spans="1:17" x14ac:dyDescent="0.25">
      <c r="F10" s="22" t="s">
        <v>157</v>
      </c>
      <c r="G10">
        <v>0</v>
      </c>
      <c r="H10" s="22" t="s">
        <v>137</v>
      </c>
      <c r="I10" s="2">
        <v>3</v>
      </c>
      <c r="J10" t="s">
        <v>184</v>
      </c>
      <c r="K10">
        <v>1</v>
      </c>
    </row>
    <row r="11" spans="1:17" x14ac:dyDescent="0.25">
      <c r="F11" t="s">
        <v>181</v>
      </c>
      <c r="G11">
        <v>0</v>
      </c>
      <c r="H11" s="22" t="s">
        <v>138</v>
      </c>
      <c r="I11" s="2">
        <v>4</v>
      </c>
      <c r="J11" t="s">
        <v>556</v>
      </c>
      <c r="K11">
        <v>0</v>
      </c>
    </row>
    <row r="12" spans="1:17" x14ac:dyDescent="0.25">
      <c r="F12">
        <v>0</v>
      </c>
      <c r="G12">
        <v>0</v>
      </c>
      <c r="H12" s="22" t="s">
        <v>139</v>
      </c>
      <c r="I12" s="2">
        <v>5</v>
      </c>
      <c r="J12" s="2" t="s">
        <v>575</v>
      </c>
      <c r="K12">
        <v>1</v>
      </c>
    </row>
    <row r="13" spans="1:17" x14ac:dyDescent="0.25">
      <c r="H13" s="22" t="s">
        <v>140</v>
      </c>
      <c r="I13" s="2">
        <v>6</v>
      </c>
      <c r="J13">
        <v>0</v>
      </c>
      <c r="K13">
        <v>0</v>
      </c>
    </row>
    <row r="14" spans="1:17" x14ac:dyDescent="0.25">
      <c r="H14" s="22" t="s">
        <v>141</v>
      </c>
      <c r="I14" s="2">
        <v>7</v>
      </c>
    </row>
    <row r="15" spans="1:17" x14ac:dyDescent="0.25">
      <c r="H15" s="22" t="s">
        <v>142</v>
      </c>
      <c r="I15" s="2">
        <v>8</v>
      </c>
    </row>
    <row r="16" spans="1:17" x14ac:dyDescent="0.25">
      <c r="H16" s="22" t="s">
        <v>143</v>
      </c>
      <c r="I16" s="2">
        <v>9</v>
      </c>
    </row>
    <row r="17" spans="8:9" x14ac:dyDescent="0.25">
      <c r="H17" s="22" t="s">
        <v>144</v>
      </c>
      <c r="I17" s="2">
        <v>10</v>
      </c>
    </row>
    <row r="18" spans="8:9" x14ac:dyDescent="0.25">
      <c r="H18" s="22" t="s">
        <v>145</v>
      </c>
      <c r="I18" s="2">
        <v>11</v>
      </c>
    </row>
    <row r="19" spans="8:9" x14ac:dyDescent="0.25">
      <c r="H19" s="22" t="s">
        <v>146</v>
      </c>
      <c r="I19" s="2">
        <v>12</v>
      </c>
    </row>
    <row r="20" spans="8:9" x14ac:dyDescent="0.25">
      <c r="H20" s="22" t="s">
        <v>147</v>
      </c>
      <c r="I20" s="2">
        <v>13</v>
      </c>
    </row>
    <row r="21" spans="8:9" x14ac:dyDescent="0.25">
      <c r="H21" s="22" t="s">
        <v>148</v>
      </c>
      <c r="I21" s="2">
        <v>14</v>
      </c>
    </row>
    <row r="22" spans="8:9" x14ac:dyDescent="0.25">
      <c r="H22" s="22" t="s">
        <v>149</v>
      </c>
      <c r="I22" s="2">
        <v>15</v>
      </c>
    </row>
    <row r="23" spans="8:9" x14ac:dyDescent="0.25">
      <c r="H23" t="s">
        <v>182</v>
      </c>
      <c r="I23">
        <v>0</v>
      </c>
    </row>
    <row r="24" spans="8:9" x14ac:dyDescent="0.25">
      <c r="H24" s="22" t="s">
        <v>571</v>
      </c>
      <c r="I24">
        <v>1</v>
      </c>
    </row>
    <row r="25" spans="8:9" x14ac:dyDescent="0.25">
      <c r="H25" s="22" t="s">
        <v>572</v>
      </c>
      <c r="I25">
        <v>2</v>
      </c>
    </row>
    <row r="26" spans="8:9" x14ac:dyDescent="0.25">
      <c r="H26" s="22" t="s">
        <v>573</v>
      </c>
      <c r="I26">
        <v>3</v>
      </c>
    </row>
    <row r="27" spans="8:9" x14ac:dyDescent="0.25">
      <c r="H27">
        <v>0</v>
      </c>
      <c r="I27">
        <v>0</v>
      </c>
    </row>
  </sheetData>
  <mergeCells count="9">
    <mergeCell ref="B3:C3"/>
    <mergeCell ref="D3:K3"/>
    <mergeCell ref="L3:M3"/>
    <mergeCell ref="B2:C2"/>
    <mergeCell ref="D2:E2"/>
    <mergeCell ref="F2:G2"/>
    <mergeCell ref="H2:I2"/>
    <mergeCell ref="J2:K2"/>
    <mergeCell ref="L2:M2"/>
  </mergeCells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8</vt:i4>
      </vt:variant>
    </vt:vector>
  </HeadingPairs>
  <TitlesOfParts>
    <vt:vector size="24" baseType="lpstr">
      <vt:lpstr>Coordinates</vt:lpstr>
      <vt:lpstr>馬達列舉</vt:lpstr>
      <vt:lpstr>馬達點位列舉</vt:lpstr>
      <vt:lpstr>INPUT列舉</vt:lpstr>
      <vt:lpstr>OUTPUT列舉</vt:lpstr>
      <vt:lpstr>MotorSettings</vt:lpstr>
      <vt:lpstr>MotorPoints</vt:lpstr>
      <vt:lpstr>Driver List</vt:lpstr>
      <vt:lpstr>Device Table</vt:lpstr>
      <vt:lpstr>Specification</vt:lpstr>
      <vt:lpstr>Specification2</vt:lpstr>
      <vt:lpstr>Work Procedure</vt:lpstr>
      <vt:lpstr>Inline Requirements</vt:lpstr>
      <vt:lpstr>IPTABLE</vt:lpstr>
      <vt:lpstr>Final Requirements</vt:lpstr>
      <vt:lpstr>NOTE</vt:lpstr>
      <vt:lpstr>馬達列舉!Print_Area</vt:lpstr>
      <vt:lpstr>馬達點位列舉!Print_Area</vt:lpstr>
      <vt:lpstr>INPUT列舉!Print_Titles</vt:lpstr>
      <vt:lpstr>OUTPUT列舉!Print_Titles</vt:lpstr>
      <vt:lpstr>馬達點位列舉!Z_4AC3AA72_9533_4F15_BFAB_BB6E9D28E437_.wvu.Cols</vt:lpstr>
      <vt:lpstr>INPUT列舉!Z_4AC3AA72_9533_4F15_BFAB_BB6E9D28E437_.wvu.FilterData</vt:lpstr>
      <vt:lpstr>OUTPUT列舉!Z_4AC3AA72_9533_4F15_BFAB_BB6E9D28E437_.wvu.FilterData</vt:lpstr>
      <vt:lpstr>馬達點位列舉!Z_4AC3AA72_9533_4F15_BFAB_BB6E9D28E437_.wvu.FilterData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JUHSIEN.LAI</cp:lastModifiedBy>
  <cp:revision>0</cp:revision>
  <cp:lastPrinted>2016-12-15T07:40:36Z</cp:lastPrinted>
  <dcterms:created xsi:type="dcterms:W3CDTF">2000-03-10T06:02:45Z</dcterms:created>
  <dcterms:modified xsi:type="dcterms:W3CDTF">2017-06-01T07:23:22Z</dcterms:modified>
  <dc:language>zh-TW</dc:language>
</cp:coreProperties>
</file>