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56" i="3" l="1"/>
  <c r="B57" i="3"/>
  <c r="B58" i="3"/>
  <c r="B59" i="3"/>
  <c r="B60" i="3"/>
  <c r="B61" i="3"/>
  <c r="B62" i="3"/>
  <c r="F72" i="3" l="1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E2" i="1"/>
  <c r="F67" i="3"/>
  <c r="F68" i="3"/>
  <c r="F69" i="3"/>
  <c r="F70" i="3"/>
  <c r="F71" i="3"/>
  <c r="F66" i="3"/>
  <c r="G56" i="3" l="1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F57" i="3"/>
  <c r="F58" i="3"/>
  <c r="F59" i="3"/>
  <c r="F60" i="3"/>
  <c r="F61" i="3"/>
  <c r="F62" i="3"/>
  <c r="F56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F49" i="3"/>
  <c r="F50" i="3"/>
  <c r="F51" i="3"/>
  <c r="F52" i="3"/>
  <c r="F53" i="3"/>
  <c r="F54" i="3"/>
  <c r="F48" i="3"/>
  <c r="G32" i="3" l="1"/>
  <c r="G39" i="3" s="1"/>
  <c r="H32" i="3"/>
  <c r="H39" i="3" s="1"/>
  <c r="I32" i="3"/>
  <c r="I39" i="3" s="1"/>
  <c r="J32" i="3"/>
  <c r="J39" i="3" s="1"/>
  <c r="G33" i="3"/>
  <c r="G40" i="3" s="1"/>
  <c r="H33" i="3"/>
  <c r="H40" i="3" s="1"/>
  <c r="I33" i="3"/>
  <c r="I40" i="3" s="1"/>
  <c r="J33" i="3"/>
  <c r="J40" i="3" s="1"/>
  <c r="G34" i="3"/>
  <c r="H34" i="3"/>
  <c r="H41" i="3" s="1"/>
  <c r="I34" i="3"/>
  <c r="I41" i="3" s="1"/>
  <c r="J34" i="3"/>
  <c r="J41" i="3" s="1"/>
  <c r="G35" i="3"/>
  <c r="G42" i="3" s="1"/>
  <c r="H35" i="3"/>
  <c r="H42" i="3" s="1"/>
  <c r="I35" i="3"/>
  <c r="J35" i="3"/>
  <c r="J42" i="3" s="1"/>
  <c r="G36" i="3"/>
  <c r="G43" i="3" s="1"/>
  <c r="H36" i="3"/>
  <c r="H43" i="3" s="1"/>
  <c r="I36" i="3"/>
  <c r="I43" i="3" s="1"/>
  <c r="J36" i="3"/>
  <c r="J43" i="3" s="1"/>
  <c r="G37" i="3"/>
  <c r="G44" i="3" s="1"/>
  <c r="H37" i="3"/>
  <c r="H44" i="3" s="1"/>
  <c r="I37" i="3"/>
  <c r="I44" i="3" s="1"/>
  <c r="J37" i="3"/>
  <c r="J44" i="3" s="1"/>
  <c r="G38" i="3"/>
  <c r="H38" i="3"/>
  <c r="H45" i="3" s="1"/>
  <c r="I38" i="3"/>
  <c r="I45" i="3" s="1"/>
  <c r="J38" i="3"/>
  <c r="J45" i="3" s="1"/>
  <c r="G41" i="3"/>
  <c r="I42" i="3"/>
  <c r="G45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D8" i="3"/>
  <c r="E8" i="3"/>
  <c r="F8" i="3"/>
  <c r="G8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F26" i="3"/>
  <c r="F27" i="3"/>
  <c r="F28" i="3"/>
  <c r="F29" i="3"/>
  <c r="F30" i="3"/>
  <c r="F31" i="3"/>
  <c r="F25" i="3"/>
  <c r="F40" i="3" l="1"/>
  <c r="F41" i="3"/>
  <c r="F42" i="3"/>
  <c r="F43" i="3"/>
  <c r="F44" i="3"/>
  <c r="F45" i="3"/>
  <c r="F39" i="3"/>
  <c r="F38" i="3"/>
  <c r="F37" i="3"/>
  <c r="F36" i="3"/>
  <c r="F35" i="3"/>
  <c r="F34" i="3"/>
  <c r="F33" i="3"/>
  <c r="F32" i="3"/>
  <c r="O7" i="3"/>
  <c r="C27" i="3"/>
  <c r="C28" i="3"/>
  <c r="C29" i="3"/>
  <c r="C30" i="3" s="1"/>
  <c r="C31" i="3" s="1"/>
  <c r="C26" i="3"/>
  <c r="C8" i="3"/>
  <c r="E2" i="3"/>
  <c r="I42" i="1"/>
  <c r="J29" i="1"/>
  <c r="J14" i="1"/>
  <c r="G25" i="1"/>
  <c r="O13" i="3" l="1"/>
  <c r="R14" i="3" s="1"/>
  <c r="G36" i="1"/>
  <c r="I36" i="1" s="1"/>
  <c r="G33" i="1"/>
  <c r="I33" i="1" s="1"/>
  <c r="C9" i="2"/>
  <c r="G19" i="1"/>
  <c r="I38" i="1" l="1"/>
  <c r="G22" i="1"/>
  <c r="G21" i="1"/>
  <c r="G10" i="1"/>
  <c r="C8" i="1"/>
  <c r="G7" i="1" s="1"/>
  <c r="G13" i="1" l="1"/>
</calcChain>
</file>

<file path=xl/sharedStrings.xml><?xml version="1.0" encoding="utf-8"?>
<sst xmlns="http://schemas.openxmlformats.org/spreadsheetml/2006/main" count="143" uniqueCount="58">
  <si>
    <t>Ref: Analytical Modeling of Semiconductor Losses in Matrix Converter</t>
  </si>
  <si>
    <t>P_cond</t>
  </si>
  <si>
    <t>Vceo</t>
  </si>
  <si>
    <t>Vfo</t>
  </si>
  <si>
    <t>Io</t>
  </si>
  <si>
    <t>rce</t>
  </si>
  <si>
    <t>rf</t>
  </si>
  <si>
    <t>Io_rms</t>
  </si>
  <si>
    <t>Total</t>
  </si>
  <si>
    <t>P_sw</t>
  </si>
  <si>
    <t>fs</t>
  </si>
  <si>
    <t>Eon_t</t>
  </si>
  <si>
    <t>Eoff_t</t>
  </si>
  <si>
    <t>Err_d</t>
  </si>
  <si>
    <t>V_data</t>
  </si>
  <si>
    <t>I_data</t>
  </si>
  <si>
    <t>Vi</t>
  </si>
  <si>
    <t>Ref: Semiconductor Power Loss Comparison of Space-Vector Modulated Direct and Indirect Matrix Converter</t>
  </si>
  <si>
    <t>Usw_dmc</t>
  </si>
  <si>
    <t>Vout_rms</t>
  </si>
  <si>
    <t>p/ 125ºC, 600V e 40A</t>
  </si>
  <si>
    <t>x</t>
  </si>
  <si>
    <t>y</t>
  </si>
  <si>
    <t>k1</t>
  </si>
  <si>
    <t>k2</t>
  </si>
  <si>
    <t>k0</t>
  </si>
  <si>
    <t>k3</t>
  </si>
  <si>
    <t>Pcon</t>
  </si>
  <si>
    <r>
      <t>y = 0,0017x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- 0,0555x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+ 0,682x - 0,3154</t>
    </r>
  </si>
  <si>
    <t>Ref: Analysis and evaluation of bi-directional power switch losses for matrix converter drive</t>
  </si>
  <si>
    <t>Pcond/fase</t>
  </si>
  <si>
    <t>Pot de saída</t>
  </si>
  <si>
    <t xml:space="preserve">Rendimento </t>
  </si>
  <si>
    <t>17A</t>
  </si>
  <si>
    <t>24A</t>
  </si>
  <si>
    <t>31A</t>
  </si>
  <si>
    <t>38A</t>
  </si>
  <si>
    <t>45A</t>
  </si>
  <si>
    <t>20k Hz</t>
  </si>
  <si>
    <t>25k Hz</t>
  </si>
  <si>
    <t>30k Hz</t>
  </si>
  <si>
    <t>35k Hz</t>
  </si>
  <si>
    <t>40k Hz</t>
  </si>
  <si>
    <t>45k Hz</t>
  </si>
  <si>
    <t>50k Hz</t>
  </si>
  <si>
    <t>Mec C</t>
  </si>
  <si>
    <t>Mec D</t>
  </si>
  <si>
    <t>Mec B</t>
  </si>
  <si>
    <t>Por IGBT</t>
  </si>
  <si>
    <t>Tj</t>
  </si>
  <si>
    <t>Rjc</t>
  </si>
  <si>
    <t>Perdas Totais (W)</t>
  </si>
  <si>
    <t>Perdas por IGBT (W)</t>
  </si>
  <si>
    <t>Tc máx (ºC)</t>
  </si>
  <si>
    <t>Rendimento (%)</t>
  </si>
  <si>
    <t>Rjc IGBT</t>
  </si>
  <si>
    <t>Rjc Diodo</t>
  </si>
  <si>
    <t>Considerado Tj = 135ºC e Rjc = 0,25 ºC/W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</si>
</sst>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readingOrder="1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71283048993875764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9.870319335083115E-2"/>
                  <c:y val="8.6051326917468654E-2"/>
                </c:manualLayout>
              </c:layout>
              <c:numFmt formatCode="General" sourceLinked="0"/>
            </c:trendlineLbl>
          </c:trendline>
          <c:cat>
            <c:numRef>
              <c:f>Plan2!$B$4:$B$20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Plan2!$A$4:$A$20</c:f>
              <c:numCache>
                <c:formatCode>General</c:formatCode>
                <c:ptCount val="17"/>
                <c:pt idx="0">
                  <c:v>0</c:v>
                </c:pt>
                <c:pt idx="1">
                  <c:v>1.1000000000000001</c:v>
                </c:pt>
                <c:pt idx="2">
                  <c:v>1.45</c:v>
                </c:pt>
                <c:pt idx="3">
                  <c:v>1.75</c:v>
                </c:pt>
                <c:pt idx="4">
                  <c:v>1.9</c:v>
                </c:pt>
                <c:pt idx="5">
                  <c:v>2.1</c:v>
                </c:pt>
                <c:pt idx="6">
                  <c:v>2.2000000000000002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2.75</c:v>
                </c:pt>
                <c:pt idx="11">
                  <c:v>2.85</c:v>
                </c:pt>
                <c:pt idx="12">
                  <c:v>3</c:v>
                </c:pt>
                <c:pt idx="13">
                  <c:v>3.15</c:v>
                </c:pt>
                <c:pt idx="14">
                  <c:v>3.25</c:v>
                </c:pt>
                <c:pt idx="15">
                  <c:v>3.45</c:v>
                </c:pt>
                <c:pt idx="1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5056"/>
        <c:axId val="108558528"/>
      </c:lineChart>
      <c:catAx>
        <c:axId val="1088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58528"/>
        <c:crosses val="autoZero"/>
        <c:auto val="0"/>
        <c:lblAlgn val="ctr"/>
        <c:lblOffset val="100"/>
        <c:tickMarkSkip val="1"/>
        <c:noMultiLvlLbl val="0"/>
      </c:catAx>
      <c:valAx>
        <c:axId val="1085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1.7433945756780402E-2"/>
                  <c:y val="-7.1356080489938759E-2"/>
                </c:manualLayout>
              </c:layout>
              <c:numFmt formatCode="General" sourceLinked="0"/>
            </c:trendlineLbl>
          </c:trendline>
          <c:cat>
            <c:numRef>
              <c:f>Plan2!$B$4:$B$20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cat>
          <c:val>
            <c:numRef>
              <c:f>Plan2!$A$4:$A$20</c:f>
              <c:numCache>
                <c:formatCode>General</c:formatCode>
                <c:ptCount val="17"/>
                <c:pt idx="0">
                  <c:v>0</c:v>
                </c:pt>
                <c:pt idx="1">
                  <c:v>1.1000000000000001</c:v>
                </c:pt>
                <c:pt idx="2">
                  <c:v>1.45</c:v>
                </c:pt>
                <c:pt idx="3">
                  <c:v>1.75</c:v>
                </c:pt>
                <c:pt idx="4">
                  <c:v>1.9</c:v>
                </c:pt>
                <c:pt idx="5">
                  <c:v>2.1</c:v>
                </c:pt>
                <c:pt idx="6">
                  <c:v>2.2000000000000002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2.75</c:v>
                </c:pt>
                <c:pt idx="11">
                  <c:v>2.85</c:v>
                </c:pt>
                <c:pt idx="12">
                  <c:v>3</c:v>
                </c:pt>
                <c:pt idx="13">
                  <c:v>3.15</c:v>
                </c:pt>
                <c:pt idx="14">
                  <c:v>3.25</c:v>
                </c:pt>
                <c:pt idx="15">
                  <c:v>3.45</c:v>
                </c:pt>
                <c:pt idx="16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6080"/>
        <c:axId val="108929024"/>
      </c:lineChart>
      <c:catAx>
        <c:axId val="1088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29024"/>
        <c:crosses val="autoZero"/>
        <c:auto val="1"/>
        <c:lblAlgn val="ctr"/>
        <c:lblOffset val="100"/>
        <c:noMultiLvlLbl val="0"/>
      </c:catAx>
      <c:valAx>
        <c:axId val="1089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Perdas do conversor DMC</a:t>
            </a:r>
          </a:p>
        </c:rich>
      </c:tx>
      <c:layout/>
      <c:overlay val="0"/>
    </c:title>
    <c:autoTitleDeleted val="0"/>
    <c:view3D>
      <c:rotX val="10"/>
      <c:rotY val="10"/>
      <c:depthPercent val="11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20k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Plan3!$F$39:$J$39</c:f>
              <c:numCache>
                <c:formatCode>General</c:formatCode>
                <c:ptCount val="5"/>
                <c:pt idx="0">
                  <c:v>373.7495708141908</c:v>
                </c:pt>
                <c:pt idx="1">
                  <c:v>590.87156281947637</c:v>
                </c:pt>
                <c:pt idx="2">
                  <c:v>840.68839806607082</c:v>
                </c:pt>
                <c:pt idx="3">
                  <c:v>1115.2322771559836</c:v>
                </c:pt>
                <c:pt idx="4">
                  <c:v>1445.294018101788</c:v>
                </c:pt>
              </c:numCache>
            </c:numRef>
          </c:val>
        </c:ser>
        <c:ser>
          <c:idx val="1"/>
          <c:order val="1"/>
          <c:tx>
            <c:v>25k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Plan3!$F$40:$J$40</c:f>
              <c:numCache>
                <c:formatCode>General</c:formatCode>
                <c:ptCount val="5"/>
                <c:pt idx="0">
                  <c:v>416.71036442472916</c:v>
                </c:pt>
                <c:pt idx="1">
                  <c:v>651.52209497553054</c:v>
                </c:pt>
                <c:pt idx="2">
                  <c:v>919.02866876764074</c:v>
                </c:pt>
                <c:pt idx="3">
                  <c:v>1211.2622864030693</c:v>
                </c:pt>
                <c:pt idx="4">
                  <c:v>1559.0137658943895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Plan3!$F$41:$J$41</c:f>
              <c:numCache>
                <c:formatCode>General</c:formatCode>
                <c:ptCount val="5"/>
                <c:pt idx="0">
                  <c:v>459.67115803526752</c:v>
                </c:pt>
                <c:pt idx="1">
                  <c:v>712.1726271315847</c:v>
                </c:pt>
                <c:pt idx="2">
                  <c:v>997.36893946921077</c:v>
                </c:pt>
                <c:pt idx="3">
                  <c:v>1307.2922956501552</c:v>
                </c:pt>
                <c:pt idx="4">
                  <c:v>1672.733513686991</c:v>
                </c:pt>
              </c:numCache>
            </c:numRef>
          </c:val>
        </c:ser>
        <c:ser>
          <c:idx val="3"/>
          <c:order val="3"/>
          <c:tx>
            <c:v>35k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Plan3!$F$42:$J$42</c:f>
              <c:numCache>
                <c:formatCode>General</c:formatCode>
                <c:ptCount val="5"/>
                <c:pt idx="0">
                  <c:v>502.63195164580594</c:v>
                </c:pt>
                <c:pt idx="1">
                  <c:v>772.82315928763899</c:v>
                </c:pt>
                <c:pt idx="2">
                  <c:v>1075.7092101707808</c:v>
                </c:pt>
                <c:pt idx="3">
                  <c:v>1403.3223048972409</c:v>
                </c:pt>
                <c:pt idx="4">
                  <c:v>1786.4532614795926</c:v>
                </c:pt>
              </c:numCache>
            </c:numRef>
          </c:val>
        </c:ser>
        <c:ser>
          <c:idx val="4"/>
          <c:order val="4"/>
          <c:tx>
            <c:v>40k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Plan3!$F$43:$J$43</c:f>
              <c:numCache>
                <c:formatCode>General</c:formatCode>
                <c:ptCount val="5"/>
                <c:pt idx="0">
                  <c:v>545.59274525634441</c:v>
                </c:pt>
                <c:pt idx="1">
                  <c:v>833.47369144369316</c:v>
                </c:pt>
                <c:pt idx="2">
                  <c:v>1154.0494808723508</c:v>
                </c:pt>
                <c:pt idx="3">
                  <c:v>1499.3523141443268</c:v>
                </c:pt>
                <c:pt idx="4">
                  <c:v>1900.1730092721943</c:v>
                </c:pt>
              </c:numCache>
            </c:numRef>
          </c:val>
        </c:ser>
        <c:ser>
          <c:idx val="5"/>
          <c:order val="5"/>
          <c:tx>
            <c:v>45k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Plan3!$F$44:$J$44</c:f>
              <c:numCache>
                <c:formatCode>General</c:formatCode>
                <c:ptCount val="5"/>
                <c:pt idx="0">
                  <c:v>588.55353886688272</c:v>
                </c:pt>
                <c:pt idx="1">
                  <c:v>894.12422359974721</c:v>
                </c:pt>
                <c:pt idx="2">
                  <c:v>1232.3897515739209</c:v>
                </c:pt>
                <c:pt idx="3">
                  <c:v>1595.3823233914127</c:v>
                </c:pt>
                <c:pt idx="4">
                  <c:v>2013.8927570647959</c:v>
                </c:pt>
              </c:numCache>
            </c:numRef>
          </c:val>
        </c:ser>
        <c:ser>
          <c:idx val="6"/>
          <c:order val="6"/>
          <c:tx>
            <c:v>50k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Plan3!$F$45:$J$45</c:f>
              <c:numCache>
                <c:formatCode>General</c:formatCode>
                <c:ptCount val="5"/>
                <c:pt idx="0">
                  <c:v>631.51433247742102</c:v>
                </c:pt>
                <c:pt idx="1">
                  <c:v>954.77475575580161</c:v>
                </c:pt>
                <c:pt idx="2">
                  <c:v>1310.7300222754907</c:v>
                </c:pt>
                <c:pt idx="3">
                  <c:v>1691.4123326384984</c:v>
                </c:pt>
                <c:pt idx="4">
                  <c:v>2127.6125048573977</c:v>
                </c:pt>
              </c:numCache>
            </c:numRef>
          </c:val>
        </c:ser>
        <c:bandFmts/>
        <c:axId val="109642752"/>
        <c:axId val="108931904"/>
        <c:axId val="108620288"/>
      </c:surface3DChart>
      <c:catAx>
        <c:axId val="109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Corrente de saída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8931904"/>
        <c:crosses val="autoZero"/>
        <c:auto val="1"/>
        <c:lblAlgn val="ctr"/>
        <c:lblOffset val="100"/>
        <c:noMultiLvlLbl val="0"/>
      </c:catAx>
      <c:valAx>
        <c:axId val="1089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Perdas totais (W)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642752"/>
        <c:crosses val="autoZero"/>
        <c:crossBetween val="midCat"/>
      </c:valAx>
      <c:serAx>
        <c:axId val="10862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9319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20k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Plan3!$F$39:$L$39</c:f>
              <c:numCache>
                <c:formatCode>General</c:formatCode>
                <c:ptCount val="7"/>
                <c:pt idx="0">
                  <c:v>373.7495708141908</c:v>
                </c:pt>
                <c:pt idx="1">
                  <c:v>590.87156281947637</c:v>
                </c:pt>
                <c:pt idx="2">
                  <c:v>840.68839806607082</c:v>
                </c:pt>
                <c:pt idx="3">
                  <c:v>1115.2322771559836</c:v>
                </c:pt>
                <c:pt idx="4">
                  <c:v>1445.294018101788</c:v>
                </c:pt>
              </c:numCache>
            </c:numRef>
          </c:val>
        </c:ser>
        <c:ser>
          <c:idx val="1"/>
          <c:order val="1"/>
          <c:tx>
            <c:v>25k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Plan3!$F$40:$L$40</c:f>
              <c:numCache>
                <c:formatCode>General</c:formatCode>
                <c:ptCount val="7"/>
                <c:pt idx="0">
                  <c:v>416.71036442472916</c:v>
                </c:pt>
                <c:pt idx="1">
                  <c:v>651.52209497553054</c:v>
                </c:pt>
                <c:pt idx="2">
                  <c:v>919.02866876764074</c:v>
                </c:pt>
                <c:pt idx="3">
                  <c:v>1211.2622864030693</c:v>
                </c:pt>
                <c:pt idx="4">
                  <c:v>1559.0137658943895</c:v>
                </c:pt>
              </c:numCache>
            </c:numRef>
          </c:val>
        </c:ser>
        <c:ser>
          <c:idx val="2"/>
          <c:order val="2"/>
          <c:tx>
            <c:v>30k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Plan3!$F$41:$L$41</c:f>
              <c:numCache>
                <c:formatCode>General</c:formatCode>
                <c:ptCount val="7"/>
                <c:pt idx="0">
                  <c:v>459.67115803526752</c:v>
                </c:pt>
                <c:pt idx="1">
                  <c:v>712.1726271315847</c:v>
                </c:pt>
                <c:pt idx="2">
                  <c:v>997.36893946921077</c:v>
                </c:pt>
                <c:pt idx="3">
                  <c:v>1307.2922956501552</c:v>
                </c:pt>
                <c:pt idx="4">
                  <c:v>1672.733513686991</c:v>
                </c:pt>
              </c:numCache>
            </c:numRef>
          </c:val>
        </c:ser>
        <c:ser>
          <c:idx val="3"/>
          <c:order val="3"/>
          <c:tx>
            <c:v>35k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Plan3!$F$42:$L$42</c:f>
              <c:numCache>
                <c:formatCode>General</c:formatCode>
                <c:ptCount val="7"/>
                <c:pt idx="0">
                  <c:v>502.63195164580594</c:v>
                </c:pt>
                <c:pt idx="1">
                  <c:v>772.82315928763899</c:v>
                </c:pt>
                <c:pt idx="2">
                  <c:v>1075.7092101707808</c:v>
                </c:pt>
                <c:pt idx="3">
                  <c:v>1403.3223048972409</c:v>
                </c:pt>
                <c:pt idx="4">
                  <c:v>1786.4532614795926</c:v>
                </c:pt>
              </c:numCache>
            </c:numRef>
          </c:val>
        </c:ser>
        <c:ser>
          <c:idx val="4"/>
          <c:order val="4"/>
          <c:tx>
            <c:v>40k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Plan3!$F$43:$L$43</c:f>
              <c:numCache>
                <c:formatCode>General</c:formatCode>
                <c:ptCount val="7"/>
                <c:pt idx="0">
                  <c:v>545.59274525634441</c:v>
                </c:pt>
                <c:pt idx="1">
                  <c:v>833.47369144369316</c:v>
                </c:pt>
                <c:pt idx="2">
                  <c:v>1154.0494808723508</c:v>
                </c:pt>
                <c:pt idx="3">
                  <c:v>1499.3523141443268</c:v>
                </c:pt>
                <c:pt idx="4">
                  <c:v>1900.1730092721943</c:v>
                </c:pt>
              </c:numCache>
            </c:numRef>
          </c:val>
        </c:ser>
        <c:ser>
          <c:idx val="5"/>
          <c:order val="5"/>
          <c:tx>
            <c:v>45k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Plan3!$F$44:$L$44</c:f>
              <c:numCache>
                <c:formatCode>General</c:formatCode>
                <c:ptCount val="7"/>
                <c:pt idx="0">
                  <c:v>588.55353886688272</c:v>
                </c:pt>
                <c:pt idx="1">
                  <c:v>894.12422359974721</c:v>
                </c:pt>
                <c:pt idx="2">
                  <c:v>1232.3897515739209</c:v>
                </c:pt>
                <c:pt idx="3">
                  <c:v>1595.3823233914127</c:v>
                </c:pt>
                <c:pt idx="4">
                  <c:v>2013.8927570647959</c:v>
                </c:pt>
              </c:numCache>
            </c:numRef>
          </c:val>
        </c:ser>
        <c:ser>
          <c:idx val="6"/>
          <c:order val="6"/>
          <c:tx>
            <c:v>50k Hz</c:v>
          </c:tx>
          <c:cat>
            <c:strRef>
              <c:f>Plan3!$F$24:$L$24</c:f>
              <c:strCache>
                <c:ptCount val="5"/>
                <c:pt idx="0">
                  <c:v>17A</c:v>
                </c:pt>
                <c:pt idx="1">
                  <c:v>24A</c:v>
                </c:pt>
                <c:pt idx="2">
                  <c:v>31A</c:v>
                </c:pt>
                <c:pt idx="3">
                  <c:v>38A</c:v>
                </c:pt>
                <c:pt idx="4">
                  <c:v>45A</c:v>
                </c:pt>
              </c:strCache>
            </c:strRef>
          </c:cat>
          <c:val>
            <c:numRef>
              <c:f>Plan3!$F$45:$L$45</c:f>
              <c:numCache>
                <c:formatCode>General</c:formatCode>
                <c:ptCount val="7"/>
                <c:pt idx="0">
                  <c:v>631.51433247742102</c:v>
                </c:pt>
                <c:pt idx="1">
                  <c:v>954.77475575580161</c:v>
                </c:pt>
                <c:pt idx="2">
                  <c:v>1310.7300222754907</c:v>
                </c:pt>
                <c:pt idx="3">
                  <c:v>1691.4123326384984</c:v>
                </c:pt>
                <c:pt idx="4">
                  <c:v>2127.6125048573977</c:v>
                </c:pt>
              </c:numCache>
            </c:numRef>
          </c:val>
        </c:ser>
        <c:bandFmts/>
        <c:axId val="109643776"/>
        <c:axId val="108934208"/>
        <c:axId val="108617728"/>
      </c:surface3DChart>
      <c:catAx>
        <c:axId val="1096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34208"/>
        <c:crosses val="autoZero"/>
        <c:auto val="1"/>
        <c:lblAlgn val="ctr"/>
        <c:lblOffset val="100"/>
        <c:noMultiLvlLbl val="0"/>
      </c:catAx>
      <c:valAx>
        <c:axId val="108934208"/>
        <c:scaling>
          <c:orientation val="minMax"/>
          <c:max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43776"/>
        <c:crosses val="autoZero"/>
        <c:crossBetween val="midCat"/>
        <c:majorUnit val="500"/>
        <c:minorUnit val="100"/>
      </c:valAx>
      <c:serAx>
        <c:axId val="1086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342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spPr>
    <a:scene3d>
      <a:camera prst="orthographicFront"/>
      <a:lightRig rig="threePt" dir="t"/>
    </a:scene3d>
    <a:sp3d prstMaterial="matte"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4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4</xdr:row>
      <xdr:rowOff>180975</xdr:rowOff>
    </xdr:from>
    <xdr:to>
      <xdr:col>11</xdr:col>
      <xdr:colOff>456885</xdr:colOff>
      <xdr:row>7</xdr:row>
      <xdr:rowOff>123761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942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4</xdr:row>
      <xdr:rowOff>43258</xdr:rowOff>
    </xdr:from>
    <xdr:to>
      <xdr:col>17</xdr:col>
      <xdr:colOff>199524</xdr:colOff>
      <xdr:row>7</xdr:row>
      <xdr:rowOff>171338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80525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8</xdr:row>
      <xdr:rowOff>19050</xdr:rowOff>
    </xdr:from>
    <xdr:to>
      <xdr:col>12</xdr:col>
      <xdr:colOff>47285</xdr:colOff>
      <xdr:row>11</xdr:row>
      <xdr:rowOff>57074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1543050"/>
          <a:ext cx="2723810" cy="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17</xdr:row>
      <xdr:rowOff>66675</xdr:rowOff>
    </xdr:from>
    <xdr:to>
      <xdr:col>13</xdr:col>
      <xdr:colOff>66262</xdr:colOff>
      <xdr:row>20</xdr:row>
      <xdr:rowOff>47556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29300" y="3305175"/>
          <a:ext cx="3304762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10</xdr:col>
      <xdr:colOff>56963</xdr:colOff>
      <xdr:row>22</xdr:row>
      <xdr:rowOff>104738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725" y="4000500"/>
          <a:ext cx="1495238" cy="2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20</xdr:row>
      <xdr:rowOff>104775</xdr:rowOff>
    </xdr:from>
    <xdr:to>
      <xdr:col>19</xdr:col>
      <xdr:colOff>94801</xdr:colOff>
      <xdr:row>28</xdr:row>
      <xdr:rowOff>104585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3914775"/>
          <a:ext cx="3590476" cy="15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12</xdr:col>
      <xdr:colOff>571097</xdr:colOff>
      <xdr:row>24</xdr:row>
      <xdr:rowOff>76167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00725" y="4381500"/>
          <a:ext cx="3228572" cy="2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12</xdr:col>
      <xdr:colOff>523478</xdr:colOff>
      <xdr:row>26</xdr:row>
      <xdr:rowOff>76167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00725" y="4762500"/>
          <a:ext cx="3180953" cy="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31</xdr:row>
      <xdr:rowOff>161925</xdr:rowOff>
    </xdr:from>
    <xdr:to>
      <xdr:col>16</xdr:col>
      <xdr:colOff>28086</xdr:colOff>
      <xdr:row>35</xdr:row>
      <xdr:rowOff>114211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1325" y="6067425"/>
          <a:ext cx="3914286" cy="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35</xdr:row>
      <xdr:rowOff>85725</xdr:rowOff>
    </xdr:from>
    <xdr:to>
      <xdr:col>13</xdr:col>
      <xdr:colOff>142604</xdr:colOff>
      <xdr:row>38</xdr:row>
      <xdr:rowOff>47558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91350" y="6753225"/>
          <a:ext cx="2171429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13</xdr:col>
      <xdr:colOff>228343</xdr:colOff>
      <xdr:row>41</xdr:row>
      <xdr:rowOff>180905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91375" y="7429500"/>
          <a:ext cx="2057143" cy="5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38</xdr:row>
      <xdr:rowOff>171450</xdr:rowOff>
    </xdr:from>
    <xdr:to>
      <xdr:col>17</xdr:col>
      <xdr:colOff>218792</xdr:colOff>
      <xdr:row>41</xdr:row>
      <xdr:rowOff>133283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10700" y="7410450"/>
          <a:ext cx="2266667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13</xdr:col>
      <xdr:colOff>85486</xdr:colOff>
      <xdr:row>44</xdr:row>
      <xdr:rowOff>123762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91375" y="8001000"/>
          <a:ext cx="1914286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0</xdr:row>
      <xdr:rowOff>142875</xdr:rowOff>
    </xdr:from>
    <xdr:to>
      <xdr:col>21</xdr:col>
      <xdr:colOff>466725</xdr:colOff>
      <xdr:row>25</xdr:row>
      <xdr:rowOff>110499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42875"/>
          <a:ext cx="6210300" cy="4730124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27</xdr:row>
      <xdr:rowOff>104775</xdr:rowOff>
    </xdr:from>
    <xdr:to>
      <xdr:col>11</xdr:col>
      <xdr:colOff>28575</xdr:colOff>
      <xdr:row>41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2</xdr:row>
      <xdr:rowOff>71437</xdr:rowOff>
    </xdr:from>
    <xdr:to>
      <xdr:col>11</xdr:col>
      <xdr:colOff>104775</xdr:colOff>
      <xdr:row>24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27</xdr:row>
      <xdr:rowOff>0</xdr:rowOff>
    </xdr:from>
    <xdr:to>
      <xdr:col>21</xdr:col>
      <xdr:colOff>580267</xdr:colOff>
      <xdr:row>50</xdr:row>
      <xdr:rowOff>66119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5143500"/>
          <a:ext cx="6066667" cy="44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4</xdr:row>
      <xdr:rowOff>180975</xdr:rowOff>
    </xdr:from>
    <xdr:to>
      <xdr:col>18</xdr:col>
      <xdr:colOff>580710</xdr:colOff>
      <xdr:row>7</xdr:row>
      <xdr:rowOff>123761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942975"/>
          <a:ext cx="2523810" cy="5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485775</xdr:colOff>
      <xdr:row>4</xdr:row>
      <xdr:rowOff>100408</xdr:rowOff>
    </xdr:from>
    <xdr:to>
      <xdr:col>24</xdr:col>
      <xdr:colOff>218574</xdr:colOff>
      <xdr:row>8</xdr:row>
      <xdr:rowOff>37988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7700" y="862408"/>
          <a:ext cx="3133224" cy="699580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8</xdr:row>
      <xdr:rowOff>19050</xdr:rowOff>
    </xdr:from>
    <xdr:to>
      <xdr:col>18</xdr:col>
      <xdr:colOff>780710</xdr:colOff>
      <xdr:row>11</xdr:row>
      <xdr:rowOff>57074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3125" y="1543050"/>
          <a:ext cx="2723810" cy="609524"/>
        </a:xfrm>
        <a:prstGeom prst="rect">
          <a:avLst/>
        </a:prstGeom>
      </xdr:spPr>
    </xdr:pic>
    <xdr:clientData/>
  </xdr:twoCellAnchor>
  <xdr:twoCellAnchor>
    <xdr:from>
      <xdr:col>12</xdr:col>
      <xdr:colOff>519112</xdr:colOff>
      <xdr:row>16</xdr:row>
      <xdr:rowOff>119062</xdr:rowOff>
    </xdr:from>
    <xdr:to>
      <xdr:col>20</xdr:col>
      <xdr:colOff>214312</xdr:colOff>
      <xdr:row>31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542925</xdr:colOff>
      <xdr:row>32</xdr:row>
      <xdr:rowOff>57150</xdr:rowOff>
    </xdr:from>
    <xdr:to>
      <xdr:col>20</xdr:col>
      <xdr:colOff>238125</xdr:colOff>
      <xdr:row>46</xdr:row>
      <xdr:rowOff>133350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workbookViewId="0">
      <selection activeCell="F4" sqref="F4"/>
    </sheetView>
  </sheetViews>
  <sheetFormatPr defaultRowHeight="15" x14ac:dyDescent="0.25"/>
  <cols>
    <col min="3" max="3" width="12" bestFit="1" customWidth="1"/>
    <col min="4" max="4" width="19.28515625" bestFit="1" customWidth="1"/>
    <col min="6" max="6" width="11.7109375" customWidth="1"/>
    <col min="7" max="7" width="10" bestFit="1" customWidth="1"/>
    <col min="9" max="9" width="12.42578125" bestFit="1" customWidth="1"/>
  </cols>
  <sheetData>
    <row r="2" spans="2:10" x14ac:dyDescent="0.25">
      <c r="D2" t="s">
        <v>31</v>
      </c>
      <c r="E2">
        <f>3*380*C4*0.9/SQRT(3)</f>
        <v>10070.143395205454</v>
      </c>
    </row>
    <row r="3" spans="2:10" x14ac:dyDescent="0.25">
      <c r="B3" t="s">
        <v>16</v>
      </c>
      <c r="C3">
        <v>600</v>
      </c>
    </row>
    <row r="4" spans="2:10" x14ac:dyDescent="0.25">
      <c r="B4" t="s">
        <v>7</v>
      </c>
      <c r="C4">
        <v>17</v>
      </c>
      <c r="F4" t="s">
        <v>0</v>
      </c>
    </row>
    <row r="5" spans="2:10" x14ac:dyDescent="0.25">
      <c r="B5" t="s">
        <v>19</v>
      </c>
      <c r="C5">
        <v>380</v>
      </c>
    </row>
    <row r="6" spans="2:10" x14ac:dyDescent="0.25">
      <c r="B6" t="s">
        <v>2</v>
      </c>
      <c r="C6">
        <v>1.7</v>
      </c>
    </row>
    <row r="7" spans="2:10" x14ac:dyDescent="0.25">
      <c r="B7" t="s">
        <v>3</v>
      </c>
      <c r="C7">
        <v>1.3</v>
      </c>
      <c r="F7" t="s">
        <v>1</v>
      </c>
      <c r="G7">
        <f>6/PI()*(C6+C7)*C8+3/2*C8*C8*(C9+C10)</f>
        <v>201.90639637203725</v>
      </c>
    </row>
    <row r="8" spans="2:10" x14ac:dyDescent="0.25">
      <c r="B8" t="s">
        <v>4</v>
      </c>
      <c r="C8">
        <f>C4*SQRT(2)</f>
        <v>24.041630560342618</v>
      </c>
    </row>
    <row r="9" spans="2:10" x14ac:dyDescent="0.25">
      <c r="B9" t="s">
        <v>5</v>
      </c>
      <c r="C9">
        <v>3.6999999999999998E-2</v>
      </c>
    </row>
    <row r="10" spans="2:10" x14ac:dyDescent="0.25">
      <c r="B10" t="s">
        <v>6</v>
      </c>
      <c r="C10">
        <v>3.6999999999999998E-2</v>
      </c>
      <c r="F10" t="s">
        <v>9</v>
      </c>
      <c r="G10">
        <f>SQRT(3)*24*C11*(C12+C13+C14)*C3*C4/(C15*C16*PI()*PI())</f>
        <v>171.84317444215355</v>
      </c>
    </row>
    <row r="11" spans="2:10" x14ac:dyDescent="0.25">
      <c r="B11" t="s">
        <v>10</v>
      </c>
      <c r="C11">
        <v>20000</v>
      </c>
    </row>
    <row r="12" spans="2:10" x14ac:dyDescent="0.25">
      <c r="B12" t="s">
        <v>11</v>
      </c>
      <c r="C12">
        <v>1.4E-3</v>
      </c>
      <c r="D12" t="s">
        <v>20</v>
      </c>
    </row>
    <row r="13" spans="2:10" x14ac:dyDescent="0.25">
      <c r="B13" t="s">
        <v>12</v>
      </c>
      <c r="C13">
        <v>1.8E-3</v>
      </c>
      <c r="D13" t="s">
        <v>20</v>
      </c>
      <c r="F13" t="s">
        <v>8</v>
      </c>
      <c r="G13">
        <f>G7+G10</f>
        <v>373.7495708141908</v>
      </c>
    </row>
    <row r="14" spans="2:10" x14ac:dyDescent="0.25">
      <c r="B14" t="s">
        <v>13</v>
      </c>
      <c r="C14">
        <v>1.6000000000000001E-3</v>
      </c>
      <c r="I14" t="s">
        <v>32</v>
      </c>
      <c r="J14" s="2">
        <f>1-G13/$E$2</f>
        <v>0.96288537748209835</v>
      </c>
    </row>
    <row r="15" spans="2:10" x14ac:dyDescent="0.25">
      <c r="B15" t="s">
        <v>14</v>
      </c>
      <c r="C15">
        <v>600</v>
      </c>
    </row>
    <row r="16" spans="2:10" x14ac:dyDescent="0.25">
      <c r="B16" t="s">
        <v>15</v>
      </c>
      <c r="C16">
        <v>40</v>
      </c>
    </row>
    <row r="17" spans="2:10" x14ac:dyDescent="0.25">
      <c r="F17" t="s">
        <v>17</v>
      </c>
    </row>
    <row r="18" spans="2:10" x14ac:dyDescent="0.25">
      <c r="B18" t="s">
        <v>25</v>
      </c>
      <c r="C18">
        <v>-0.31419999999999998</v>
      </c>
    </row>
    <row r="19" spans="2:10" x14ac:dyDescent="0.25">
      <c r="B19" t="s">
        <v>23</v>
      </c>
      <c r="C19">
        <v>0.68200000000000005</v>
      </c>
      <c r="F19" t="s">
        <v>27</v>
      </c>
      <c r="G19">
        <f>3*(C21*(C4^4)/4+C20*(C4^3)/3+C19*(C4^2)/2+C18*2*(C4)/PI())</f>
        <v>119.26345244362744</v>
      </c>
    </row>
    <row r="20" spans="2:10" x14ac:dyDescent="0.25">
      <c r="B20" t="s">
        <v>24</v>
      </c>
      <c r="C20">
        <v>-5.5500000000000001E-2</v>
      </c>
    </row>
    <row r="21" spans="2:10" x14ac:dyDescent="0.25">
      <c r="B21" t="s">
        <v>26</v>
      </c>
      <c r="C21">
        <v>1.6999999999999999E-3</v>
      </c>
      <c r="F21" t="s">
        <v>18</v>
      </c>
      <c r="G21">
        <f>C5*3*3*SQRT(3)/(2*PI())+C5*(6-(3*SQRT(3)))/PI()</f>
        <v>1040.0040108894641</v>
      </c>
    </row>
    <row r="22" spans="2:10" x14ac:dyDescent="0.25">
      <c r="F22" t="s">
        <v>9</v>
      </c>
      <c r="G22">
        <f>C11*(C12+C13+C14)*G21*C4/(C15*C16)</f>
        <v>70.720272740483551</v>
      </c>
    </row>
    <row r="23" spans="2:10" x14ac:dyDescent="0.25">
      <c r="D23" s="1" t="s">
        <v>28</v>
      </c>
    </row>
    <row r="24" spans="2:10" x14ac:dyDescent="0.25">
      <c r="D24" s="1"/>
    </row>
    <row r="25" spans="2:10" x14ac:dyDescent="0.25">
      <c r="F25" t="s">
        <v>8</v>
      </c>
      <c r="G25">
        <f>G22+G19</f>
        <v>189.98372518411099</v>
      </c>
    </row>
    <row r="29" spans="2:10" x14ac:dyDescent="0.25">
      <c r="I29" t="s">
        <v>32</v>
      </c>
      <c r="J29" s="2">
        <f>1-G25/$E$2</f>
        <v>0.98113396028952626</v>
      </c>
    </row>
    <row r="31" spans="2:10" x14ac:dyDescent="0.25">
      <c r="F31" t="s">
        <v>29</v>
      </c>
    </row>
    <row r="33" spans="6:9" x14ac:dyDescent="0.25">
      <c r="F33" t="s">
        <v>30</v>
      </c>
      <c r="G33">
        <f>(2*SQRT(2)/PI())*C4*(C7+C6)+C4*C4*(C9+C10)</f>
        <v>67.302132124012417</v>
      </c>
      <c r="H33" t="s">
        <v>8</v>
      </c>
      <c r="I33">
        <f>G33*3</f>
        <v>201.90639637203725</v>
      </c>
    </row>
    <row r="36" spans="6:9" x14ac:dyDescent="0.25">
      <c r="F36" t="s">
        <v>9</v>
      </c>
      <c r="G36">
        <f>(12/(PI()*PI()))*600*C4*C11*(C12+C13+C14)/(C15*C16)</f>
        <v>49.606851511288568</v>
      </c>
      <c r="H36" t="s">
        <v>8</v>
      </c>
      <c r="I36">
        <f>G36*3</f>
        <v>148.8205545338657</v>
      </c>
    </row>
    <row r="38" spans="6:9" x14ac:dyDescent="0.25">
      <c r="H38" t="s">
        <v>8</v>
      </c>
      <c r="I38">
        <f>I36+I33</f>
        <v>350.72695090590298</v>
      </c>
    </row>
    <row r="42" spans="6:9" x14ac:dyDescent="0.25">
      <c r="H42" t="s">
        <v>32</v>
      </c>
      <c r="I42" s="2">
        <f>1-I38/$E$2</f>
        <v>0.96517160311015138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opLeftCell="G1" workbookViewId="0">
      <selection activeCell="X33" sqref="X33"/>
    </sheetView>
  </sheetViews>
  <sheetFormatPr defaultRowHeight="15" x14ac:dyDescent="0.25"/>
  <sheetData>
    <row r="3" spans="1:3" x14ac:dyDescent="0.25">
      <c r="A3" t="s">
        <v>21</v>
      </c>
      <c r="B3" t="s">
        <v>22</v>
      </c>
    </row>
    <row r="4" spans="1:3" x14ac:dyDescent="0.25">
      <c r="A4">
        <v>0</v>
      </c>
      <c r="B4">
        <v>0</v>
      </c>
    </row>
    <row r="5" spans="1:3" x14ac:dyDescent="0.25">
      <c r="A5">
        <v>1.1000000000000001</v>
      </c>
      <c r="B5">
        <v>5</v>
      </c>
    </row>
    <row r="6" spans="1:3" x14ac:dyDescent="0.25">
      <c r="A6">
        <v>1.45</v>
      </c>
      <c r="B6">
        <v>10</v>
      </c>
    </row>
    <row r="7" spans="1:3" x14ac:dyDescent="0.25">
      <c r="A7">
        <v>1.75</v>
      </c>
      <c r="B7">
        <v>15</v>
      </c>
    </row>
    <row r="8" spans="1:3" x14ac:dyDescent="0.25">
      <c r="A8">
        <v>1.9</v>
      </c>
      <c r="B8">
        <v>20</v>
      </c>
    </row>
    <row r="9" spans="1:3" x14ac:dyDescent="0.25">
      <c r="A9">
        <v>2.1</v>
      </c>
      <c r="B9">
        <v>25</v>
      </c>
      <c r="C9">
        <f>0.0017*B23^3-0.0555*B23^2+0.682*B23-0.3154</f>
        <v>1.4646124999999999</v>
      </c>
    </row>
    <row r="10" spans="1:3" x14ac:dyDescent="0.25">
      <c r="A10">
        <v>2.2000000000000002</v>
      </c>
      <c r="B10">
        <v>30</v>
      </c>
    </row>
    <row r="11" spans="1:3" x14ac:dyDescent="0.25">
      <c r="A11">
        <v>2.4</v>
      </c>
      <c r="B11">
        <v>35</v>
      </c>
    </row>
    <row r="12" spans="1:3" x14ac:dyDescent="0.25">
      <c r="A12">
        <v>2.5</v>
      </c>
      <c r="B12">
        <v>40</v>
      </c>
    </row>
    <row r="13" spans="1:3" x14ac:dyDescent="0.25">
      <c r="A13">
        <v>2.6</v>
      </c>
      <c r="B13">
        <v>45</v>
      </c>
    </row>
    <row r="14" spans="1:3" x14ac:dyDescent="0.25">
      <c r="A14">
        <v>2.75</v>
      </c>
      <c r="B14">
        <v>50</v>
      </c>
    </row>
    <row r="15" spans="1:3" x14ac:dyDescent="0.25">
      <c r="A15">
        <v>2.85</v>
      </c>
      <c r="B15">
        <v>55</v>
      </c>
    </row>
    <row r="16" spans="1:3" x14ac:dyDescent="0.25">
      <c r="A16">
        <v>3</v>
      </c>
      <c r="B16">
        <v>60</v>
      </c>
    </row>
    <row r="17" spans="1:2" x14ac:dyDescent="0.25">
      <c r="A17">
        <v>3.15</v>
      </c>
      <c r="B17">
        <v>65</v>
      </c>
    </row>
    <row r="18" spans="1:2" x14ac:dyDescent="0.25">
      <c r="A18">
        <v>3.25</v>
      </c>
      <c r="B18">
        <v>70</v>
      </c>
    </row>
    <row r="19" spans="1:2" x14ac:dyDescent="0.25">
      <c r="A19">
        <v>3.45</v>
      </c>
      <c r="B19">
        <v>75</v>
      </c>
    </row>
    <row r="20" spans="1:2" x14ac:dyDescent="0.25">
      <c r="A20">
        <v>3.5</v>
      </c>
      <c r="B20">
        <v>80</v>
      </c>
    </row>
    <row r="23" spans="1:2" x14ac:dyDescent="0.25">
      <c r="B23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topLeftCell="J58" workbookViewId="0">
      <selection activeCell="O64" sqref="O64:U71"/>
    </sheetView>
  </sheetViews>
  <sheetFormatPr defaultRowHeight="15" x14ac:dyDescent="0.25"/>
  <cols>
    <col min="2" max="2" width="9.5703125" bestFit="1" customWidth="1"/>
    <col min="3" max="3" width="12" bestFit="1" customWidth="1"/>
    <col min="6" max="6" width="9.28515625" customWidth="1"/>
    <col min="16" max="18" width="11.5703125" bestFit="1" customWidth="1"/>
    <col min="19" max="20" width="12" bestFit="1" customWidth="1"/>
    <col min="21" max="21" width="11.5703125" bestFit="1" customWidth="1"/>
  </cols>
  <sheetData>
    <row r="1" spans="2:18" x14ac:dyDescent="0.25">
      <c r="C1" s="9" t="s">
        <v>47</v>
      </c>
      <c r="D1" s="9"/>
      <c r="E1" s="9"/>
    </row>
    <row r="2" spans="2:18" x14ac:dyDescent="0.25">
      <c r="D2" t="s">
        <v>31</v>
      </c>
      <c r="E2">
        <f>3*380*C4*0.86</f>
        <v>16666.8</v>
      </c>
    </row>
    <row r="3" spans="2:18" x14ac:dyDescent="0.25">
      <c r="B3" t="s">
        <v>16</v>
      </c>
      <c r="C3">
        <v>600</v>
      </c>
      <c r="F3" s="9" t="s">
        <v>45</v>
      </c>
      <c r="G3" s="9"/>
      <c r="H3" s="9"/>
      <c r="I3" t="s">
        <v>46</v>
      </c>
    </row>
    <row r="4" spans="2:18" x14ac:dyDescent="0.25">
      <c r="B4" t="s">
        <v>7</v>
      </c>
      <c r="C4">
        <v>17</v>
      </c>
      <c r="D4">
        <v>24</v>
      </c>
      <c r="E4">
        <v>31</v>
      </c>
      <c r="F4">
        <v>38</v>
      </c>
      <c r="G4">
        <v>45</v>
      </c>
      <c r="N4" t="s">
        <v>0</v>
      </c>
    </row>
    <row r="5" spans="2:18" x14ac:dyDescent="0.25">
      <c r="B5" t="s">
        <v>19</v>
      </c>
      <c r="C5">
        <v>380</v>
      </c>
    </row>
    <row r="6" spans="2:18" x14ac:dyDescent="0.25">
      <c r="B6" t="s">
        <v>2</v>
      </c>
      <c r="C6">
        <v>1.7</v>
      </c>
      <c r="D6">
        <v>2</v>
      </c>
      <c r="E6">
        <v>2.2000000000000002</v>
      </c>
      <c r="F6">
        <v>2.4</v>
      </c>
      <c r="G6">
        <v>2.7</v>
      </c>
    </row>
    <row r="7" spans="2:18" x14ac:dyDescent="0.25">
      <c r="B7" t="s">
        <v>3</v>
      </c>
      <c r="C7">
        <v>1.3</v>
      </c>
      <c r="D7">
        <v>1.4</v>
      </c>
      <c r="E7">
        <v>1.55</v>
      </c>
      <c r="F7">
        <v>1.6</v>
      </c>
      <c r="G7">
        <v>1.75</v>
      </c>
      <c r="N7" t="s">
        <v>1</v>
      </c>
      <c r="O7">
        <f>6/PI()*(C$6+C$7)*C$8+3/2*C$8*C$8*(C$9+C$10)</f>
        <v>201.90639637203725</v>
      </c>
    </row>
    <row r="8" spans="2:18" x14ac:dyDescent="0.25">
      <c r="B8" t="s">
        <v>4</v>
      </c>
      <c r="C8">
        <f>C4*SQRT(2)</f>
        <v>24.041630560342618</v>
      </c>
      <c r="D8">
        <f t="shared" ref="D8:G8" si="0">D4*SQRT(2)</f>
        <v>33.941125496954285</v>
      </c>
      <c r="E8">
        <f t="shared" si="0"/>
        <v>43.840620433565952</v>
      </c>
      <c r="F8">
        <f t="shared" si="0"/>
        <v>53.740115370177612</v>
      </c>
      <c r="G8">
        <f t="shared" si="0"/>
        <v>63.63961030678928</v>
      </c>
    </row>
    <row r="9" spans="2:18" x14ac:dyDescent="0.25">
      <c r="B9" t="s">
        <v>5</v>
      </c>
      <c r="C9">
        <v>3.6999999999999998E-2</v>
      </c>
      <c r="D9">
        <v>3.6999999999999998E-2</v>
      </c>
      <c r="E9">
        <v>3.6999999999999998E-2</v>
      </c>
      <c r="F9">
        <v>3.6999999999999998E-2</v>
      </c>
      <c r="G9">
        <v>3.6999999999999998E-2</v>
      </c>
    </row>
    <row r="10" spans="2:18" x14ac:dyDescent="0.25">
      <c r="B10" t="s">
        <v>6</v>
      </c>
      <c r="C10">
        <v>3.6999999999999998E-2</v>
      </c>
      <c r="D10">
        <v>3.6999999999999998E-2</v>
      </c>
      <c r="E10">
        <v>3.6999999999999998E-2</v>
      </c>
      <c r="F10">
        <v>3.6999999999999998E-2</v>
      </c>
      <c r="G10">
        <v>3.6999999999999998E-2</v>
      </c>
    </row>
    <row r="12" spans="2:18" x14ac:dyDescent="0.25">
      <c r="B12" t="s">
        <v>11</v>
      </c>
      <c r="C12">
        <v>1.4E-3</v>
      </c>
      <c r="D12" t="s">
        <v>20</v>
      </c>
    </row>
    <row r="13" spans="2:18" x14ac:dyDescent="0.25">
      <c r="B13" t="s">
        <v>12</v>
      </c>
      <c r="C13">
        <v>1.8E-3</v>
      </c>
      <c r="D13" t="s">
        <v>20</v>
      </c>
      <c r="N13" t="s">
        <v>8</v>
      </c>
      <c r="O13">
        <f>O7+F25</f>
        <v>373.7495708141908</v>
      </c>
    </row>
    <row r="14" spans="2:18" x14ac:dyDescent="0.25">
      <c r="B14" t="s">
        <v>13</v>
      </c>
      <c r="C14">
        <v>1.6000000000000001E-3</v>
      </c>
      <c r="Q14" t="s">
        <v>32</v>
      </c>
      <c r="R14" s="2">
        <f>1-O13/$E$2</f>
        <v>0.97757520514950735</v>
      </c>
    </row>
    <row r="15" spans="2:18" x14ac:dyDescent="0.25">
      <c r="B15" t="s">
        <v>14</v>
      </c>
      <c r="C15">
        <v>600</v>
      </c>
    </row>
    <row r="16" spans="2:18" x14ac:dyDescent="0.25">
      <c r="B16" t="s">
        <v>15</v>
      </c>
      <c r="C16">
        <v>40</v>
      </c>
    </row>
    <row r="18" spans="2:10" x14ac:dyDescent="0.25">
      <c r="B18" t="s">
        <v>25</v>
      </c>
      <c r="C18">
        <v>-0.31419999999999998</v>
      </c>
    </row>
    <row r="19" spans="2:10" x14ac:dyDescent="0.25">
      <c r="B19" t="s">
        <v>23</v>
      </c>
      <c r="C19">
        <v>0.68200000000000005</v>
      </c>
    </row>
    <row r="20" spans="2:10" x14ac:dyDescent="0.25">
      <c r="B20" t="s">
        <v>24</v>
      </c>
      <c r="C20">
        <v>-5.5500000000000001E-2</v>
      </c>
    </row>
    <row r="21" spans="2:10" x14ac:dyDescent="0.25">
      <c r="B21" t="s">
        <v>26</v>
      </c>
      <c r="C21">
        <v>1.6999999999999999E-3</v>
      </c>
    </row>
    <row r="24" spans="2:10" x14ac:dyDescent="0.25">
      <c r="F24" t="s">
        <v>33</v>
      </c>
      <c r="G24" t="s">
        <v>34</v>
      </c>
      <c r="H24" t="s">
        <v>35</v>
      </c>
      <c r="I24" t="s">
        <v>36</v>
      </c>
      <c r="J24" t="s">
        <v>37</v>
      </c>
    </row>
    <row r="25" spans="2:10" x14ac:dyDescent="0.25">
      <c r="B25" s="12" t="s">
        <v>10</v>
      </c>
      <c r="C25">
        <v>20000</v>
      </c>
      <c r="E25" s="12" t="s">
        <v>9</v>
      </c>
      <c r="F25">
        <f>SQRT(3)*24*$C25*($C$12+$C$13+$C$14)*$C$3*C$4/($C$15*$C$16*PI()*PI())</f>
        <v>171.84317444215355</v>
      </c>
      <c r="G25">
        <f t="shared" ref="G25:H31" si="1">SQRT(3)*24*$C25*($C$12+$C$13+$C$14)*$C$3*D$4/($C$15*$C$16*PI()*PI())</f>
        <v>242.60212862421676</v>
      </c>
      <c r="H25">
        <f t="shared" si="1"/>
        <v>313.36108280628002</v>
      </c>
      <c r="I25">
        <f t="shared" ref="I25:I31" si="2">SQRT(3)*24*$C25*($C$12+$C$13+$C$14)*$C$3*F$4/($C$15*$C$16*PI()*PI())</f>
        <v>384.1200369883432</v>
      </c>
      <c r="J25">
        <f t="shared" ref="J25:J31" si="3">SQRT(3)*24*$C25*($C$12+$C$13+$C$14)*$C$3*G$4/($C$15*$C$16*PI()*PI())</f>
        <v>454.87899117040644</v>
      </c>
    </row>
    <row r="26" spans="2:10" x14ac:dyDescent="0.25">
      <c r="B26" s="12"/>
      <c r="C26">
        <f>C25+5000</f>
        <v>25000</v>
      </c>
      <c r="E26" s="12"/>
      <c r="F26">
        <f t="shared" ref="F26:F31" si="4">SQRT(3)*24*$C26*($C$12+$C$13+$C$14)*$C$3*C$4/($C$15*$C$16*PI()*PI())</f>
        <v>214.80396805269191</v>
      </c>
      <c r="G26">
        <f t="shared" si="1"/>
        <v>303.25266078027096</v>
      </c>
      <c r="H26">
        <f t="shared" si="1"/>
        <v>391.70135350785</v>
      </c>
      <c r="I26">
        <f t="shared" si="2"/>
        <v>480.15004623542899</v>
      </c>
      <c r="J26">
        <f t="shared" si="3"/>
        <v>568.59873896300803</v>
      </c>
    </row>
    <row r="27" spans="2:10" x14ac:dyDescent="0.25">
      <c r="B27" s="12"/>
      <c r="C27">
        <f t="shared" ref="C27:C31" si="5">C26+5000</f>
        <v>30000</v>
      </c>
      <c r="E27" s="12"/>
      <c r="F27">
        <f t="shared" si="4"/>
        <v>257.76476166323027</v>
      </c>
      <c r="G27">
        <f t="shared" si="1"/>
        <v>363.90319293632507</v>
      </c>
      <c r="H27">
        <f t="shared" si="1"/>
        <v>470.04162420941998</v>
      </c>
      <c r="I27">
        <f t="shared" si="2"/>
        <v>576.18005548251472</v>
      </c>
      <c r="J27">
        <f t="shared" si="3"/>
        <v>682.31848675560957</v>
      </c>
    </row>
    <row r="28" spans="2:10" x14ac:dyDescent="0.25">
      <c r="B28" s="12"/>
      <c r="C28">
        <f t="shared" si="5"/>
        <v>35000</v>
      </c>
      <c r="E28" s="12"/>
      <c r="F28">
        <f t="shared" si="4"/>
        <v>300.72555527376869</v>
      </c>
      <c r="G28">
        <f t="shared" si="1"/>
        <v>424.55372509237935</v>
      </c>
      <c r="H28">
        <f t="shared" si="1"/>
        <v>548.3818949109899</v>
      </c>
      <c r="I28">
        <f t="shared" si="2"/>
        <v>672.21006472960062</v>
      </c>
      <c r="J28">
        <f t="shared" si="3"/>
        <v>796.03823454821122</v>
      </c>
    </row>
    <row r="29" spans="2:10" x14ac:dyDescent="0.25">
      <c r="B29" s="12"/>
      <c r="C29">
        <f t="shared" si="5"/>
        <v>40000</v>
      </c>
      <c r="E29" s="12"/>
      <c r="F29">
        <f t="shared" si="4"/>
        <v>343.68634888430711</v>
      </c>
      <c r="G29">
        <f t="shared" si="1"/>
        <v>485.20425724843352</v>
      </c>
      <c r="H29">
        <f t="shared" si="1"/>
        <v>626.72216561256005</v>
      </c>
      <c r="I29">
        <f t="shared" si="2"/>
        <v>768.2400739766864</v>
      </c>
      <c r="J29">
        <f t="shared" si="3"/>
        <v>909.75798234081287</v>
      </c>
    </row>
    <row r="30" spans="2:10" x14ac:dyDescent="0.25">
      <c r="B30" s="12"/>
      <c r="C30">
        <f t="shared" si="5"/>
        <v>45000</v>
      </c>
      <c r="E30" s="12"/>
      <c r="F30">
        <f t="shared" si="4"/>
        <v>386.64714249484547</v>
      </c>
      <c r="G30">
        <f t="shared" si="1"/>
        <v>545.85478940448763</v>
      </c>
      <c r="H30">
        <f t="shared" si="1"/>
        <v>705.06243631412997</v>
      </c>
      <c r="I30">
        <f t="shared" si="2"/>
        <v>864.27008322377219</v>
      </c>
      <c r="J30">
        <f t="shared" si="3"/>
        <v>1023.4777301334144</v>
      </c>
    </row>
    <row r="31" spans="2:10" x14ac:dyDescent="0.25">
      <c r="B31" s="12"/>
      <c r="C31">
        <f t="shared" si="5"/>
        <v>50000</v>
      </c>
      <c r="E31" s="12"/>
      <c r="F31">
        <f t="shared" si="4"/>
        <v>429.60793610538383</v>
      </c>
      <c r="G31">
        <f t="shared" si="1"/>
        <v>606.50532156054192</v>
      </c>
      <c r="H31">
        <f t="shared" si="1"/>
        <v>783.4027070157</v>
      </c>
      <c r="I31">
        <f t="shared" si="2"/>
        <v>960.30009247085798</v>
      </c>
      <c r="J31">
        <f t="shared" si="3"/>
        <v>1137.1974779260161</v>
      </c>
    </row>
    <row r="32" spans="2:10" x14ac:dyDescent="0.25">
      <c r="E32" s="12" t="s">
        <v>1</v>
      </c>
      <c r="F32">
        <f t="shared" ref="F32:F38" si="6">6/PI()*(C$6+C$7)*C$8+3/2*C$8*C$8*(C$9+C$10)</f>
        <v>201.90639637203725</v>
      </c>
      <c r="G32">
        <f t="shared" ref="G32:J38" si="7">6/PI()*(D$6+D$7)*D$8+3/2*D$8*D$8*(D$9+D$10)</f>
        <v>348.26943419525963</v>
      </c>
      <c r="H32">
        <f t="shared" si="7"/>
        <v>527.32731525979079</v>
      </c>
      <c r="I32">
        <f t="shared" si="7"/>
        <v>731.11224016764038</v>
      </c>
      <c r="J32">
        <f t="shared" si="7"/>
        <v>990.41502693138148</v>
      </c>
    </row>
    <row r="33" spans="4:10" x14ac:dyDescent="0.25">
      <c r="E33" s="12"/>
      <c r="F33">
        <f t="shared" si="6"/>
        <v>201.90639637203725</v>
      </c>
      <c r="G33">
        <f t="shared" si="7"/>
        <v>348.26943419525963</v>
      </c>
      <c r="H33">
        <f t="shared" si="7"/>
        <v>527.32731525979079</v>
      </c>
      <c r="I33">
        <f t="shared" si="7"/>
        <v>731.11224016764038</v>
      </c>
      <c r="J33">
        <f t="shared" si="7"/>
        <v>990.41502693138148</v>
      </c>
    </row>
    <row r="34" spans="4:10" x14ac:dyDescent="0.25">
      <c r="E34" s="12"/>
      <c r="F34">
        <f t="shared" si="6"/>
        <v>201.90639637203725</v>
      </c>
      <c r="G34">
        <f t="shared" si="7"/>
        <v>348.26943419525963</v>
      </c>
      <c r="H34">
        <f t="shared" si="7"/>
        <v>527.32731525979079</v>
      </c>
      <c r="I34">
        <f t="shared" si="7"/>
        <v>731.11224016764038</v>
      </c>
      <c r="J34">
        <f t="shared" si="7"/>
        <v>990.41502693138148</v>
      </c>
    </row>
    <row r="35" spans="4:10" x14ac:dyDescent="0.25">
      <c r="E35" s="12"/>
      <c r="F35">
        <f t="shared" si="6"/>
        <v>201.90639637203725</v>
      </c>
      <c r="G35">
        <f t="shared" si="7"/>
        <v>348.26943419525963</v>
      </c>
      <c r="H35">
        <f t="shared" si="7"/>
        <v>527.32731525979079</v>
      </c>
      <c r="I35">
        <f t="shared" si="7"/>
        <v>731.11224016764038</v>
      </c>
      <c r="J35">
        <f t="shared" si="7"/>
        <v>990.41502693138148</v>
      </c>
    </row>
    <row r="36" spans="4:10" x14ac:dyDescent="0.25">
      <c r="E36" s="12"/>
      <c r="F36">
        <f t="shared" si="6"/>
        <v>201.90639637203725</v>
      </c>
      <c r="G36">
        <f t="shared" si="7"/>
        <v>348.26943419525963</v>
      </c>
      <c r="H36">
        <f t="shared" si="7"/>
        <v>527.32731525979079</v>
      </c>
      <c r="I36">
        <f t="shared" si="7"/>
        <v>731.11224016764038</v>
      </c>
      <c r="J36">
        <f t="shared" si="7"/>
        <v>990.41502693138148</v>
      </c>
    </row>
    <row r="37" spans="4:10" x14ac:dyDescent="0.25">
      <c r="E37" s="12"/>
      <c r="F37">
        <f t="shared" si="6"/>
        <v>201.90639637203725</v>
      </c>
      <c r="G37">
        <f t="shared" si="7"/>
        <v>348.26943419525963</v>
      </c>
      <c r="H37">
        <f t="shared" si="7"/>
        <v>527.32731525979079</v>
      </c>
      <c r="I37">
        <f t="shared" si="7"/>
        <v>731.11224016764038</v>
      </c>
      <c r="J37">
        <f t="shared" si="7"/>
        <v>990.41502693138148</v>
      </c>
    </row>
    <row r="38" spans="4:10" x14ac:dyDescent="0.25">
      <c r="E38" s="12"/>
      <c r="F38">
        <f t="shared" si="6"/>
        <v>201.90639637203725</v>
      </c>
      <c r="G38">
        <f t="shared" si="7"/>
        <v>348.26943419525963</v>
      </c>
      <c r="H38">
        <f t="shared" si="7"/>
        <v>527.32731525979079</v>
      </c>
      <c r="I38">
        <f t="shared" si="7"/>
        <v>731.11224016764038</v>
      </c>
      <c r="J38">
        <f t="shared" si="7"/>
        <v>990.41502693138148</v>
      </c>
    </row>
    <row r="39" spans="4:10" x14ac:dyDescent="0.25">
      <c r="D39" t="s">
        <v>38</v>
      </c>
      <c r="E39" s="12" t="s">
        <v>8</v>
      </c>
      <c r="F39">
        <f t="shared" ref="F39:F45" si="8">F25+F32</f>
        <v>373.7495708141908</v>
      </c>
      <c r="G39">
        <f t="shared" ref="G39:J39" si="9">G25+G32</f>
        <v>590.87156281947637</v>
      </c>
      <c r="H39">
        <f t="shared" si="9"/>
        <v>840.68839806607082</v>
      </c>
      <c r="I39">
        <f t="shared" si="9"/>
        <v>1115.2322771559836</v>
      </c>
      <c r="J39">
        <f t="shared" si="9"/>
        <v>1445.294018101788</v>
      </c>
    </row>
    <row r="40" spans="4:10" x14ac:dyDescent="0.25">
      <c r="D40" t="s">
        <v>39</v>
      </c>
      <c r="E40" s="12"/>
      <c r="F40">
        <f t="shared" si="8"/>
        <v>416.71036442472916</v>
      </c>
      <c r="G40">
        <f t="shared" ref="G40:J40" si="10">G26+G33</f>
        <v>651.52209497553054</v>
      </c>
      <c r="H40">
        <f t="shared" si="10"/>
        <v>919.02866876764074</v>
      </c>
      <c r="I40">
        <f t="shared" si="10"/>
        <v>1211.2622864030693</v>
      </c>
      <c r="J40">
        <f t="shared" si="10"/>
        <v>1559.0137658943895</v>
      </c>
    </row>
    <row r="41" spans="4:10" x14ac:dyDescent="0.25">
      <c r="D41" t="s">
        <v>40</v>
      </c>
      <c r="E41" s="12"/>
      <c r="F41">
        <f t="shared" si="8"/>
        <v>459.67115803526752</v>
      </c>
      <c r="G41">
        <f t="shared" ref="G41:J41" si="11">G27+G34</f>
        <v>712.1726271315847</v>
      </c>
      <c r="H41">
        <f t="shared" si="11"/>
        <v>997.36893946921077</v>
      </c>
      <c r="I41">
        <f t="shared" si="11"/>
        <v>1307.2922956501552</v>
      </c>
      <c r="J41">
        <f t="shared" si="11"/>
        <v>1672.733513686991</v>
      </c>
    </row>
    <row r="42" spans="4:10" x14ac:dyDescent="0.25">
      <c r="D42" t="s">
        <v>41</v>
      </c>
      <c r="E42" s="12"/>
      <c r="F42">
        <f t="shared" si="8"/>
        <v>502.63195164580594</v>
      </c>
      <c r="G42">
        <f t="shared" ref="G42:J42" si="12">G28+G35</f>
        <v>772.82315928763899</v>
      </c>
      <c r="H42">
        <f t="shared" si="12"/>
        <v>1075.7092101707808</v>
      </c>
      <c r="I42">
        <f t="shared" si="12"/>
        <v>1403.3223048972409</v>
      </c>
      <c r="J42">
        <f t="shared" si="12"/>
        <v>1786.4532614795926</v>
      </c>
    </row>
    <row r="43" spans="4:10" x14ac:dyDescent="0.25">
      <c r="D43" t="s">
        <v>42</v>
      </c>
      <c r="E43" s="12"/>
      <c r="F43">
        <f t="shared" si="8"/>
        <v>545.59274525634441</v>
      </c>
      <c r="G43">
        <f t="shared" ref="G43:J43" si="13">G29+G36</f>
        <v>833.47369144369316</v>
      </c>
      <c r="H43">
        <f t="shared" si="13"/>
        <v>1154.0494808723508</v>
      </c>
      <c r="I43">
        <f t="shared" si="13"/>
        <v>1499.3523141443268</v>
      </c>
      <c r="J43">
        <f t="shared" si="13"/>
        <v>1900.1730092721943</v>
      </c>
    </row>
    <row r="44" spans="4:10" x14ac:dyDescent="0.25">
      <c r="D44" t="s">
        <v>43</v>
      </c>
      <c r="E44" s="12"/>
      <c r="F44">
        <f t="shared" si="8"/>
        <v>588.55353886688272</v>
      </c>
      <c r="G44">
        <f t="shared" ref="G44:J44" si="14">G30+G37</f>
        <v>894.12422359974721</v>
      </c>
      <c r="H44">
        <f t="shared" si="14"/>
        <v>1232.3897515739209</v>
      </c>
      <c r="I44">
        <f t="shared" si="14"/>
        <v>1595.3823233914127</v>
      </c>
      <c r="J44">
        <f t="shared" si="14"/>
        <v>2013.8927570647959</v>
      </c>
    </row>
    <row r="45" spans="4:10" x14ac:dyDescent="0.25">
      <c r="D45" t="s">
        <v>44</v>
      </c>
      <c r="E45" s="12"/>
      <c r="F45">
        <f t="shared" si="8"/>
        <v>631.51433247742102</v>
      </c>
      <c r="G45">
        <f t="shared" ref="G45:J45" si="15">G31+G38</f>
        <v>954.77475575580161</v>
      </c>
      <c r="H45">
        <f t="shared" si="15"/>
        <v>1310.7300222754907</v>
      </c>
      <c r="I45">
        <f t="shared" si="15"/>
        <v>1691.4123326384984</v>
      </c>
      <c r="J45">
        <f t="shared" si="15"/>
        <v>2127.6125048573977</v>
      </c>
    </row>
    <row r="48" spans="4:10" x14ac:dyDescent="0.25">
      <c r="E48" s="12" t="s">
        <v>48</v>
      </c>
      <c r="F48">
        <f>F39/18</f>
        <v>20.763865045232823</v>
      </c>
      <c r="G48">
        <f t="shared" ref="G48:J48" si="16">G39/18</f>
        <v>32.826197934415354</v>
      </c>
      <c r="H48">
        <f t="shared" si="16"/>
        <v>46.704911003670603</v>
      </c>
      <c r="I48">
        <f t="shared" si="16"/>
        <v>61.957348730887979</v>
      </c>
      <c r="J48">
        <f t="shared" si="16"/>
        <v>80.294112116766001</v>
      </c>
    </row>
    <row r="49" spans="1:21" x14ac:dyDescent="0.25">
      <c r="E49" s="12"/>
      <c r="F49">
        <f t="shared" ref="F49:J54" si="17">F40/18</f>
        <v>23.150575801373844</v>
      </c>
      <c r="G49">
        <f t="shared" si="17"/>
        <v>36.195671943085031</v>
      </c>
      <c r="H49">
        <f t="shared" si="17"/>
        <v>51.057148264868928</v>
      </c>
      <c r="I49">
        <f t="shared" si="17"/>
        <v>67.292349244614968</v>
      </c>
      <c r="J49">
        <f t="shared" si="17"/>
        <v>86.611875883021639</v>
      </c>
    </row>
    <row r="50" spans="1:21" x14ac:dyDescent="0.25">
      <c r="E50" s="12"/>
      <c r="F50">
        <f t="shared" si="17"/>
        <v>25.537286557514861</v>
      </c>
      <c r="G50">
        <f t="shared" si="17"/>
        <v>39.565145951754708</v>
      </c>
      <c r="H50">
        <f t="shared" si="17"/>
        <v>55.409385526067268</v>
      </c>
      <c r="I50">
        <f t="shared" si="17"/>
        <v>72.62734975834195</v>
      </c>
      <c r="J50">
        <f t="shared" si="17"/>
        <v>92.929639649277277</v>
      </c>
    </row>
    <row r="51" spans="1:21" x14ac:dyDescent="0.25">
      <c r="E51" s="12"/>
      <c r="F51">
        <f t="shared" si="17"/>
        <v>27.923997313655885</v>
      </c>
      <c r="G51">
        <f t="shared" si="17"/>
        <v>42.934619960424385</v>
      </c>
      <c r="H51">
        <f t="shared" si="17"/>
        <v>59.761622787265601</v>
      </c>
      <c r="I51">
        <f t="shared" si="17"/>
        <v>77.962350272068932</v>
      </c>
      <c r="J51">
        <f t="shared" si="17"/>
        <v>99.247403415532915</v>
      </c>
    </row>
    <row r="52" spans="1:21" x14ac:dyDescent="0.25">
      <c r="B52" t="s">
        <v>49</v>
      </c>
      <c r="C52">
        <v>135</v>
      </c>
      <c r="E52" s="12"/>
      <c r="F52">
        <f t="shared" si="17"/>
        <v>30.310708069796913</v>
      </c>
      <c r="G52">
        <f t="shared" si="17"/>
        <v>46.304093969094062</v>
      </c>
      <c r="H52">
        <f t="shared" si="17"/>
        <v>64.113860048463934</v>
      </c>
      <c r="I52">
        <f t="shared" si="17"/>
        <v>83.297350785795928</v>
      </c>
      <c r="J52">
        <f t="shared" si="17"/>
        <v>105.56516718178858</v>
      </c>
    </row>
    <row r="53" spans="1:21" x14ac:dyDescent="0.25">
      <c r="B53" t="s">
        <v>50</v>
      </c>
      <c r="C53">
        <v>0.25</v>
      </c>
      <c r="E53" s="12"/>
      <c r="F53">
        <f t="shared" si="17"/>
        <v>32.69741882593793</v>
      </c>
      <c r="G53">
        <f t="shared" si="17"/>
        <v>49.673567977763732</v>
      </c>
      <c r="H53">
        <f t="shared" si="17"/>
        <v>68.466097309662274</v>
      </c>
      <c r="I53">
        <f t="shared" si="17"/>
        <v>88.632351299522924</v>
      </c>
      <c r="J53">
        <f t="shared" si="17"/>
        <v>111.88293094804422</v>
      </c>
      <c r="P53" s="3"/>
    </row>
    <row r="54" spans="1:21" x14ac:dyDescent="0.25">
      <c r="E54" s="12"/>
      <c r="F54">
        <f t="shared" si="17"/>
        <v>35.084129582078944</v>
      </c>
      <c r="G54">
        <f t="shared" si="17"/>
        <v>53.043041986433423</v>
      </c>
      <c r="H54">
        <f t="shared" si="17"/>
        <v>72.8183345708606</v>
      </c>
      <c r="I54">
        <f t="shared" si="17"/>
        <v>93.967351813249905</v>
      </c>
      <c r="J54">
        <f t="shared" si="17"/>
        <v>118.20069471429987</v>
      </c>
      <c r="P54" s="3"/>
    </row>
    <row r="55" spans="1:21" x14ac:dyDescent="0.25">
      <c r="C55" t="s">
        <v>55</v>
      </c>
      <c r="D55" t="s">
        <v>56</v>
      </c>
      <c r="O55" s="4" t="s">
        <v>10</v>
      </c>
      <c r="P55" s="4"/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</row>
    <row r="56" spans="1:21" x14ac:dyDescent="0.25">
      <c r="A56">
        <v>20</v>
      </c>
      <c r="B56" s="8">
        <f>1/(1000*A56)</f>
        <v>5.0000000000000002E-5</v>
      </c>
      <c r="C56">
        <v>6.4999999999999997E-3</v>
      </c>
      <c r="D56">
        <v>4.2000000000000003E-2</v>
      </c>
      <c r="E56" s="13" t="s">
        <v>53</v>
      </c>
      <c r="F56" s="7">
        <f t="shared" ref="F56:J62" si="18">$C$52-(F48*$C$53)</f>
        <v>129.8090337386918</v>
      </c>
      <c r="G56" s="7">
        <f t="shared" si="18"/>
        <v>126.79345051639616</v>
      </c>
      <c r="H56" s="7">
        <f t="shared" si="18"/>
        <v>123.32377224908235</v>
      </c>
      <c r="I56" s="7">
        <f t="shared" si="18"/>
        <v>119.510662817278</v>
      </c>
      <c r="J56" s="7">
        <f t="shared" si="18"/>
        <v>114.92647197080851</v>
      </c>
      <c r="O56" s="4" t="s">
        <v>38</v>
      </c>
      <c r="P56" s="10" t="s">
        <v>51</v>
      </c>
      <c r="Q56" s="6">
        <v>373.7495708141908</v>
      </c>
      <c r="R56" s="6">
        <v>590.87156281947637</v>
      </c>
      <c r="S56" s="6">
        <v>840.68839806607082</v>
      </c>
      <c r="T56" s="6">
        <v>1115.2322771559836</v>
      </c>
      <c r="U56" s="6">
        <v>1445.294018101788</v>
      </c>
    </row>
    <row r="57" spans="1:21" x14ac:dyDescent="0.25">
      <c r="A57">
        <v>25</v>
      </c>
      <c r="B57" s="8">
        <f t="shared" ref="B57:B62" si="19">1/(1000*A57)</f>
        <v>4.0000000000000003E-5</v>
      </c>
      <c r="C57">
        <v>5.7999999999999996E-3</v>
      </c>
      <c r="E57" s="13"/>
      <c r="F57" s="7">
        <f t="shared" si="18"/>
        <v>129.21235604965653</v>
      </c>
      <c r="G57" s="7">
        <f t="shared" si="18"/>
        <v>125.95108201422875</v>
      </c>
      <c r="H57" s="7">
        <f t="shared" si="18"/>
        <v>122.23571293378276</v>
      </c>
      <c r="I57" s="7">
        <f t="shared" si="18"/>
        <v>118.17691268884626</v>
      </c>
      <c r="J57" s="7">
        <f t="shared" si="18"/>
        <v>113.34703102924459</v>
      </c>
      <c r="O57" s="4" t="s">
        <v>39</v>
      </c>
      <c r="P57" s="10"/>
      <c r="Q57" s="6">
        <v>416.71036442472916</v>
      </c>
      <c r="R57" s="6">
        <v>651.52209497553054</v>
      </c>
      <c r="S57" s="6">
        <v>919.02866876764074</v>
      </c>
      <c r="T57" s="6">
        <v>1211.2622864030693</v>
      </c>
      <c r="U57" s="6">
        <v>1559.0137658943895</v>
      </c>
    </row>
    <row r="58" spans="1:21" x14ac:dyDescent="0.25">
      <c r="A58">
        <v>30</v>
      </c>
      <c r="B58" s="8">
        <f t="shared" si="19"/>
        <v>3.3333333333333335E-5</v>
      </c>
      <c r="C58">
        <v>5.0000000000000001E-3</v>
      </c>
      <c r="E58" s="13"/>
      <c r="F58" s="7">
        <f t="shared" si="18"/>
        <v>128.61567836062127</v>
      </c>
      <c r="G58" s="7">
        <f t="shared" si="18"/>
        <v>125.10871351206133</v>
      </c>
      <c r="H58" s="7">
        <f t="shared" si="18"/>
        <v>121.14765361848319</v>
      </c>
      <c r="I58" s="7">
        <f t="shared" si="18"/>
        <v>116.84316256041451</v>
      </c>
      <c r="J58" s="7">
        <f t="shared" si="18"/>
        <v>111.76759008768067</v>
      </c>
      <c r="O58" s="4" t="s">
        <v>40</v>
      </c>
      <c r="P58" s="10"/>
      <c r="Q58" s="6">
        <v>459.67115803526752</v>
      </c>
      <c r="R58" s="6">
        <v>712.1726271315847</v>
      </c>
      <c r="S58" s="6">
        <v>997.36893946921077</v>
      </c>
      <c r="T58" s="6">
        <v>1307.2922956501552</v>
      </c>
      <c r="U58" s="6">
        <v>1672.733513686991</v>
      </c>
    </row>
    <row r="59" spans="1:21" x14ac:dyDescent="0.25">
      <c r="A59">
        <v>35</v>
      </c>
      <c r="B59" s="8">
        <f t="shared" si="19"/>
        <v>2.8571428571428571E-5</v>
      </c>
      <c r="C59">
        <v>4.4999999999999997E-3</v>
      </c>
      <c r="E59" s="13"/>
      <c r="F59" s="7">
        <f t="shared" si="18"/>
        <v>128.01900067158604</v>
      </c>
      <c r="G59" s="7">
        <f t="shared" si="18"/>
        <v>124.26634500989391</v>
      </c>
      <c r="H59" s="7">
        <f t="shared" si="18"/>
        <v>120.0595943031836</v>
      </c>
      <c r="I59" s="7">
        <f t="shared" si="18"/>
        <v>115.50941243198277</v>
      </c>
      <c r="J59" s="7">
        <f t="shared" si="18"/>
        <v>110.18814914611677</v>
      </c>
      <c r="O59" s="4" t="s">
        <v>41</v>
      </c>
      <c r="P59" s="10"/>
      <c r="Q59" s="6">
        <v>502.63195164580594</v>
      </c>
      <c r="R59" s="6">
        <v>772.82315928763899</v>
      </c>
      <c r="S59" s="6">
        <v>1075.7092101707808</v>
      </c>
      <c r="T59" s="6">
        <v>1403.3223048972409</v>
      </c>
      <c r="U59" s="6">
        <v>1786.4532614795926</v>
      </c>
    </row>
    <row r="60" spans="1:21" x14ac:dyDescent="0.25">
      <c r="A60">
        <v>40</v>
      </c>
      <c r="B60" s="8">
        <f t="shared" si="19"/>
        <v>2.5000000000000001E-5</v>
      </c>
      <c r="C60">
        <v>4.0000000000000001E-3</v>
      </c>
      <c r="E60" s="13"/>
      <c r="F60" s="7">
        <f t="shared" si="18"/>
        <v>127.42232298255077</v>
      </c>
      <c r="G60" s="7">
        <f t="shared" si="18"/>
        <v>123.42397650772648</v>
      </c>
      <c r="H60" s="7">
        <f t="shared" si="18"/>
        <v>118.97153498788401</v>
      </c>
      <c r="I60" s="7">
        <f t="shared" si="18"/>
        <v>114.17566230355102</v>
      </c>
      <c r="J60" s="7">
        <f t="shared" si="18"/>
        <v>108.60870820455285</v>
      </c>
      <c r="O60" s="4" t="s">
        <v>42</v>
      </c>
      <c r="P60" s="10"/>
      <c r="Q60" s="6">
        <v>545.59274525634441</v>
      </c>
      <c r="R60" s="6">
        <v>833.47369144369316</v>
      </c>
      <c r="S60" s="6">
        <v>1154.0494808723508</v>
      </c>
      <c r="T60" s="6">
        <v>1499.3523141443268</v>
      </c>
      <c r="U60" s="6">
        <v>1900.1730092721943</v>
      </c>
    </row>
    <row r="61" spans="1:21" x14ac:dyDescent="0.25">
      <c r="A61">
        <v>45</v>
      </c>
      <c r="B61" s="8">
        <f t="shared" si="19"/>
        <v>2.2222222222222223E-5</v>
      </c>
      <c r="C61">
        <v>3.8999999999999998E-3</v>
      </c>
      <c r="E61" s="13"/>
      <c r="F61" s="7">
        <f t="shared" si="18"/>
        <v>126.82564529351552</v>
      </c>
      <c r="G61" s="7">
        <f t="shared" si="18"/>
        <v>122.58160800555906</v>
      </c>
      <c r="H61" s="7">
        <f t="shared" si="18"/>
        <v>117.88347567258444</v>
      </c>
      <c r="I61" s="7">
        <f t="shared" si="18"/>
        <v>112.84191217511926</v>
      </c>
      <c r="J61" s="7">
        <f t="shared" si="18"/>
        <v>107.02926726298895</v>
      </c>
      <c r="O61" s="4" t="s">
        <v>43</v>
      </c>
      <c r="P61" s="10"/>
      <c r="Q61" s="6">
        <v>588.55353886688272</v>
      </c>
      <c r="R61" s="6">
        <v>894.12422359974721</v>
      </c>
      <c r="S61" s="6">
        <v>1232.3897515739209</v>
      </c>
      <c r="T61" s="6">
        <v>1595.3823233914127</v>
      </c>
      <c r="U61" s="6">
        <v>2013.8927570647959</v>
      </c>
    </row>
    <row r="62" spans="1:21" x14ac:dyDescent="0.25">
      <c r="A62">
        <v>50</v>
      </c>
      <c r="B62" s="8">
        <f t="shared" si="19"/>
        <v>2.0000000000000002E-5</v>
      </c>
      <c r="C62">
        <v>3.7000000000000002E-3</v>
      </c>
      <c r="E62" s="13"/>
      <c r="F62" s="7">
        <f t="shared" si="18"/>
        <v>126.22896760448026</v>
      </c>
      <c r="G62" s="7">
        <f t="shared" si="18"/>
        <v>121.73923950339164</v>
      </c>
      <c r="H62" s="7">
        <f t="shared" si="18"/>
        <v>116.79541635728485</v>
      </c>
      <c r="I62" s="7">
        <f t="shared" si="18"/>
        <v>111.50816204668752</v>
      </c>
      <c r="J62" s="7">
        <f t="shared" si="18"/>
        <v>105.44982632142504</v>
      </c>
      <c r="O62" s="4" t="s">
        <v>44</v>
      </c>
      <c r="P62" s="10"/>
      <c r="Q62" s="6">
        <v>631.51433247742102</v>
      </c>
      <c r="R62" s="6">
        <v>954.77475575580161</v>
      </c>
      <c r="S62" s="6">
        <v>1310.7300222754907</v>
      </c>
      <c r="T62" s="6">
        <v>1691.4123326384984</v>
      </c>
      <c r="U62" s="6">
        <v>2127.6125048573977</v>
      </c>
    </row>
    <row r="63" spans="1:21" x14ac:dyDescent="0.25">
      <c r="P63" s="3"/>
    </row>
    <row r="64" spans="1:21" x14ac:dyDescent="0.25">
      <c r="E64" s="14" t="s">
        <v>54</v>
      </c>
      <c r="F64" s="14"/>
      <c r="G64" s="14"/>
      <c r="H64" s="14"/>
      <c r="I64" s="14"/>
      <c r="J64" s="14"/>
      <c r="O64" s="4" t="s">
        <v>10</v>
      </c>
      <c r="P64" s="4"/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</row>
    <row r="65" spans="5:21" x14ac:dyDescent="0.25">
      <c r="E65" s="4" t="s">
        <v>10</v>
      </c>
      <c r="F65" s="4">
        <v>17</v>
      </c>
      <c r="G65" s="4">
        <v>24</v>
      </c>
      <c r="H65" s="4">
        <v>31</v>
      </c>
      <c r="I65" s="4">
        <v>38</v>
      </c>
      <c r="J65" s="4">
        <v>45</v>
      </c>
      <c r="O65" s="4" t="s">
        <v>38</v>
      </c>
      <c r="P65" s="10" t="s">
        <v>52</v>
      </c>
      <c r="Q65" s="6">
        <v>20.763865045232823</v>
      </c>
      <c r="R65" s="6">
        <v>32.826197934415354</v>
      </c>
      <c r="S65" s="6">
        <v>46.704911003670603</v>
      </c>
      <c r="T65" s="6">
        <v>61.957348730887979</v>
      </c>
      <c r="U65" s="6">
        <v>80.294112116766001</v>
      </c>
    </row>
    <row r="66" spans="5:21" x14ac:dyDescent="0.25">
      <c r="E66" s="4" t="s">
        <v>38</v>
      </c>
      <c r="F66" s="5">
        <f>1-F39/(3*380/SQRT(3)*F$65*0.9)</f>
        <v>0.96288537748209835</v>
      </c>
      <c r="G66" s="5">
        <f t="shared" ref="G66:J66" si="20">1-G39/(3*380/SQRT(3)*G$65*0.9)</f>
        <v>0.95843812672388895</v>
      </c>
      <c r="H66" s="5">
        <f t="shared" si="20"/>
        <v>0.95421885748650814</v>
      </c>
      <c r="I66" s="5">
        <f t="shared" si="20"/>
        <v>0.95045555129078441</v>
      </c>
      <c r="J66" s="5">
        <f t="shared" si="20"/>
        <v>0.94578031901174642</v>
      </c>
      <c r="O66" s="4" t="s">
        <v>39</v>
      </c>
      <c r="P66" s="10"/>
      <c r="Q66" s="6">
        <v>23.150575801373844</v>
      </c>
      <c r="R66" s="6">
        <v>36.195671943085031</v>
      </c>
      <c r="S66" s="6">
        <v>51.057148264868928</v>
      </c>
      <c r="T66" s="6">
        <v>67.292349244614968</v>
      </c>
      <c r="U66" s="6">
        <v>86.611875883021639</v>
      </c>
    </row>
    <row r="67" spans="5:21" x14ac:dyDescent="0.25">
      <c r="E67" s="4" t="s">
        <v>39</v>
      </c>
      <c r="F67" s="5">
        <f t="shared" ref="F67:J72" si="21">1-F40/(3*380/SQRT(3)*F$65*0.9)</f>
        <v>0.95861922238136832</v>
      </c>
      <c r="G67" s="5">
        <f t="shared" si="21"/>
        <v>0.95417197162315892</v>
      </c>
      <c r="H67" s="5">
        <f t="shared" si="21"/>
        <v>0.94995270238577811</v>
      </c>
      <c r="I67" s="5">
        <f t="shared" si="21"/>
        <v>0.94618939619005438</v>
      </c>
      <c r="J67" s="5">
        <f t="shared" si="21"/>
        <v>0.94151416391101639</v>
      </c>
      <c r="O67" s="4" t="s">
        <v>40</v>
      </c>
      <c r="P67" s="10"/>
      <c r="Q67" s="6">
        <v>25.537286557514861</v>
      </c>
      <c r="R67" s="6">
        <v>39.565145951754708</v>
      </c>
      <c r="S67" s="6">
        <v>55.409385526067268</v>
      </c>
      <c r="T67" s="6">
        <v>72.62734975834195</v>
      </c>
      <c r="U67" s="6">
        <v>92.929639649277277</v>
      </c>
    </row>
    <row r="68" spans="5:21" x14ac:dyDescent="0.25">
      <c r="E68" s="4" t="s">
        <v>40</v>
      </c>
      <c r="F68" s="5">
        <f t="shared" si="21"/>
        <v>0.95435306728063829</v>
      </c>
      <c r="G68" s="5">
        <f t="shared" si="21"/>
        <v>0.94990581652242889</v>
      </c>
      <c r="H68" s="5">
        <f t="shared" si="21"/>
        <v>0.94568654728504808</v>
      </c>
      <c r="I68" s="5">
        <f t="shared" si="21"/>
        <v>0.94192324108932435</v>
      </c>
      <c r="J68" s="5">
        <f t="shared" si="21"/>
        <v>0.93724800881028636</v>
      </c>
      <c r="O68" s="4" t="s">
        <v>41</v>
      </c>
      <c r="P68" s="10"/>
      <c r="Q68" s="6">
        <v>27.923997313655885</v>
      </c>
      <c r="R68" s="6">
        <v>42.934619960424385</v>
      </c>
      <c r="S68" s="6">
        <v>59.761622787265601</v>
      </c>
      <c r="T68" s="6">
        <v>77.962350272068932</v>
      </c>
      <c r="U68" s="6">
        <v>99.247403415532915</v>
      </c>
    </row>
    <row r="69" spans="5:21" x14ac:dyDescent="0.25">
      <c r="E69" s="4" t="s">
        <v>41</v>
      </c>
      <c r="F69" s="5">
        <f t="shared" si="21"/>
        <v>0.95008691217990826</v>
      </c>
      <c r="G69" s="5">
        <f t="shared" si="21"/>
        <v>0.94563966142169886</v>
      </c>
      <c r="H69" s="5">
        <f t="shared" si="21"/>
        <v>0.94142039218431806</v>
      </c>
      <c r="I69" s="5">
        <f t="shared" si="21"/>
        <v>0.93765708598859432</v>
      </c>
      <c r="J69" s="5">
        <f t="shared" si="21"/>
        <v>0.93298185370955633</v>
      </c>
      <c r="O69" s="4" t="s">
        <v>42</v>
      </c>
      <c r="P69" s="10"/>
      <c r="Q69" s="6">
        <v>30.310708069796913</v>
      </c>
      <c r="R69" s="6">
        <v>46.304093969094062</v>
      </c>
      <c r="S69" s="6">
        <v>64.113860048463934</v>
      </c>
      <c r="T69" s="6">
        <v>83.297350785795928</v>
      </c>
      <c r="U69" s="6">
        <v>105.56516718178858</v>
      </c>
    </row>
    <row r="70" spans="5:21" x14ac:dyDescent="0.25">
      <c r="E70" s="4" t="s">
        <v>42</v>
      </c>
      <c r="F70" s="5">
        <f t="shared" si="21"/>
        <v>0.94582075707917834</v>
      </c>
      <c r="G70" s="5">
        <f t="shared" si="21"/>
        <v>0.94137350632096894</v>
      </c>
      <c r="H70" s="5">
        <f t="shared" si="21"/>
        <v>0.93715423708358803</v>
      </c>
      <c r="I70" s="5">
        <f t="shared" si="21"/>
        <v>0.93339093088786429</v>
      </c>
      <c r="J70" s="5">
        <f t="shared" si="21"/>
        <v>0.9287156986088263</v>
      </c>
      <c r="O70" s="4" t="s">
        <v>43</v>
      </c>
      <c r="P70" s="10"/>
      <c r="Q70" s="6">
        <v>32.69741882593793</v>
      </c>
      <c r="R70" s="6">
        <v>49.673567977763732</v>
      </c>
      <c r="S70" s="6">
        <v>68.466097309662274</v>
      </c>
      <c r="T70" s="6">
        <v>88.632351299522924</v>
      </c>
      <c r="U70" s="6">
        <v>111.88293094804422</v>
      </c>
    </row>
    <row r="71" spans="5:21" x14ac:dyDescent="0.25">
      <c r="E71" s="4" t="s">
        <v>43</v>
      </c>
      <c r="F71" s="5">
        <f t="shared" si="21"/>
        <v>0.94155460197844831</v>
      </c>
      <c r="G71" s="5">
        <f t="shared" si="21"/>
        <v>0.93710735122023892</v>
      </c>
      <c r="H71" s="5">
        <f t="shared" si="21"/>
        <v>0.932888081982858</v>
      </c>
      <c r="I71" s="5">
        <f t="shared" si="21"/>
        <v>0.92912477578713426</v>
      </c>
      <c r="J71" s="5">
        <f t="shared" si="21"/>
        <v>0.92444954350809638</v>
      </c>
      <c r="O71" s="4" t="s">
        <v>44</v>
      </c>
      <c r="P71" s="10"/>
      <c r="Q71" s="6">
        <v>35.084129582078944</v>
      </c>
      <c r="R71" s="6">
        <v>53.043041986433423</v>
      </c>
      <c r="S71" s="6">
        <v>72.8183345708606</v>
      </c>
      <c r="T71" s="6">
        <v>93.967351813249905</v>
      </c>
      <c r="U71" s="6">
        <v>118.20069471429987</v>
      </c>
    </row>
    <row r="72" spans="5:21" x14ac:dyDescent="0.25">
      <c r="E72" s="4" t="s">
        <v>44</v>
      </c>
      <c r="F72" s="5">
        <f>1-F45/(3*380/SQRT(3)*F$65*0.9)</f>
        <v>0.93728844687771828</v>
      </c>
      <c r="G72" s="5">
        <f t="shared" si="21"/>
        <v>0.93284119611950889</v>
      </c>
      <c r="H72" s="5">
        <f t="shared" si="21"/>
        <v>0.92862192688212808</v>
      </c>
      <c r="I72" s="5">
        <f t="shared" si="21"/>
        <v>0.92485862068640423</v>
      </c>
      <c r="J72" s="5">
        <f t="shared" si="21"/>
        <v>0.92018338840736635</v>
      </c>
    </row>
    <row r="73" spans="5:21" x14ac:dyDescent="0.25">
      <c r="N73" s="4" t="s">
        <v>10</v>
      </c>
      <c r="O73" s="5"/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</row>
    <row r="74" spans="5:21" x14ac:dyDescent="0.25">
      <c r="N74" s="4" t="s">
        <v>38</v>
      </c>
      <c r="O74" s="10" t="s">
        <v>53</v>
      </c>
      <c r="P74" s="6">
        <v>129.8090337386918</v>
      </c>
      <c r="Q74" s="6">
        <v>126.79345051639616</v>
      </c>
      <c r="R74" s="6">
        <v>123.32377224908235</v>
      </c>
      <c r="S74" s="6">
        <v>119.510662817278</v>
      </c>
      <c r="T74" s="6">
        <v>114.92647197080851</v>
      </c>
    </row>
    <row r="75" spans="5:21" x14ac:dyDescent="0.25">
      <c r="N75" s="4" t="s">
        <v>39</v>
      </c>
      <c r="O75" s="10"/>
      <c r="P75" s="6">
        <v>129.21235604965653</v>
      </c>
      <c r="Q75" s="6">
        <v>125.95108201422875</v>
      </c>
      <c r="R75" s="6">
        <v>122.23571293378276</v>
      </c>
      <c r="S75" s="6">
        <v>118.17691268884626</v>
      </c>
      <c r="T75" s="6">
        <v>113.34703102924459</v>
      </c>
    </row>
    <row r="76" spans="5:21" x14ac:dyDescent="0.25">
      <c r="N76" s="4" t="s">
        <v>40</v>
      </c>
      <c r="O76" s="10"/>
      <c r="P76" s="6">
        <v>128.61567836062127</v>
      </c>
      <c r="Q76" s="6">
        <v>125.10871351206133</v>
      </c>
      <c r="R76" s="6">
        <v>121.14765361848319</v>
      </c>
      <c r="S76" s="6">
        <v>116.84316256041451</v>
      </c>
      <c r="T76" s="6">
        <v>111.76759008768067</v>
      </c>
    </row>
    <row r="77" spans="5:21" x14ac:dyDescent="0.25">
      <c r="N77" s="4" t="s">
        <v>41</v>
      </c>
      <c r="O77" s="10"/>
      <c r="P77" s="6">
        <v>128.01900067158604</v>
      </c>
      <c r="Q77" s="6">
        <v>124.26634500989391</v>
      </c>
      <c r="R77" s="6">
        <v>120.0595943031836</v>
      </c>
      <c r="S77" s="6">
        <v>115.50941243198277</v>
      </c>
      <c r="T77" s="6">
        <v>110.18814914611677</v>
      </c>
    </row>
    <row r="78" spans="5:21" x14ac:dyDescent="0.25">
      <c r="N78" s="4" t="s">
        <v>42</v>
      </c>
      <c r="O78" s="10"/>
      <c r="P78" s="6">
        <v>127.42232298255077</v>
      </c>
      <c r="Q78" s="6">
        <v>123.42397650772648</v>
      </c>
      <c r="R78" s="6">
        <v>118.97153498788401</v>
      </c>
      <c r="S78" s="6">
        <v>114.17566230355102</v>
      </c>
      <c r="T78" s="6">
        <v>108.60870820455285</v>
      </c>
    </row>
    <row r="79" spans="5:21" x14ac:dyDescent="0.25">
      <c r="N79" s="4" t="s">
        <v>43</v>
      </c>
      <c r="O79" s="10"/>
      <c r="P79" s="6">
        <v>126.82564529351552</v>
      </c>
      <c r="Q79" s="6">
        <v>122.58160800555906</v>
      </c>
      <c r="R79" s="6">
        <v>117.88347567258444</v>
      </c>
      <c r="S79" s="6">
        <v>112.84191217511926</v>
      </c>
      <c r="T79" s="6">
        <v>107.02926726298895</v>
      </c>
    </row>
    <row r="80" spans="5:21" x14ac:dyDescent="0.25">
      <c r="N80" s="4" t="s">
        <v>44</v>
      </c>
      <c r="O80" s="10"/>
      <c r="P80" s="6">
        <v>126.22896760448026</v>
      </c>
      <c r="Q80" s="6">
        <v>121.73923950339164</v>
      </c>
      <c r="R80" s="6">
        <v>116.79541635728485</v>
      </c>
      <c r="S80" s="6">
        <v>111.50816204668752</v>
      </c>
      <c r="T80" s="6">
        <v>105.44982632142504</v>
      </c>
    </row>
    <row r="81" spans="14:20" x14ac:dyDescent="0.25">
      <c r="N81" s="11" t="s">
        <v>57</v>
      </c>
      <c r="O81" s="11"/>
      <c r="P81" s="11"/>
      <c r="Q81" s="11"/>
      <c r="R81" s="11"/>
      <c r="S81" s="11"/>
      <c r="T81" s="11"/>
    </row>
  </sheetData>
  <mergeCells count="13">
    <mergeCell ref="C1:E1"/>
    <mergeCell ref="F3:H3"/>
    <mergeCell ref="O74:O80"/>
    <mergeCell ref="N81:T81"/>
    <mergeCell ref="B25:B31"/>
    <mergeCell ref="E25:E31"/>
    <mergeCell ref="E32:E38"/>
    <mergeCell ref="P56:P62"/>
    <mergeCell ref="P65:P71"/>
    <mergeCell ref="E39:E45"/>
    <mergeCell ref="E48:E54"/>
    <mergeCell ref="E56:E62"/>
    <mergeCell ref="E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2014-03-07T23:59:50Z</dcterms:modified>
</cp:coreProperties>
</file>