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T80" i="3" l="1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U71" i="3"/>
  <c r="T71" i="3"/>
  <c r="S71" i="3"/>
  <c r="R71" i="3"/>
  <c r="Q71" i="3"/>
  <c r="U70" i="3"/>
  <c r="T70" i="3"/>
  <c r="S70" i="3"/>
  <c r="R70" i="3"/>
  <c r="Q70" i="3"/>
  <c r="U69" i="3"/>
  <c r="T69" i="3"/>
  <c r="S69" i="3"/>
  <c r="R69" i="3"/>
  <c r="Q69" i="3"/>
  <c r="U68" i="3"/>
  <c r="T68" i="3"/>
  <c r="S68" i="3"/>
  <c r="R68" i="3"/>
  <c r="Q68" i="3"/>
  <c r="U67" i="3"/>
  <c r="T67" i="3"/>
  <c r="S67" i="3"/>
  <c r="R67" i="3"/>
  <c r="Q67" i="3"/>
  <c r="U66" i="3"/>
  <c r="T66" i="3"/>
  <c r="S66" i="3"/>
  <c r="R66" i="3"/>
  <c r="Q66" i="3"/>
  <c r="U65" i="3"/>
  <c r="T65" i="3"/>
  <c r="S65" i="3"/>
  <c r="R65" i="3"/>
  <c r="Q65" i="3"/>
  <c r="U62" i="3"/>
  <c r="T62" i="3"/>
  <c r="S62" i="3"/>
  <c r="R62" i="3"/>
  <c r="Q62" i="3"/>
  <c r="U61" i="3"/>
  <c r="T61" i="3"/>
  <c r="S61" i="3"/>
  <c r="R61" i="3"/>
  <c r="Q61" i="3"/>
  <c r="U60" i="3"/>
  <c r="T60" i="3"/>
  <c r="S60" i="3"/>
  <c r="R60" i="3"/>
  <c r="Q60" i="3"/>
  <c r="U59" i="3"/>
  <c r="T59" i="3"/>
  <c r="S59" i="3"/>
  <c r="R59" i="3"/>
  <c r="Q59" i="3"/>
  <c r="U58" i="3"/>
  <c r="T58" i="3"/>
  <c r="S58" i="3"/>
  <c r="R58" i="3"/>
  <c r="Q58" i="3"/>
  <c r="U57" i="3"/>
  <c r="T57" i="3"/>
  <c r="S57" i="3"/>
  <c r="R57" i="3"/>
  <c r="Q57" i="3"/>
  <c r="U56" i="3"/>
  <c r="T56" i="3"/>
  <c r="S56" i="3"/>
  <c r="R56" i="3"/>
  <c r="Q56" i="3"/>
  <c r="E2" i="1" l="1"/>
  <c r="C3" i="1"/>
  <c r="B56" i="3" l="1"/>
  <c r="B57" i="3"/>
  <c r="B58" i="3"/>
  <c r="B59" i="3"/>
  <c r="B60" i="3"/>
  <c r="B61" i="3"/>
  <c r="B62" i="3"/>
  <c r="G32" i="3" l="1"/>
  <c r="H32" i="3"/>
  <c r="I32" i="3"/>
  <c r="J32" i="3"/>
  <c r="G33" i="3"/>
  <c r="H33" i="3"/>
  <c r="I33" i="3"/>
  <c r="J33" i="3"/>
  <c r="J40" i="3" s="1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J44" i="3" s="1"/>
  <c r="G38" i="3"/>
  <c r="G45" i="3" s="1"/>
  <c r="H38" i="3"/>
  <c r="I38" i="3"/>
  <c r="J38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D8" i="3"/>
  <c r="E8" i="3"/>
  <c r="F8" i="3"/>
  <c r="G8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F26" i="3"/>
  <c r="F27" i="3"/>
  <c r="F28" i="3"/>
  <c r="F29" i="3"/>
  <c r="F30" i="3"/>
  <c r="F31" i="3"/>
  <c r="F25" i="3"/>
  <c r="I42" i="3" l="1"/>
  <c r="G41" i="3"/>
  <c r="G68" i="3" s="1"/>
  <c r="H42" i="3"/>
  <c r="H51" i="3" s="1"/>
  <c r="H59" i="3" s="1"/>
  <c r="J42" i="3"/>
  <c r="J69" i="3" s="1"/>
  <c r="I44" i="3"/>
  <c r="I71" i="3" s="1"/>
  <c r="I40" i="3"/>
  <c r="I67" i="3" s="1"/>
  <c r="H44" i="3"/>
  <c r="H71" i="3" s="1"/>
  <c r="H40" i="3"/>
  <c r="H67" i="3" s="1"/>
  <c r="G44" i="3"/>
  <c r="G71" i="3" s="1"/>
  <c r="G40" i="3"/>
  <c r="G49" i="3" s="1"/>
  <c r="G57" i="3" s="1"/>
  <c r="I69" i="3"/>
  <c r="I51" i="3"/>
  <c r="I59" i="3" s="1"/>
  <c r="G50" i="3"/>
  <c r="G58" i="3" s="1"/>
  <c r="H69" i="3"/>
  <c r="G42" i="3"/>
  <c r="J45" i="3"/>
  <c r="J43" i="3"/>
  <c r="J41" i="3"/>
  <c r="J39" i="3"/>
  <c r="J67" i="3"/>
  <c r="J49" i="3"/>
  <c r="J57" i="3" s="1"/>
  <c r="I45" i="3"/>
  <c r="I43" i="3"/>
  <c r="I41" i="3"/>
  <c r="I39" i="3"/>
  <c r="G72" i="3"/>
  <c r="G54" i="3"/>
  <c r="G62" i="3" s="1"/>
  <c r="H45" i="3"/>
  <c r="H43" i="3"/>
  <c r="H41" i="3"/>
  <c r="H39" i="3"/>
  <c r="J71" i="3"/>
  <c r="J53" i="3"/>
  <c r="J61" i="3" s="1"/>
  <c r="G43" i="3"/>
  <c r="G39" i="3"/>
  <c r="F38" i="3"/>
  <c r="F45" i="3" s="1"/>
  <c r="F37" i="3"/>
  <c r="F44" i="3" s="1"/>
  <c r="F36" i="3"/>
  <c r="F43" i="3" s="1"/>
  <c r="F35" i="3"/>
  <c r="F42" i="3" s="1"/>
  <c r="F34" i="3"/>
  <c r="F41" i="3" s="1"/>
  <c r="F33" i="3"/>
  <c r="F40" i="3" s="1"/>
  <c r="F32" i="3"/>
  <c r="F39" i="3" s="1"/>
  <c r="O7" i="3"/>
  <c r="C27" i="3"/>
  <c r="C28" i="3"/>
  <c r="C29" i="3"/>
  <c r="C30" i="3" s="1"/>
  <c r="C31" i="3" s="1"/>
  <c r="C26" i="3"/>
  <c r="C8" i="3"/>
  <c r="E2" i="3"/>
  <c r="J51" i="3" l="1"/>
  <c r="J59" i="3" s="1"/>
  <c r="I49" i="3"/>
  <c r="I57" i="3" s="1"/>
  <c r="H53" i="3"/>
  <c r="H61" i="3" s="1"/>
  <c r="I53" i="3"/>
  <c r="I61" i="3" s="1"/>
  <c r="G53" i="3"/>
  <c r="G61" i="3" s="1"/>
  <c r="G67" i="3"/>
  <c r="H49" i="3"/>
  <c r="H57" i="3" s="1"/>
  <c r="F66" i="3"/>
  <c r="F48" i="3"/>
  <c r="F56" i="3" s="1"/>
  <c r="G70" i="3"/>
  <c r="G52" i="3"/>
  <c r="G60" i="3" s="1"/>
  <c r="H68" i="3"/>
  <c r="H50" i="3"/>
  <c r="H58" i="3" s="1"/>
  <c r="F72" i="3"/>
  <c r="F54" i="3"/>
  <c r="F62" i="3" s="1"/>
  <c r="J66" i="3"/>
  <c r="J48" i="3"/>
  <c r="J56" i="3" s="1"/>
  <c r="I72" i="3"/>
  <c r="I54" i="3"/>
  <c r="I62" i="3" s="1"/>
  <c r="F68" i="3"/>
  <c r="F50" i="3"/>
  <c r="F58" i="3" s="1"/>
  <c r="J70" i="3"/>
  <c r="J52" i="3"/>
  <c r="J60" i="3" s="1"/>
  <c r="I66" i="3"/>
  <c r="I48" i="3"/>
  <c r="I56" i="3" s="1"/>
  <c r="I70" i="3"/>
  <c r="I52" i="3"/>
  <c r="I60" i="3" s="1"/>
  <c r="J68" i="3"/>
  <c r="J50" i="3"/>
  <c r="J58" i="3" s="1"/>
  <c r="J72" i="3"/>
  <c r="J54" i="3"/>
  <c r="J62" i="3" s="1"/>
  <c r="H70" i="3"/>
  <c r="H52" i="3"/>
  <c r="H60" i="3" s="1"/>
  <c r="F71" i="3"/>
  <c r="F53" i="3"/>
  <c r="F61" i="3" s="1"/>
  <c r="H72" i="3"/>
  <c r="H54" i="3"/>
  <c r="H62" i="3" s="1"/>
  <c r="I68" i="3"/>
  <c r="I50" i="3"/>
  <c r="I58" i="3" s="1"/>
  <c r="F70" i="3"/>
  <c r="F52" i="3"/>
  <c r="F60" i="3" s="1"/>
  <c r="F69" i="3"/>
  <c r="F51" i="3"/>
  <c r="F59" i="3" s="1"/>
  <c r="F67" i="3"/>
  <c r="F49" i="3"/>
  <c r="F57" i="3" s="1"/>
  <c r="G66" i="3"/>
  <c r="G48" i="3"/>
  <c r="G56" i="3" s="1"/>
  <c r="H66" i="3"/>
  <c r="H48" i="3"/>
  <c r="H56" i="3" s="1"/>
  <c r="G69" i="3"/>
  <c r="G51" i="3"/>
  <c r="G59" i="3" s="1"/>
  <c r="O13" i="3"/>
  <c r="R14" i="3" s="1"/>
  <c r="G36" i="1"/>
  <c r="I36" i="1" s="1"/>
  <c r="G33" i="1"/>
  <c r="I33" i="1" s="1"/>
  <c r="C9" i="2"/>
  <c r="G19" i="1"/>
  <c r="I38" i="1" l="1"/>
  <c r="I42" i="1" s="1"/>
  <c r="G22" i="1"/>
  <c r="G25" i="1" s="1"/>
  <c r="J29" i="1" s="1"/>
  <c r="G21" i="1"/>
  <c r="G10" i="1"/>
  <c r="C8" i="1"/>
  <c r="G7" i="1" s="1"/>
  <c r="G13" i="1" l="1"/>
  <c r="J14" i="1" s="1"/>
</calcChain>
</file>

<file path=xl/sharedStrings.xml><?xml version="1.0" encoding="utf-8"?>
<sst xmlns="http://schemas.openxmlformats.org/spreadsheetml/2006/main" count="136" uniqueCount="59">
  <si>
    <t>Ref: Analytical Modeling of Semiconductor Losses in Matrix Converter</t>
  </si>
  <si>
    <t>P_cond</t>
  </si>
  <si>
    <t>Vceo</t>
  </si>
  <si>
    <t>Vfo</t>
  </si>
  <si>
    <t>Io</t>
  </si>
  <si>
    <t>rce</t>
  </si>
  <si>
    <t>rf</t>
  </si>
  <si>
    <t>Io_rms</t>
  </si>
  <si>
    <t>Total</t>
  </si>
  <si>
    <t>P_sw</t>
  </si>
  <si>
    <t>fs</t>
  </si>
  <si>
    <t>Eon_t</t>
  </si>
  <si>
    <t>Eoff_t</t>
  </si>
  <si>
    <t>Err_d</t>
  </si>
  <si>
    <t>V_data</t>
  </si>
  <si>
    <t>I_data</t>
  </si>
  <si>
    <t>Vi</t>
  </si>
  <si>
    <t>Ref: Semiconductor Power Loss Comparison of Space-Vector Modulated Direct and Indirect Matrix Converter</t>
  </si>
  <si>
    <t>Usw_dmc</t>
  </si>
  <si>
    <t>Vout_rms</t>
  </si>
  <si>
    <t>p/ 125ºC, 600V e 40A</t>
  </si>
  <si>
    <t>x</t>
  </si>
  <si>
    <t>y</t>
  </si>
  <si>
    <t>k1</t>
  </si>
  <si>
    <t>k2</t>
  </si>
  <si>
    <t>k0</t>
  </si>
  <si>
    <t>k3</t>
  </si>
  <si>
    <t>Pcon</t>
  </si>
  <si>
    <r>
      <t>y = 0,0017x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- 0,0555x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+ 0,682x - 0,3154</t>
    </r>
  </si>
  <si>
    <t>Ref: Analysis and evaluation of bi-directional power switch losses for matrix converter drive</t>
  </si>
  <si>
    <t>Pcond/fase</t>
  </si>
  <si>
    <t>Pot de saída</t>
  </si>
  <si>
    <t xml:space="preserve">Rendimento </t>
  </si>
  <si>
    <t>17A</t>
  </si>
  <si>
    <t>24A</t>
  </si>
  <si>
    <t>31A</t>
  </si>
  <si>
    <t>38A</t>
  </si>
  <si>
    <t>45A</t>
  </si>
  <si>
    <t>20k Hz</t>
  </si>
  <si>
    <t>25k Hz</t>
  </si>
  <si>
    <t>30k Hz</t>
  </si>
  <si>
    <t>35k Hz</t>
  </si>
  <si>
    <t>40k Hz</t>
  </si>
  <si>
    <t>45k Hz</t>
  </si>
  <si>
    <t>50k Hz</t>
  </si>
  <si>
    <t>Mec C</t>
  </si>
  <si>
    <t>Mec D</t>
  </si>
  <si>
    <t>Mec B</t>
  </si>
  <si>
    <t>Por IGBT</t>
  </si>
  <si>
    <t>Tj</t>
  </si>
  <si>
    <t>Rjc</t>
  </si>
  <si>
    <t>Perdas Totais (W)</t>
  </si>
  <si>
    <t>Perdas por IGBT (W)</t>
  </si>
  <si>
    <t>Tc máx (ºC)</t>
  </si>
  <si>
    <t>Rendimento (%)</t>
  </si>
  <si>
    <t>Rjc IGBT</t>
  </si>
  <si>
    <t>Rjc Diodo</t>
  </si>
  <si>
    <t>Considerado Tj = 135ºC e Rjc = 0,25 ºC/W</t>
  </si>
  <si>
    <t>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</si>
</sst>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 readingOrder="1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2.8252405949256341E-2"/>
          <c:w val="0.71283048993875764"/>
          <c:h val="0.8326195683872849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9.870319335083115E-2"/>
                  <c:y val="8.6051326917468654E-2"/>
                </c:manualLayout>
              </c:layout>
              <c:numFmt formatCode="General" sourceLinked="0"/>
            </c:trendlineLbl>
          </c:trendline>
          <c:cat>
            <c:numRef>
              <c:f>Plan2!$B$4:$B$20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cat>
          <c:val>
            <c:numRef>
              <c:f>Plan2!$A$4:$A$20</c:f>
              <c:numCache>
                <c:formatCode>General</c:formatCode>
                <c:ptCount val="17"/>
                <c:pt idx="0">
                  <c:v>0</c:v>
                </c:pt>
                <c:pt idx="1">
                  <c:v>1.1000000000000001</c:v>
                </c:pt>
                <c:pt idx="2">
                  <c:v>1.45</c:v>
                </c:pt>
                <c:pt idx="3">
                  <c:v>1.75</c:v>
                </c:pt>
                <c:pt idx="4">
                  <c:v>1.9</c:v>
                </c:pt>
                <c:pt idx="5">
                  <c:v>2.1</c:v>
                </c:pt>
                <c:pt idx="6">
                  <c:v>2.2000000000000002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2.75</c:v>
                </c:pt>
                <c:pt idx="11">
                  <c:v>2.85</c:v>
                </c:pt>
                <c:pt idx="12">
                  <c:v>3</c:v>
                </c:pt>
                <c:pt idx="13">
                  <c:v>3.15</c:v>
                </c:pt>
                <c:pt idx="14">
                  <c:v>3.25</c:v>
                </c:pt>
                <c:pt idx="15">
                  <c:v>3.45</c:v>
                </c:pt>
                <c:pt idx="16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64640"/>
        <c:axId val="52971200"/>
      </c:lineChart>
      <c:catAx>
        <c:axId val="11646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71200"/>
        <c:crosses val="autoZero"/>
        <c:auto val="0"/>
        <c:lblAlgn val="ctr"/>
        <c:lblOffset val="100"/>
        <c:tickMarkSkip val="1"/>
        <c:noMultiLvlLbl val="0"/>
      </c:catAx>
      <c:valAx>
        <c:axId val="529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6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1.7433945756780402E-2"/>
                  <c:y val="-7.1356080489938759E-2"/>
                </c:manualLayout>
              </c:layout>
              <c:numFmt formatCode="General" sourceLinked="0"/>
            </c:trendlineLbl>
          </c:trendline>
          <c:cat>
            <c:numRef>
              <c:f>Plan2!$B$4:$B$20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cat>
          <c:val>
            <c:numRef>
              <c:f>Plan2!$A$4:$A$20</c:f>
              <c:numCache>
                <c:formatCode>General</c:formatCode>
                <c:ptCount val="17"/>
                <c:pt idx="0">
                  <c:v>0</c:v>
                </c:pt>
                <c:pt idx="1">
                  <c:v>1.1000000000000001</c:v>
                </c:pt>
                <c:pt idx="2">
                  <c:v>1.45</c:v>
                </c:pt>
                <c:pt idx="3">
                  <c:v>1.75</c:v>
                </c:pt>
                <c:pt idx="4">
                  <c:v>1.9</c:v>
                </c:pt>
                <c:pt idx="5">
                  <c:v>2.1</c:v>
                </c:pt>
                <c:pt idx="6">
                  <c:v>2.2000000000000002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2.75</c:v>
                </c:pt>
                <c:pt idx="11">
                  <c:v>2.85</c:v>
                </c:pt>
                <c:pt idx="12">
                  <c:v>3</c:v>
                </c:pt>
                <c:pt idx="13">
                  <c:v>3.15</c:v>
                </c:pt>
                <c:pt idx="14">
                  <c:v>3.25</c:v>
                </c:pt>
                <c:pt idx="15">
                  <c:v>3.45</c:v>
                </c:pt>
                <c:pt idx="16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96960"/>
        <c:axId val="52972928"/>
      </c:lineChart>
      <c:catAx>
        <c:axId val="1218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72928"/>
        <c:crosses val="autoZero"/>
        <c:auto val="1"/>
        <c:lblAlgn val="ctr"/>
        <c:lblOffset val="100"/>
        <c:noMultiLvlLbl val="0"/>
      </c:catAx>
      <c:valAx>
        <c:axId val="529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89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Perdas do conversor DMC</a:t>
            </a:r>
          </a:p>
        </c:rich>
      </c:tx>
      <c:layout/>
      <c:overlay val="0"/>
    </c:title>
    <c:autoTitleDeleted val="0"/>
    <c:view3D>
      <c:rotX val="10"/>
      <c:rotY val="10"/>
      <c:depthPercent val="11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20k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Plan3!$F$39:$J$39</c:f>
              <c:numCache>
                <c:formatCode>General</c:formatCode>
                <c:ptCount val="5"/>
                <c:pt idx="0">
                  <c:v>156.81641477348612</c:v>
                </c:pt>
                <c:pt idx="1">
                  <c:v>286.90787968021573</c:v>
                </c:pt>
                <c:pt idx="2">
                  <c:v>455.21934458694528</c:v>
                </c:pt>
                <c:pt idx="3">
                  <c:v>661.75080949367475</c:v>
                </c:pt>
                <c:pt idx="4">
                  <c:v>906.5022744004043</c:v>
                </c:pt>
              </c:numCache>
            </c:numRef>
          </c:val>
        </c:ser>
        <c:ser>
          <c:idx val="1"/>
          <c:order val="1"/>
          <c:tx>
            <c:v>25k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Plan3!$F$40:$J$40</c:f>
              <c:numCache>
                <c:formatCode>General</c:formatCode>
                <c:ptCount val="5"/>
                <c:pt idx="0">
                  <c:v>167.84301846685764</c:v>
                </c:pt>
                <c:pt idx="1">
                  <c:v>302.47484960026964</c:v>
                </c:pt>
                <c:pt idx="2">
                  <c:v>475.32668073368154</c:v>
                </c:pt>
                <c:pt idx="3">
                  <c:v>686.39851186709348</c:v>
                </c:pt>
                <c:pt idx="4">
                  <c:v>935.69034300050544</c:v>
                </c:pt>
              </c:numCache>
            </c:numRef>
          </c:val>
        </c:ser>
        <c:ser>
          <c:idx val="2"/>
          <c:order val="2"/>
          <c:tx>
            <c:v>30k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Plan3!$F$41:$J$41</c:f>
              <c:numCache>
                <c:formatCode>General</c:formatCode>
                <c:ptCount val="5"/>
                <c:pt idx="0">
                  <c:v>178.86962216022914</c:v>
                </c:pt>
                <c:pt idx="1">
                  <c:v>318.04181952032354</c:v>
                </c:pt>
                <c:pt idx="2">
                  <c:v>495.43401688041786</c:v>
                </c:pt>
                <c:pt idx="3">
                  <c:v>711.04621424051209</c:v>
                </c:pt>
                <c:pt idx="4">
                  <c:v>964.87841160060646</c:v>
                </c:pt>
              </c:numCache>
            </c:numRef>
          </c:val>
        </c:ser>
        <c:ser>
          <c:idx val="3"/>
          <c:order val="3"/>
          <c:tx>
            <c:v>35k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Plan3!$F$42:$J$42</c:f>
              <c:numCache>
                <c:formatCode>General</c:formatCode>
                <c:ptCount val="5"/>
                <c:pt idx="0">
                  <c:v>189.89622585360067</c:v>
                </c:pt>
                <c:pt idx="1">
                  <c:v>333.60878944037745</c:v>
                </c:pt>
                <c:pt idx="2">
                  <c:v>515.54135302715417</c:v>
                </c:pt>
                <c:pt idx="3">
                  <c:v>735.69391661393081</c:v>
                </c:pt>
                <c:pt idx="4">
                  <c:v>994.06648020070747</c:v>
                </c:pt>
              </c:numCache>
            </c:numRef>
          </c:val>
        </c:ser>
        <c:ser>
          <c:idx val="4"/>
          <c:order val="4"/>
          <c:tx>
            <c:v>40k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Plan3!$F$43:$J$43</c:f>
              <c:numCache>
                <c:formatCode>General</c:formatCode>
                <c:ptCount val="5"/>
                <c:pt idx="0">
                  <c:v>200.9228295469722</c:v>
                </c:pt>
                <c:pt idx="1">
                  <c:v>349.17575936043136</c:v>
                </c:pt>
                <c:pt idx="2">
                  <c:v>535.64868917389049</c:v>
                </c:pt>
                <c:pt idx="3">
                  <c:v>760.34161898734942</c:v>
                </c:pt>
                <c:pt idx="4">
                  <c:v>1023.2545488008086</c:v>
                </c:pt>
              </c:numCache>
            </c:numRef>
          </c:val>
        </c:ser>
        <c:ser>
          <c:idx val="5"/>
          <c:order val="5"/>
          <c:tx>
            <c:v>45k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Plan3!$F$44:$J$44</c:f>
              <c:numCache>
                <c:formatCode>General</c:formatCode>
                <c:ptCount val="5"/>
                <c:pt idx="0">
                  <c:v>211.94943324034369</c:v>
                </c:pt>
                <c:pt idx="1">
                  <c:v>364.74272928048526</c:v>
                </c:pt>
                <c:pt idx="2">
                  <c:v>555.7560253206268</c:v>
                </c:pt>
                <c:pt idx="3">
                  <c:v>784.98932136076814</c:v>
                </c:pt>
                <c:pt idx="4">
                  <c:v>1052.4426174009097</c:v>
                </c:pt>
              </c:numCache>
            </c:numRef>
          </c:val>
        </c:ser>
        <c:ser>
          <c:idx val="6"/>
          <c:order val="6"/>
          <c:tx>
            <c:v>50k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Plan3!$F$45:$J$45</c:f>
              <c:numCache>
                <c:formatCode>General</c:formatCode>
                <c:ptCount val="5"/>
                <c:pt idx="0">
                  <c:v>222.97603693371522</c:v>
                </c:pt>
                <c:pt idx="1">
                  <c:v>380.30969920053917</c:v>
                </c:pt>
                <c:pt idx="2">
                  <c:v>575.86336146736301</c:v>
                </c:pt>
                <c:pt idx="3">
                  <c:v>809.63702373418687</c:v>
                </c:pt>
                <c:pt idx="4">
                  <c:v>1081.6306860010109</c:v>
                </c:pt>
              </c:numCache>
            </c:numRef>
          </c:val>
        </c:ser>
        <c:bandFmts/>
        <c:axId val="121899008"/>
        <c:axId val="52975808"/>
        <c:axId val="115577472"/>
      </c:surface3DChart>
      <c:catAx>
        <c:axId val="1218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Corrente de saída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2975808"/>
        <c:crosses val="autoZero"/>
        <c:auto val="1"/>
        <c:lblAlgn val="ctr"/>
        <c:lblOffset val="100"/>
        <c:noMultiLvlLbl val="0"/>
      </c:catAx>
      <c:valAx>
        <c:axId val="52975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Perdas totais (W)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899008"/>
        <c:crosses val="autoZero"/>
        <c:crossBetween val="midCat"/>
      </c:valAx>
      <c:serAx>
        <c:axId val="115577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5297580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20k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Plan3!$F$39:$L$39</c:f>
              <c:numCache>
                <c:formatCode>General</c:formatCode>
                <c:ptCount val="7"/>
                <c:pt idx="0">
                  <c:v>156.81641477348612</c:v>
                </c:pt>
                <c:pt idx="1">
                  <c:v>286.90787968021573</c:v>
                </c:pt>
                <c:pt idx="2">
                  <c:v>455.21934458694528</c:v>
                </c:pt>
                <c:pt idx="3">
                  <c:v>661.75080949367475</c:v>
                </c:pt>
                <c:pt idx="4">
                  <c:v>906.5022744004043</c:v>
                </c:pt>
              </c:numCache>
            </c:numRef>
          </c:val>
        </c:ser>
        <c:ser>
          <c:idx val="1"/>
          <c:order val="1"/>
          <c:tx>
            <c:v>25k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Plan3!$F$40:$L$40</c:f>
              <c:numCache>
                <c:formatCode>General</c:formatCode>
                <c:ptCount val="7"/>
                <c:pt idx="0">
                  <c:v>167.84301846685764</c:v>
                </c:pt>
                <c:pt idx="1">
                  <c:v>302.47484960026964</c:v>
                </c:pt>
                <c:pt idx="2">
                  <c:v>475.32668073368154</c:v>
                </c:pt>
                <c:pt idx="3">
                  <c:v>686.39851186709348</c:v>
                </c:pt>
                <c:pt idx="4">
                  <c:v>935.69034300050544</c:v>
                </c:pt>
              </c:numCache>
            </c:numRef>
          </c:val>
        </c:ser>
        <c:ser>
          <c:idx val="2"/>
          <c:order val="2"/>
          <c:tx>
            <c:v>30k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Plan3!$F$41:$L$41</c:f>
              <c:numCache>
                <c:formatCode>General</c:formatCode>
                <c:ptCount val="7"/>
                <c:pt idx="0">
                  <c:v>178.86962216022914</c:v>
                </c:pt>
                <c:pt idx="1">
                  <c:v>318.04181952032354</c:v>
                </c:pt>
                <c:pt idx="2">
                  <c:v>495.43401688041786</c:v>
                </c:pt>
                <c:pt idx="3">
                  <c:v>711.04621424051209</c:v>
                </c:pt>
                <c:pt idx="4">
                  <c:v>964.87841160060646</c:v>
                </c:pt>
              </c:numCache>
            </c:numRef>
          </c:val>
        </c:ser>
        <c:ser>
          <c:idx val="3"/>
          <c:order val="3"/>
          <c:tx>
            <c:v>35k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Plan3!$F$42:$L$42</c:f>
              <c:numCache>
                <c:formatCode>General</c:formatCode>
                <c:ptCount val="7"/>
                <c:pt idx="0">
                  <c:v>189.89622585360067</c:v>
                </c:pt>
                <c:pt idx="1">
                  <c:v>333.60878944037745</c:v>
                </c:pt>
                <c:pt idx="2">
                  <c:v>515.54135302715417</c:v>
                </c:pt>
                <c:pt idx="3">
                  <c:v>735.69391661393081</c:v>
                </c:pt>
                <c:pt idx="4">
                  <c:v>994.06648020070747</c:v>
                </c:pt>
              </c:numCache>
            </c:numRef>
          </c:val>
        </c:ser>
        <c:ser>
          <c:idx val="4"/>
          <c:order val="4"/>
          <c:tx>
            <c:v>40k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Plan3!$F$43:$L$43</c:f>
              <c:numCache>
                <c:formatCode>General</c:formatCode>
                <c:ptCount val="7"/>
                <c:pt idx="0">
                  <c:v>200.9228295469722</c:v>
                </c:pt>
                <c:pt idx="1">
                  <c:v>349.17575936043136</c:v>
                </c:pt>
                <c:pt idx="2">
                  <c:v>535.64868917389049</c:v>
                </c:pt>
                <c:pt idx="3">
                  <c:v>760.34161898734942</c:v>
                </c:pt>
                <c:pt idx="4">
                  <c:v>1023.2545488008086</c:v>
                </c:pt>
              </c:numCache>
            </c:numRef>
          </c:val>
        </c:ser>
        <c:ser>
          <c:idx val="5"/>
          <c:order val="5"/>
          <c:tx>
            <c:v>45k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Plan3!$F$44:$L$44</c:f>
              <c:numCache>
                <c:formatCode>General</c:formatCode>
                <c:ptCount val="7"/>
                <c:pt idx="0">
                  <c:v>211.94943324034369</c:v>
                </c:pt>
                <c:pt idx="1">
                  <c:v>364.74272928048526</c:v>
                </c:pt>
                <c:pt idx="2">
                  <c:v>555.7560253206268</c:v>
                </c:pt>
                <c:pt idx="3">
                  <c:v>784.98932136076814</c:v>
                </c:pt>
                <c:pt idx="4">
                  <c:v>1052.4426174009097</c:v>
                </c:pt>
              </c:numCache>
            </c:numRef>
          </c:val>
        </c:ser>
        <c:ser>
          <c:idx val="6"/>
          <c:order val="6"/>
          <c:tx>
            <c:v>50k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Plan3!$F$45:$L$45</c:f>
              <c:numCache>
                <c:formatCode>General</c:formatCode>
                <c:ptCount val="7"/>
                <c:pt idx="0">
                  <c:v>222.97603693371522</c:v>
                </c:pt>
                <c:pt idx="1">
                  <c:v>380.30969920053917</c:v>
                </c:pt>
                <c:pt idx="2">
                  <c:v>575.86336146736301</c:v>
                </c:pt>
                <c:pt idx="3">
                  <c:v>809.63702373418687</c:v>
                </c:pt>
                <c:pt idx="4">
                  <c:v>1081.6306860010109</c:v>
                </c:pt>
              </c:numCache>
            </c:numRef>
          </c:val>
        </c:ser>
        <c:bandFmts/>
        <c:axId val="121995264"/>
        <c:axId val="45679168"/>
        <c:axId val="115578752"/>
      </c:surface3DChart>
      <c:catAx>
        <c:axId val="1219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79168"/>
        <c:crosses val="autoZero"/>
        <c:auto val="1"/>
        <c:lblAlgn val="ctr"/>
        <c:lblOffset val="100"/>
        <c:noMultiLvlLbl val="0"/>
      </c:catAx>
      <c:valAx>
        <c:axId val="45679168"/>
        <c:scaling>
          <c:orientation val="minMax"/>
          <c:max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95264"/>
        <c:crosses val="autoZero"/>
        <c:crossBetween val="midCat"/>
        <c:majorUnit val="500"/>
        <c:minorUnit val="100"/>
      </c:valAx>
      <c:serAx>
        <c:axId val="11557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456791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 prstMaterial="matte"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4.png"/><Relationship Id="rId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590550</xdr:colOff>
      <xdr:row>4</xdr:row>
      <xdr:rowOff>180975</xdr:rowOff>
    </xdr:from>
    <xdr:to>
      <xdr:col>11</xdr:col>
      <xdr:colOff>456885</xdr:colOff>
      <xdr:row>7</xdr:row>
      <xdr:rowOff>123761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942975"/>
          <a:ext cx="2523810" cy="5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4</xdr:row>
      <xdr:rowOff>43258</xdr:rowOff>
    </xdr:from>
    <xdr:to>
      <xdr:col>17</xdr:col>
      <xdr:colOff>199524</xdr:colOff>
      <xdr:row>7</xdr:row>
      <xdr:rowOff>171338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6650" y="805258"/>
          <a:ext cx="3133224" cy="699580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8</xdr:row>
      <xdr:rowOff>19050</xdr:rowOff>
    </xdr:from>
    <xdr:to>
      <xdr:col>12</xdr:col>
      <xdr:colOff>47285</xdr:colOff>
      <xdr:row>11</xdr:row>
      <xdr:rowOff>57074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1675" y="1543050"/>
          <a:ext cx="2723810" cy="6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17</xdr:row>
      <xdr:rowOff>66675</xdr:rowOff>
    </xdr:from>
    <xdr:to>
      <xdr:col>13</xdr:col>
      <xdr:colOff>66262</xdr:colOff>
      <xdr:row>20</xdr:row>
      <xdr:rowOff>47556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29300" y="3305175"/>
          <a:ext cx="3304762" cy="5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10</xdr:col>
      <xdr:colOff>56963</xdr:colOff>
      <xdr:row>22</xdr:row>
      <xdr:rowOff>104738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00725" y="4000500"/>
          <a:ext cx="1495238" cy="2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161925</xdr:colOff>
      <xdr:row>20</xdr:row>
      <xdr:rowOff>104775</xdr:rowOff>
    </xdr:from>
    <xdr:to>
      <xdr:col>19</xdr:col>
      <xdr:colOff>94801</xdr:colOff>
      <xdr:row>28</xdr:row>
      <xdr:rowOff>104585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10650" y="3914775"/>
          <a:ext cx="3590476" cy="15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12</xdr:col>
      <xdr:colOff>571097</xdr:colOff>
      <xdr:row>24</xdr:row>
      <xdr:rowOff>76167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00725" y="4381500"/>
          <a:ext cx="3228572" cy="2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12</xdr:col>
      <xdr:colOff>523478</xdr:colOff>
      <xdr:row>26</xdr:row>
      <xdr:rowOff>76167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00725" y="4762500"/>
          <a:ext cx="3180953" cy="2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31</xdr:row>
      <xdr:rowOff>161925</xdr:rowOff>
    </xdr:from>
    <xdr:to>
      <xdr:col>16</xdr:col>
      <xdr:colOff>28086</xdr:colOff>
      <xdr:row>35</xdr:row>
      <xdr:rowOff>114211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91325" y="6067425"/>
          <a:ext cx="3914286" cy="7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35</xdr:row>
      <xdr:rowOff>85725</xdr:rowOff>
    </xdr:from>
    <xdr:to>
      <xdr:col>13</xdr:col>
      <xdr:colOff>142604</xdr:colOff>
      <xdr:row>38</xdr:row>
      <xdr:rowOff>47558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91350" y="6753225"/>
          <a:ext cx="2171429" cy="5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13</xdr:col>
      <xdr:colOff>228343</xdr:colOff>
      <xdr:row>41</xdr:row>
      <xdr:rowOff>180905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91375" y="7429500"/>
          <a:ext cx="2057143" cy="5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38</xdr:row>
      <xdr:rowOff>171450</xdr:rowOff>
    </xdr:from>
    <xdr:to>
      <xdr:col>17</xdr:col>
      <xdr:colOff>218792</xdr:colOff>
      <xdr:row>41</xdr:row>
      <xdr:rowOff>133283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410700" y="7410450"/>
          <a:ext cx="2266667" cy="5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13</xdr:col>
      <xdr:colOff>85486</xdr:colOff>
      <xdr:row>44</xdr:row>
      <xdr:rowOff>123762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91375" y="8001000"/>
          <a:ext cx="1914286" cy="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0</xdr:row>
      <xdr:rowOff>142875</xdr:rowOff>
    </xdr:from>
    <xdr:to>
      <xdr:col>21</xdr:col>
      <xdr:colOff>466725</xdr:colOff>
      <xdr:row>25</xdr:row>
      <xdr:rowOff>110499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5" y="142875"/>
          <a:ext cx="6210300" cy="4730124"/>
        </a:xfrm>
        <a:prstGeom prst="rect">
          <a:avLst/>
        </a:prstGeom>
      </xdr:spPr>
    </xdr:pic>
    <xdr:clientData/>
  </xdr:twoCellAnchor>
  <xdr:twoCellAnchor>
    <xdr:from>
      <xdr:col>3</xdr:col>
      <xdr:colOff>333375</xdr:colOff>
      <xdr:row>27</xdr:row>
      <xdr:rowOff>104775</xdr:rowOff>
    </xdr:from>
    <xdr:to>
      <xdr:col>11</xdr:col>
      <xdr:colOff>28575</xdr:colOff>
      <xdr:row>41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409575</xdr:colOff>
      <xdr:row>2</xdr:row>
      <xdr:rowOff>71437</xdr:rowOff>
    </xdr:from>
    <xdr:to>
      <xdr:col>11</xdr:col>
      <xdr:colOff>104775</xdr:colOff>
      <xdr:row>24</xdr:row>
      <xdr:rowOff>147637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27</xdr:row>
      <xdr:rowOff>0</xdr:rowOff>
    </xdr:from>
    <xdr:to>
      <xdr:col>21</xdr:col>
      <xdr:colOff>580267</xdr:colOff>
      <xdr:row>50</xdr:row>
      <xdr:rowOff>66119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5200" y="5143500"/>
          <a:ext cx="6066667" cy="44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590550</xdr:colOff>
      <xdr:row>4</xdr:row>
      <xdr:rowOff>180975</xdr:rowOff>
    </xdr:from>
    <xdr:to>
      <xdr:col>18</xdr:col>
      <xdr:colOff>580710</xdr:colOff>
      <xdr:row>7</xdr:row>
      <xdr:rowOff>123761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942975"/>
          <a:ext cx="2523810" cy="514286"/>
        </a:xfrm>
        <a:prstGeom prst="rect">
          <a:avLst/>
        </a:prstGeom>
      </xdr:spPr>
    </xdr:pic>
    <xdr:clientData/>
  </xdr:twoCellAnchor>
  <xdr:twoCellAnchor editAs="oneCell">
    <xdr:from>
      <xdr:col>19</xdr:col>
      <xdr:colOff>485775</xdr:colOff>
      <xdr:row>4</xdr:row>
      <xdr:rowOff>100408</xdr:rowOff>
    </xdr:from>
    <xdr:to>
      <xdr:col>24</xdr:col>
      <xdr:colOff>218574</xdr:colOff>
      <xdr:row>8</xdr:row>
      <xdr:rowOff>37988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77700" y="862408"/>
          <a:ext cx="3133224" cy="699580"/>
        </a:xfrm>
        <a:prstGeom prst="rect">
          <a:avLst/>
        </a:prstGeom>
      </xdr:spPr>
    </xdr:pic>
    <xdr:clientData/>
  </xdr:twoCellAnchor>
  <xdr:twoCellAnchor editAs="oneCell">
    <xdr:from>
      <xdr:col>15</xdr:col>
      <xdr:colOff>590550</xdr:colOff>
      <xdr:row>8</xdr:row>
      <xdr:rowOff>19050</xdr:rowOff>
    </xdr:from>
    <xdr:to>
      <xdr:col>18</xdr:col>
      <xdr:colOff>780710</xdr:colOff>
      <xdr:row>11</xdr:row>
      <xdr:rowOff>57074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53125" y="1543050"/>
          <a:ext cx="2723810" cy="609524"/>
        </a:xfrm>
        <a:prstGeom prst="rect">
          <a:avLst/>
        </a:prstGeom>
      </xdr:spPr>
    </xdr:pic>
    <xdr:clientData/>
  </xdr:twoCellAnchor>
  <xdr:twoCellAnchor>
    <xdr:from>
      <xdr:col>12</xdr:col>
      <xdr:colOff>519112</xdr:colOff>
      <xdr:row>16</xdr:row>
      <xdr:rowOff>119062</xdr:rowOff>
    </xdr:from>
    <xdr:to>
      <xdr:col>20</xdr:col>
      <xdr:colOff>214312</xdr:colOff>
      <xdr:row>31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542925</xdr:colOff>
      <xdr:row>32</xdr:row>
      <xdr:rowOff>57150</xdr:rowOff>
    </xdr:from>
    <xdr:to>
      <xdr:col>20</xdr:col>
      <xdr:colOff>238125</xdr:colOff>
      <xdr:row>46</xdr:row>
      <xdr:rowOff>133350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workbookViewId="0">
      <selection activeCell="B2" sqref="B2:C21"/>
    </sheetView>
  </sheetViews>
  <sheetFormatPr defaultRowHeight="15" x14ac:dyDescent="0.25"/>
  <cols>
    <col min="3" max="3" width="12" bestFit="1" customWidth="1"/>
    <col min="4" max="4" width="19.28515625" bestFit="1" customWidth="1"/>
    <col min="6" max="6" width="11.7109375" customWidth="1"/>
    <col min="7" max="7" width="10" bestFit="1" customWidth="1"/>
    <col min="9" max="9" width="12.42578125" bestFit="1" customWidth="1"/>
  </cols>
  <sheetData>
    <row r="2" spans="2:10" x14ac:dyDescent="0.25">
      <c r="D2" t="s">
        <v>31</v>
      </c>
      <c r="E2">
        <f>3*380*C4*0.9/SQRT(3)</f>
        <v>11847.227523771122</v>
      </c>
    </row>
    <row r="3" spans="2:10" x14ac:dyDescent="0.25">
      <c r="B3" t="s">
        <v>16</v>
      </c>
      <c r="C3">
        <f>440</f>
        <v>440</v>
      </c>
    </row>
    <row r="4" spans="2:10" x14ac:dyDescent="0.25">
      <c r="B4" t="s">
        <v>7</v>
      </c>
      <c r="C4">
        <v>20</v>
      </c>
      <c r="F4" t="s">
        <v>0</v>
      </c>
    </row>
    <row r="5" spans="2:10" x14ac:dyDescent="0.25">
      <c r="B5" t="s">
        <v>19</v>
      </c>
      <c r="C5">
        <v>380</v>
      </c>
    </row>
    <row r="6" spans="2:10" x14ac:dyDescent="0.25">
      <c r="B6" t="s">
        <v>2</v>
      </c>
      <c r="C6">
        <v>0</v>
      </c>
    </row>
    <row r="7" spans="2:10" x14ac:dyDescent="0.25">
      <c r="B7" t="s">
        <v>3</v>
      </c>
      <c r="C7">
        <v>0</v>
      </c>
      <c r="F7" t="s">
        <v>1</v>
      </c>
      <c r="G7">
        <f>6/PI()*(C6+C7)*C8+3/2*C8*C8*(C9+C10)</f>
        <v>196.8</v>
      </c>
    </row>
    <row r="8" spans="2:10" x14ac:dyDescent="0.25">
      <c r="B8" t="s">
        <v>4</v>
      </c>
      <c r="C8">
        <f>C4*SQRT(2)</f>
        <v>28.284271247461902</v>
      </c>
    </row>
    <row r="9" spans="2:10" x14ac:dyDescent="0.25">
      <c r="B9" t="s">
        <v>5</v>
      </c>
      <c r="C9">
        <v>0.13</v>
      </c>
    </row>
    <row r="10" spans="2:10" x14ac:dyDescent="0.25">
      <c r="B10" t="s">
        <v>6</v>
      </c>
      <c r="C10">
        <v>3.4000000000000002E-2</v>
      </c>
      <c r="F10" t="s">
        <v>9</v>
      </c>
      <c r="G10">
        <f>SQRT(3)*24*C11*(C12+C13+C14)*C3*C4/(C15*C16*PI()*PI())</f>
        <v>130.96022313696145</v>
      </c>
    </row>
    <row r="11" spans="2:10" x14ac:dyDescent="0.25">
      <c r="B11" t="s">
        <v>10</v>
      </c>
      <c r="C11">
        <v>20000</v>
      </c>
    </row>
    <row r="12" spans="2:10" x14ac:dyDescent="0.25">
      <c r="B12" t="s">
        <v>11</v>
      </c>
      <c r="C12">
        <v>8.4999999999999995E-4</v>
      </c>
    </row>
    <row r="13" spans="2:10" x14ac:dyDescent="0.25">
      <c r="B13" t="s">
        <v>12</v>
      </c>
      <c r="C13">
        <v>2.0000000000000001E-4</v>
      </c>
      <c r="F13" t="s">
        <v>8</v>
      </c>
      <c r="G13">
        <f>G7+G10</f>
        <v>327.76022313696149</v>
      </c>
    </row>
    <row r="14" spans="2:10" x14ac:dyDescent="0.25">
      <c r="B14" t="s">
        <v>13</v>
      </c>
      <c r="C14">
        <v>1.6000000000000001E-3</v>
      </c>
      <c r="I14" t="s">
        <v>32</v>
      </c>
      <c r="J14" s="2">
        <f>1-G13/$E$2</f>
        <v>0.97233443668745956</v>
      </c>
    </row>
    <row r="15" spans="2:10" x14ac:dyDescent="0.25">
      <c r="B15" t="s">
        <v>14</v>
      </c>
      <c r="C15">
        <v>600</v>
      </c>
    </row>
    <row r="16" spans="2:10" x14ac:dyDescent="0.25">
      <c r="B16" t="s">
        <v>15</v>
      </c>
      <c r="C16">
        <v>25</v>
      </c>
    </row>
    <row r="17" spans="2:10" x14ac:dyDescent="0.25">
      <c r="F17" t="s">
        <v>17</v>
      </c>
    </row>
    <row r="18" spans="2:10" x14ac:dyDescent="0.25">
      <c r="B18" t="s">
        <v>25</v>
      </c>
      <c r="C18">
        <v>-0.31419999999999998</v>
      </c>
    </row>
    <row r="19" spans="2:10" x14ac:dyDescent="0.25">
      <c r="B19" t="s">
        <v>23</v>
      </c>
      <c r="C19">
        <v>0.68200000000000005</v>
      </c>
      <c r="F19" t="s">
        <v>27</v>
      </c>
      <c r="G19">
        <f>3*(C21*(C4^4)/4+C20*(C4^3)/3+C19*(C4^2)/2+C18*2*(C4)/PI())</f>
        <v>157.19844405132636</v>
      </c>
    </row>
    <row r="20" spans="2:10" x14ac:dyDescent="0.25">
      <c r="B20" t="s">
        <v>24</v>
      </c>
      <c r="C20">
        <v>-5.5500000000000001E-2</v>
      </c>
    </row>
    <row r="21" spans="2:10" x14ac:dyDescent="0.25">
      <c r="B21" t="s">
        <v>26</v>
      </c>
      <c r="C21">
        <v>1.6999999999999999E-3</v>
      </c>
      <c r="F21" t="s">
        <v>18</v>
      </c>
      <c r="G21">
        <f>C5*3*3*SQRT(3)/(2*PI())+C5*(6-(3*SQRT(3)))/PI()</f>
        <v>1040.0040108894641</v>
      </c>
    </row>
    <row r="22" spans="2:10" x14ac:dyDescent="0.25">
      <c r="F22" t="s">
        <v>9</v>
      </c>
      <c r="G22">
        <f>C11*(C12+C13+C14)*G21*C4/(C15*C16)</f>
        <v>73.493616769522134</v>
      </c>
    </row>
    <row r="23" spans="2:10" x14ac:dyDescent="0.25">
      <c r="D23" s="1" t="s">
        <v>28</v>
      </c>
    </row>
    <row r="24" spans="2:10" x14ac:dyDescent="0.25">
      <c r="D24" s="1"/>
    </row>
    <row r="25" spans="2:10" x14ac:dyDescent="0.25">
      <c r="F25" t="s">
        <v>8</v>
      </c>
      <c r="G25">
        <f>G22+G19</f>
        <v>230.6920608208485</v>
      </c>
    </row>
    <row r="29" spans="2:10" x14ac:dyDescent="0.25">
      <c r="I29" t="s">
        <v>32</v>
      </c>
      <c r="J29" s="2">
        <f>1-G25/$E$2</f>
        <v>0.98052775973467454</v>
      </c>
    </row>
    <row r="31" spans="2:10" x14ac:dyDescent="0.25">
      <c r="F31" t="s">
        <v>29</v>
      </c>
    </row>
    <row r="33" spans="6:9" x14ac:dyDescent="0.25">
      <c r="F33" t="s">
        <v>30</v>
      </c>
      <c r="G33">
        <f>(2*SQRT(2)/PI())*C4*(C7+C6)+C4*C4*(C9+C10)</f>
        <v>65.600000000000009</v>
      </c>
      <c r="H33" t="s">
        <v>8</v>
      </c>
      <c r="I33">
        <f>G33*3</f>
        <v>196.8</v>
      </c>
    </row>
    <row r="36" spans="6:9" x14ac:dyDescent="0.25">
      <c r="F36" t="s">
        <v>9</v>
      </c>
      <c r="G36">
        <f>(12/(PI()*PI()))*600*C4*C11*(C12+C13+C14)/(C15*C16)</f>
        <v>51.552218237221467</v>
      </c>
      <c r="H36" t="s">
        <v>8</v>
      </c>
      <c r="I36">
        <f>G36*3</f>
        <v>154.6566547116644</v>
      </c>
    </row>
    <row r="38" spans="6:9" x14ac:dyDescent="0.25">
      <c r="H38" t="s">
        <v>8</v>
      </c>
      <c r="I38">
        <f>I36+I33</f>
        <v>351.45665471166444</v>
      </c>
    </row>
    <row r="42" spans="6:9" x14ac:dyDescent="0.25">
      <c r="H42" t="s">
        <v>32</v>
      </c>
      <c r="I42" s="2">
        <f>1-I38/$E$2</f>
        <v>0.97033426985288529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X33" sqref="X33"/>
    </sheetView>
  </sheetViews>
  <sheetFormatPr defaultRowHeight="15" x14ac:dyDescent="0.25"/>
  <sheetData>
    <row r="3" spans="1:3" x14ac:dyDescent="0.25">
      <c r="A3" t="s">
        <v>21</v>
      </c>
      <c r="B3" t="s">
        <v>22</v>
      </c>
    </row>
    <row r="4" spans="1:3" x14ac:dyDescent="0.25">
      <c r="A4">
        <v>0</v>
      </c>
      <c r="B4">
        <v>0</v>
      </c>
    </row>
    <row r="5" spans="1:3" x14ac:dyDescent="0.25">
      <c r="A5">
        <v>1.1000000000000001</v>
      </c>
      <c r="B5">
        <v>5</v>
      </c>
    </row>
    <row r="6" spans="1:3" x14ac:dyDescent="0.25">
      <c r="A6">
        <v>1.45</v>
      </c>
      <c r="B6">
        <v>10</v>
      </c>
    </row>
    <row r="7" spans="1:3" x14ac:dyDescent="0.25">
      <c r="A7">
        <v>1.75</v>
      </c>
      <c r="B7">
        <v>15</v>
      </c>
    </row>
    <row r="8" spans="1:3" x14ac:dyDescent="0.25">
      <c r="A8">
        <v>1.9</v>
      </c>
      <c r="B8">
        <v>20</v>
      </c>
    </row>
    <row r="9" spans="1:3" x14ac:dyDescent="0.25">
      <c r="A9">
        <v>2.1</v>
      </c>
      <c r="B9">
        <v>25</v>
      </c>
      <c r="C9">
        <f>0.0017*B23^3-0.0555*B23^2+0.682*B23-0.3154</f>
        <v>1.4646124999999999</v>
      </c>
    </row>
    <row r="10" spans="1:3" x14ac:dyDescent="0.25">
      <c r="A10">
        <v>2.2000000000000002</v>
      </c>
      <c r="B10">
        <v>30</v>
      </c>
    </row>
    <row r="11" spans="1:3" x14ac:dyDescent="0.25">
      <c r="A11">
        <v>2.4</v>
      </c>
      <c r="B11">
        <v>35</v>
      </c>
    </row>
    <row r="12" spans="1:3" x14ac:dyDescent="0.25">
      <c r="A12">
        <v>2.5</v>
      </c>
      <c r="B12">
        <v>40</v>
      </c>
    </row>
    <row r="13" spans="1:3" x14ac:dyDescent="0.25">
      <c r="A13">
        <v>2.6</v>
      </c>
      <c r="B13">
        <v>45</v>
      </c>
    </row>
    <row r="14" spans="1:3" x14ac:dyDescent="0.25">
      <c r="A14">
        <v>2.75</v>
      </c>
      <c r="B14">
        <v>50</v>
      </c>
    </row>
    <row r="15" spans="1:3" x14ac:dyDescent="0.25">
      <c r="A15">
        <v>2.85</v>
      </c>
      <c r="B15">
        <v>55</v>
      </c>
    </row>
    <row r="16" spans="1:3" x14ac:dyDescent="0.25">
      <c r="A16">
        <v>3</v>
      </c>
      <c r="B16">
        <v>60</v>
      </c>
    </row>
    <row r="17" spans="1:2" x14ac:dyDescent="0.25">
      <c r="A17">
        <v>3.15</v>
      </c>
      <c r="B17">
        <v>65</v>
      </c>
    </row>
    <row r="18" spans="1:2" x14ac:dyDescent="0.25">
      <c r="A18">
        <v>3.25</v>
      </c>
      <c r="B18">
        <v>70</v>
      </c>
    </row>
    <row r="19" spans="1:2" x14ac:dyDescent="0.25">
      <c r="A19">
        <v>3.45</v>
      </c>
      <c r="B19">
        <v>75</v>
      </c>
    </row>
    <row r="20" spans="1:2" x14ac:dyDescent="0.25">
      <c r="A20">
        <v>3.5</v>
      </c>
      <c r="B20">
        <v>80</v>
      </c>
    </row>
    <row r="23" spans="1:2" x14ac:dyDescent="0.25">
      <c r="B23">
        <v>3.5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topLeftCell="C46" workbookViewId="0">
      <selection activeCell="Y65" sqref="Y65"/>
    </sheetView>
  </sheetViews>
  <sheetFormatPr defaultRowHeight="15" x14ac:dyDescent="0.25"/>
  <cols>
    <col min="2" max="2" width="9.5703125" bestFit="1" customWidth="1"/>
    <col min="3" max="3" width="12" bestFit="1" customWidth="1"/>
    <col min="6" max="6" width="9.28515625" customWidth="1"/>
    <col min="16" max="18" width="11.5703125" bestFit="1" customWidth="1"/>
    <col min="19" max="20" width="12" bestFit="1" customWidth="1"/>
    <col min="21" max="21" width="11.5703125" bestFit="1" customWidth="1"/>
  </cols>
  <sheetData>
    <row r="1" spans="2:18" x14ac:dyDescent="0.25">
      <c r="C1" s="11" t="s">
        <v>47</v>
      </c>
      <c r="D1" s="11"/>
      <c r="E1" s="11"/>
    </row>
    <row r="2" spans="2:18" x14ac:dyDescent="0.25">
      <c r="D2" t="s">
        <v>31</v>
      </c>
      <c r="E2">
        <f>3*380*C4*0.86</f>
        <v>16666.8</v>
      </c>
    </row>
    <row r="3" spans="2:18" x14ac:dyDescent="0.25">
      <c r="B3" t="s">
        <v>16</v>
      </c>
      <c r="C3">
        <v>440</v>
      </c>
      <c r="F3" s="11" t="s">
        <v>45</v>
      </c>
      <c r="G3" s="11"/>
      <c r="H3" s="11"/>
      <c r="I3" t="s">
        <v>46</v>
      </c>
    </row>
    <row r="4" spans="2:18" x14ac:dyDescent="0.25">
      <c r="B4" t="s">
        <v>7</v>
      </c>
      <c r="C4">
        <v>17</v>
      </c>
      <c r="D4">
        <v>24</v>
      </c>
      <c r="E4">
        <v>31</v>
      </c>
      <c r="F4">
        <v>38</v>
      </c>
      <c r="G4">
        <v>45</v>
      </c>
      <c r="N4" t="s">
        <v>0</v>
      </c>
    </row>
    <row r="5" spans="2:18" x14ac:dyDescent="0.25">
      <c r="B5" t="s">
        <v>19</v>
      </c>
      <c r="C5">
        <v>380</v>
      </c>
    </row>
    <row r="6" spans="2:18" x14ac:dyDescent="0.25">
      <c r="B6" t="s">
        <v>2</v>
      </c>
      <c r="C6">
        <v>0</v>
      </c>
      <c r="D6">
        <v>0</v>
      </c>
      <c r="E6">
        <v>0</v>
      </c>
      <c r="F6">
        <v>0</v>
      </c>
      <c r="G6">
        <v>0</v>
      </c>
    </row>
    <row r="7" spans="2:18" x14ac:dyDescent="0.25"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N7" t="s">
        <v>1</v>
      </c>
      <c r="O7">
        <f>6/PI()*(C$6+C$7)*C$8+3/2*C$8*C$8*(C$9+C$10)</f>
        <v>112.71000000000004</v>
      </c>
    </row>
    <row r="8" spans="2:18" x14ac:dyDescent="0.25">
      <c r="B8" t="s">
        <v>4</v>
      </c>
      <c r="C8">
        <f>C4*SQRT(2)</f>
        <v>24.041630560342618</v>
      </c>
      <c r="D8">
        <f t="shared" ref="D8:G8" si="0">D4*SQRT(2)</f>
        <v>33.941125496954285</v>
      </c>
      <c r="E8">
        <f t="shared" si="0"/>
        <v>43.840620433565952</v>
      </c>
      <c r="F8">
        <f t="shared" si="0"/>
        <v>53.740115370177612</v>
      </c>
      <c r="G8">
        <f t="shared" si="0"/>
        <v>63.63961030678928</v>
      </c>
    </row>
    <row r="9" spans="2:18" x14ac:dyDescent="0.25">
      <c r="B9" t="s">
        <v>58</v>
      </c>
      <c r="C9">
        <v>0.13</v>
      </c>
      <c r="D9">
        <v>0.13</v>
      </c>
      <c r="E9">
        <v>0.13</v>
      </c>
      <c r="F9">
        <v>0.13</v>
      </c>
      <c r="G9">
        <v>0.13</v>
      </c>
    </row>
    <row r="12" spans="2:18" x14ac:dyDescent="0.25">
      <c r="B12" t="s">
        <v>11</v>
      </c>
      <c r="C12">
        <v>8.4999999999999995E-4</v>
      </c>
      <c r="D12" t="s">
        <v>20</v>
      </c>
    </row>
    <row r="13" spans="2:18" x14ac:dyDescent="0.25">
      <c r="B13" t="s">
        <v>12</v>
      </c>
      <c r="C13">
        <v>2.0000000000000001E-4</v>
      </c>
      <c r="D13" t="s">
        <v>20</v>
      </c>
      <c r="N13" t="s">
        <v>8</v>
      </c>
      <c r="O13">
        <f>O7+F25</f>
        <v>156.81641477348612</v>
      </c>
    </row>
    <row r="14" spans="2:18" x14ac:dyDescent="0.25">
      <c r="B14" t="s">
        <v>13</v>
      </c>
      <c r="C14">
        <v>0</v>
      </c>
      <c r="Q14" t="s">
        <v>32</v>
      </c>
      <c r="R14" s="2">
        <f>1-O13/$E$2</f>
        <v>0.9905910903848677</v>
      </c>
    </row>
    <row r="15" spans="2:18" x14ac:dyDescent="0.25">
      <c r="B15" t="s">
        <v>14</v>
      </c>
      <c r="C15">
        <v>600</v>
      </c>
    </row>
    <row r="16" spans="2:18" x14ac:dyDescent="0.25">
      <c r="B16" t="s">
        <v>15</v>
      </c>
      <c r="C16">
        <v>25</v>
      </c>
    </row>
    <row r="24" spans="2:10" x14ac:dyDescent="0.25">
      <c r="F24" t="s">
        <v>33</v>
      </c>
      <c r="G24" t="s">
        <v>34</v>
      </c>
      <c r="H24" t="s">
        <v>35</v>
      </c>
      <c r="I24" t="s">
        <v>36</v>
      </c>
      <c r="J24" t="s">
        <v>37</v>
      </c>
    </row>
    <row r="25" spans="2:10" x14ac:dyDescent="0.25">
      <c r="B25" s="14" t="s">
        <v>10</v>
      </c>
      <c r="C25">
        <v>20000</v>
      </c>
      <c r="E25" s="14" t="s">
        <v>9</v>
      </c>
      <c r="F25">
        <f>SQRT(3)*24*$C25*($C$12+$C$13+$C$14)*$C$3*C$4/($C$15*$C$16*PI()*PI())</f>
        <v>44.106414773486073</v>
      </c>
      <c r="G25">
        <f t="shared" ref="G25:H31" si="1">SQRT(3)*24*$C25*($C$12+$C$13+$C$14)*$C$3*D$4/($C$15*$C$16*PI()*PI())</f>
        <v>62.267879680215628</v>
      </c>
      <c r="H25">
        <f t="shared" si="1"/>
        <v>80.429344586945192</v>
      </c>
      <c r="I25">
        <f t="shared" ref="I25:I31" si="2">SQRT(3)*24*$C25*($C$12+$C$13+$C$14)*$C$3*F$4/($C$15*$C$16*PI()*PI())</f>
        <v>98.59080949367474</v>
      </c>
      <c r="J25">
        <f t="shared" ref="J25:J31" si="3">SQRT(3)*24*$C25*($C$12+$C$13+$C$14)*$C$3*G$4/($C$15*$C$16*PI()*PI())</f>
        <v>116.7522744004043</v>
      </c>
    </row>
    <row r="26" spans="2:10" x14ac:dyDescent="0.25">
      <c r="B26" s="14"/>
      <c r="C26">
        <f>C25+5000</f>
        <v>25000</v>
      </c>
      <c r="E26" s="14"/>
      <c r="F26">
        <f t="shared" ref="F26:F31" si="4">SQRT(3)*24*$C26*($C$12+$C$13+$C$14)*$C$3*C$4/($C$15*$C$16*PI()*PI())</f>
        <v>55.133018466857592</v>
      </c>
      <c r="G26">
        <f t="shared" si="1"/>
        <v>77.83484960026955</v>
      </c>
      <c r="H26">
        <f t="shared" si="1"/>
        <v>100.53668073368148</v>
      </c>
      <c r="I26">
        <f t="shared" si="2"/>
        <v>123.23851186709345</v>
      </c>
      <c r="J26">
        <f t="shared" si="3"/>
        <v>145.94034300050538</v>
      </c>
    </row>
    <row r="27" spans="2:10" x14ac:dyDescent="0.25">
      <c r="B27" s="14"/>
      <c r="C27">
        <f t="shared" ref="C27:C31" si="5">C26+5000</f>
        <v>30000</v>
      </c>
      <c r="E27" s="14"/>
      <c r="F27">
        <f t="shared" si="4"/>
        <v>66.159622160229105</v>
      </c>
      <c r="G27">
        <f t="shared" si="1"/>
        <v>93.401819520323443</v>
      </c>
      <c r="H27">
        <f t="shared" si="1"/>
        <v>120.64401688041778</v>
      </c>
      <c r="I27">
        <f t="shared" si="2"/>
        <v>147.88621424051212</v>
      </c>
      <c r="J27">
        <f t="shared" si="3"/>
        <v>175.12841160060646</v>
      </c>
    </row>
    <row r="28" spans="2:10" x14ac:dyDescent="0.25">
      <c r="B28" s="14"/>
      <c r="C28">
        <f t="shared" si="5"/>
        <v>35000</v>
      </c>
      <c r="E28" s="14"/>
      <c r="F28">
        <f t="shared" si="4"/>
        <v>77.186225853600632</v>
      </c>
      <c r="G28">
        <f t="shared" si="1"/>
        <v>108.96878944037736</v>
      </c>
      <c r="H28">
        <f t="shared" si="1"/>
        <v>140.7513530271541</v>
      </c>
      <c r="I28">
        <f t="shared" si="2"/>
        <v>172.53391661393081</v>
      </c>
      <c r="J28">
        <f t="shared" si="3"/>
        <v>204.31648020070753</v>
      </c>
    </row>
    <row r="29" spans="2:10" x14ac:dyDescent="0.25">
      <c r="B29" s="14"/>
      <c r="C29">
        <f t="shared" si="5"/>
        <v>40000</v>
      </c>
      <c r="E29" s="14"/>
      <c r="F29">
        <f t="shared" si="4"/>
        <v>88.212829546972145</v>
      </c>
      <c r="G29">
        <f t="shared" si="1"/>
        <v>124.53575936043126</v>
      </c>
      <c r="H29">
        <f t="shared" si="1"/>
        <v>160.85868917389038</v>
      </c>
      <c r="I29">
        <f t="shared" si="2"/>
        <v>197.18161898734948</v>
      </c>
      <c r="J29">
        <f t="shared" si="3"/>
        <v>233.50454880080861</v>
      </c>
    </row>
    <row r="30" spans="2:10" x14ac:dyDescent="0.25">
      <c r="B30" s="14"/>
      <c r="C30">
        <f t="shared" si="5"/>
        <v>45000</v>
      </c>
      <c r="E30" s="14"/>
      <c r="F30">
        <f t="shared" si="4"/>
        <v>99.239433240343658</v>
      </c>
      <c r="G30">
        <f t="shared" si="1"/>
        <v>140.10272928048516</v>
      </c>
      <c r="H30">
        <f t="shared" si="1"/>
        <v>180.9660253206267</v>
      </c>
      <c r="I30">
        <f t="shared" si="2"/>
        <v>221.8293213607682</v>
      </c>
      <c r="J30">
        <f t="shared" si="3"/>
        <v>262.69261740090968</v>
      </c>
    </row>
    <row r="31" spans="2:10" x14ac:dyDescent="0.25">
      <c r="B31" s="14"/>
      <c r="C31">
        <f t="shared" si="5"/>
        <v>50000</v>
      </c>
      <c r="E31" s="14"/>
      <c r="F31">
        <f t="shared" si="4"/>
        <v>110.26603693371518</v>
      </c>
      <c r="G31">
        <f t="shared" si="1"/>
        <v>155.6696992005391</v>
      </c>
      <c r="H31">
        <f t="shared" si="1"/>
        <v>201.07336146736296</v>
      </c>
      <c r="I31">
        <f t="shared" si="2"/>
        <v>246.4770237341869</v>
      </c>
      <c r="J31">
        <f t="shared" si="3"/>
        <v>291.88068600101076</v>
      </c>
    </row>
    <row r="32" spans="2:10" x14ac:dyDescent="0.25">
      <c r="E32" s="14" t="s">
        <v>1</v>
      </c>
      <c r="F32">
        <f t="shared" ref="F32:F38" si="6">6/PI()*(C$6+C$7)*C$8+3/2*C$8*C$8*(C$9+C$10)</f>
        <v>112.71000000000004</v>
      </c>
      <c r="G32">
        <f t="shared" ref="G32:J38" si="7">6/PI()*(D$6+D$7)*D$8+3/2*D$8*D$8*(D$9+D$10)</f>
        <v>224.64000000000007</v>
      </c>
      <c r="H32">
        <f t="shared" si="7"/>
        <v>374.79000000000008</v>
      </c>
      <c r="I32">
        <f t="shared" si="7"/>
        <v>563.16</v>
      </c>
      <c r="J32">
        <f t="shared" si="7"/>
        <v>789.75</v>
      </c>
    </row>
    <row r="33" spans="4:10" x14ac:dyDescent="0.25">
      <c r="E33" s="14"/>
      <c r="F33">
        <f t="shared" si="6"/>
        <v>112.71000000000004</v>
      </c>
      <c r="G33">
        <f t="shared" si="7"/>
        <v>224.64000000000007</v>
      </c>
      <c r="H33">
        <f t="shared" si="7"/>
        <v>374.79000000000008</v>
      </c>
      <c r="I33">
        <f t="shared" si="7"/>
        <v>563.16</v>
      </c>
      <c r="J33">
        <f t="shared" si="7"/>
        <v>789.75</v>
      </c>
    </row>
    <row r="34" spans="4:10" x14ac:dyDescent="0.25">
      <c r="E34" s="14"/>
      <c r="F34">
        <f t="shared" si="6"/>
        <v>112.71000000000004</v>
      </c>
      <c r="G34">
        <f t="shared" si="7"/>
        <v>224.64000000000007</v>
      </c>
      <c r="H34">
        <f t="shared" si="7"/>
        <v>374.79000000000008</v>
      </c>
      <c r="I34">
        <f t="shared" si="7"/>
        <v>563.16</v>
      </c>
      <c r="J34">
        <f t="shared" si="7"/>
        <v>789.75</v>
      </c>
    </row>
    <row r="35" spans="4:10" x14ac:dyDescent="0.25">
      <c r="E35" s="14"/>
      <c r="F35">
        <f t="shared" si="6"/>
        <v>112.71000000000004</v>
      </c>
      <c r="G35">
        <f t="shared" si="7"/>
        <v>224.64000000000007</v>
      </c>
      <c r="H35">
        <f t="shared" si="7"/>
        <v>374.79000000000008</v>
      </c>
      <c r="I35">
        <f t="shared" si="7"/>
        <v>563.16</v>
      </c>
      <c r="J35">
        <f t="shared" si="7"/>
        <v>789.75</v>
      </c>
    </row>
    <row r="36" spans="4:10" x14ac:dyDescent="0.25">
      <c r="E36" s="14"/>
      <c r="F36">
        <f t="shared" si="6"/>
        <v>112.71000000000004</v>
      </c>
      <c r="G36">
        <f t="shared" si="7"/>
        <v>224.64000000000007</v>
      </c>
      <c r="H36">
        <f t="shared" si="7"/>
        <v>374.79000000000008</v>
      </c>
      <c r="I36">
        <f t="shared" si="7"/>
        <v>563.16</v>
      </c>
      <c r="J36">
        <f t="shared" si="7"/>
        <v>789.75</v>
      </c>
    </row>
    <row r="37" spans="4:10" x14ac:dyDescent="0.25">
      <c r="E37" s="14"/>
      <c r="F37">
        <f t="shared" si="6"/>
        <v>112.71000000000004</v>
      </c>
      <c r="G37">
        <f t="shared" si="7"/>
        <v>224.64000000000007</v>
      </c>
      <c r="H37">
        <f t="shared" si="7"/>
        <v>374.79000000000008</v>
      </c>
      <c r="I37">
        <f t="shared" si="7"/>
        <v>563.16</v>
      </c>
      <c r="J37">
        <f t="shared" si="7"/>
        <v>789.75</v>
      </c>
    </row>
    <row r="38" spans="4:10" x14ac:dyDescent="0.25">
      <c r="E38" s="14"/>
      <c r="F38">
        <f t="shared" si="6"/>
        <v>112.71000000000004</v>
      </c>
      <c r="G38">
        <f t="shared" si="7"/>
        <v>224.64000000000007</v>
      </c>
      <c r="H38">
        <f t="shared" si="7"/>
        <v>374.79000000000008</v>
      </c>
      <c r="I38">
        <f t="shared" si="7"/>
        <v>563.16</v>
      </c>
      <c r="J38">
        <f t="shared" si="7"/>
        <v>789.75</v>
      </c>
    </row>
    <row r="39" spans="4:10" x14ac:dyDescent="0.25">
      <c r="D39" t="s">
        <v>38</v>
      </c>
      <c r="E39" s="14" t="s">
        <v>8</v>
      </c>
      <c r="F39">
        <f t="shared" ref="F39:F45" si="8">F25+F32</f>
        <v>156.81641477348612</v>
      </c>
      <c r="G39">
        <f t="shared" ref="G39:J39" si="9">G25+G32</f>
        <v>286.90787968021573</v>
      </c>
      <c r="H39">
        <f t="shared" si="9"/>
        <v>455.21934458694528</v>
      </c>
      <c r="I39">
        <f t="shared" si="9"/>
        <v>661.75080949367475</v>
      </c>
      <c r="J39">
        <f t="shared" si="9"/>
        <v>906.5022744004043</v>
      </c>
    </row>
    <row r="40" spans="4:10" x14ac:dyDescent="0.25">
      <c r="D40" t="s">
        <v>39</v>
      </c>
      <c r="E40" s="14"/>
      <c r="F40">
        <f t="shared" si="8"/>
        <v>167.84301846685764</v>
      </c>
      <c r="G40">
        <f t="shared" ref="G40:J40" si="10">G26+G33</f>
        <v>302.47484960026964</v>
      </c>
      <c r="H40">
        <f t="shared" si="10"/>
        <v>475.32668073368154</v>
      </c>
      <c r="I40">
        <f t="shared" si="10"/>
        <v>686.39851186709348</v>
      </c>
      <c r="J40">
        <f t="shared" si="10"/>
        <v>935.69034300050544</v>
      </c>
    </row>
    <row r="41" spans="4:10" x14ac:dyDescent="0.25">
      <c r="D41" t="s">
        <v>40</v>
      </c>
      <c r="E41" s="14"/>
      <c r="F41">
        <f t="shared" si="8"/>
        <v>178.86962216022914</v>
      </c>
      <c r="G41">
        <f t="shared" ref="G41:J41" si="11">G27+G34</f>
        <v>318.04181952032354</v>
      </c>
      <c r="H41">
        <f t="shared" si="11"/>
        <v>495.43401688041786</v>
      </c>
      <c r="I41">
        <f t="shared" si="11"/>
        <v>711.04621424051209</v>
      </c>
      <c r="J41">
        <f t="shared" si="11"/>
        <v>964.87841160060646</v>
      </c>
    </row>
    <row r="42" spans="4:10" x14ac:dyDescent="0.25">
      <c r="D42" t="s">
        <v>41</v>
      </c>
      <c r="E42" s="14"/>
      <c r="F42">
        <f t="shared" si="8"/>
        <v>189.89622585360067</v>
      </c>
      <c r="G42">
        <f t="shared" ref="G42:J42" si="12">G28+G35</f>
        <v>333.60878944037745</v>
      </c>
      <c r="H42">
        <f t="shared" si="12"/>
        <v>515.54135302715417</v>
      </c>
      <c r="I42">
        <f t="shared" si="12"/>
        <v>735.69391661393081</v>
      </c>
      <c r="J42">
        <f t="shared" si="12"/>
        <v>994.06648020070747</v>
      </c>
    </row>
    <row r="43" spans="4:10" x14ac:dyDescent="0.25">
      <c r="D43" t="s">
        <v>42</v>
      </c>
      <c r="E43" s="14"/>
      <c r="F43">
        <f t="shared" si="8"/>
        <v>200.9228295469722</v>
      </c>
      <c r="G43">
        <f t="shared" ref="G43:J43" si="13">G29+G36</f>
        <v>349.17575936043136</v>
      </c>
      <c r="H43">
        <f t="shared" si="13"/>
        <v>535.64868917389049</v>
      </c>
      <c r="I43">
        <f t="shared" si="13"/>
        <v>760.34161898734942</v>
      </c>
      <c r="J43">
        <f t="shared" si="13"/>
        <v>1023.2545488008086</v>
      </c>
    </row>
    <row r="44" spans="4:10" x14ac:dyDescent="0.25">
      <c r="D44" t="s">
        <v>43</v>
      </c>
      <c r="E44" s="14"/>
      <c r="F44">
        <f t="shared" si="8"/>
        <v>211.94943324034369</v>
      </c>
      <c r="G44">
        <f t="shared" ref="G44:J44" si="14">G30+G37</f>
        <v>364.74272928048526</v>
      </c>
      <c r="H44">
        <f t="shared" si="14"/>
        <v>555.7560253206268</v>
      </c>
      <c r="I44">
        <f t="shared" si="14"/>
        <v>784.98932136076814</v>
      </c>
      <c r="J44">
        <f t="shared" si="14"/>
        <v>1052.4426174009097</v>
      </c>
    </row>
    <row r="45" spans="4:10" x14ac:dyDescent="0.25">
      <c r="D45" t="s">
        <v>44</v>
      </c>
      <c r="E45" s="14"/>
      <c r="F45">
        <f t="shared" si="8"/>
        <v>222.97603693371522</v>
      </c>
      <c r="G45">
        <f t="shared" ref="G45:J45" si="15">G31+G38</f>
        <v>380.30969920053917</v>
      </c>
      <c r="H45">
        <f t="shared" si="15"/>
        <v>575.86336146736301</v>
      </c>
      <c r="I45">
        <f t="shared" si="15"/>
        <v>809.63702373418687</v>
      </c>
      <c r="J45">
        <f t="shared" si="15"/>
        <v>1081.6306860010109</v>
      </c>
    </row>
    <row r="48" spans="4:10" x14ac:dyDescent="0.25">
      <c r="E48" s="14" t="s">
        <v>48</v>
      </c>
      <c r="F48">
        <f>F39/18</f>
        <v>8.7120230429714507</v>
      </c>
      <c r="G48">
        <f t="shared" ref="G48:J48" si="16">G39/18</f>
        <v>15.939326648900874</v>
      </c>
      <c r="H48">
        <f t="shared" si="16"/>
        <v>25.289963588163626</v>
      </c>
      <c r="I48">
        <f t="shared" si="16"/>
        <v>36.763933860759707</v>
      </c>
      <c r="J48">
        <f t="shared" si="16"/>
        <v>50.361237466689126</v>
      </c>
    </row>
    <row r="49" spans="1:21" x14ac:dyDescent="0.25">
      <c r="E49" s="14"/>
      <c r="F49">
        <f t="shared" ref="F49:J54" si="17">F40/18</f>
        <v>9.3246121370476462</v>
      </c>
      <c r="G49">
        <f t="shared" si="17"/>
        <v>16.804158311126091</v>
      </c>
      <c r="H49">
        <f t="shared" si="17"/>
        <v>26.407037818537862</v>
      </c>
      <c r="I49">
        <f t="shared" si="17"/>
        <v>38.133250659282972</v>
      </c>
      <c r="J49">
        <f t="shared" si="17"/>
        <v>51.982796833361412</v>
      </c>
    </row>
    <row r="50" spans="1:21" x14ac:dyDescent="0.25">
      <c r="E50" s="14"/>
      <c r="F50">
        <f t="shared" si="17"/>
        <v>9.9372012311238418</v>
      </c>
      <c r="G50">
        <f t="shared" si="17"/>
        <v>17.668989973351309</v>
      </c>
      <c r="H50">
        <f t="shared" si="17"/>
        <v>27.524112048912102</v>
      </c>
      <c r="I50">
        <f t="shared" si="17"/>
        <v>39.502567457806229</v>
      </c>
      <c r="J50">
        <f t="shared" si="17"/>
        <v>53.604356200033692</v>
      </c>
    </row>
    <row r="51" spans="1:21" x14ac:dyDescent="0.25">
      <c r="E51" s="14"/>
      <c r="F51">
        <f t="shared" si="17"/>
        <v>10.549790325200037</v>
      </c>
      <c r="G51">
        <f t="shared" si="17"/>
        <v>18.533821635576526</v>
      </c>
      <c r="H51">
        <f t="shared" si="17"/>
        <v>28.641186279286345</v>
      </c>
      <c r="I51">
        <f t="shared" si="17"/>
        <v>40.871884256329487</v>
      </c>
      <c r="J51">
        <f t="shared" si="17"/>
        <v>55.225915566705972</v>
      </c>
    </row>
    <row r="52" spans="1:21" x14ac:dyDescent="0.25">
      <c r="B52" t="s">
        <v>49</v>
      </c>
      <c r="C52">
        <v>135</v>
      </c>
      <c r="E52" s="14"/>
      <c r="F52">
        <f t="shared" si="17"/>
        <v>11.162379419276233</v>
      </c>
      <c r="G52">
        <f t="shared" si="17"/>
        <v>19.398653297801744</v>
      </c>
      <c r="H52">
        <f t="shared" si="17"/>
        <v>29.758260509660584</v>
      </c>
      <c r="I52">
        <f t="shared" si="17"/>
        <v>42.241201054852745</v>
      </c>
      <c r="J52">
        <f t="shared" si="17"/>
        <v>56.847474933378258</v>
      </c>
    </row>
    <row r="53" spans="1:21" x14ac:dyDescent="0.25">
      <c r="B53" t="s">
        <v>50</v>
      </c>
      <c r="C53">
        <v>0.25</v>
      </c>
      <c r="E53" s="14"/>
      <c r="F53">
        <f t="shared" si="17"/>
        <v>11.774968513352427</v>
      </c>
      <c r="G53">
        <f t="shared" si="17"/>
        <v>20.263484960026958</v>
      </c>
      <c r="H53">
        <f t="shared" si="17"/>
        <v>30.875334740034823</v>
      </c>
      <c r="I53">
        <f t="shared" si="17"/>
        <v>43.61051785337601</v>
      </c>
      <c r="J53">
        <f t="shared" si="17"/>
        <v>58.469034300050538</v>
      </c>
      <c r="P53" s="3"/>
    </row>
    <row r="54" spans="1:21" x14ac:dyDescent="0.25">
      <c r="E54" s="14"/>
      <c r="F54">
        <f t="shared" si="17"/>
        <v>12.387557607428624</v>
      </c>
      <c r="G54">
        <f t="shared" si="17"/>
        <v>21.128316622252175</v>
      </c>
      <c r="H54">
        <f t="shared" si="17"/>
        <v>31.992408970409056</v>
      </c>
      <c r="I54">
        <f t="shared" si="17"/>
        <v>44.979834651899267</v>
      </c>
      <c r="J54">
        <f t="shared" si="17"/>
        <v>60.090593666722825</v>
      </c>
      <c r="P54" s="3"/>
    </row>
    <row r="55" spans="1:21" x14ac:dyDescent="0.25">
      <c r="C55" t="s">
        <v>55</v>
      </c>
      <c r="D55" t="s">
        <v>56</v>
      </c>
      <c r="O55" s="10" t="s">
        <v>10</v>
      </c>
      <c r="P55" s="10"/>
      <c r="Q55" s="10" t="s">
        <v>33</v>
      </c>
      <c r="R55" s="10" t="s">
        <v>34</v>
      </c>
      <c r="S55" s="10" t="s">
        <v>35</v>
      </c>
      <c r="T55" s="10" t="s">
        <v>36</v>
      </c>
      <c r="U55" s="10" t="s">
        <v>37</v>
      </c>
    </row>
    <row r="56" spans="1:21" ht="15" customHeight="1" x14ac:dyDescent="0.25">
      <c r="A56">
        <v>20</v>
      </c>
      <c r="B56" s="8">
        <f>1/(1000*A56)</f>
        <v>5.0000000000000002E-5</v>
      </c>
      <c r="C56">
        <v>6.4999999999999997E-3</v>
      </c>
      <c r="D56">
        <v>4.2000000000000003E-2</v>
      </c>
      <c r="E56" s="15" t="s">
        <v>53</v>
      </c>
      <c r="F56" s="7">
        <f t="shared" ref="F56:J62" si="18">$C$52-(F48*$C$53)</f>
        <v>132.82199423925715</v>
      </c>
      <c r="G56" s="7">
        <f t="shared" si="18"/>
        <v>131.01516833777478</v>
      </c>
      <c r="H56" s="7">
        <f t="shared" si="18"/>
        <v>128.67750910295911</v>
      </c>
      <c r="I56" s="7">
        <f t="shared" si="18"/>
        <v>125.80901653481007</v>
      </c>
      <c r="J56" s="7">
        <f t="shared" si="18"/>
        <v>122.40969063332771</v>
      </c>
      <c r="O56" s="10" t="s">
        <v>38</v>
      </c>
      <c r="P56" s="12" t="s">
        <v>51</v>
      </c>
      <c r="Q56" s="6">
        <f>F39</f>
        <v>156.81641477348612</v>
      </c>
      <c r="R56" s="6">
        <f t="shared" ref="R56:U62" si="19">G39</f>
        <v>286.90787968021573</v>
      </c>
      <c r="S56" s="6">
        <f t="shared" si="19"/>
        <v>455.21934458694528</v>
      </c>
      <c r="T56" s="6">
        <f t="shared" si="19"/>
        <v>661.75080949367475</v>
      </c>
      <c r="U56" s="6">
        <f t="shared" si="19"/>
        <v>906.5022744004043</v>
      </c>
    </row>
    <row r="57" spans="1:21" x14ac:dyDescent="0.25">
      <c r="A57">
        <v>25</v>
      </c>
      <c r="B57" s="8">
        <f t="shared" ref="B57:B62" si="20">1/(1000*A57)</f>
        <v>4.0000000000000003E-5</v>
      </c>
      <c r="C57">
        <v>5.7999999999999996E-3</v>
      </c>
      <c r="E57" s="15"/>
      <c r="F57" s="7">
        <f t="shared" si="18"/>
        <v>132.66884696573808</v>
      </c>
      <c r="G57" s="7">
        <f t="shared" si="18"/>
        <v>130.79896042221847</v>
      </c>
      <c r="H57" s="7">
        <f t="shared" si="18"/>
        <v>128.39824054536552</v>
      </c>
      <c r="I57" s="7">
        <f t="shared" si="18"/>
        <v>125.46668733517926</v>
      </c>
      <c r="J57" s="7">
        <f t="shared" si="18"/>
        <v>122.00430079165965</v>
      </c>
      <c r="O57" s="10" t="s">
        <v>39</v>
      </c>
      <c r="P57" s="12"/>
      <c r="Q57" s="6">
        <f t="shared" ref="Q57:Q62" si="21">F40</f>
        <v>167.84301846685764</v>
      </c>
      <c r="R57" s="6">
        <f t="shared" si="19"/>
        <v>302.47484960026964</v>
      </c>
      <c r="S57" s="6">
        <f t="shared" si="19"/>
        <v>475.32668073368154</v>
      </c>
      <c r="T57" s="6">
        <f t="shared" si="19"/>
        <v>686.39851186709348</v>
      </c>
      <c r="U57" s="6">
        <f t="shared" si="19"/>
        <v>935.69034300050544</v>
      </c>
    </row>
    <row r="58" spans="1:21" x14ac:dyDescent="0.25">
      <c r="A58">
        <v>30</v>
      </c>
      <c r="B58" s="8">
        <f t="shared" si="20"/>
        <v>3.3333333333333335E-5</v>
      </c>
      <c r="C58">
        <v>5.0000000000000001E-3</v>
      </c>
      <c r="E58" s="15"/>
      <c r="F58" s="7">
        <f t="shared" si="18"/>
        <v>132.51569969221904</v>
      </c>
      <c r="G58" s="7">
        <f t="shared" si="18"/>
        <v>130.58275250666216</v>
      </c>
      <c r="H58" s="7">
        <f t="shared" si="18"/>
        <v>128.11897198777197</v>
      </c>
      <c r="I58" s="7">
        <f t="shared" si="18"/>
        <v>125.12435813554845</v>
      </c>
      <c r="J58" s="7">
        <f t="shared" si="18"/>
        <v>121.59891094999158</v>
      </c>
      <c r="O58" s="10" t="s">
        <v>40</v>
      </c>
      <c r="P58" s="12"/>
      <c r="Q58" s="6">
        <f t="shared" si="21"/>
        <v>178.86962216022914</v>
      </c>
      <c r="R58" s="6">
        <f t="shared" si="19"/>
        <v>318.04181952032354</v>
      </c>
      <c r="S58" s="6">
        <f t="shared" si="19"/>
        <v>495.43401688041786</v>
      </c>
      <c r="T58" s="6">
        <f t="shared" si="19"/>
        <v>711.04621424051209</v>
      </c>
      <c r="U58" s="6">
        <f t="shared" si="19"/>
        <v>964.87841160060646</v>
      </c>
    </row>
    <row r="59" spans="1:21" x14ac:dyDescent="0.25">
      <c r="A59">
        <v>35</v>
      </c>
      <c r="B59" s="8">
        <f t="shared" si="20"/>
        <v>2.8571428571428571E-5</v>
      </c>
      <c r="C59">
        <v>4.4999999999999997E-3</v>
      </c>
      <c r="E59" s="15"/>
      <c r="F59" s="7">
        <f t="shared" si="18"/>
        <v>132.36255241869998</v>
      </c>
      <c r="G59" s="7">
        <f t="shared" si="18"/>
        <v>130.36654459110588</v>
      </c>
      <c r="H59" s="7">
        <f t="shared" si="18"/>
        <v>127.83970343017842</v>
      </c>
      <c r="I59" s="7">
        <f t="shared" si="18"/>
        <v>124.78202893591762</v>
      </c>
      <c r="J59" s="7">
        <f t="shared" si="18"/>
        <v>121.19352110832351</v>
      </c>
      <c r="O59" s="10" t="s">
        <v>41</v>
      </c>
      <c r="P59" s="12"/>
      <c r="Q59" s="6">
        <f t="shared" si="21"/>
        <v>189.89622585360067</v>
      </c>
      <c r="R59" s="6">
        <f t="shared" si="19"/>
        <v>333.60878944037745</v>
      </c>
      <c r="S59" s="6">
        <f t="shared" si="19"/>
        <v>515.54135302715417</v>
      </c>
      <c r="T59" s="6">
        <f t="shared" si="19"/>
        <v>735.69391661393081</v>
      </c>
      <c r="U59" s="6">
        <f t="shared" si="19"/>
        <v>994.06648020070747</v>
      </c>
    </row>
    <row r="60" spans="1:21" x14ac:dyDescent="0.25">
      <c r="A60">
        <v>40</v>
      </c>
      <c r="B60" s="8">
        <f t="shared" si="20"/>
        <v>2.5000000000000001E-5</v>
      </c>
      <c r="C60">
        <v>4.0000000000000001E-3</v>
      </c>
      <c r="E60" s="15"/>
      <c r="F60" s="7">
        <f t="shared" si="18"/>
        <v>132.20940514518094</v>
      </c>
      <c r="G60" s="7">
        <f t="shared" si="18"/>
        <v>130.15033667554957</v>
      </c>
      <c r="H60" s="7">
        <f t="shared" si="18"/>
        <v>127.56043487258485</v>
      </c>
      <c r="I60" s="7">
        <f t="shared" si="18"/>
        <v>124.43969973628681</v>
      </c>
      <c r="J60" s="7">
        <f t="shared" si="18"/>
        <v>120.78813126665544</v>
      </c>
      <c r="O60" s="10" t="s">
        <v>42</v>
      </c>
      <c r="P60" s="12"/>
      <c r="Q60" s="6">
        <f t="shared" si="21"/>
        <v>200.9228295469722</v>
      </c>
      <c r="R60" s="6">
        <f t="shared" si="19"/>
        <v>349.17575936043136</v>
      </c>
      <c r="S60" s="6">
        <f t="shared" si="19"/>
        <v>535.64868917389049</v>
      </c>
      <c r="T60" s="6">
        <f t="shared" si="19"/>
        <v>760.34161898734942</v>
      </c>
      <c r="U60" s="6">
        <f t="shared" si="19"/>
        <v>1023.2545488008086</v>
      </c>
    </row>
    <row r="61" spans="1:21" x14ac:dyDescent="0.25">
      <c r="A61">
        <v>45</v>
      </c>
      <c r="B61" s="8">
        <f t="shared" si="20"/>
        <v>2.2222222222222223E-5</v>
      </c>
      <c r="C61">
        <v>3.8999999999999998E-3</v>
      </c>
      <c r="E61" s="15"/>
      <c r="F61" s="7">
        <f t="shared" si="18"/>
        <v>132.0562578716619</v>
      </c>
      <c r="G61" s="7">
        <f t="shared" si="18"/>
        <v>129.93412875999326</v>
      </c>
      <c r="H61" s="7">
        <f t="shared" si="18"/>
        <v>127.2811663149913</v>
      </c>
      <c r="I61" s="7">
        <f t="shared" si="18"/>
        <v>124.097370536656</v>
      </c>
      <c r="J61" s="7">
        <f t="shared" si="18"/>
        <v>120.38274142498736</v>
      </c>
      <c r="O61" s="10" t="s">
        <v>43</v>
      </c>
      <c r="P61" s="12"/>
      <c r="Q61" s="6">
        <f t="shared" si="21"/>
        <v>211.94943324034369</v>
      </c>
      <c r="R61" s="6">
        <f t="shared" si="19"/>
        <v>364.74272928048526</v>
      </c>
      <c r="S61" s="6">
        <f t="shared" si="19"/>
        <v>555.7560253206268</v>
      </c>
      <c r="T61" s="6">
        <f t="shared" si="19"/>
        <v>784.98932136076814</v>
      </c>
      <c r="U61" s="6">
        <f t="shared" si="19"/>
        <v>1052.4426174009097</v>
      </c>
    </row>
    <row r="62" spans="1:21" x14ac:dyDescent="0.25">
      <c r="A62">
        <v>50</v>
      </c>
      <c r="B62" s="8">
        <f t="shared" si="20"/>
        <v>2.0000000000000002E-5</v>
      </c>
      <c r="C62">
        <v>3.7000000000000002E-3</v>
      </c>
      <c r="E62" s="15"/>
      <c r="F62" s="7">
        <f t="shared" si="18"/>
        <v>131.90311059814283</v>
      </c>
      <c r="G62" s="7">
        <f t="shared" si="18"/>
        <v>129.71792084443695</v>
      </c>
      <c r="H62" s="7">
        <f t="shared" si="18"/>
        <v>127.00189775739774</v>
      </c>
      <c r="I62" s="7">
        <f t="shared" si="18"/>
        <v>123.75504133702518</v>
      </c>
      <c r="J62" s="7">
        <f t="shared" si="18"/>
        <v>119.97735158331929</v>
      </c>
      <c r="O62" s="10" t="s">
        <v>44</v>
      </c>
      <c r="P62" s="12"/>
      <c r="Q62" s="6">
        <f t="shared" si="21"/>
        <v>222.97603693371522</v>
      </c>
      <c r="R62" s="6">
        <f t="shared" si="19"/>
        <v>380.30969920053917</v>
      </c>
      <c r="S62" s="6">
        <f t="shared" si="19"/>
        <v>575.86336146736301</v>
      </c>
      <c r="T62" s="6">
        <f t="shared" si="19"/>
        <v>809.63702373418687</v>
      </c>
      <c r="U62" s="6">
        <f t="shared" si="19"/>
        <v>1081.6306860010109</v>
      </c>
    </row>
    <row r="63" spans="1:21" x14ac:dyDescent="0.25">
      <c r="P63" s="9"/>
    </row>
    <row r="64" spans="1:21" x14ac:dyDescent="0.25">
      <c r="E64" s="16" t="s">
        <v>54</v>
      </c>
      <c r="F64" s="16"/>
      <c r="G64" s="16"/>
      <c r="H64" s="16"/>
      <c r="I64" s="16"/>
      <c r="J64" s="16"/>
      <c r="O64" s="10" t="s">
        <v>10</v>
      </c>
      <c r="P64" s="10"/>
      <c r="Q64" s="10" t="s">
        <v>33</v>
      </c>
      <c r="R64" s="10" t="s">
        <v>34</v>
      </c>
      <c r="S64" s="10" t="s">
        <v>35</v>
      </c>
      <c r="T64" s="10" t="s">
        <v>36</v>
      </c>
      <c r="U64" s="10" t="s">
        <v>37</v>
      </c>
    </row>
    <row r="65" spans="5:21" ht="15" customHeight="1" x14ac:dyDescent="0.25">
      <c r="E65" s="4" t="s">
        <v>10</v>
      </c>
      <c r="F65" s="4">
        <v>17</v>
      </c>
      <c r="G65" s="4">
        <v>24</v>
      </c>
      <c r="H65" s="4">
        <v>31</v>
      </c>
      <c r="I65" s="4">
        <v>38</v>
      </c>
      <c r="J65" s="4">
        <v>45</v>
      </c>
      <c r="O65" s="10" t="s">
        <v>38</v>
      </c>
      <c r="P65" s="12" t="s">
        <v>52</v>
      </c>
      <c r="Q65" s="6">
        <f>F48</f>
        <v>8.7120230429714507</v>
      </c>
      <c r="R65" s="6">
        <f t="shared" ref="R65:U71" si="22">G48</f>
        <v>15.939326648900874</v>
      </c>
      <c r="S65" s="6">
        <f t="shared" si="22"/>
        <v>25.289963588163626</v>
      </c>
      <c r="T65" s="6">
        <f t="shared" si="22"/>
        <v>36.763933860759707</v>
      </c>
      <c r="U65" s="6">
        <f t="shared" si="22"/>
        <v>50.361237466689126</v>
      </c>
    </row>
    <row r="66" spans="5:21" x14ac:dyDescent="0.25">
      <c r="E66" s="4" t="s">
        <v>38</v>
      </c>
      <c r="F66" s="5">
        <f>1-F39/(3*380/SQRT(3)*F$65*0.9)</f>
        <v>0.98442758870264457</v>
      </c>
      <c r="G66" s="5">
        <f t="shared" ref="G66:J66" si="23">1-G39/(3*380/SQRT(3)*G$65*0.9)</f>
        <v>0.97981891550121869</v>
      </c>
      <c r="H66" s="5">
        <f t="shared" si="23"/>
        <v>0.9752102422997927</v>
      </c>
      <c r="I66" s="5">
        <f t="shared" si="23"/>
        <v>0.9706015690983667</v>
      </c>
      <c r="J66" s="5">
        <f t="shared" si="23"/>
        <v>0.96599289589694082</v>
      </c>
      <c r="O66" s="10" t="s">
        <v>39</v>
      </c>
      <c r="P66" s="12"/>
      <c r="Q66" s="6">
        <f t="shared" ref="Q66:Q71" si="24">F49</f>
        <v>9.3246121370476462</v>
      </c>
      <c r="R66" s="6">
        <f t="shared" si="22"/>
        <v>16.804158311126091</v>
      </c>
      <c r="S66" s="6">
        <f t="shared" si="22"/>
        <v>26.407037818537862</v>
      </c>
      <c r="T66" s="6">
        <f t="shared" si="22"/>
        <v>38.133250659282972</v>
      </c>
      <c r="U66" s="6">
        <f t="shared" si="22"/>
        <v>51.982796833361412</v>
      </c>
    </row>
    <row r="67" spans="5:21" x14ac:dyDescent="0.25">
      <c r="E67" s="4" t="s">
        <v>39</v>
      </c>
      <c r="F67" s="5">
        <f t="shared" ref="F67:J72" si="25">1-F40/(3*380/SQRT(3)*F$65*0.9)</f>
        <v>0.98333260889345719</v>
      </c>
      <c r="G67" s="5">
        <f t="shared" si="25"/>
        <v>0.97872393569203131</v>
      </c>
      <c r="H67" s="5">
        <f t="shared" si="25"/>
        <v>0.97411526249060532</v>
      </c>
      <c r="I67" s="5">
        <f t="shared" si="25"/>
        <v>0.96950658928917932</v>
      </c>
      <c r="J67" s="5">
        <f t="shared" si="25"/>
        <v>0.96489791608775344</v>
      </c>
      <c r="O67" s="10" t="s">
        <v>40</v>
      </c>
      <c r="P67" s="12"/>
      <c r="Q67" s="6">
        <f t="shared" si="24"/>
        <v>9.9372012311238418</v>
      </c>
      <c r="R67" s="6">
        <f t="shared" si="22"/>
        <v>17.668989973351309</v>
      </c>
      <c r="S67" s="6">
        <f t="shared" si="22"/>
        <v>27.524112048912102</v>
      </c>
      <c r="T67" s="6">
        <f t="shared" si="22"/>
        <v>39.502567457806229</v>
      </c>
      <c r="U67" s="6">
        <f t="shared" si="22"/>
        <v>53.604356200033692</v>
      </c>
    </row>
    <row r="68" spans="5:21" x14ac:dyDescent="0.25">
      <c r="E68" s="4" t="s">
        <v>40</v>
      </c>
      <c r="F68" s="5">
        <f t="shared" si="25"/>
        <v>0.98223762908426993</v>
      </c>
      <c r="G68" s="5">
        <f t="shared" si="25"/>
        <v>0.97762895588284393</v>
      </c>
      <c r="H68" s="5">
        <f t="shared" si="25"/>
        <v>0.97302028268141794</v>
      </c>
      <c r="I68" s="5">
        <f t="shared" si="25"/>
        <v>0.96841160947999194</v>
      </c>
      <c r="J68" s="5">
        <f t="shared" si="25"/>
        <v>0.96380293627856606</v>
      </c>
      <c r="O68" s="10" t="s">
        <v>41</v>
      </c>
      <c r="P68" s="12"/>
      <c r="Q68" s="6">
        <f t="shared" si="24"/>
        <v>10.549790325200037</v>
      </c>
      <c r="R68" s="6">
        <f t="shared" si="22"/>
        <v>18.533821635576526</v>
      </c>
      <c r="S68" s="6">
        <f t="shared" si="22"/>
        <v>28.641186279286345</v>
      </c>
      <c r="T68" s="6">
        <f t="shared" si="22"/>
        <v>40.871884256329487</v>
      </c>
      <c r="U68" s="6">
        <f t="shared" si="22"/>
        <v>55.225915566705972</v>
      </c>
    </row>
    <row r="69" spans="5:21" x14ac:dyDescent="0.25">
      <c r="E69" s="4" t="s">
        <v>41</v>
      </c>
      <c r="F69" s="5">
        <f t="shared" si="25"/>
        <v>0.98114264927508255</v>
      </c>
      <c r="G69" s="5">
        <f t="shared" si="25"/>
        <v>0.97653397607365655</v>
      </c>
      <c r="H69" s="5">
        <f t="shared" si="25"/>
        <v>0.97192530287223056</v>
      </c>
      <c r="I69" s="5">
        <f t="shared" si="25"/>
        <v>0.96731662967080467</v>
      </c>
      <c r="J69" s="5">
        <f t="shared" si="25"/>
        <v>0.96270795646937868</v>
      </c>
      <c r="O69" s="10" t="s">
        <v>42</v>
      </c>
      <c r="P69" s="12"/>
      <c r="Q69" s="6">
        <f t="shared" si="24"/>
        <v>11.162379419276233</v>
      </c>
      <c r="R69" s="6">
        <f t="shared" si="22"/>
        <v>19.398653297801744</v>
      </c>
      <c r="S69" s="6">
        <f t="shared" si="22"/>
        <v>29.758260509660584</v>
      </c>
      <c r="T69" s="6">
        <f t="shared" si="22"/>
        <v>42.241201054852745</v>
      </c>
      <c r="U69" s="6">
        <f t="shared" si="22"/>
        <v>56.847474933378258</v>
      </c>
    </row>
    <row r="70" spans="5:21" x14ac:dyDescent="0.25">
      <c r="E70" s="4" t="s">
        <v>42</v>
      </c>
      <c r="F70" s="5">
        <f t="shared" si="25"/>
        <v>0.98004766946589517</v>
      </c>
      <c r="G70" s="5">
        <f t="shared" si="25"/>
        <v>0.97543899626446917</v>
      </c>
      <c r="H70" s="5">
        <f t="shared" si="25"/>
        <v>0.97083032306304318</v>
      </c>
      <c r="I70" s="5">
        <f t="shared" si="25"/>
        <v>0.96622164986161729</v>
      </c>
      <c r="J70" s="5">
        <f t="shared" si="25"/>
        <v>0.9616129766601913</v>
      </c>
      <c r="O70" s="10" t="s">
        <v>43</v>
      </c>
      <c r="P70" s="12"/>
      <c r="Q70" s="6">
        <f t="shared" si="24"/>
        <v>11.774968513352427</v>
      </c>
      <c r="R70" s="6">
        <f t="shared" si="22"/>
        <v>20.263484960026958</v>
      </c>
      <c r="S70" s="6">
        <f t="shared" si="22"/>
        <v>30.875334740034823</v>
      </c>
      <c r="T70" s="6">
        <f t="shared" si="22"/>
        <v>43.61051785337601</v>
      </c>
      <c r="U70" s="6">
        <f t="shared" si="22"/>
        <v>58.469034300050538</v>
      </c>
    </row>
    <row r="71" spans="5:21" x14ac:dyDescent="0.25">
      <c r="E71" s="4" t="s">
        <v>43</v>
      </c>
      <c r="F71" s="5">
        <f t="shared" si="25"/>
        <v>0.97895268965670779</v>
      </c>
      <c r="G71" s="5">
        <f t="shared" si="25"/>
        <v>0.97434401645528179</v>
      </c>
      <c r="H71" s="5">
        <f t="shared" si="25"/>
        <v>0.9697353432538558</v>
      </c>
      <c r="I71" s="5">
        <f t="shared" si="25"/>
        <v>0.96512667005242991</v>
      </c>
      <c r="J71" s="5">
        <f t="shared" si="25"/>
        <v>0.96051799685100392</v>
      </c>
      <c r="O71" s="10" t="s">
        <v>44</v>
      </c>
      <c r="P71" s="12"/>
      <c r="Q71" s="6">
        <f t="shared" si="24"/>
        <v>12.387557607428624</v>
      </c>
      <c r="R71" s="6">
        <f t="shared" si="22"/>
        <v>21.128316622252175</v>
      </c>
      <c r="S71" s="6">
        <f t="shared" si="22"/>
        <v>31.992408970409056</v>
      </c>
      <c r="T71" s="6">
        <f t="shared" si="22"/>
        <v>44.979834651899267</v>
      </c>
      <c r="U71" s="6">
        <f t="shared" si="22"/>
        <v>60.090593666722825</v>
      </c>
    </row>
    <row r="72" spans="5:21" x14ac:dyDescent="0.25">
      <c r="E72" s="4" t="s">
        <v>44</v>
      </c>
      <c r="F72" s="5">
        <f>1-F45/(3*380/SQRT(3)*F$65*0.9)</f>
        <v>0.97785770984752041</v>
      </c>
      <c r="G72" s="5">
        <f t="shared" si="25"/>
        <v>0.97324903664609441</v>
      </c>
      <c r="H72" s="5">
        <f t="shared" si="25"/>
        <v>0.96864036344466853</v>
      </c>
      <c r="I72" s="5">
        <f t="shared" si="25"/>
        <v>0.96403169024324253</v>
      </c>
      <c r="J72" s="5">
        <f t="shared" si="25"/>
        <v>0.95942301704181654</v>
      </c>
    </row>
    <row r="73" spans="5:21" x14ac:dyDescent="0.25">
      <c r="N73" s="10" t="s">
        <v>10</v>
      </c>
      <c r="O73" s="5"/>
      <c r="P73" s="10" t="s">
        <v>33</v>
      </c>
      <c r="Q73" s="10" t="s">
        <v>34</v>
      </c>
      <c r="R73" s="10" t="s">
        <v>35</v>
      </c>
      <c r="S73" s="10" t="s">
        <v>36</v>
      </c>
      <c r="T73" s="10" t="s">
        <v>37</v>
      </c>
    </row>
    <row r="74" spans="5:21" ht="15" customHeight="1" x14ac:dyDescent="0.25">
      <c r="N74" s="10" t="s">
        <v>38</v>
      </c>
      <c r="O74" s="12" t="s">
        <v>53</v>
      </c>
      <c r="P74" s="6">
        <f>F56</f>
        <v>132.82199423925715</v>
      </c>
      <c r="Q74" s="6">
        <f t="shared" ref="Q74:T80" si="26">G56</f>
        <v>131.01516833777478</v>
      </c>
      <c r="R74" s="6">
        <f t="shared" si="26"/>
        <v>128.67750910295911</v>
      </c>
      <c r="S74" s="6">
        <f t="shared" si="26"/>
        <v>125.80901653481007</v>
      </c>
      <c r="T74" s="6">
        <f t="shared" si="26"/>
        <v>122.40969063332771</v>
      </c>
    </row>
    <row r="75" spans="5:21" x14ac:dyDescent="0.25">
      <c r="N75" s="10" t="s">
        <v>39</v>
      </c>
      <c r="O75" s="12"/>
      <c r="P75" s="6">
        <f t="shared" ref="P75:P80" si="27">F57</f>
        <v>132.66884696573808</v>
      </c>
      <c r="Q75" s="6">
        <f t="shared" si="26"/>
        <v>130.79896042221847</v>
      </c>
      <c r="R75" s="6">
        <f t="shared" si="26"/>
        <v>128.39824054536552</v>
      </c>
      <c r="S75" s="6">
        <f t="shared" si="26"/>
        <v>125.46668733517926</v>
      </c>
      <c r="T75" s="6">
        <f t="shared" si="26"/>
        <v>122.00430079165965</v>
      </c>
    </row>
    <row r="76" spans="5:21" x14ac:dyDescent="0.25">
      <c r="N76" s="10" t="s">
        <v>40</v>
      </c>
      <c r="O76" s="12"/>
      <c r="P76" s="6">
        <f t="shared" si="27"/>
        <v>132.51569969221904</v>
      </c>
      <c r="Q76" s="6">
        <f t="shared" si="26"/>
        <v>130.58275250666216</v>
      </c>
      <c r="R76" s="6">
        <f t="shared" si="26"/>
        <v>128.11897198777197</v>
      </c>
      <c r="S76" s="6">
        <f t="shared" si="26"/>
        <v>125.12435813554845</v>
      </c>
      <c r="T76" s="6">
        <f t="shared" si="26"/>
        <v>121.59891094999158</v>
      </c>
    </row>
    <row r="77" spans="5:21" x14ac:dyDescent="0.25">
      <c r="N77" s="10" t="s">
        <v>41</v>
      </c>
      <c r="O77" s="12"/>
      <c r="P77" s="6">
        <f t="shared" si="27"/>
        <v>132.36255241869998</v>
      </c>
      <c r="Q77" s="6">
        <f t="shared" si="26"/>
        <v>130.36654459110588</v>
      </c>
      <c r="R77" s="6">
        <f t="shared" si="26"/>
        <v>127.83970343017842</v>
      </c>
      <c r="S77" s="6">
        <f t="shared" si="26"/>
        <v>124.78202893591762</v>
      </c>
      <c r="T77" s="6">
        <f t="shared" si="26"/>
        <v>121.19352110832351</v>
      </c>
    </row>
    <row r="78" spans="5:21" x14ac:dyDescent="0.25">
      <c r="N78" s="10" t="s">
        <v>42</v>
      </c>
      <c r="O78" s="12"/>
      <c r="P78" s="6">
        <f t="shared" si="27"/>
        <v>132.20940514518094</v>
      </c>
      <c r="Q78" s="6">
        <f t="shared" si="26"/>
        <v>130.15033667554957</v>
      </c>
      <c r="R78" s="6">
        <f t="shared" si="26"/>
        <v>127.56043487258485</v>
      </c>
      <c r="S78" s="6">
        <f t="shared" si="26"/>
        <v>124.43969973628681</v>
      </c>
      <c r="T78" s="6">
        <f t="shared" si="26"/>
        <v>120.78813126665544</v>
      </c>
    </row>
    <row r="79" spans="5:21" x14ac:dyDescent="0.25">
      <c r="N79" s="10" t="s">
        <v>43</v>
      </c>
      <c r="O79" s="12"/>
      <c r="P79" s="6">
        <f t="shared" si="27"/>
        <v>132.0562578716619</v>
      </c>
      <c r="Q79" s="6">
        <f t="shared" si="26"/>
        <v>129.93412875999326</v>
      </c>
      <c r="R79" s="6">
        <f t="shared" si="26"/>
        <v>127.2811663149913</v>
      </c>
      <c r="S79" s="6">
        <f t="shared" si="26"/>
        <v>124.097370536656</v>
      </c>
      <c r="T79" s="6">
        <f t="shared" si="26"/>
        <v>120.38274142498736</v>
      </c>
    </row>
    <row r="80" spans="5:21" x14ac:dyDescent="0.25">
      <c r="N80" s="10" t="s">
        <v>44</v>
      </c>
      <c r="O80" s="12"/>
      <c r="P80" s="6">
        <f t="shared" si="27"/>
        <v>131.90311059814283</v>
      </c>
      <c r="Q80" s="6">
        <f t="shared" si="26"/>
        <v>129.71792084443695</v>
      </c>
      <c r="R80" s="6">
        <f t="shared" si="26"/>
        <v>127.00189775739774</v>
      </c>
      <c r="S80" s="6">
        <f t="shared" si="26"/>
        <v>123.75504133702518</v>
      </c>
      <c r="T80" s="6">
        <f t="shared" si="26"/>
        <v>119.97735158331929</v>
      </c>
    </row>
    <row r="81" spans="14:20" x14ac:dyDescent="0.25">
      <c r="N81" s="13" t="s">
        <v>57</v>
      </c>
      <c r="O81" s="13"/>
      <c r="P81" s="13"/>
      <c r="Q81" s="13"/>
      <c r="R81" s="13"/>
      <c r="S81" s="13"/>
      <c r="T81" s="13"/>
    </row>
  </sheetData>
  <mergeCells count="13">
    <mergeCell ref="C1:E1"/>
    <mergeCell ref="F3:H3"/>
    <mergeCell ref="O74:O80"/>
    <mergeCell ref="N81:T81"/>
    <mergeCell ref="B25:B31"/>
    <mergeCell ref="E25:E31"/>
    <mergeCell ref="E32:E38"/>
    <mergeCell ref="P56:P62"/>
    <mergeCell ref="P65:P71"/>
    <mergeCell ref="E39:E45"/>
    <mergeCell ref="E48:E54"/>
    <mergeCell ref="E56:E62"/>
    <mergeCell ref="E64:J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2014-12-02T17:57:02Z</dcterms:modified>
</cp:coreProperties>
</file>