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410882\Sensitive Documents\Private\GitHub\smartPhotometer\docs\"/>
    </mc:Choice>
  </mc:AlternateContent>
  <xr:revisionPtr revIDLastSave="0" documentId="13_ncr:1_{8F710C83-8E63-46CE-B71E-6C25CD75A4C1}" xr6:coauthVersionLast="45" xr6:coauthVersionMax="45" xr10:uidLastSave="{00000000-0000-0000-0000-000000000000}"/>
  <bookViews>
    <workbookView xWindow="-120" yWindow="-120" windowWidth="29040" windowHeight="15840" firstSheet="12" activeTab="19" xr2:uid="{CBFD82DC-B167-446D-866A-C32F5C882758}"/>
  </bookViews>
  <sheets>
    <sheet name="D65-sRGB" sheetId="7" r:id="rId1"/>
    <sheet name="LED-B2-sRGB" sheetId="9" r:id="rId2"/>
    <sheet name="LED-B2-Sensor" sheetId="3" r:id="rId3"/>
    <sheet name="D65-Sensor" sheetId="8" r:id="rId4"/>
    <sheet name="Sensor" sheetId="10" r:id="rId5"/>
    <sheet name="Summary" sheetId="11" r:id="rId6"/>
    <sheet name="Sheet12" sheetId="12" r:id="rId7"/>
    <sheet name="ColorSheet-1" sheetId="14" r:id="rId8"/>
    <sheet name="ColorSheet-2" sheetId="19" r:id="rId9"/>
    <sheet name="ColorSheet-3" sheetId="20" r:id="rId10"/>
    <sheet name="Camera" sheetId="36" r:id="rId11"/>
    <sheet name="NormalizedRGB-sRGB-M1" sheetId="27" r:id="rId12"/>
    <sheet name="NormalizedRGB-XYZ-M2" sheetId="21" r:id="rId13"/>
    <sheet name="RawData-sRGB-M3" sheetId="31" r:id="rId14"/>
    <sheet name="RawData-XYZ-M4" sheetId="32" r:id="rId15"/>
    <sheet name="Sheet3" sheetId="39" r:id="rId16"/>
    <sheet name="Sheet1" sheetId="37" r:id="rId17"/>
    <sheet name="Sheet2" sheetId="38" r:id="rId18"/>
    <sheet name="TCS34725-xy-Coordinate" sheetId="24" r:id="rId19"/>
    <sheet name="Summary-Final" sheetId="35" r:id="rId20"/>
  </sheets>
  <externalReferences>
    <externalReference r:id="rId21"/>
  </externalReferences>
  <definedNames>
    <definedName name="_xlnm._FilterDatabase" localSheetId="17" hidden="1">Sheet2!$A$2:$D$2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39" l="1"/>
  <c r="M48" i="8"/>
  <c r="P48" i="8" s="1" a="1"/>
  <c r="P48" i="8" s="1"/>
  <c r="G16" i="8"/>
  <c r="I50" i="8"/>
  <c r="H50" i="8"/>
  <c r="G50" i="8"/>
  <c r="I49" i="8"/>
  <c r="H49" i="8"/>
  <c r="G49" i="8"/>
  <c r="I48" i="8"/>
  <c r="H48" i="8"/>
  <c r="G48" i="8"/>
  <c r="M49" i="8"/>
  <c r="T49" i="8" s="1"/>
  <c r="M50" i="8"/>
  <c r="C49" i="8"/>
  <c r="C50" i="8"/>
  <c r="C51" i="8"/>
  <c r="C48" i="8"/>
  <c r="C46" i="8"/>
  <c r="I28" i="8"/>
  <c r="H28" i="8"/>
  <c r="G28" i="8"/>
  <c r="I26" i="8"/>
  <c r="H26" i="8"/>
  <c r="G26" i="8"/>
  <c r="M28" i="8"/>
  <c r="M27" i="8"/>
  <c r="M26" i="8"/>
  <c r="G24" i="8"/>
  <c r="G22" i="8"/>
  <c r="G21" i="8"/>
  <c r="G18" i="8"/>
  <c r="P49" i="8" l="1"/>
  <c r="T50" i="8" s="1"/>
  <c r="P50" i="8"/>
  <c r="L474" i="39"/>
  <c r="P474" i="39" s="1"/>
  <c r="K474" i="39"/>
  <c r="O474" i="39" s="1"/>
  <c r="J474" i="39"/>
  <c r="N474" i="39" s="1"/>
  <c r="H474" i="39"/>
  <c r="G474" i="39"/>
  <c r="F474" i="39"/>
  <c r="P473" i="39"/>
  <c r="K473" i="39"/>
  <c r="O473" i="39" s="1"/>
  <c r="H473" i="39"/>
  <c r="L473" i="39" s="1"/>
  <c r="G473" i="39"/>
  <c r="F473" i="39"/>
  <c r="J473" i="39" s="1"/>
  <c r="N473" i="39" s="1"/>
  <c r="P472" i="39"/>
  <c r="L472" i="39"/>
  <c r="H472" i="39"/>
  <c r="G472" i="39"/>
  <c r="K472" i="39" s="1"/>
  <c r="O472" i="39" s="1"/>
  <c r="F472" i="39"/>
  <c r="J472" i="39" s="1"/>
  <c r="N472" i="39" s="1"/>
  <c r="L471" i="39"/>
  <c r="P471" i="39" s="1"/>
  <c r="K471" i="39"/>
  <c r="O471" i="39" s="1"/>
  <c r="R471" i="39" s="1"/>
  <c r="H471" i="39"/>
  <c r="G471" i="39"/>
  <c r="F471" i="39"/>
  <c r="J471" i="39" s="1"/>
  <c r="N471" i="39" s="1"/>
  <c r="P470" i="39"/>
  <c r="K470" i="39"/>
  <c r="O470" i="39" s="1"/>
  <c r="R470" i="39" s="1"/>
  <c r="J470" i="39"/>
  <c r="N470" i="39" s="1"/>
  <c r="S470" i="39" s="1"/>
  <c r="H470" i="39"/>
  <c r="L470" i="39" s="1"/>
  <c r="G470" i="39"/>
  <c r="F470" i="39"/>
  <c r="P469" i="39"/>
  <c r="L469" i="39"/>
  <c r="H469" i="39"/>
  <c r="G469" i="39"/>
  <c r="K469" i="39" s="1"/>
  <c r="O469" i="39" s="1"/>
  <c r="F469" i="39"/>
  <c r="J469" i="39" s="1"/>
  <c r="N469" i="39" s="1"/>
  <c r="S469" i="39" s="1"/>
  <c r="L468" i="39"/>
  <c r="P468" i="39" s="1"/>
  <c r="K468" i="39"/>
  <c r="O468" i="39" s="1"/>
  <c r="H468" i="39"/>
  <c r="G468" i="39"/>
  <c r="F468" i="39"/>
  <c r="J468" i="39" s="1"/>
  <c r="N468" i="39" s="1"/>
  <c r="S468" i="39" s="1"/>
  <c r="K467" i="39"/>
  <c r="O467" i="39" s="1"/>
  <c r="R467" i="39" s="1"/>
  <c r="H467" i="39"/>
  <c r="L467" i="39" s="1"/>
  <c r="P467" i="39" s="1"/>
  <c r="G467" i="39"/>
  <c r="F467" i="39"/>
  <c r="J467" i="39" s="1"/>
  <c r="N467" i="39" s="1"/>
  <c r="P466" i="39"/>
  <c r="O466" i="39"/>
  <c r="R466" i="39" s="1"/>
  <c r="J466" i="39"/>
  <c r="N466" i="39" s="1"/>
  <c r="H466" i="39"/>
  <c r="L466" i="39" s="1"/>
  <c r="G466" i="39"/>
  <c r="K466" i="39" s="1"/>
  <c r="F466" i="39"/>
  <c r="L465" i="39"/>
  <c r="P465" i="39" s="1"/>
  <c r="K465" i="39"/>
  <c r="O465" i="39" s="1"/>
  <c r="H465" i="39"/>
  <c r="G465" i="39"/>
  <c r="F465" i="39"/>
  <c r="J465" i="39" s="1"/>
  <c r="N465" i="39" s="1"/>
  <c r="P464" i="39"/>
  <c r="H464" i="39"/>
  <c r="L464" i="39" s="1"/>
  <c r="G464" i="39"/>
  <c r="K464" i="39" s="1"/>
  <c r="O464" i="39" s="1"/>
  <c r="F464" i="39"/>
  <c r="J464" i="39" s="1"/>
  <c r="N464" i="39" s="1"/>
  <c r="O463" i="39"/>
  <c r="R463" i="39" s="1"/>
  <c r="H463" i="39"/>
  <c r="L463" i="39" s="1"/>
  <c r="P463" i="39" s="1"/>
  <c r="G463" i="39"/>
  <c r="K463" i="39" s="1"/>
  <c r="F463" i="39"/>
  <c r="J463" i="39" s="1"/>
  <c r="N463" i="39" s="1"/>
  <c r="S463" i="39" s="1"/>
  <c r="L462" i="39"/>
  <c r="P462" i="39" s="1"/>
  <c r="H462" i="39"/>
  <c r="G462" i="39"/>
  <c r="K462" i="39" s="1"/>
  <c r="O462" i="39" s="1"/>
  <c r="R462" i="39" s="1"/>
  <c r="F462" i="39"/>
  <c r="J462" i="39" s="1"/>
  <c r="N462" i="39" s="1"/>
  <c r="K461" i="39"/>
  <c r="O461" i="39" s="1"/>
  <c r="H461" i="39"/>
  <c r="L461" i="39" s="1"/>
  <c r="P461" i="39" s="1"/>
  <c r="G461" i="39"/>
  <c r="F461" i="39"/>
  <c r="J461" i="39" s="1"/>
  <c r="N461" i="39" s="1"/>
  <c r="H460" i="39"/>
  <c r="L460" i="39" s="1"/>
  <c r="P460" i="39" s="1"/>
  <c r="G460" i="39"/>
  <c r="K460" i="39" s="1"/>
  <c r="O460" i="39" s="1"/>
  <c r="F460" i="39"/>
  <c r="J460" i="39" s="1"/>
  <c r="N460" i="39" s="1"/>
  <c r="S460" i="39" s="1"/>
  <c r="O459" i="39"/>
  <c r="R459" i="39" s="1"/>
  <c r="L459" i="39"/>
  <c r="P459" i="39" s="1"/>
  <c r="H459" i="39"/>
  <c r="G459" i="39"/>
  <c r="K459" i="39" s="1"/>
  <c r="F459" i="39"/>
  <c r="J459" i="39" s="1"/>
  <c r="N459" i="39" s="1"/>
  <c r="S459" i="39" s="1"/>
  <c r="L458" i="39"/>
  <c r="P458" i="39" s="1"/>
  <c r="K458" i="39"/>
  <c r="O458" i="39" s="1"/>
  <c r="R458" i="39" s="1"/>
  <c r="J458" i="39"/>
  <c r="N458" i="39" s="1"/>
  <c r="S458" i="39" s="1"/>
  <c r="H458" i="39"/>
  <c r="G458" i="39"/>
  <c r="F458" i="39"/>
  <c r="P457" i="39"/>
  <c r="H457" i="39"/>
  <c r="L457" i="39" s="1"/>
  <c r="G457" i="39"/>
  <c r="K457" i="39" s="1"/>
  <c r="O457" i="39" s="1"/>
  <c r="F457" i="39"/>
  <c r="J457" i="39" s="1"/>
  <c r="N457" i="39" s="1"/>
  <c r="L456" i="39"/>
  <c r="P456" i="39" s="1"/>
  <c r="K456" i="39"/>
  <c r="O456" i="39" s="1"/>
  <c r="H456" i="39"/>
  <c r="G456" i="39"/>
  <c r="F456" i="39"/>
  <c r="J456" i="39" s="1"/>
  <c r="N456" i="39" s="1"/>
  <c r="L455" i="39"/>
  <c r="P455" i="39" s="1"/>
  <c r="K455" i="39"/>
  <c r="O455" i="39" s="1"/>
  <c r="R455" i="39" s="1"/>
  <c r="H455" i="39"/>
  <c r="G455" i="39"/>
  <c r="F455" i="39"/>
  <c r="J455" i="39" s="1"/>
  <c r="N455" i="39" s="1"/>
  <c r="S455" i="39" s="1"/>
  <c r="K454" i="39"/>
  <c r="O454" i="39" s="1"/>
  <c r="R454" i="39" s="1"/>
  <c r="J454" i="39"/>
  <c r="N454" i="39" s="1"/>
  <c r="S454" i="39" s="1"/>
  <c r="H454" i="39"/>
  <c r="L454" i="39" s="1"/>
  <c r="P454" i="39" s="1"/>
  <c r="G454" i="39"/>
  <c r="F454" i="39"/>
  <c r="H453" i="39"/>
  <c r="L453" i="39" s="1"/>
  <c r="P453" i="39" s="1"/>
  <c r="G453" i="39"/>
  <c r="K453" i="39" s="1"/>
  <c r="O453" i="39" s="1"/>
  <c r="F453" i="39"/>
  <c r="J453" i="39" s="1"/>
  <c r="N453" i="39" s="1"/>
  <c r="K452" i="39"/>
  <c r="O452" i="39" s="1"/>
  <c r="H452" i="39"/>
  <c r="L452" i="39" s="1"/>
  <c r="P452" i="39" s="1"/>
  <c r="G452" i="39"/>
  <c r="F452" i="39"/>
  <c r="J452" i="39" s="1"/>
  <c r="N452" i="39" s="1"/>
  <c r="P451" i="39"/>
  <c r="O451" i="39"/>
  <c r="R451" i="39" s="1"/>
  <c r="K451" i="39"/>
  <c r="H451" i="39"/>
  <c r="L451" i="39" s="1"/>
  <c r="G451" i="39"/>
  <c r="F451" i="39"/>
  <c r="J451" i="39" s="1"/>
  <c r="N451" i="39" s="1"/>
  <c r="P450" i="39"/>
  <c r="J450" i="39"/>
  <c r="N450" i="39" s="1"/>
  <c r="H450" i="39"/>
  <c r="L450" i="39" s="1"/>
  <c r="G450" i="39"/>
  <c r="K450" i="39" s="1"/>
  <c r="O450" i="39" s="1"/>
  <c r="R450" i="39" s="1"/>
  <c r="F450" i="39"/>
  <c r="L449" i="39"/>
  <c r="P449" i="39" s="1"/>
  <c r="H449" i="39"/>
  <c r="G449" i="39"/>
  <c r="K449" i="39" s="1"/>
  <c r="O449" i="39" s="1"/>
  <c r="F449" i="39"/>
  <c r="J449" i="39" s="1"/>
  <c r="N449" i="39" s="1"/>
  <c r="H448" i="39"/>
  <c r="L448" i="39" s="1"/>
  <c r="P448" i="39" s="1"/>
  <c r="G448" i="39"/>
  <c r="K448" i="39" s="1"/>
  <c r="O448" i="39" s="1"/>
  <c r="F448" i="39"/>
  <c r="J448" i="39" s="1"/>
  <c r="N448" i="39" s="1"/>
  <c r="O447" i="39"/>
  <c r="R447" i="39" s="1"/>
  <c r="L447" i="39"/>
  <c r="P447" i="39" s="1"/>
  <c r="H447" i="39"/>
  <c r="G447" i="39"/>
  <c r="K447" i="39" s="1"/>
  <c r="F447" i="39"/>
  <c r="J447" i="39" s="1"/>
  <c r="N447" i="39" s="1"/>
  <c r="S447" i="39" s="1"/>
  <c r="H446" i="39"/>
  <c r="L446" i="39" s="1"/>
  <c r="P446" i="39" s="1"/>
  <c r="G446" i="39"/>
  <c r="K446" i="39" s="1"/>
  <c r="O446" i="39" s="1"/>
  <c r="R446" i="39" s="1"/>
  <c r="F446" i="39"/>
  <c r="J446" i="39" s="1"/>
  <c r="N446" i="39" s="1"/>
  <c r="K445" i="39"/>
  <c r="O445" i="39" s="1"/>
  <c r="H445" i="39"/>
  <c r="L445" i="39" s="1"/>
  <c r="P445" i="39" s="1"/>
  <c r="G445" i="39"/>
  <c r="F445" i="39"/>
  <c r="J445" i="39" s="1"/>
  <c r="N445" i="39" s="1"/>
  <c r="L444" i="39"/>
  <c r="P444" i="39" s="1"/>
  <c r="H444" i="39"/>
  <c r="G444" i="39"/>
  <c r="K444" i="39" s="1"/>
  <c r="O444" i="39" s="1"/>
  <c r="F444" i="39"/>
  <c r="J444" i="39" s="1"/>
  <c r="N444" i="39" s="1"/>
  <c r="S444" i="39" s="1"/>
  <c r="O443" i="39"/>
  <c r="R443" i="39" s="1"/>
  <c r="L443" i="39"/>
  <c r="P443" i="39" s="1"/>
  <c r="H443" i="39"/>
  <c r="G443" i="39"/>
  <c r="K443" i="39" s="1"/>
  <c r="F443" i="39"/>
  <c r="J443" i="39" s="1"/>
  <c r="N443" i="39" s="1"/>
  <c r="K442" i="39"/>
  <c r="O442" i="39" s="1"/>
  <c r="H442" i="39"/>
  <c r="L442" i="39" s="1"/>
  <c r="P442" i="39" s="1"/>
  <c r="G442" i="39"/>
  <c r="F442" i="39"/>
  <c r="J442" i="39" s="1"/>
  <c r="N442" i="39" s="1"/>
  <c r="L441" i="39"/>
  <c r="P441" i="39" s="1"/>
  <c r="H441" i="39"/>
  <c r="G441" i="39"/>
  <c r="K441" i="39" s="1"/>
  <c r="O441" i="39" s="1"/>
  <c r="F441" i="39"/>
  <c r="J441" i="39" s="1"/>
  <c r="N441" i="39" s="1"/>
  <c r="P440" i="39"/>
  <c r="L440" i="39"/>
  <c r="H440" i="39"/>
  <c r="G440" i="39"/>
  <c r="K440" i="39" s="1"/>
  <c r="O440" i="39" s="1"/>
  <c r="F440" i="39"/>
  <c r="J440" i="39" s="1"/>
  <c r="N440" i="39" s="1"/>
  <c r="L439" i="39"/>
  <c r="P439" i="39" s="1"/>
  <c r="H439" i="39"/>
  <c r="G439" i="39"/>
  <c r="K439" i="39" s="1"/>
  <c r="O439" i="39" s="1"/>
  <c r="F439" i="39"/>
  <c r="J439" i="39" s="1"/>
  <c r="N439" i="39" s="1"/>
  <c r="H438" i="39"/>
  <c r="L438" i="39" s="1"/>
  <c r="P438" i="39" s="1"/>
  <c r="G438" i="39"/>
  <c r="K438" i="39" s="1"/>
  <c r="O438" i="39" s="1"/>
  <c r="F438" i="39"/>
  <c r="J438" i="39" s="1"/>
  <c r="N438" i="39" s="1"/>
  <c r="H437" i="39"/>
  <c r="L437" i="39" s="1"/>
  <c r="P437" i="39" s="1"/>
  <c r="G437" i="39"/>
  <c r="K437" i="39" s="1"/>
  <c r="O437" i="39" s="1"/>
  <c r="F437" i="39"/>
  <c r="J437" i="39" s="1"/>
  <c r="N437" i="39" s="1"/>
  <c r="L436" i="39"/>
  <c r="P436" i="39" s="1"/>
  <c r="K436" i="39"/>
  <c r="O436" i="39" s="1"/>
  <c r="H436" i="39"/>
  <c r="G436" i="39"/>
  <c r="F436" i="39"/>
  <c r="J436" i="39" s="1"/>
  <c r="N436" i="39" s="1"/>
  <c r="L435" i="39"/>
  <c r="P435" i="39" s="1"/>
  <c r="H435" i="39"/>
  <c r="G435" i="39"/>
  <c r="K435" i="39" s="1"/>
  <c r="O435" i="39" s="1"/>
  <c r="F435" i="39"/>
  <c r="J435" i="39" s="1"/>
  <c r="N435" i="39" s="1"/>
  <c r="P434" i="39"/>
  <c r="H434" i="39"/>
  <c r="L434" i="39" s="1"/>
  <c r="G434" i="39"/>
  <c r="K434" i="39" s="1"/>
  <c r="O434" i="39" s="1"/>
  <c r="F434" i="39"/>
  <c r="J434" i="39" s="1"/>
  <c r="N434" i="39" s="1"/>
  <c r="H433" i="39"/>
  <c r="L433" i="39" s="1"/>
  <c r="P433" i="39" s="1"/>
  <c r="G433" i="39"/>
  <c r="K433" i="39" s="1"/>
  <c r="O433" i="39" s="1"/>
  <c r="F433" i="39"/>
  <c r="J433" i="39" s="1"/>
  <c r="N433" i="39" s="1"/>
  <c r="H432" i="39"/>
  <c r="L432" i="39" s="1"/>
  <c r="P432" i="39" s="1"/>
  <c r="G432" i="39"/>
  <c r="K432" i="39" s="1"/>
  <c r="O432" i="39" s="1"/>
  <c r="F432" i="39"/>
  <c r="J432" i="39" s="1"/>
  <c r="N432" i="39" s="1"/>
  <c r="H431" i="39"/>
  <c r="L431" i="39" s="1"/>
  <c r="P431" i="39" s="1"/>
  <c r="G431" i="39"/>
  <c r="K431" i="39" s="1"/>
  <c r="O431" i="39" s="1"/>
  <c r="F431" i="39"/>
  <c r="J431" i="39" s="1"/>
  <c r="N431" i="39" s="1"/>
  <c r="H430" i="39"/>
  <c r="L430" i="39" s="1"/>
  <c r="P430" i="39" s="1"/>
  <c r="G430" i="39"/>
  <c r="K430" i="39" s="1"/>
  <c r="O430" i="39" s="1"/>
  <c r="F430" i="39"/>
  <c r="J430" i="39" s="1"/>
  <c r="N430" i="39" s="1"/>
  <c r="H429" i="39"/>
  <c r="L429" i="39" s="1"/>
  <c r="P429" i="39" s="1"/>
  <c r="G429" i="39"/>
  <c r="K429" i="39" s="1"/>
  <c r="O429" i="39" s="1"/>
  <c r="F429" i="39"/>
  <c r="J429" i="39" s="1"/>
  <c r="N429" i="39" s="1"/>
  <c r="H428" i="39"/>
  <c r="L428" i="39" s="1"/>
  <c r="P428" i="39" s="1"/>
  <c r="G428" i="39"/>
  <c r="K428" i="39" s="1"/>
  <c r="O428" i="39" s="1"/>
  <c r="F428" i="39"/>
  <c r="J428" i="39" s="1"/>
  <c r="N428" i="39" s="1"/>
  <c r="H427" i="39"/>
  <c r="L427" i="39" s="1"/>
  <c r="P427" i="39" s="1"/>
  <c r="G427" i="39"/>
  <c r="K427" i="39" s="1"/>
  <c r="O427" i="39" s="1"/>
  <c r="F427" i="39"/>
  <c r="J427" i="39" s="1"/>
  <c r="N427" i="39" s="1"/>
  <c r="H426" i="39"/>
  <c r="L426" i="39" s="1"/>
  <c r="P426" i="39" s="1"/>
  <c r="G426" i="39"/>
  <c r="K426" i="39" s="1"/>
  <c r="O426" i="39" s="1"/>
  <c r="F426" i="39"/>
  <c r="J426" i="39" s="1"/>
  <c r="N426" i="39" s="1"/>
  <c r="H425" i="39"/>
  <c r="L425" i="39" s="1"/>
  <c r="P425" i="39" s="1"/>
  <c r="G425" i="39"/>
  <c r="K425" i="39" s="1"/>
  <c r="O425" i="39" s="1"/>
  <c r="F425" i="39"/>
  <c r="J425" i="39" s="1"/>
  <c r="N425" i="39" s="1"/>
  <c r="H424" i="39"/>
  <c r="L424" i="39" s="1"/>
  <c r="P424" i="39" s="1"/>
  <c r="G424" i="39"/>
  <c r="K424" i="39" s="1"/>
  <c r="O424" i="39" s="1"/>
  <c r="F424" i="39"/>
  <c r="J424" i="39" s="1"/>
  <c r="N424" i="39" s="1"/>
  <c r="H423" i="39"/>
  <c r="L423" i="39" s="1"/>
  <c r="P423" i="39" s="1"/>
  <c r="G423" i="39"/>
  <c r="K423" i="39" s="1"/>
  <c r="O423" i="39" s="1"/>
  <c r="F423" i="39"/>
  <c r="J423" i="39" s="1"/>
  <c r="N423" i="39" s="1"/>
  <c r="H422" i="39"/>
  <c r="L422" i="39" s="1"/>
  <c r="P422" i="39" s="1"/>
  <c r="G422" i="39"/>
  <c r="K422" i="39" s="1"/>
  <c r="O422" i="39" s="1"/>
  <c r="F422" i="39"/>
  <c r="J422" i="39" s="1"/>
  <c r="N422" i="39" s="1"/>
  <c r="H421" i="39"/>
  <c r="L421" i="39" s="1"/>
  <c r="P421" i="39" s="1"/>
  <c r="G421" i="39"/>
  <c r="K421" i="39" s="1"/>
  <c r="O421" i="39" s="1"/>
  <c r="F421" i="39"/>
  <c r="J421" i="39" s="1"/>
  <c r="N421" i="39" s="1"/>
  <c r="H420" i="39"/>
  <c r="L420" i="39" s="1"/>
  <c r="P420" i="39" s="1"/>
  <c r="G420" i="39"/>
  <c r="K420" i="39" s="1"/>
  <c r="O420" i="39" s="1"/>
  <c r="F420" i="39"/>
  <c r="J420" i="39" s="1"/>
  <c r="N420" i="39" s="1"/>
  <c r="H419" i="39"/>
  <c r="L419" i="39" s="1"/>
  <c r="P419" i="39" s="1"/>
  <c r="G419" i="39"/>
  <c r="K419" i="39" s="1"/>
  <c r="O419" i="39" s="1"/>
  <c r="F419" i="39"/>
  <c r="J419" i="39" s="1"/>
  <c r="N419" i="39" s="1"/>
  <c r="H418" i="39"/>
  <c r="L418" i="39" s="1"/>
  <c r="P418" i="39" s="1"/>
  <c r="G418" i="39"/>
  <c r="K418" i="39" s="1"/>
  <c r="O418" i="39" s="1"/>
  <c r="F418" i="39"/>
  <c r="J418" i="39" s="1"/>
  <c r="N418" i="39" s="1"/>
  <c r="J417" i="39"/>
  <c r="N417" i="39" s="1"/>
  <c r="H417" i="39"/>
  <c r="L417" i="39" s="1"/>
  <c r="P417" i="39" s="1"/>
  <c r="G417" i="39"/>
  <c r="K417" i="39" s="1"/>
  <c r="O417" i="39" s="1"/>
  <c r="F417" i="39"/>
  <c r="L416" i="39"/>
  <c r="P416" i="39" s="1"/>
  <c r="J416" i="39"/>
  <c r="N416" i="39" s="1"/>
  <c r="H416" i="39"/>
  <c r="G416" i="39"/>
  <c r="K416" i="39" s="1"/>
  <c r="O416" i="39" s="1"/>
  <c r="F416" i="39"/>
  <c r="L415" i="39"/>
  <c r="P415" i="39" s="1"/>
  <c r="H415" i="39"/>
  <c r="G415" i="39"/>
  <c r="K415" i="39" s="1"/>
  <c r="O415" i="39" s="1"/>
  <c r="F415" i="39"/>
  <c r="J415" i="39" s="1"/>
  <c r="N415" i="39" s="1"/>
  <c r="J414" i="39"/>
  <c r="N414" i="39" s="1"/>
  <c r="H414" i="39"/>
  <c r="L414" i="39" s="1"/>
  <c r="P414" i="39" s="1"/>
  <c r="G414" i="39"/>
  <c r="K414" i="39" s="1"/>
  <c r="O414" i="39" s="1"/>
  <c r="F414" i="39"/>
  <c r="L413" i="39"/>
  <c r="P413" i="39" s="1"/>
  <c r="H413" i="39"/>
  <c r="G413" i="39"/>
  <c r="K413" i="39" s="1"/>
  <c r="O413" i="39" s="1"/>
  <c r="F413" i="39"/>
  <c r="J413" i="39" s="1"/>
  <c r="N413" i="39" s="1"/>
  <c r="L412" i="39"/>
  <c r="P412" i="39" s="1"/>
  <c r="H412" i="39"/>
  <c r="G412" i="39"/>
  <c r="K412" i="39" s="1"/>
  <c r="O412" i="39" s="1"/>
  <c r="F412" i="39"/>
  <c r="J412" i="39" s="1"/>
  <c r="N412" i="39" s="1"/>
  <c r="K411" i="39"/>
  <c r="O411" i="39" s="1"/>
  <c r="J411" i="39"/>
  <c r="N411" i="39" s="1"/>
  <c r="H411" i="39"/>
  <c r="L411" i="39" s="1"/>
  <c r="P411" i="39" s="1"/>
  <c r="G411" i="39"/>
  <c r="F411" i="39"/>
  <c r="L410" i="39"/>
  <c r="P410" i="39" s="1"/>
  <c r="H410" i="39"/>
  <c r="G410" i="39"/>
  <c r="K410" i="39" s="1"/>
  <c r="O410" i="39" s="1"/>
  <c r="F410" i="39"/>
  <c r="J410" i="39" s="1"/>
  <c r="N410" i="39" s="1"/>
  <c r="S410" i="39" s="1"/>
  <c r="L409" i="39"/>
  <c r="P409" i="39" s="1"/>
  <c r="H409" i="39"/>
  <c r="G409" i="39"/>
  <c r="K409" i="39" s="1"/>
  <c r="O409" i="39" s="1"/>
  <c r="F409" i="39"/>
  <c r="J409" i="39" s="1"/>
  <c r="N409" i="39" s="1"/>
  <c r="S409" i="39" s="1"/>
  <c r="L408" i="39"/>
  <c r="P408" i="39" s="1"/>
  <c r="H408" i="39"/>
  <c r="G408" i="39"/>
  <c r="K408" i="39" s="1"/>
  <c r="O408" i="39" s="1"/>
  <c r="F408" i="39"/>
  <c r="J408" i="39" s="1"/>
  <c r="N408" i="39" s="1"/>
  <c r="S408" i="39" s="1"/>
  <c r="L407" i="39"/>
  <c r="P407" i="39" s="1"/>
  <c r="H407" i="39"/>
  <c r="G407" i="39"/>
  <c r="K407" i="39" s="1"/>
  <c r="O407" i="39" s="1"/>
  <c r="F407" i="39"/>
  <c r="J407" i="39" s="1"/>
  <c r="N407" i="39" s="1"/>
  <c r="S407" i="39" s="1"/>
  <c r="L406" i="39"/>
  <c r="P406" i="39" s="1"/>
  <c r="H406" i="39"/>
  <c r="G406" i="39"/>
  <c r="K406" i="39" s="1"/>
  <c r="O406" i="39" s="1"/>
  <c r="F406" i="39"/>
  <c r="J406" i="39" s="1"/>
  <c r="N406" i="39" s="1"/>
  <c r="S406" i="39" s="1"/>
  <c r="L405" i="39"/>
  <c r="P405" i="39" s="1"/>
  <c r="H405" i="39"/>
  <c r="G405" i="39"/>
  <c r="K405" i="39" s="1"/>
  <c r="O405" i="39" s="1"/>
  <c r="F405" i="39"/>
  <c r="J405" i="39" s="1"/>
  <c r="N405" i="39" s="1"/>
  <c r="J404" i="39"/>
  <c r="N404" i="39" s="1"/>
  <c r="H404" i="39"/>
  <c r="L404" i="39" s="1"/>
  <c r="P404" i="39" s="1"/>
  <c r="G404" i="39"/>
  <c r="K404" i="39" s="1"/>
  <c r="O404" i="39" s="1"/>
  <c r="F404" i="39"/>
  <c r="L403" i="39"/>
  <c r="P403" i="39" s="1"/>
  <c r="H403" i="39"/>
  <c r="G403" i="39"/>
  <c r="K403" i="39" s="1"/>
  <c r="O403" i="39" s="1"/>
  <c r="F403" i="39"/>
  <c r="J403" i="39" s="1"/>
  <c r="N403" i="39" s="1"/>
  <c r="S403" i="39" s="1"/>
  <c r="L402" i="39"/>
  <c r="P402" i="39" s="1"/>
  <c r="J402" i="39"/>
  <c r="N402" i="39" s="1"/>
  <c r="H402" i="39"/>
  <c r="G402" i="39"/>
  <c r="K402" i="39" s="1"/>
  <c r="O402" i="39" s="1"/>
  <c r="F402" i="39"/>
  <c r="H401" i="39"/>
  <c r="L401" i="39" s="1"/>
  <c r="P401" i="39" s="1"/>
  <c r="G401" i="39"/>
  <c r="K401" i="39" s="1"/>
  <c r="O401" i="39" s="1"/>
  <c r="F401" i="39"/>
  <c r="J401" i="39" s="1"/>
  <c r="N401" i="39" s="1"/>
  <c r="J400" i="39"/>
  <c r="N400" i="39" s="1"/>
  <c r="H400" i="39"/>
  <c r="L400" i="39" s="1"/>
  <c r="P400" i="39" s="1"/>
  <c r="G400" i="39"/>
  <c r="K400" i="39" s="1"/>
  <c r="O400" i="39" s="1"/>
  <c r="F400" i="39"/>
  <c r="J399" i="39"/>
  <c r="N399" i="39" s="1"/>
  <c r="H399" i="39"/>
  <c r="L399" i="39" s="1"/>
  <c r="P399" i="39" s="1"/>
  <c r="G399" i="39"/>
  <c r="K399" i="39" s="1"/>
  <c r="O399" i="39" s="1"/>
  <c r="F399" i="39"/>
  <c r="L398" i="39"/>
  <c r="P398" i="39" s="1"/>
  <c r="H398" i="39"/>
  <c r="G398" i="39"/>
  <c r="K398" i="39" s="1"/>
  <c r="O398" i="39" s="1"/>
  <c r="F398" i="39"/>
  <c r="J398" i="39" s="1"/>
  <c r="N398" i="39" s="1"/>
  <c r="S398" i="39" s="1"/>
  <c r="L397" i="39"/>
  <c r="P397" i="39" s="1"/>
  <c r="H397" i="39"/>
  <c r="G397" i="39"/>
  <c r="K397" i="39" s="1"/>
  <c r="O397" i="39" s="1"/>
  <c r="F397" i="39"/>
  <c r="J397" i="39" s="1"/>
  <c r="N397" i="39" s="1"/>
  <c r="J396" i="39"/>
  <c r="N396" i="39" s="1"/>
  <c r="S396" i="39" s="1"/>
  <c r="H396" i="39"/>
  <c r="L396" i="39" s="1"/>
  <c r="P396" i="39" s="1"/>
  <c r="G396" i="39"/>
  <c r="K396" i="39" s="1"/>
  <c r="O396" i="39" s="1"/>
  <c r="T396" i="39" s="1"/>
  <c r="F396" i="39"/>
  <c r="L395" i="39"/>
  <c r="P395" i="39" s="1"/>
  <c r="H395" i="39"/>
  <c r="G395" i="39"/>
  <c r="K395" i="39" s="1"/>
  <c r="O395" i="39" s="1"/>
  <c r="F395" i="39"/>
  <c r="J395" i="39" s="1"/>
  <c r="N395" i="39" s="1"/>
  <c r="L394" i="39"/>
  <c r="P394" i="39" s="1"/>
  <c r="J394" i="39"/>
  <c r="N394" i="39" s="1"/>
  <c r="H394" i="39"/>
  <c r="G394" i="39"/>
  <c r="K394" i="39" s="1"/>
  <c r="O394" i="39" s="1"/>
  <c r="T394" i="39" s="1"/>
  <c r="F394" i="39"/>
  <c r="H393" i="39"/>
  <c r="L393" i="39" s="1"/>
  <c r="P393" i="39" s="1"/>
  <c r="G393" i="39"/>
  <c r="K393" i="39" s="1"/>
  <c r="O393" i="39" s="1"/>
  <c r="T393" i="39" s="1"/>
  <c r="F393" i="39"/>
  <c r="J393" i="39" s="1"/>
  <c r="N393" i="39" s="1"/>
  <c r="J392" i="39"/>
  <c r="N392" i="39" s="1"/>
  <c r="H392" i="39"/>
  <c r="L392" i="39" s="1"/>
  <c r="P392" i="39" s="1"/>
  <c r="G392" i="39"/>
  <c r="K392" i="39" s="1"/>
  <c r="O392" i="39" s="1"/>
  <c r="T392" i="39" s="1"/>
  <c r="F392" i="39"/>
  <c r="J391" i="39"/>
  <c r="N391" i="39" s="1"/>
  <c r="H391" i="39"/>
  <c r="L391" i="39" s="1"/>
  <c r="P391" i="39" s="1"/>
  <c r="G391" i="39"/>
  <c r="K391" i="39" s="1"/>
  <c r="O391" i="39" s="1"/>
  <c r="F391" i="39"/>
  <c r="R390" i="39"/>
  <c r="L390" i="39"/>
  <c r="P390" i="39" s="1"/>
  <c r="H390" i="39"/>
  <c r="G390" i="39"/>
  <c r="K390" i="39" s="1"/>
  <c r="O390" i="39" s="1"/>
  <c r="F390" i="39"/>
  <c r="J390" i="39" s="1"/>
  <c r="N390" i="39" s="1"/>
  <c r="S390" i="39" s="1"/>
  <c r="L389" i="39"/>
  <c r="P389" i="39" s="1"/>
  <c r="H389" i="39"/>
  <c r="G389" i="39"/>
  <c r="K389" i="39" s="1"/>
  <c r="O389" i="39" s="1"/>
  <c r="F389" i="39"/>
  <c r="J389" i="39" s="1"/>
  <c r="N389" i="39" s="1"/>
  <c r="R388" i="39"/>
  <c r="H388" i="39"/>
  <c r="L388" i="39" s="1"/>
  <c r="P388" i="39" s="1"/>
  <c r="G388" i="39"/>
  <c r="K388" i="39" s="1"/>
  <c r="O388" i="39" s="1"/>
  <c r="T388" i="39" s="1"/>
  <c r="F388" i="39"/>
  <c r="J388" i="39" s="1"/>
  <c r="N388" i="39" s="1"/>
  <c r="S388" i="39" s="1"/>
  <c r="H387" i="39"/>
  <c r="L387" i="39" s="1"/>
  <c r="P387" i="39" s="1"/>
  <c r="G387" i="39"/>
  <c r="K387" i="39" s="1"/>
  <c r="O387" i="39" s="1"/>
  <c r="F387" i="39"/>
  <c r="J387" i="39" s="1"/>
  <c r="N387" i="39" s="1"/>
  <c r="L386" i="39"/>
  <c r="P386" i="39" s="1"/>
  <c r="H386" i="39"/>
  <c r="G386" i="39"/>
  <c r="K386" i="39" s="1"/>
  <c r="O386" i="39" s="1"/>
  <c r="R386" i="39" s="1"/>
  <c r="F386" i="39"/>
  <c r="J386" i="39" s="1"/>
  <c r="N386" i="39" s="1"/>
  <c r="P385" i="39"/>
  <c r="L385" i="39"/>
  <c r="H385" i="39"/>
  <c r="G385" i="39"/>
  <c r="K385" i="39" s="1"/>
  <c r="O385" i="39" s="1"/>
  <c r="F385" i="39"/>
  <c r="J385" i="39" s="1"/>
  <c r="N385" i="39" s="1"/>
  <c r="L384" i="39"/>
  <c r="P384" i="39" s="1"/>
  <c r="H384" i="39"/>
  <c r="G384" i="39"/>
  <c r="K384" i="39" s="1"/>
  <c r="O384" i="39" s="1"/>
  <c r="F384" i="39"/>
  <c r="J384" i="39" s="1"/>
  <c r="N384" i="39" s="1"/>
  <c r="H383" i="39"/>
  <c r="L383" i="39" s="1"/>
  <c r="P383" i="39" s="1"/>
  <c r="G383" i="39"/>
  <c r="K383" i="39" s="1"/>
  <c r="O383" i="39" s="1"/>
  <c r="R383" i="39" s="1"/>
  <c r="F383" i="39"/>
  <c r="J383" i="39" s="1"/>
  <c r="N383" i="39" s="1"/>
  <c r="S383" i="39" s="1"/>
  <c r="J382" i="39"/>
  <c r="N382" i="39" s="1"/>
  <c r="H382" i="39"/>
  <c r="L382" i="39" s="1"/>
  <c r="P382" i="39" s="1"/>
  <c r="G382" i="39"/>
  <c r="K382" i="39" s="1"/>
  <c r="O382" i="39" s="1"/>
  <c r="R382" i="39" s="1"/>
  <c r="F382" i="39"/>
  <c r="J381" i="39"/>
  <c r="N381" i="39" s="1"/>
  <c r="S381" i="39" s="1"/>
  <c r="H381" i="39"/>
  <c r="L381" i="39" s="1"/>
  <c r="P381" i="39" s="1"/>
  <c r="G381" i="39"/>
  <c r="K381" i="39" s="1"/>
  <c r="O381" i="39" s="1"/>
  <c r="R381" i="39" s="1"/>
  <c r="F381" i="39"/>
  <c r="L380" i="39"/>
  <c r="P380" i="39" s="1"/>
  <c r="J380" i="39"/>
  <c r="N380" i="39" s="1"/>
  <c r="H380" i="39"/>
  <c r="G380" i="39"/>
  <c r="K380" i="39" s="1"/>
  <c r="O380" i="39" s="1"/>
  <c r="R380" i="39" s="1"/>
  <c r="F380" i="39"/>
  <c r="H379" i="39"/>
  <c r="L379" i="39" s="1"/>
  <c r="P379" i="39" s="1"/>
  <c r="G379" i="39"/>
  <c r="K379" i="39" s="1"/>
  <c r="O379" i="39" s="1"/>
  <c r="R379" i="39" s="1"/>
  <c r="F379" i="39"/>
  <c r="J379" i="39" s="1"/>
  <c r="N379" i="39" s="1"/>
  <c r="S379" i="39" s="1"/>
  <c r="J378" i="39"/>
  <c r="N378" i="39" s="1"/>
  <c r="H378" i="39"/>
  <c r="L378" i="39" s="1"/>
  <c r="P378" i="39" s="1"/>
  <c r="G378" i="39"/>
  <c r="K378" i="39" s="1"/>
  <c r="O378" i="39" s="1"/>
  <c r="R378" i="39" s="1"/>
  <c r="F378" i="39"/>
  <c r="L377" i="39"/>
  <c r="P377" i="39" s="1"/>
  <c r="J377" i="39"/>
  <c r="N377" i="39" s="1"/>
  <c r="S377" i="39" s="1"/>
  <c r="H377" i="39"/>
  <c r="G377" i="39"/>
  <c r="K377" i="39" s="1"/>
  <c r="O377" i="39" s="1"/>
  <c r="R377" i="39" s="1"/>
  <c r="F377" i="39"/>
  <c r="L376" i="39"/>
  <c r="P376" i="39" s="1"/>
  <c r="H376" i="39"/>
  <c r="G376" i="39"/>
  <c r="K376" i="39" s="1"/>
  <c r="O376" i="39" s="1"/>
  <c r="R376" i="39" s="1"/>
  <c r="F376" i="39"/>
  <c r="J376" i="39" s="1"/>
  <c r="N376" i="39" s="1"/>
  <c r="H375" i="39"/>
  <c r="L375" i="39" s="1"/>
  <c r="P375" i="39" s="1"/>
  <c r="G375" i="39"/>
  <c r="K375" i="39" s="1"/>
  <c r="O375" i="39" s="1"/>
  <c r="R375" i="39" s="1"/>
  <c r="F375" i="39"/>
  <c r="J375" i="39" s="1"/>
  <c r="N375" i="39" s="1"/>
  <c r="J374" i="39"/>
  <c r="N374" i="39" s="1"/>
  <c r="H374" i="39"/>
  <c r="L374" i="39" s="1"/>
  <c r="P374" i="39" s="1"/>
  <c r="G374" i="39"/>
  <c r="K374" i="39" s="1"/>
  <c r="O374" i="39" s="1"/>
  <c r="R374" i="39" s="1"/>
  <c r="F374" i="39"/>
  <c r="J373" i="39"/>
  <c r="N373" i="39" s="1"/>
  <c r="S373" i="39" s="1"/>
  <c r="H373" i="39"/>
  <c r="L373" i="39" s="1"/>
  <c r="P373" i="39" s="1"/>
  <c r="G373" i="39"/>
  <c r="K373" i="39" s="1"/>
  <c r="O373" i="39" s="1"/>
  <c r="R373" i="39" s="1"/>
  <c r="F373" i="39"/>
  <c r="L372" i="39"/>
  <c r="P372" i="39" s="1"/>
  <c r="J372" i="39"/>
  <c r="N372" i="39" s="1"/>
  <c r="H372" i="39"/>
  <c r="G372" i="39"/>
  <c r="K372" i="39" s="1"/>
  <c r="O372" i="39" s="1"/>
  <c r="R372" i="39" s="1"/>
  <c r="F372" i="39"/>
  <c r="H371" i="39"/>
  <c r="L371" i="39" s="1"/>
  <c r="P371" i="39" s="1"/>
  <c r="G371" i="39"/>
  <c r="K371" i="39" s="1"/>
  <c r="O371" i="39" s="1"/>
  <c r="R371" i="39" s="1"/>
  <c r="F371" i="39"/>
  <c r="J371" i="39" s="1"/>
  <c r="N371" i="39" s="1"/>
  <c r="S371" i="39" s="1"/>
  <c r="J370" i="39"/>
  <c r="N370" i="39" s="1"/>
  <c r="S370" i="39" s="1"/>
  <c r="H370" i="39"/>
  <c r="L370" i="39" s="1"/>
  <c r="P370" i="39" s="1"/>
  <c r="G370" i="39"/>
  <c r="K370" i="39" s="1"/>
  <c r="O370" i="39" s="1"/>
  <c r="R370" i="39" s="1"/>
  <c r="F370" i="39"/>
  <c r="L369" i="39"/>
  <c r="P369" i="39" s="1"/>
  <c r="J369" i="39"/>
  <c r="N369" i="39" s="1"/>
  <c r="H369" i="39"/>
  <c r="G369" i="39"/>
  <c r="K369" i="39" s="1"/>
  <c r="O369" i="39" s="1"/>
  <c r="R369" i="39" s="1"/>
  <c r="F369" i="39"/>
  <c r="L368" i="39"/>
  <c r="P368" i="39" s="1"/>
  <c r="H368" i="39"/>
  <c r="G368" i="39"/>
  <c r="K368" i="39" s="1"/>
  <c r="O368" i="39" s="1"/>
  <c r="R368" i="39" s="1"/>
  <c r="F368" i="39"/>
  <c r="J368" i="39" s="1"/>
  <c r="N368" i="39" s="1"/>
  <c r="S368" i="39" s="1"/>
  <c r="H367" i="39"/>
  <c r="L367" i="39" s="1"/>
  <c r="P367" i="39" s="1"/>
  <c r="G367" i="39"/>
  <c r="K367" i="39" s="1"/>
  <c r="O367" i="39" s="1"/>
  <c r="R367" i="39" s="1"/>
  <c r="F367" i="39"/>
  <c r="J367" i="39" s="1"/>
  <c r="N367" i="39" s="1"/>
  <c r="J366" i="39"/>
  <c r="N366" i="39" s="1"/>
  <c r="H366" i="39"/>
  <c r="L366" i="39" s="1"/>
  <c r="P366" i="39" s="1"/>
  <c r="G366" i="39"/>
  <c r="K366" i="39" s="1"/>
  <c r="O366" i="39" s="1"/>
  <c r="R366" i="39" s="1"/>
  <c r="F366" i="39"/>
  <c r="J365" i="39"/>
  <c r="N365" i="39" s="1"/>
  <c r="H365" i="39"/>
  <c r="L365" i="39" s="1"/>
  <c r="P365" i="39" s="1"/>
  <c r="G365" i="39"/>
  <c r="K365" i="39" s="1"/>
  <c r="O365" i="39" s="1"/>
  <c r="R365" i="39" s="1"/>
  <c r="F365" i="39"/>
  <c r="L364" i="39"/>
  <c r="P364" i="39" s="1"/>
  <c r="J364" i="39"/>
  <c r="N364" i="39" s="1"/>
  <c r="S364" i="39" s="1"/>
  <c r="H364" i="39"/>
  <c r="G364" i="39"/>
  <c r="K364" i="39" s="1"/>
  <c r="O364" i="39" s="1"/>
  <c r="R364" i="39" s="1"/>
  <c r="F364" i="39"/>
  <c r="L363" i="39"/>
  <c r="P363" i="39" s="1"/>
  <c r="H363" i="39"/>
  <c r="G363" i="39"/>
  <c r="K363" i="39" s="1"/>
  <c r="O363" i="39" s="1"/>
  <c r="R363" i="39" s="1"/>
  <c r="F363" i="39"/>
  <c r="J363" i="39" s="1"/>
  <c r="N363" i="39" s="1"/>
  <c r="J362" i="39"/>
  <c r="N362" i="39" s="1"/>
  <c r="S362" i="39" s="1"/>
  <c r="H362" i="39"/>
  <c r="L362" i="39" s="1"/>
  <c r="P362" i="39" s="1"/>
  <c r="G362" i="39"/>
  <c r="K362" i="39" s="1"/>
  <c r="O362" i="39" s="1"/>
  <c r="R362" i="39" s="1"/>
  <c r="F362" i="39"/>
  <c r="L361" i="39"/>
  <c r="P361" i="39" s="1"/>
  <c r="H361" i="39"/>
  <c r="G361" i="39"/>
  <c r="K361" i="39" s="1"/>
  <c r="O361" i="39" s="1"/>
  <c r="R361" i="39" s="1"/>
  <c r="F361" i="39"/>
  <c r="J361" i="39" s="1"/>
  <c r="N361" i="39" s="1"/>
  <c r="L360" i="39"/>
  <c r="P360" i="39" s="1"/>
  <c r="H360" i="39"/>
  <c r="G360" i="39"/>
  <c r="K360" i="39" s="1"/>
  <c r="O360" i="39" s="1"/>
  <c r="R360" i="39" s="1"/>
  <c r="F360" i="39"/>
  <c r="J360" i="39" s="1"/>
  <c r="N360" i="39" s="1"/>
  <c r="S360" i="39" s="1"/>
  <c r="H359" i="39"/>
  <c r="L359" i="39" s="1"/>
  <c r="P359" i="39" s="1"/>
  <c r="G359" i="39"/>
  <c r="K359" i="39" s="1"/>
  <c r="O359" i="39" s="1"/>
  <c r="R359" i="39" s="1"/>
  <c r="F359" i="39"/>
  <c r="J359" i="39" s="1"/>
  <c r="N359" i="39" s="1"/>
  <c r="J358" i="39"/>
  <c r="N358" i="39" s="1"/>
  <c r="H358" i="39"/>
  <c r="L358" i="39" s="1"/>
  <c r="P358" i="39" s="1"/>
  <c r="G358" i="39"/>
  <c r="K358" i="39" s="1"/>
  <c r="O358" i="39" s="1"/>
  <c r="R358" i="39" s="1"/>
  <c r="F358" i="39"/>
  <c r="J357" i="39"/>
  <c r="N357" i="39" s="1"/>
  <c r="H357" i="39"/>
  <c r="L357" i="39" s="1"/>
  <c r="P357" i="39" s="1"/>
  <c r="G357" i="39"/>
  <c r="K357" i="39" s="1"/>
  <c r="O357" i="39" s="1"/>
  <c r="R357" i="39" s="1"/>
  <c r="F357" i="39"/>
  <c r="L356" i="39"/>
  <c r="P356" i="39" s="1"/>
  <c r="J356" i="39"/>
  <c r="N356" i="39" s="1"/>
  <c r="S356" i="39" s="1"/>
  <c r="H356" i="39"/>
  <c r="G356" i="39"/>
  <c r="K356" i="39" s="1"/>
  <c r="O356" i="39" s="1"/>
  <c r="R356" i="39" s="1"/>
  <c r="F356" i="39"/>
  <c r="L355" i="39"/>
  <c r="P355" i="39" s="1"/>
  <c r="H355" i="39"/>
  <c r="G355" i="39"/>
  <c r="K355" i="39" s="1"/>
  <c r="O355" i="39" s="1"/>
  <c r="R355" i="39" s="1"/>
  <c r="F355" i="39"/>
  <c r="J355" i="39" s="1"/>
  <c r="N355" i="39" s="1"/>
  <c r="J354" i="39"/>
  <c r="N354" i="39" s="1"/>
  <c r="S354" i="39" s="1"/>
  <c r="H354" i="39"/>
  <c r="L354" i="39" s="1"/>
  <c r="P354" i="39" s="1"/>
  <c r="G354" i="39"/>
  <c r="K354" i="39" s="1"/>
  <c r="O354" i="39" s="1"/>
  <c r="R354" i="39" s="1"/>
  <c r="F354" i="39"/>
  <c r="L353" i="39"/>
  <c r="P353" i="39" s="1"/>
  <c r="H353" i="39"/>
  <c r="G353" i="39"/>
  <c r="K353" i="39" s="1"/>
  <c r="O353" i="39" s="1"/>
  <c r="R353" i="39" s="1"/>
  <c r="F353" i="39"/>
  <c r="J353" i="39" s="1"/>
  <c r="N353" i="39" s="1"/>
  <c r="L352" i="39"/>
  <c r="P352" i="39" s="1"/>
  <c r="H352" i="39"/>
  <c r="G352" i="39"/>
  <c r="K352" i="39" s="1"/>
  <c r="O352" i="39" s="1"/>
  <c r="R352" i="39" s="1"/>
  <c r="F352" i="39"/>
  <c r="J352" i="39" s="1"/>
  <c r="N352" i="39" s="1"/>
  <c r="H351" i="39"/>
  <c r="L351" i="39" s="1"/>
  <c r="P351" i="39" s="1"/>
  <c r="G351" i="39"/>
  <c r="K351" i="39" s="1"/>
  <c r="O351" i="39" s="1"/>
  <c r="R351" i="39" s="1"/>
  <c r="F351" i="39"/>
  <c r="J351" i="39" s="1"/>
  <c r="N351" i="39" s="1"/>
  <c r="H350" i="39"/>
  <c r="L350" i="39" s="1"/>
  <c r="P350" i="39" s="1"/>
  <c r="G350" i="39"/>
  <c r="K350" i="39" s="1"/>
  <c r="O350" i="39" s="1"/>
  <c r="R350" i="39" s="1"/>
  <c r="F350" i="39"/>
  <c r="J350" i="39" s="1"/>
  <c r="N350" i="39" s="1"/>
  <c r="S350" i="39" s="1"/>
  <c r="J349" i="39"/>
  <c r="N349" i="39" s="1"/>
  <c r="H349" i="39"/>
  <c r="L349" i="39" s="1"/>
  <c r="P349" i="39" s="1"/>
  <c r="G349" i="39"/>
  <c r="K349" i="39" s="1"/>
  <c r="O349" i="39" s="1"/>
  <c r="R349" i="39" s="1"/>
  <c r="F349" i="39"/>
  <c r="J348" i="39"/>
  <c r="N348" i="39" s="1"/>
  <c r="S348" i="39" s="1"/>
  <c r="H348" i="39"/>
  <c r="L348" i="39" s="1"/>
  <c r="P348" i="39" s="1"/>
  <c r="G348" i="39"/>
  <c r="K348" i="39" s="1"/>
  <c r="O348" i="39" s="1"/>
  <c r="R348" i="39" s="1"/>
  <c r="F348" i="39"/>
  <c r="L347" i="39"/>
  <c r="P347" i="39" s="1"/>
  <c r="H347" i="39"/>
  <c r="G347" i="39"/>
  <c r="K347" i="39" s="1"/>
  <c r="O347" i="39" s="1"/>
  <c r="R347" i="39" s="1"/>
  <c r="F347" i="39"/>
  <c r="J347" i="39" s="1"/>
  <c r="N347" i="39" s="1"/>
  <c r="L346" i="39"/>
  <c r="P346" i="39" s="1"/>
  <c r="H346" i="39"/>
  <c r="G346" i="39"/>
  <c r="K346" i="39" s="1"/>
  <c r="O346" i="39" s="1"/>
  <c r="R346" i="39" s="1"/>
  <c r="F346" i="39"/>
  <c r="J346" i="39" s="1"/>
  <c r="N346" i="39" s="1"/>
  <c r="S346" i="39" s="1"/>
  <c r="J345" i="39"/>
  <c r="N345" i="39" s="1"/>
  <c r="H345" i="39"/>
  <c r="L345" i="39" s="1"/>
  <c r="P345" i="39" s="1"/>
  <c r="G345" i="39"/>
  <c r="K345" i="39" s="1"/>
  <c r="O345" i="39" s="1"/>
  <c r="R345" i="39" s="1"/>
  <c r="F345" i="39"/>
  <c r="J344" i="39"/>
  <c r="N344" i="39" s="1"/>
  <c r="S344" i="39" s="1"/>
  <c r="H344" i="39"/>
  <c r="L344" i="39" s="1"/>
  <c r="P344" i="39" s="1"/>
  <c r="G344" i="39"/>
  <c r="K344" i="39" s="1"/>
  <c r="O344" i="39" s="1"/>
  <c r="R344" i="39" s="1"/>
  <c r="F344" i="39"/>
  <c r="L343" i="39"/>
  <c r="P343" i="39" s="1"/>
  <c r="H343" i="39"/>
  <c r="G343" i="39"/>
  <c r="K343" i="39" s="1"/>
  <c r="O343" i="39" s="1"/>
  <c r="R343" i="39" s="1"/>
  <c r="F343" i="39"/>
  <c r="J343" i="39" s="1"/>
  <c r="N343" i="39" s="1"/>
  <c r="L342" i="39"/>
  <c r="P342" i="39" s="1"/>
  <c r="H342" i="39"/>
  <c r="G342" i="39"/>
  <c r="K342" i="39" s="1"/>
  <c r="O342" i="39" s="1"/>
  <c r="R342" i="39" s="1"/>
  <c r="F342" i="39"/>
  <c r="J342" i="39" s="1"/>
  <c r="N342" i="39" s="1"/>
  <c r="J341" i="39"/>
  <c r="N341" i="39" s="1"/>
  <c r="H341" i="39"/>
  <c r="L341" i="39" s="1"/>
  <c r="P341" i="39" s="1"/>
  <c r="G341" i="39"/>
  <c r="K341" i="39" s="1"/>
  <c r="O341" i="39" s="1"/>
  <c r="R341" i="39" s="1"/>
  <c r="F341" i="39"/>
  <c r="J340" i="39"/>
  <c r="N340" i="39" s="1"/>
  <c r="S340" i="39" s="1"/>
  <c r="H340" i="39"/>
  <c r="L340" i="39" s="1"/>
  <c r="P340" i="39" s="1"/>
  <c r="G340" i="39"/>
  <c r="K340" i="39" s="1"/>
  <c r="O340" i="39" s="1"/>
  <c r="R340" i="39" s="1"/>
  <c r="F340" i="39"/>
  <c r="L339" i="39"/>
  <c r="P339" i="39" s="1"/>
  <c r="J339" i="39"/>
  <c r="N339" i="39" s="1"/>
  <c r="H339" i="39"/>
  <c r="G339" i="39"/>
  <c r="K339" i="39" s="1"/>
  <c r="O339" i="39" s="1"/>
  <c r="R339" i="39" s="1"/>
  <c r="F339" i="39"/>
  <c r="L338" i="39"/>
  <c r="P338" i="39" s="1"/>
  <c r="H338" i="39"/>
  <c r="G338" i="39"/>
  <c r="K338" i="39" s="1"/>
  <c r="O338" i="39" s="1"/>
  <c r="R338" i="39" s="1"/>
  <c r="F338" i="39"/>
  <c r="J338" i="39" s="1"/>
  <c r="N338" i="39" s="1"/>
  <c r="J337" i="39"/>
  <c r="N337" i="39" s="1"/>
  <c r="H337" i="39"/>
  <c r="L337" i="39" s="1"/>
  <c r="P337" i="39" s="1"/>
  <c r="G337" i="39"/>
  <c r="K337" i="39" s="1"/>
  <c r="O337" i="39" s="1"/>
  <c r="R337" i="39" s="1"/>
  <c r="F337" i="39"/>
  <c r="J336" i="39"/>
  <c r="N336" i="39" s="1"/>
  <c r="S336" i="39" s="1"/>
  <c r="H336" i="39"/>
  <c r="L336" i="39" s="1"/>
  <c r="P336" i="39" s="1"/>
  <c r="G336" i="39"/>
  <c r="K336" i="39" s="1"/>
  <c r="O336" i="39" s="1"/>
  <c r="R336" i="39" s="1"/>
  <c r="F336" i="39"/>
  <c r="L335" i="39"/>
  <c r="P335" i="39" s="1"/>
  <c r="J335" i="39"/>
  <c r="N335" i="39" s="1"/>
  <c r="H335" i="39"/>
  <c r="G335" i="39"/>
  <c r="K335" i="39" s="1"/>
  <c r="O335" i="39" s="1"/>
  <c r="R335" i="39" s="1"/>
  <c r="F335" i="39"/>
  <c r="L334" i="39"/>
  <c r="P334" i="39" s="1"/>
  <c r="H334" i="39"/>
  <c r="G334" i="39"/>
  <c r="K334" i="39" s="1"/>
  <c r="O334" i="39" s="1"/>
  <c r="R334" i="39" s="1"/>
  <c r="F334" i="39"/>
  <c r="J334" i="39" s="1"/>
  <c r="N334" i="39" s="1"/>
  <c r="S334" i="39" s="1"/>
  <c r="J333" i="39"/>
  <c r="N333" i="39" s="1"/>
  <c r="H333" i="39"/>
  <c r="L333" i="39" s="1"/>
  <c r="P333" i="39" s="1"/>
  <c r="G333" i="39"/>
  <c r="K333" i="39" s="1"/>
  <c r="O333" i="39" s="1"/>
  <c r="R333" i="39" s="1"/>
  <c r="F333" i="39"/>
  <c r="J332" i="39"/>
  <c r="N332" i="39" s="1"/>
  <c r="S332" i="39" s="1"/>
  <c r="H332" i="39"/>
  <c r="L332" i="39" s="1"/>
  <c r="P332" i="39" s="1"/>
  <c r="G332" i="39"/>
  <c r="K332" i="39" s="1"/>
  <c r="O332" i="39" s="1"/>
  <c r="R332" i="39" s="1"/>
  <c r="F332" i="39"/>
  <c r="L331" i="39"/>
  <c r="P331" i="39" s="1"/>
  <c r="H331" i="39"/>
  <c r="G331" i="39"/>
  <c r="K331" i="39" s="1"/>
  <c r="O331" i="39" s="1"/>
  <c r="R331" i="39" s="1"/>
  <c r="F331" i="39"/>
  <c r="J331" i="39" s="1"/>
  <c r="N331" i="39" s="1"/>
  <c r="L330" i="39"/>
  <c r="P330" i="39" s="1"/>
  <c r="H330" i="39"/>
  <c r="G330" i="39"/>
  <c r="K330" i="39" s="1"/>
  <c r="O330" i="39" s="1"/>
  <c r="R330" i="39" s="1"/>
  <c r="F330" i="39"/>
  <c r="J330" i="39" s="1"/>
  <c r="N330" i="39" s="1"/>
  <c r="S330" i="39" s="1"/>
  <c r="J329" i="39"/>
  <c r="N329" i="39" s="1"/>
  <c r="H329" i="39"/>
  <c r="L329" i="39" s="1"/>
  <c r="P329" i="39" s="1"/>
  <c r="G329" i="39"/>
  <c r="K329" i="39" s="1"/>
  <c r="O329" i="39" s="1"/>
  <c r="R329" i="39" s="1"/>
  <c r="F329" i="39"/>
  <c r="J328" i="39"/>
  <c r="N328" i="39" s="1"/>
  <c r="S328" i="39" s="1"/>
  <c r="H328" i="39"/>
  <c r="L328" i="39" s="1"/>
  <c r="P328" i="39" s="1"/>
  <c r="G328" i="39"/>
  <c r="K328" i="39" s="1"/>
  <c r="O328" i="39" s="1"/>
  <c r="R328" i="39" s="1"/>
  <c r="F328" i="39"/>
  <c r="L327" i="39"/>
  <c r="P327" i="39" s="1"/>
  <c r="H327" i="39"/>
  <c r="G327" i="39"/>
  <c r="K327" i="39" s="1"/>
  <c r="O327" i="39" s="1"/>
  <c r="R327" i="39" s="1"/>
  <c r="F327" i="39"/>
  <c r="J327" i="39" s="1"/>
  <c r="N327" i="39" s="1"/>
  <c r="L326" i="39"/>
  <c r="P326" i="39" s="1"/>
  <c r="H326" i="39"/>
  <c r="G326" i="39"/>
  <c r="K326" i="39" s="1"/>
  <c r="O326" i="39" s="1"/>
  <c r="R326" i="39" s="1"/>
  <c r="F326" i="39"/>
  <c r="J326" i="39" s="1"/>
  <c r="N326" i="39" s="1"/>
  <c r="J325" i="39"/>
  <c r="N325" i="39" s="1"/>
  <c r="H325" i="39"/>
  <c r="L325" i="39" s="1"/>
  <c r="P325" i="39" s="1"/>
  <c r="G325" i="39"/>
  <c r="K325" i="39" s="1"/>
  <c r="O325" i="39" s="1"/>
  <c r="R325" i="39" s="1"/>
  <c r="F325" i="39"/>
  <c r="J324" i="39"/>
  <c r="N324" i="39" s="1"/>
  <c r="S324" i="39" s="1"/>
  <c r="H324" i="39"/>
  <c r="L324" i="39" s="1"/>
  <c r="P324" i="39" s="1"/>
  <c r="G324" i="39"/>
  <c r="K324" i="39" s="1"/>
  <c r="O324" i="39" s="1"/>
  <c r="R324" i="39" s="1"/>
  <c r="F324" i="39"/>
  <c r="L323" i="39"/>
  <c r="P323" i="39" s="1"/>
  <c r="J323" i="39"/>
  <c r="N323" i="39" s="1"/>
  <c r="H323" i="39"/>
  <c r="G323" i="39"/>
  <c r="K323" i="39" s="1"/>
  <c r="O323" i="39" s="1"/>
  <c r="R323" i="39" s="1"/>
  <c r="F323" i="39"/>
  <c r="L322" i="39"/>
  <c r="P322" i="39" s="1"/>
  <c r="H322" i="39"/>
  <c r="G322" i="39"/>
  <c r="K322" i="39" s="1"/>
  <c r="O322" i="39" s="1"/>
  <c r="R322" i="39" s="1"/>
  <c r="F322" i="39"/>
  <c r="J322" i="39" s="1"/>
  <c r="N322" i="39" s="1"/>
  <c r="J321" i="39"/>
  <c r="N321" i="39" s="1"/>
  <c r="H321" i="39"/>
  <c r="L321" i="39" s="1"/>
  <c r="P321" i="39" s="1"/>
  <c r="G321" i="39"/>
  <c r="K321" i="39" s="1"/>
  <c r="O321" i="39" s="1"/>
  <c r="R321" i="39" s="1"/>
  <c r="F321" i="39"/>
  <c r="J320" i="39"/>
  <c r="N320" i="39" s="1"/>
  <c r="S320" i="39" s="1"/>
  <c r="H320" i="39"/>
  <c r="L320" i="39" s="1"/>
  <c r="P320" i="39" s="1"/>
  <c r="G320" i="39"/>
  <c r="K320" i="39" s="1"/>
  <c r="O320" i="39" s="1"/>
  <c r="R320" i="39" s="1"/>
  <c r="F320" i="39"/>
  <c r="L319" i="39"/>
  <c r="P319" i="39" s="1"/>
  <c r="H319" i="39"/>
  <c r="G319" i="39"/>
  <c r="K319" i="39" s="1"/>
  <c r="O319" i="39" s="1"/>
  <c r="R319" i="39" s="1"/>
  <c r="F319" i="39"/>
  <c r="J319" i="39" s="1"/>
  <c r="N319" i="39" s="1"/>
  <c r="L318" i="39"/>
  <c r="P318" i="39" s="1"/>
  <c r="H318" i="39"/>
  <c r="G318" i="39"/>
  <c r="K318" i="39" s="1"/>
  <c r="O318" i="39" s="1"/>
  <c r="R318" i="39" s="1"/>
  <c r="F318" i="39"/>
  <c r="J318" i="39" s="1"/>
  <c r="N318" i="39" s="1"/>
  <c r="S318" i="39" s="1"/>
  <c r="H317" i="39"/>
  <c r="L317" i="39" s="1"/>
  <c r="P317" i="39" s="1"/>
  <c r="G317" i="39"/>
  <c r="K317" i="39" s="1"/>
  <c r="O317" i="39" s="1"/>
  <c r="F317" i="39"/>
  <c r="J317" i="39" s="1"/>
  <c r="N317" i="39" s="1"/>
  <c r="L316" i="39"/>
  <c r="P316" i="39" s="1"/>
  <c r="K316" i="39"/>
  <c r="O316" i="39" s="1"/>
  <c r="H316" i="39"/>
  <c r="G316" i="39"/>
  <c r="F316" i="39"/>
  <c r="J316" i="39" s="1"/>
  <c r="N316" i="39" s="1"/>
  <c r="S316" i="39" s="1"/>
  <c r="H315" i="39"/>
  <c r="L315" i="39" s="1"/>
  <c r="P315" i="39" s="1"/>
  <c r="G315" i="39"/>
  <c r="K315" i="39" s="1"/>
  <c r="O315" i="39" s="1"/>
  <c r="R315" i="39" s="1"/>
  <c r="F315" i="39"/>
  <c r="J315" i="39" s="1"/>
  <c r="N315" i="39" s="1"/>
  <c r="L314" i="39"/>
  <c r="P314" i="39" s="1"/>
  <c r="K314" i="39"/>
  <c r="O314" i="39" s="1"/>
  <c r="H314" i="39"/>
  <c r="G314" i="39"/>
  <c r="F314" i="39"/>
  <c r="J314" i="39" s="1"/>
  <c r="N314" i="39" s="1"/>
  <c r="H313" i="39"/>
  <c r="L313" i="39" s="1"/>
  <c r="P313" i="39" s="1"/>
  <c r="G313" i="39"/>
  <c r="K313" i="39" s="1"/>
  <c r="O313" i="39" s="1"/>
  <c r="F313" i="39"/>
  <c r="J313" i="39" s="1"/>
  <c r="N313" i="39" s="1"/>
  <c r="L312" i="39"/>
  <c r="P312" i="39" s="1"/>
  <c r="J312" i="39"/>
  <c r="N312" i="39" s="1"/>
  <c r="H312" i="39"/>
  <c r="G312" i="39"/>
  <c r="K312" i="39" s="1"/>
  <c r="O312" i="39" s="1"/>
  <c r="F312" i="39"/>
  <c r="L311" i="39"/>
  <c r="P311" i="39" s="1"/>
  <c r="K311" i="39"/>
  <c r="O311" i="39" s="1"/>
  <c r="H311" i="39"/>
  <c r="G311" i="39"/>
  <c r="F311" i="39"/>
  <c r="J311" i="39" s="1"/>
  <c r="N311" i="39" s="1"/>
  <c r="S311" i="39" s="1"/>
  <c r="P310" i="39"/>
  <c r="L310" i="39"/>
  <c r="K310" i="39"/>
  <c r="O310" i="39" s="1"/>
  <c r="H310" i="39"/>
  <c r="G310" i="39"/>
  <c r="F310" i="39"/>
  <c r="J310" i="39" s="1"/>
  <c r="N310" i="39" s="1"/>
  <c r="S310" i="39" s="1"/>
  <c r="H309" i="39"/>
  <c r="L309" i="39" s="1"/>
  <c r="P309" i="39" s="1"/>
  <c r="G309" i="39"/>
  <c r="K309" i="39" s="1"/>
  <c r="O309" i="39" s="1"/>
  <c r="F309" i="39"/>
  <c r="J309" i="39" s="1"/>
  <c r="N309" i="39" s="1"/>
  <c r="J308" i="39"/>
  <c r="N308" i="39" s="1"/>
  <c r="H308" i="39"/>
  <c r="L308" i="39" s="1"/>
  <c r="P308" i="39" s="1"/>
  <c r="G308" i="39"/>
  <c r="K308" i="39" s="1"/>
  <c r="O308" i="39" s="1"/>
  <c r="F308" i="39"/>
  <c r="R307" i="39"/>
  <c r="L307" i="39"/>
  <c r="P307" i="39" s="1"/>
  <c r="H307" i="39"/>
  <c r="G307" i="39"/>
  <c r="K307" i="39" s="1"/>
  <c r="O307" i="39" s="1"/>
  <c r="F307" i="39"/>
  <c r="J307" i="39" s="1"/>
  <c r="N307" i="39" s="1"/>
  <c r="S307" i="39" s="1"/>
  <c r="O306" i="39"/>
  <c r="K306" i="39"/>
  <c r="J306" i="39"/>
  <c r="N306" i="39" s="1"/>
  <c r="H306" i="39"/>
  <c r="L306" i="39" s="1"/>
  <c r="P306" i="39" s="1"/>
  <c r="G306" i="39"/>
  <c r="F306" i="39"/>
  <c r="L305" i="39"/>
  <c r="P305" i="39" s="1"/>
  <c r="K305" i="39"/>
  <c r="O305" i="39" s="1"/>
  <c r="H305" i="39"/>
  <c r="G305" i="39"/>
  <c r="F305" i="39"/>
  <c r="J305" i="39" s="1"/>
  <c r="N305" i="39" s="1"/>
  <c r="S305" i="39" s="1"/>
  <c r="P304" i="39"/>
  <c r="L304" i="39"/>
  <c r="K304" i="39"/>
  <c r="O304" i="39" s="1"/>
  <c r="J304" i="39"/>
  <c r="N304" i="39" s="1"/>
  <c r="S304" i="39" s="1"/>
  <c r="H304" i="39"/>
  <c r="G304" i="39"/>
  <c r="F304" i="39"/>
  <c r="N303" i="39"/>
  <c r="J303" i="39"/>
  <c r="H303" i="39"/>
  <c r="L303" i="39" s="1"/>
  <c r="P303" i="39" s="1"/>
  <c r="G303" i="39"/>
  <c r="K303" i="39" s="1"/>
  <c r="O303" i="39" s="1"/>
  <c r="F303" i="39"/>
  <c r="L302" i="39"/>
  <c r="P302" i="39" s="1"/>
  <c r="H302" i="39"/>
  <c r="G302" i="39"/>
  <c r="K302" i="39" s="1"/>
  <c r="O302" i="39" s="1"/>
  <c r="F302" i="39"/>
  <c r="J302" i="39" s="1"/>
  <c r="N302" i="39" s="1"/>
  <c r="S302" i="39" s="1"/>
  <c r="J301" i="39"/>
  <c r="N301" i="39" s="1"/>
  <c r="S301" i="39" s="1"/>
  <c r="H301" i="39"/>
  <c r="L301" i="39" s="1"/>
  <c r="P301" i="39" s="1"/>
  <c r="G301" i="39"/>
  <c r="K301" i="39" s="1"/>
  <c r="O301" i="39" s="1"/>
  <c r="F301" i="39"/>
  <c r="N300" i="39"/>
  <c r="J300" i="39"/>
  <c r="H300" i="39"/>
  <c r="L300" i="39" s="1"/>
  <c r="P300" i="39" s="1"/>
  <c r="G300" i="39"/>
  <c r="K300" i="39" s="1"/>
  <c r="O300" i="39" s="1"/>
  <c r="S300" i="39" s="1"/>
  <c r="F300" i="39"/>
  <c r="L299" i="39"/>
  <c r="P299" i="39" s="1"/>
  <c r="J299" i="39"/>
  <c r="N299" i="39" s="1"/>
  <c r="H299" i="39"/>
  <c r="G299" i="39"/>
  <c r="K299" i="39" s="1"/>
  <c r="O299" i="39" s="1"/>
  <c r="F299" i="39"/>
  <c r="S298" i="39"/>
  <c r="J298" i="39"/>
  <c r="N298" i="39" s="1"/>
  <c r="H298" i="39"/>
  <c r="L298" i="39" s="1"/>
  <c r="P298" i="39" s="1"/>
  <c r="G298" i="39"/>
  <c r="K298" i="39" s="1"/>
  <c r="O298" i="39" s="1"/>
  <c r="F298" i="39"/>
  <c r="L297" i="39"/>
  <c r="P297" i="39" s="1"/>
  <c r="H297" i="39"/>
  <c r="G297" i="39"/>
  <c r="K297" i="39" s="1"/>
  <c r="O297" i="39" s="1"/>
  <c r="F297" i="39"/>
  <c r="J297" i="39" s="1"/>
  <c r="N297" i="39" s="1"/>
  <c r="S297" i="39" s="1"/>
  <c r="L296" i="39"/>
  <c r="P296" i="39" s="1"/>
  <c r="J296" i="39"/>
  <c r="N296" i="39" s="1"/>
  <c r="S296" i="39" s="1"/>
  <c r="H296" i="39"/>
  <c r="G296" i="39"/>
  <c r="K296" i="39" s="1"/>
  <c r="O296" i="39" s="1"/>
  <c r="F296" i="39"/>
  <c r="N295" i="39"/>
  <c r="J295" i="39"/>
  <c r="H295" i="39"/>
  <c r="L295" i="39" s="1"/>
  <c r="P295" i="39" s="1"/>
  <c r="G295" i="39"/>
  <c r="K295" i="39" s="1"/>
  <c r="O295" i="39" s="1"/>
  <c r="F295" i="39"/>
  <c r="H294" i="39"/>
  <c r="L294" i="39" s="1"/>
  <c r="P294" i="39" s="1"/>
  <c r="G294" i="39"/>
  <c r="K294" i="39" s="1"/>
  <c r="O294" i="39" s="1"/>
  <c r="F294" i="39"/>
  <c r="J294" i="39" s="1"/>
  <c r="N294" i="39" s="1"/>
  <c r="H293" i="39"/>
  <c r="L293" i="39" s="1"/>
  <c r="P293" i="39" s="1"/>
  <c r="G293" i="39"/>
  <c r="K293" i="39" s="1"/>
  <c r="O293" i="39" s="1"/>
  <c r="F293" i="39"/>
  <c r="J293" i="39" s="1"/>
  <c r="N293" i="39" s="1"/>
  <c r="N292" i="39"/>
  <c r="H292" i="39"/>
  <c r="L292" i="39" s="1"/>
  <c r="P292" i="39" s="1"/>
  <c r="G292" i="39"/>
  <c r="K292" i="39" s="1"/>
  <c r="O292" i="39" s="1"/>
  <c r="T292" i="39" s="1"/>
  <c r="F292" i="39"/>
  <c r="J292" i="39" s="1"/>
  <c r="R291" i="39"/>
  <c r="H291" i="39"/>
  <c r="L291" i="39" s="1"/>
  <c r="P291" i="39" s="1"/>
  <c r="G291" i="39"/>
  <c r="K291" i="39" s="1"/>
  <c r="O291" i="39" s="1"/>
  <c r="F291" i="39"/>
  <c r="J291" i="39" s="1"/>
  <c r="N291" i="39" s="1"/>
  <c r="S291" i="39" s="1"/>
  <c r="H290" i="39"/>
  <c r="L290" i="39" s="1"/>
  <c r="P290" i="39" s="1"/>
  <c r="G290" i="39"/>
  <c r="K290" i="39" s="1"/>
  <c r="O290" i="39" s="1"/>
  <c r="F290" i="39"/>
  <c r="J290" i="39" s="1"/>
  <c r="N290" i="39" s="1"/>
  <c r="S290" i="39" s="1"/>
  <c r="H289" i="39"/>
  <c r="L289" i="39" s="1"/>
  <c r="P289" i="39" s="1"/>
  <c r="G289" i="39"/>
  <c r="K289" i="39" s="1"/>
  <c r="O289" i="39" s="1"/>
  <c r="F289" i="39"/>
  <c r="J289" i="39" s="1"/>
  <c r="N289" i="39" s="1"/>
  <c r="N288" i="39"/>
  <c r="S288" i="39" s="1"/>
  <c r="H288" i="39"/>
  <c r="L288" i="39" s="1"/>
  <c r="P288" i="39" s="1"/>
  <c r="G288" i="39"/>
  <c r="K288" i="39" s="1"/>
  <c r="O288" i="39" s="1"/>
  <c r="F288" i="39"/>
  <c r="J288" i="39" s="1"/>
  <c r="R287" i="39"/>
  <c r="L287" i="39"/>
  <c r="P287" i="39" s="1"/>
  <c r="H287" i="39"/>
  <c r="G287" i="39"/>
  <c r="K287" i="39" s="1"/>
  <c r="O287" i="39" s="1"/>
  <c r="F287" i="39"/>
  <c r="J287" i="39" s="1"/>
  <c r="N287" i="39" s="1"/>
  <c r="S287" i="39" s="1"/>
  <c r="L286" i="39"/>
  <c r="P286" i="39" s="1"/>
  <c r="H286" i="39"/>
  <c r="G286" i="39"/>
  <c r="K286" i="39" s="1"/>
  <c r="O286" i="39" s="1"/>
  <c r="F286" i="39"/>
  <c r="J286" i="39" s="1"/>
  <c r="N286" i="39" s="1"/>
  <c r="S286" i="39" s="1"/>
  <c r="L285" i="39"/>
  <c r="P285" i="39" s="1"/>
  <c r="H285" i="39"/>
  <c r="G285" i="39"/>
  <c r="K285" i="39" s="1"/>
  <c r="O285" i="39" s="1"/>
  <c r="F285" i="39"/>
  <c r="J285" i="39" s="1"/>
  <c r="N285" i="39" s="1"/>
  <c r="N284" i="39"/>
  <c r="S284" i="39" s="1"/>
  <c r="H284" i="39"/>
  <c r="L284" i="39" s="1"/>
  <c r="P284" i="39" s="1"/>
  <c r="G284" i="39"/>
  <c r="K284" i="39" s="1"/>
  <c r="O284" i="39" s="1"/>
  <c r="T284" i="39" s="1"/>
  <c r="F284" i="39"/>
  <c r="J284" i="39" s="1"/>
  <c r="R283" i="39"/>
  <c r="H283" i="39"/>
  <c r="L283" i="39" s="1"/>
  <c r="P283" i="39" s="1"/>
  <c r="G283" i="39"/>
  <c r="K283" i="39" s="1"/>
  <c r="O283" i="39" s="1"/>
  <c r="F283" i="39"/>
  <c r="J283" i="39" s="1"/>
  <c r="N283" i="39" s="1"/>
  <c r="S283" i="39" s="1"/>
  <c r="H282" i="39"/>
  <c r="L282" i="39" s="1"/>
  <c r="P282" i="39" s="1"/>
  <c r="G282" i="39"/>
  <c r="K282" i="39" s="1"/>
  <c r="O282" i="39" s="1"/>
  <c r="F282" i="39"/>
  <c r="J282" i="39" s="1"/>
  <c r="N282" i="39" s="1"/>
  <c r="K281" i="39"/>
  <c r="O281" i="39" s="1"/>
  <c r="S281" i="39" s="1"/>
  <c r="H281" i="39"/>
  <c r="L281" i="39" s="1"/>
  <c r="P281" i="39" s="1"/>
  <c r="G281" i="39"/>
  <c r="F281" i="39"/>
  <c r="J281" i="39" s="1"/>
  <c r="N281" i="39" s="1"/>
  <c r="S280" i="39"/>
  <c r="H280" i="39"/>
  <c r="L280" i="39" s="1"/>
  <c r="P280" i="39" s="1"/>
  <c r="G280" i="39"/>
  <c r="K280" i="39" s="1"/>
  <c r="O280" i="39" s="1"/>
  <c r="F280" i="39"/>
  <c r="J280" i="39" s="1"/>
  <c r="N280" i="39" s="1"/>
  <c r="P279" i="39"/>
  <c r="N279" i="39"/>
  <c r="H279" i="39"/>
  <c r="L279" i="39" s="1"/>
  <c r="G279" i="39"/>
  <c r="K279" i="39" s="1"/>
  <c r="O279" i="39" s="1"/>
  <c r="F279" i="39"/>
  <c r="J279" i="39" s="1"/>
  <c r="P278" i="39"/>
  <c r="H278" i="39"/>
  <c r="L278" i="39" s="1"/>
  <c r="G278" i="39"/>
  <c r="K278" i="39" s="1"/>
  <c r="O278" i="39" s="1"/>
  <c r="R278" i="39" s="1"/>
  <c r="F278" i="39"/>
  <c r="J278" i="39" s="1"/>
  <c r="N278" i="39" s="1"/>
  <c r="H277" i="39"/>
  <c r="L277" i="39" s="1"/>
  <c r="P277" i="39" s="1"/>
  <c r="G277" i="39"/>
  <c r="K277" i="39" s="1"/>
  <c r="O277" i="39" s="1"/>
  <c r="F277" i="39"/>
  <c r="J277" i="39" s="1"/>
  <c r="N277" i="39" s="1"/>
  <c r="H276" i="39"/>
  <c r="L276" i="39" s="1"/>
  <c r="P276" i="39" s="1"/>
  <c r="G276" i="39"/>
  <c r="K276" i="39" s="1"/>
  <c r="O276" i="39" s="1"/>
  <c r="F276" i="39"/>
  <c r="J276" i="39" s="1"/>
  <c r="N276" i="39" s="1"/>
  <c r="K275" i="39"/>
  <c r="O275" i="39" s="1"/>
  <c r="H275" i="39"/>
  <c r="L275" i="39" s="1"/>
  <c r="P275" i="39" s="1"/>
  <c r="G275" i="39"/>
  <c r="F275" i="39"/>
  <c r="J275" i="39" s="1"/>
  <c r="N275" i="39" s="1"/>
  <c r="K274" i="39"/>
  <c r="O274" i="39" s="1"/>
  <c r="H274" i="39"/>
  <c r="L274" i="39" s="1"/>
  <c r="P274" i="39" s="1"/>
  <c r="G274" i="39"/>
  <c r="F274" i="39"/>
  <c r="J274" i="39" s="1"/>
  <c r="N274" i="39" s="1"/>
  <c r="N273" i="39"/>
  <c r="S273" i="39" s="1"/>
  <c r="H273" i="39"/>
  <c r="L273" i="39" s="1"/>
  <c r="P273" i="39" s="1"/>
  <c r="G273" i="39"/>
  <c r="K273" i="39" s="1"/>
  <c r="O273" i="39" s="1"/>
  <c r="F273" i="39"/>
  <c r="J273" i="39" s="1"/>
  <c r="L272" i="39"/>
  <c r="P272" i="39" s="1"/>
  <c r="J272" i="39"/>
  <c r="N272" i="39" s="1"/>
  <c r="S272" i="39" s="1"/>
  <c r="H272" i="39"/>
  <c r="G272" i="39"/>
  <c r="K272" i="39" s="1"/>
  <c r="O272" i="39" s="1"/>
  <c r="F272" i="39"/>
  <c r="N271" i="39"/>
  <c r="S271" i="39" s="1"/>
  <c r="H271" i="39"/>
  <c r="L271" i="39" s="1"/>
  <c r="P271" i="39" s="1"/>
  <c r="G271" i="39"/>
  <c r="K271" i="39" s="1"/>
  <c r="O271" i="39" s="1"/>
  <c r="R271" i="39" s="1"/>
  <c r="F271" i="39"/>
  <c r="J271" i="39" s="1"/>
  <c r="J270" i="39"/>
  <c r="N270" i="39" s="1"/>
  <c r="H270" i="39"/>
  <c r="L270" i="39" s="1"/>
  <c r="P270" i="39" s="1"/>
  <c r="G270" i="39"/>
  <c r="K270" i="39" s="1"/>
  <c r="O270" i="39" s="1"/>
  <c r="F270" i="39"/>
  <c r="J269" i="39"/>
  <c r="N269" i="39" s="1"/>
  <c r="S269" i="39" s="1"/>
  <c r="H269" i="39"/>
  <c r="L269" i="39" s="1"/>
  <c r="P269" i="39" s="1"/>
  <c r="G269" i="39"/>
  <c r="K269" i="39" s="1"/>
  <c r="O269" i="39" s="1"/>
  <c r="R269" i="39" s="1"/>
  <c r="F269" i="39"/>
  <c r="L268" i="39"/>
  <c r="P268" i="39" s="1"/>
  <c r="H268" i="39"/>
  <c r="G268" i="39"/>
  <c r="K268" i="39" s="1"/>
  <c r="O268" i="39" s="1"/>
  <c r="F268" i="39"/>
  <c r="J268" i="39" s="1"/>
  <c r="N268" i="39" s="1"/>
  <c r="H267" i="39"/>
  <c r="L267" i="39" s="1"/>
  <c r="P267" i="39" s="1"/>
  <c r="G267" i="39"/>
  <c r="K267" i="39" s="1"/>
  <c r="O267" i="39" s="1"/>
  <c r="R267" i="39" s="1"/>
  <c r="F267" i="39"/>
  <c r="J267" i="39" s="1"/>
  <c r="N267" i="39" s="1"/>
  <c r="S267" i="39" s="1"/>
  <c r="J266" i="39"/>
  <c r="N266" i="39" s="1"/>
  <c r="H266" i="39"/>
  <c r="L266" i="39" s="1"/>
  <c r="P266" i="39" s="1"/>
  <c r="G266" i="39"/>
  <c r="K266" i="39" s="1"/>
  <c r="O266" i="39" s="1"/>
  <c r="T266" i="39" s="1"/>
  <c r="F266" i="39"/>
  <c r="J265" i="39"/>
  <c r="N265" i="39" s="1"/>
  <c r="S265" i="39" s="1"/>
  <c r="H265" i="39"/>
  <c r="L265" i="39" s="1"/>
  <c r="P265" i="39" s="1"/>
  <c r="G265" i="39"/>
  <c r="K265" i="39" s="1"/>
  <c r="O265" i="39" s="1"/>
  <c r="R265" i="39" s="1"/>
  <c r="F265" i="39"/>
  <c r="L264" i="39"/>
  <c r="P264" i="39" s="1"/>
  <c r="H264" i="39"/>
  <c r="G264" i="39"/>
  <c r="K264" i="39" s="1"/>
  <c r="O264" i="39" s="1"/>
  <c r="F264" i="39"/>
  <c r="J264" i="39" s="1"/>
  <c r="N264" i="39" s="1"/>
  <c r="S264" i="39" s="1"/>
  <c r="H263" i="39"/>
  <c r="L263" i="39" s="1"/>
  <c r="P263" i="39" s="1"/>
  <c r="G263" i="39"/>
  <c r="K263" i="39" s="1"/>
  <c r="O263" i="39" s="1"/>
  <c r="R263" i="39" s="1"/>
  <c r="F263" i="39"/>
  <c r="J263" i="39" s="1"/>
  <c r="N263" i="39" s="1"/>
  <c r="S263" i="39" s="1"/>
  <c r="J262" i="39"/>
  <c r="N262" i="39" s="1"/>
  <c r="H262" i="39"/>
  <c r="L262" i="39" s="1"/>
  <c r="P262" i="39" s="1"/>
  <c r="G262" i="39"/>
  <c r="K262" i="39" s="1"/>
  <c r="O262" i="39" s="1"/>
  <c r="T262" i="39" s="1"/>
  <c r="F262" i="39"/>
  <c r="J261" i="39"/>
  <c r="N261" i="39" s="1"/>
  <c r="S261" i="39" s="1"/>
  <c r="H261" i="39"/>
  <c r="L261" i="39" s="1"/>
  <c r="P261" i="39" s="1"/>
  <c r="G261" i="39"/>
  <c r="K261" i="39" s="1"/>
  <c r="O261" i="39" s="1"/>
  <c r="R261" i="39" s="1"/>
  <c r="F261" i="39"/>
  <c r="L260" i="39"/>
  <c r="P260" i="39" s="1"/>
  <c r="J260" i="39"/>
  <c r="N260" i="39" s="1"/>
  <c r="S260" i="39" s="1"/>
  <c r="H260" i="39"/>
  <c r="G260" i="39"/>
  <c r="K260" i="39" s="1"/>
  <c r="O260" i="39" s="1"/>
  <c r="F260" i="39"/>
  <c r="N259" i="39"/>
  <c r="H259" i="39"/>
  <c r="L259" i="39" s="1"/>
  <c r="P259" i="39" s="1"/>
  <c r="G259" i="39"/>
  <c r="K259" i="39" s="1"/>
  <c r="O259" i="39" s="1"/>
  <c r="R259" i="39" s="1"/>
  <c r="F259" i="39"/>
  <c r="J259" i="39" s="1"/>
  <c r="J258" i="39"/>
  <c r="N258" i="39" s="1"/>
  <c r="H258" i="39"/>
  <c r="L258" i="39" s="1"/>
  <c r="P258" i="39" s="1"/>
  <c r="G258" i="39"/>
  <c r="K258" i="39" s="1"/>
  <c r="O258" i="39" s="1"/>
  <c r="F258" i="39"/>
  <c r="J257" i="39"/>
  <c r="N257" i="39" s="1"/>
  <c r="H257" i="39"/>
  <c r="L257" i="39" s="1"/>
  <c r="P257" i="39" s="1"/>
  <c r="G257" i="39"/>
  <c r="K257" i="39" s="1"/>
  <c r="O257" i="39" s="1"/>
  <c r="R257" i="39" s="1"/>
  <c r="F257" i="39"/>
  <c r="L256" i="39"/>
  <c r="P256" i="39" s="1"/>
  <c r="J256" i="39"/>
  <c r="N256" i="39" s="1"/>
  <c r="S256" i="39" s="1"/>
  <c r="H256" i="39"/>
  <c r="G256" i="39"/>
  <c r="K256" i="39" s="1"/>
  <c r="O256" i="39" s="1"/>
  <c r="F256" i="39"/>
  <c r="N255" i="39"/>
  <c r="H255" i="39"/>
  <c r="L255" i="39" s="1"/>
  <c r="P255" i="39" s="1"/>
  <c r="G255" i="39"/>
  <c r="K255" i="39" s="1"/>
  <c r="O255" i="39" s="1"/>
  <c r="R255" i="39" s="1"/>
  <c r="F255" i="39"/>
  <c r="J255" i="39" s="1"/>
  <c r="J254" i="39"/>
  <c r="N254" i="39" s="1"/>
  <c r="H254" i="39"/>
  <c r="L254" i="39" s="1"/>
  <c r="P254" i="39" s="1"/>
  <c r="G254" i="39"/>
  <c r="K254" i="39" s="1"/>
  <c r="O254" i="39" s="1"/>
  <c r="F254" i="39"/>
  <c r="J253" i="39"/>
  <c r="N253" i="39" s="1"/>
  <c r="H253" i="39"/>
  <c r="L253" i="39" s="1"/>
  <c r="P253" i="39" s="1"/>
  <c r="T253" i="39" s="1"/>
  <c r="G253" i="39"/>
  <c r="K253" i="39" s="1"/>
  <c r="O253" i="39" s="1"/>
  <c r="R253" i="39" s="1"/>
  <c r="F253" i="39"/>
  <c r="R252" i="39"/>
  <c r="L252" i="39"/>
  <c r="P252" i="39" s="1"/>
  <c r="H252" i="39"/>
  <c r="G252" i="39"/>
  <c r="K252" i="39" s="1"/>
  <c r="O252" i="39" s="1"/>
  <c r="T252" i="39" s="1"/>
  <c r="F252" i="39"/>
  <c r="J252" i="39" s="1"/>
  <c r="N252" i="39" s="1"/>
  <c r="S252" i="39" s="1"/>
  <c r="J251" i="39"/>
  <c r="N251" i="39" s="1"/>
  <c r="H251" i="39"/>
  <c r="L251" i="39" s="1"/>
  <c r="P251" i="39" s="1"/>
  <c r="G251" i="39"/>
  <c r="K251" i="39" s="1"/>
  <c r="O251" i="39" s="1"/>
  <c r="R251" i="39" s="1"/>
  <c r="F251" i="39"/>
  <c r="N250" i="39"/>
  <c r="J250" i="39"/>
  <c r="H250" i="39"/>
  <c r="L250" i="39" s="1"/>
  <c r="P250" i="39" s="1"/>
  <c r="G250" i="39"/>
  <c r="K250" i="39" s="1"/>
  <c r="O250" i="39" s="1"/>
  <c r="F250" i="39"/>
  <c r="J249" i="39"/>
  <c r="N249" i="39" s="1"/>
  <c r="H249" i="39"/>
  <c r="L249" i="39" s="1"/>
  <c r="P249" i="39" s="1"/>
  <c r="G249" i="39"/>
  <c r="K249" i="39" s="1"/>
  <c r="O249" i="39" s="1"/>
  <c r="F249" i="39"/>
  <c r="L248" i="39"/>
  <c r="P248" i="39" s="1"/>
  <c r="H248" i="39"/>
  <c r="G248" i="39"/>
  <c r="K248" i="39" s="1"/>
  <c r="O248" i="39" s="1"/>
  <c r="F248" i="39"/>
  <c r="J248" i="39" s="1"/>
  <c r="N248" i="39" s="1"/>
  <c r="J247" i="39"/>
  <c r="N247" i="39" s="1"/>
  <c r="S247" i="39" s="1"/>
  <c r="H247" i="39"/>
  <c r="L247" i="39" s="1"/>
  <c r="P247" i="39" s="1"/>
  <c r="T247" i="39" s="1"/>
  <c r="G247" i="39"/>
  <c r="K247" i="39" s="1"/>
  <c r="O247" i="39" s="1"/>
  <c r="R247" i="39" s="1"/>
  <c r="F247" i="39"/>
  <c r="L246" i="39"/>
  <c r="P246" i="39" s="1"/>
  <c r="H246" i="39"/>
  <c r="G246" i="39"/>
  <c r="K246" i="39" s="1"/>
  <c r="O246" i="39" s="1"/>
  <c r="T246" i="39" s="1"/>
  <c r="F246" i="39"/>
  <c r="J246" i="39" s="1"/>
  <c r="N246" i="39" s="1"/>
  <c r="H245" i="39"/>
  <c r="L245" i="39" s="1"/>
  <c r="P245" i="39" s="1"/>
  <c r="G245" i="39"/>
  <c r="K245" i="39" s="1"/>
  <c r="O245" i="39" s="1"/>
  <c r="R245" i="39" s="1"/>
  <c r="F245" i="39"/>
  <c r="J245" i="39" s="1"/>
  <c r="N245" i="39" s="1"/>
  <c r="S245" i="39" s="1"/>
  <c r="L244" i="39"/>
  <c r="P244" i="39" s="1"/>
  <c r="H244" i="39"/>
  <c r="G244" i="39"/>
  <c r="K244" i="39" s="1"/>
  <c r="O244" i="39" s="1"/>
  <c r="T244" i="39" s="1"/>
  <c r="F244" i="39"/>
  <c r="J244" i="39" s="1"/>
  <c r="N244" i="39" s="1"/>
  <c r="S244" i="39" s="1"/>
  <c r="J243" i="39"/>
  <c r="N243" i="39" s="1"/>
  <c r="H243" i="39"/>
  <c r="L243" i="39" s="1"/>
  <c r="P243" i="39" s="1"/>
  <c r="G243" i="39"/>
  <c r="K243" i="39" s="1"/>
  <c r="O243" i="39" s="1"/>
  <c r="F243" i="39"/>
  <c r="L242" i="39"/>
  <c r="P242" i="39" s="1"/>
  <c r="H242" i="39"/>
  <c r="G242" i="39"/>
  <c r="K242" i="39" s="1"/>
  <c r="O242" i="39" s="1"/>
  <c r="F242" i="39"/>
  <c r="J242" i="39" s="1"/>
  <c r="N242" i="39" s="1"/>
  <c r="J241" i="39"/>
  <c r="N241" i="39" s="1"/>
  <c r="H241" i="39"/>
  <c r="L241" i="39" s="1"/>
  <c r="P241" i="39" s="1"/>
  <c r="G241" i="39"/>
  <c r="K241" i="39" s="1"/>
  <c r="O241" i="39" s="1"/>
  <c r="F241" i="39"/>
  <c r="L240" i="39"/>
  <c r="P240" i="39" s="1"/>
  <c r="J240" i="39"/>
  <c r="N240" i="39" s="1"/>
  <c r="H240" i="39"/>
  <c r="G240" i="39"/>
  <c r="K240" i="39" s="1"/>
  <c r="O240" i="39" s="1"/>
  <c r="F240" i="39"/>
  <c r="N239" i="39"/>
  <c r="S239" i="39" s="1"/>
  <c r="H239" i="39"/>
  <c r="L239" i="39" s="1"/>
  <c r="P239" i="39" s="1"/>
  <c r="G239" i="39"/>
  <c r="K239" i="39" s="1"/>
  <c r="O239" i="39" s="1"/>
  <c r="R239" i="39" s="1"/>
  <c r="F239" i="39"/>
  <c r="J239" i="39" s="1"/>
  <c r="L238" i="39"/>
  <c r="P238" i="39" s="1"/>
  <c r="H238" i="39"/>
  <c r="G238" i="39"/>
  <c r="K238" i="39" s="1"/>
  <c r="O238" i="39" s="1"/>
  <c r="T238" i="39" s="1"/>
  <c r="F238" i="39"/>
  <c r="J238" i="39" s="1"/>
  <c r="N238" i="39" s="1"/>
  <c r="S238" i="39" s="1"/>
  <c r="H237" i="39"/>
  <c r="L237" i="39" s="1"/>
  <c r="P237" i="39" s="1"/>
  <c r="G237" i="39"/>
  <c r="K237" i="39" s="1"/>
  <c r="O237" i="39" s="1"/>
  <c r="R237" i="39" s="1"/>
  <c r="F237" i="39"/>
  <c r="J237" i="39" s="1"/>
  <c r="N237" i="39" s="1"/>
  <c r="S237" i="39" s="1"/>
  <c r="J236" i="39"/>
  <c r="N236" i="39" s="1"/>
  <c r="S236" i="39" s="1"/>
  <c r="H236" i="39"/>
  <c r="L236" i="39" s="1"/>
  <c r="P236" i="39" s="1"/>
  <c r="T236" i="39" s="1"/>
  <c r="G236" i="39"/>
  <c r="K236" i="39" s="1"/>
  <c r="O236" i="39" s="1"/>
  <c r="R236" i="39" s="1"/>
  <c r="F236" i="39"/>
  <c r="N235" i="39"/>
  <c r="H235" i="39"/>
  <c r="L235" i="39" s="1"/>
  <c r="P235" i="39" s="1"/>
  <c r="G235" i="39"/>
  <c r="K235" i="39" s="1"/>
  <c r="O235" i="39" s="1"/>
  <c r="R235" i="39" s="1"/>
  <c r="F235" i="39"/>
  <c r="J235" i="39" s="1"/>
  <c r="L234" i="39"/>
  <c r="P234" i="39" s="1"/>
  <c r="J234" i="39"/>
  <c r="N234" i="39" s="1"/>
  <c r="H234" i="39"/>
  <c r="G234" i="39"/>
  <c r="K234" i="39" s="1"/>
  <c r="O234" i="39" s="1"/>
  <c r="F234" i="39"/>
  <c r="N233" i="39"/>
  <c r="H233" i="39"/>
  <c r="L233" i="39" s="1"/>
  <c r="P233" i="39" s="1"/>
  <c r="G233" i="39"/>
  <c r="K233" i="39" s="1"/>
  <c r="O233" i="39" s="1"/>
  <c r="T233" i="39" s="1"/>
  <c r="F233" i="39"/>
  <c r="J233" i="39" s="1"/>
  <c r="J232" i="39"/>
  <c r="N232" i="39" s="1"/>
  <c r="H232" i="39"/>
  <c r="L232" i="39" s="1"/>
  <c r="P232" i="39" s="1"/>
  <c r="G232" i="39"/>
  <c r="K232" i="39" s="1"/>
  <c r="O232" i="39" s="1"/>
  <c r="F232" i="39"/>
  <c r="N231" i="39"/>
  <c r="H231" i="39"/>
  <c r="L231" i="39" s="1"/>
  <c r="P231" i="39" s="1"/>
  <c r="G231" i="39"/>
  <c r="K231" i="39" s="1"/>
  <c r="O231" i="39" s="1"/>
  <c r="R231" i="39" s="1"/>
  <c r="F231" i="39"/>
  <c r="J231" i="39" s="1"/>
  <c r="J230" i="39"/>
  <c r="N230" i="39" s="1"/>
  <c r="S230" i="39" s="1"/>
  <c r="H230" i="39"/>
  <c r="L230" i="39" s="1"/>
  <c r="P230" i="39" s="1"/>
  <c r="T230" i="39" s="1"/>
  <c r="G230" i="39"/>
  <c r="K230" i="39" s="1"/>
  <c r="O230" i="39" s="1"/>
  <c r="R230" i="39" s="1"/>
  <c r="F230" i="39"/>
  <c r="J229" i="39"/>
  <c r="N229" i="39" s="1"/>
  <c r="S229" i="39" s="1"/>
  <c r="H229" i="39"/>
  <c r="L229" i="39" s="1"/>
  <c r="P229" i="39" s="1"/>
  <c r="T229" i="39" s="1"/>
  <c r="G229" i="39"/>
  <c r="K229" i="39" s="1"/>
  <c r="O229" i="39" s="1"/>
  <c r="R229" i="39" s="1"/>
  <c r="F229" i="39"/>
  <c r="R228" i="39"/>
  <c r="J228" i="39"/>
  <c r="N228" i="39" s="1"/>
  <c r="H228" i="39"/>
  <c r="L228" i="39" s="1"/>
  <c r="P228" i="39" s="1"/>
  <c r="G228" i="39"/>
  <c r="K228" i="39" s="1"/>
  <c r="O228" i="39" s="1"/>
  <c r="T228" i="39" s="1"/>
  <c r="F228" i="39"/>
  <c r="J227" i="39"/>
  <c r="N227" i="39" s="1"/>
  <c r="H227" i="39"/>
  <c r="L227" i="39" s="1"/>
  <c r="P227" i="39" s="1"/>
  <c r="G227" i="39"/>
  <c r="K227" i="39" s="1"/>
  <c r="O227" i="39" s="1"/>
  <c r="R227" i="39" s="1"/>
  <c r="F227" i="39"/>
  <c r="R226" i="39"/>
  <c r="L226" i="39"/>
  <c r="P226" i="39" s="1"/>
  <c r="H226" i="39"/>
  <c r="G226" i="39"/>
  <c r="K226" i="39" s="1"/>
  <c r="O226" i="39" s="1"/>
  <c r="F226" i="39"/>
  <c r="J226" i="39" s="1"/>
  <c r="N226" i="39" s="1"/>
  <c r="H225" i="39"/>
  <c r="L225" i="39" s="1"/>
  <c r="P225" i="39" s="1"/>
  <c r="G225" i="39"/>
  <c r="K225" i="39" s="1"/>
  <c r="O225" i="39" s="1"/>
  <c r="T225" i="39" s="1"/>
  <c r="F225" i="39"/>
  <c r="J225" i="39" s="1"/>
  <c r="N225" i="39" s="1"/>
  <c r="J224" i="39"/>
  <c r="N224" i="39" s="1"/>
  <c r="H224" i="39"/>
  <c r="L224" i="39" s="1"/>
  <c r="P224" i="39" s="1"/>
  <c r="G224" i="39"/>
  <c r="K224" i="39" s="1"/>
  <c r="O224" i="39" s="1"/>
  <c r="F224" i="39"/>
  <c r="H223" i="39"/>
  <c r="L223" i="39" s="1"/>
  <c r="P223" i="39" s="1"/>
  <c r="T223" i="39" s="1"/>
  <c r="G223" i="39"/>
  <c r="K223" i="39" s="1"/>
  <c r="O223" i="39" s="1"/>
  <c r="R223" i="39" s="1"/>
  <c r="F223" i="39"/>
  <c r="J223" i="39" s="1"/>
  <c r="N223" i="39" s="1"/>
  <c r="S223" i="39" s="1"/>
  <c r="J222" i="39"/>
  <c r="N222" i="39" s="1"/>
  <c r="H222" i="39"/>
  <c r="L222" i="39" s="1"/>
  <c r="P222" i="39" s="1"/>
  <c r="G222" i="39"/>
  <c r="K222" i="39" s="1"/>
  <c r="O222" i="39" s="1"/>
  <c r="R222" i="39" s="1"/>
  <c r="F222" i="39"/>
  <c r="J221" i="39"/>
  <c r="N221" i="39" s="1"/>
  <c r="H221" i="39"/>
  <c r="L221" i="39" s="1"/>
  <c r="P221" i="39" s="1"/>
  <c r="G221" i="39"/>
  <c r="K221" i="39" s="1"/>
  <c r="O221" i="39" s="1"/>
  <c r="R221" i="39" s="1"/>
  <c r="F221" i="39"/>
  <c r="R220" i="39"/>
  <c r="L220" i="39"/>
  <c r="P220" i="39" s="1"/>
  <c r="H220" i="39"/>
  <c r="G220" i="39"/>
  <c r="K220" i="39" s="1"/>
  <c r="O220" i="39" s="1"/>
  <c r="F220" i="39"/>
  <c r="J220" i="39" s="1"/>
  <c r="N220" i="39" s="1"/>
  <c r="S220" i="39" s="1"/>
  <c r="N219" i="39"/>
  <c r="H219" i="39"/>
  <c r="L219" i="39" s="1"/>
  <c r="P219" i="39" s="1"/>
  <c r="G219" i="39"/>
  <c r="K219" i="39" s="1"/>
  <c r="O219" i="39" s="1"/>
  <c r="R219" i="39" s="1"/>
  <c r="F219" i="39"/>
  <c r="J219" i="39" s="1"/>
  <c r="J218" i="39"/>
  <c r="N218" i="39" s="1"/>
  <c r="H218" i="39"/>
  <c r="L218" i="39" s="1"/>
  <c r="P218" i="39" s="1"/>
  <c r="G218" i="39"/>
  <c r="K218" i="39" s="1"/>
  <c r="O218" i="39" s="1"/>
  <c r="F218" i="39"/>
  <c r="J217" i="39"/>
  <c r="N217" i="39" s="1"/>
  <c r="H217" i="39"/>
  <c r="L217" i="39" s="1"/>
  <c r="P217" i="39" s="1"/>
  <c r="G217" i="39"/>
  <c r="K217" i="39" s="1"/>
  <c r="O217" i="39" s="1"/>
  <c r="F217" i="39"/>
  <c r="L216" i="39"/>
  <c r="P216" i="39" s="1"/>
  <c r="H216" i="39"/>
  <c r="G216" i="39"/>
  <c r="K216" i="39" s="1"/>
  <c r="O216" i="39" s="1"/>
  <c r="F216" i="39"/>
  <c r="J216" i="39" s="1"/>
  <c r="N216" i="39" s="1"/>
  <c r="J215" i="39"/>
  <c r="N215" i="39" s="1"/>
  <c r="H215" i="39"/>
  <c r="L215" i="39" s="1"/>
  <c r="P215" i="39" s="1"/>
  <c r="G215" i="39"/>
  <c r="K215" i="39" s="1"/>
  <c r="O215" i="39" s="1"/>
  <c r="R215" i="39" s="1"/>
  <c r="F215" i="39"/>
  <c r="H214" i="39"/>
  <c r="L214" i="39" s="1"/>
  <c r="P214" i="39" s="1"/>
  <c r="G214" i="39"/>
  <c r="K214" i="39" s="1"/>
  <c r="O214" i="39" s="1"/>
  <c r="F214" i="39"/>
  <c r="J214" i="39" s="1"/>
  <c r="N214" i="39" s="1"/>
  <c r="H213" i="39"/>
  <c r="L213" i="39" s="1"/>
  <c r="P213" i="39" s="1"/>
  <c r="G213" i="39"/>
  <c r="K213" i="39" s="1"/>
  <c r="O213" i="39" s="1"/>
  <c r="R213" i="39" s="1"/>
  <c r="F213" i="39"/>
  <c r="J213" i="39" s="1"/>
  <c r="N213" i="39" s="1"/>
  <c r="K212" i="39"/>
  <c r="O212" i="39" s="1"/>
  <c r="H212" i="39"/>
  <c r="L212" i="39" s="1"/>
  <c r="P212" i="39" s="1"/>
  <c r="G212" i="39"/>
  <c r="F212" i="39"/>
  <c r="J212" i="39" s="1"/>
  <c r="N212" i="39" s="1"/>
  <c r="P211" i="39"/>
  <c r="K211" i="39"/>
  <c r="O211" i="39" s="1"/>
  <c r="H211" i="39"/>
  <c r="L211" i="39" s="1"/>
  <c r="G211" i="39"/>
  <c r="F211" i="39"/>
  <c r="J211" i="39" s="1"/>
  <c r="N211" i="39" s="1"/>
  <c r="S211" i="39" s="1"/>
  <c r="K210" i="39"/>
  <c r="O210" i="39" s="1"/>
  <c r="H210" i="39"/>
  <c r="L210" i="39" s="1"/>
  <c r="P210" i="39" s="1"/>
  <c r="G210" i="39"/>
  <c r="F210" i="39"/>
  <c r="J210" i="39" s="1"/>
  <c r="N210" i="39" s="1"/>
  <c r="S210" i="39" s="1"/>
  <c r="K209" i="39"/>
  <c r="O209" i="39" s="1"/>
  <c r="H209" i="39"/>
  <c r="L209" i="39" s="1"/>
  <c r="P209" i="39" s="1"/>
  <c r="G209" i="39"/>
  <c r="F209" i="39"/>
  <c r="J209" i="39" s="1"/>
  <c r="N209" i="39" s="1"/>
  <c r="K208" i="39"/>
  <c r="O208" i="39" s="1"/>
  <c r="H208" i="39"/>
  <c r="L208" i="39" s="1"/>
  <c r="P208" i="39" s="1"/>
  <c r="G208" i="39"/>
  <c r="F208" i="39"/>
  <c r="J208" i="39" s="1"/>
  <c r="N208" i="39" s="1"/>
  <c r="S208" i="39" s="1"/>
  <c r="P207" i="39"/>
  <c r="H207" i="39"/>
  <c r="L207" i="39" s="1"/>
  <c r="G207" i="39"/>
  <c r="K207" i="39" s="1"/>
  <c r="O207" i="39" s="1"/>
  <c r="F207" i="39"/>
  <c r="J207" i="39" s="1"/>
  <c r="N207" i="39" s="1"/>
  <c r="S207" i="39" s="1"/>
  <c r="H206" i="39"/>
  <c r="L206" i="39" s="1"/>
  <c r="P206" i="39" s="1"/>
  <c r="G206" i="39"/>
  <c r="K206" i="39" s="1"/>
  <c r="O206" i="39" s="1"/>
  <c r="F206" i="39"/>
  <c r="J206" i="39" s="1"/>
  <c r="N206" i="39" s="1"/>
  <c r="H205" i="39"/>
  <c r="L205" i="39" s="1"/>
  <c r="P205" i="39" s="1"/>
  <c r="G205" i="39"/>
  <c r="K205" i="39" s="1"/>
  <c r="O205" i="39" s="1"/>
  <c r="F205" i="39"/>
  <c r="J205" i="39" s="1"/>
  <c r="N205" i="39" s="1"/>
  <c r="H204" i="39"/>
  <c r="L204" i="39" s="1"/>
  <c r="P204" i="39" s="1"/>
  <c r="G204" i="39"/>
  <c r="K204" i="39" s="1"/>
  <c r="O204" i="39" s="1"/>
  <c r="F204" i="39"/>
  <c r="J204" i="39" s="1"/>
  <c r="N204" i="39" s="1"/>
  <c r="K203" i="39"/>
  <c r="O203" i="39" s="1"/>
  <c r="H203" i="39"/>
  <c r="L203" i="39" s="1"/>
  <c r="P203" i="39" s="1"/>
  <c r="G203" i="39"/>
  <c r="F203" i="39"/>
  <c r="J203" i="39" s="1"/>
  <c r="N203" i="39" s="1"/>
  <c r="K202" i="39"/>
  <c r="O202" i="39" s="1"/>
  <c r="H202" i="39"/>
  <c r="L202" i="39" s="1"/>
  <c r="P202" i="39" s="1"/>
  <c r="G202" i="39"/>
  <c r="F202" i="39"/>
  <c r="J202" i="39" s="1"/>
  <c r="N202" i="39" s="1"/>
  <c r="K201" i="39"/>
  <c r="O201" i="39" s="1"/>
  <c r="H201" i="39"/>
  <c r="L201" i="39" s="1"/>
  <c r="P201" i="39" s="1"/>
  <c r="G201" i="39"/>
  <c r="F201" i="39"/>
  <c r="J201" i="39" s="1"/>
  <c r="N201" i="39" s="1"/>
  <c r="K200" i="39"/>
  <c r="O200" i="39" s="1"/>
  <c r="H200" i="39"/>
  <c r="L200" i="39" s="1"/>
  <c r="P200" i="39" s="1"/>
  <c r="G200" i="39"/>
  <c r="F200" i="39"/>
  <c r="J200" i="39" s="1"/>
  <c r="N200" i="39" s="1"/>
  <c r="P199" i="39"/>
  <c r="K199" i="39"/>
  <c r="O199" i="39" s="1"/>
  <c r="H199" i="39"/>
  <c r="L199" i="39" s="1"/>
  <c r="G199" i="39"/>
  <c r="F199" i="39"/>
  <c r="J199" i="39" s="1"/>
  <c r="N199" i="39" s="1"/>
  <c r="K198" i="39"/>
  <c r="O198" i="39" s="1"/>
  <c r="H198" i="39"/>
  <c r="L198" i="39" s="1"/>
  <c r="P198" i="39" s="1"/>
  <c r="G198" i="39"/>
  <c r="F198" i="39"/>
  <c r="J198" i="39" s="1"/>
  <c r="N198" i="39" s="1"/>
  <c r="K197" i="39"/>
  <c r="O197" i="39" s="1"/>
  <c r="H197" i="39"/>
  <c r="L197" i="39" s="1"/>
  <c r="P197" i="39" s="1"/>
  <c r="G197" i="39"/>
  <c r="F197" i="39"/>
  <c r="J197" i="39" s="1"/>
  <c r="N197" i="39" s="1"/>
  <c r="K196" i="39"/>
  <c r="O196" i="39" s="1"/>
  <c r="H196" i="39"/>
  <c r="L196" i="39" s="1"/>
  <c r="P196" i="39" s="1"/>
  <c r="G196" i="39"/>
  <c r="F196" i="39"/>
  <c r="J196" i="39" s="1"/>
  <c r="N196" i="39" s="1"/>
  <c r="P195" i="39"/>
  <c r="H195" i="39"/>
  <c r="L195" i="39" s="1"/>
  <c r="G195" i="39"/>
  <c r="K195" i="39" s="1"/>
  <c r="O195" i="39" s="1"/>
  <c r="F195" i="39"/>
  <c r="J195" i="39" s="1"/>
  <c r="N195" i="39" s="1"/>
  <c r="S195" i="39" s="1"/>
  <c r="H194" i="39"/>
  <c r="L194" i="39" s="1"/>
  <c r="P194" i="39" s="1"/>
  <c r="G194" i="39"/>
  <c r="K194" i="39" s="1"/>
  <c r="O194" i="39" s="1"/>
  <c r="F194" i="39"/>
  <c r="J194" i="39" s="1"/>
  <c r="N194" i="39" s="1"/>
  <c r="H193" i="39"/>
  <c r="L193" i="39" s="1"/>
  <c r="P193" i="39" s="1"/>
  <c r="G193" i="39"/>
  <c r="K193" i="39" s="1"/>
  <c r="O193" i="39" s="1"/>
  <c r="F193" i="39"/>
  <c r="J193" i="39" s="1"/>
  <c r="N193" i="39" s="1"/>
  <c r="H192" i="39"/>
  <c r="L192" i="39" s="1"/>
  <c r="P192" i="39" s="1"/>
  <c r="G192" i="39"/>
  <c r="K192" i="39" s="1"/>
  <c r="O192" i="39" s="1"/>
  <c r="F192" i="39"/>
  <c r="J192" i="39" s="1"/>
  <c r="N192" i="39" s="1"/>
  <c r="S192" i="39" s="1"/>
  <c r="H191" i="39"/>
  <c r="L191" i="39" s="1"/>
  <c r="P191" i="39" s="1"/>
  <c r="G191" i="39"/>
  <c r="K191" i="39" s="1"/>
  <c r="O191" i="39" s="1"/>
  <c r="F191" i="39"/>
  <c r="J191" i="39" s="1"/>
  <c r="N191" i="39" s="1"/>
  <c r="H190" i="39"/>
  <c r="L190" i="39" s="1"/>
  <c r="P190" i="39" s="1"/>
  <c r="G190" i="39"/>
  <c r="K190" i="39" s="1"/>
  <c r="O190" i="39" s="1"/>
  <c r="F190" i="39"/>
  <c r="J190" i="39" s="1"/>
  <c r="N190" i="39" s="1"/>
  <c r="H189" i="39"/>
  <c r="L189" i="39" s="1"/>
  <c r="P189" i="39" s="1"/>
  <c r="G189" i="39"/>
  <c r="K189" i="39" s="1"/>
  <c r="O189" i="39" s="1"/>
  <c r="F189" i="39"/>
  <c r="J189" i="39" s="1"/>
  <c r="N189" i="39" s="1"/>
  <c r="K188" i="39"/>
  <c r="O188" i="39" s="1"/>
  <c r="H188" i="39"/>
  <c r="L188" i="39" s="1"/>
  <c r="P188" i="39" s="1"/>
  <c r="G188" i="39"/>
  <c r="F188" i="39"/>
  <c r="J188" i="39" s="1"/>
  <c r="N188" i="39" s="1"/>
  <c r="L187" i="39"/>
  <c r="P187" i="39" s="1"/>
  <c r="H187" i="39"/>
  <c r="G187" i="39"/>
  <c r="K187" i="39" s="1"/>
  <c r="O187" i="39" s="1"/>
  <c r="F187" i="39"/>
  <c r="J187" i="39" s="1"/>
  <c r="N187" i="39" s="1"/>
  <c r="N186" i="39"/>
  <c r="S186" i="39" s="1"/>
  <c r="H186" i="39"/>
  <c r="L186" i="39" s="1"/>
  <c r="P186" i="39" s="1"/>
  <c r="G186" i="39"/>
  <c r="K186" i="39" s="1"/>
  <c r="O186" i="39" s="1"/>
  <c r="F186" i="39"/>
  <c r="J186" i="39" s="1"/>
  <c r="H185" i="39"/>
  <c r="L185" i="39" s="1"/>
  <c r="P185" i="39" s="1"/>
  <c r="G185" i="39"/>
  <c r="K185" i="39" s="1"/>
  <c r="O185" i="39" s="1"/>
  <c r="R185" i="39" s="1"/>
  <c r="F185" i="39"/>
  <c r="J185" i="39" s="1"/>
  <c r="N185" i="39" s="1"/>
  <c r="K184" i="39"/>
  <c r="O184" i="39" s="1"/>
  <c r="H184" i="39"/>
  <c r="L184" i="39" s="1"/>
  <c r="P184" i="39" s="1"/>
  <c r="G184" i="39"/>
  <c r="F184" i="39"/>
  <c r="J184" i="39" s="1"/>
  <c r="N184" i="39" s="1"/>
  <c r="L183" i="39"/>
  <c r="P183" i="39" s="1"/>
  <c r="H183" i="39"/>
  <c r="G183" i="39"/>
  <c r="K183" i="39" s="1"/>
  <c r="O183" i="39" s="1"/>
  <c r="F183" i="39"/>
  <c r="J183" i="39" s="1"/>
  <c r="N183" i="39" s="1"/>
  <c r="S183" i="39" s="1"/>
  <c r="P182" i="39"/>
  <c r="H182" i="39"/>
  <c r="L182" i="39" s="1"/>
  <c r="G182" i="39"/>
  <c r="K182" i="39" s="1"/>
  <c r="O182" i="39" s="1"/>
  <c r="F182" i="39"/>
  <c r="J182" i="39" s="1"/>
  <c r="N182" i="39" s="1"/>
  <c r="H181" i="39"/>
  <c r="L181" i="39" s="1"/>
  <c r="P181" i="39" s="1"/>
  <c r="G181" i="39"/>
  <c r="K181" i="39" s="1"/>
  <c r="O181" i="39" s="1"/>
  <c r="F181" i="39"/>
  <c r="J181" i="39" s="1"/>
  <c r="N181" i="39" s="1"/>
  <c r="K180" i="39"/>
  <c r="O180" i="39" s="1"/>
  <c r="H180" i="39"/>
  <c r="L180" i="39" s="1"/>
  <c r="P180" i="39" s="1"/>
  <c r="G180" i="39"/>
  <c r="F180" i="39"/>
  <c r="J180" i="39" s="1"/>
  <c r="N180" i="39" s="1"/>
  <c r="L179" i="39"/>
  <c r="P179" i="39" s="1"/>
  <c r="H179" i="39"/>
  <c r="G179" i="39"/>
  <c r="K179" i="39" s="1"/>
  <c r="O179" i="39" s="1"/>
  <c r="F179" i="39"/>
  <c r="J179" i="39" s="1"/>
  <c r="N179" i="39" s="1"/>
  <c r="N178" i="39"/>
  <c r="S178" i="39" s="1"/>
  <c r="H178" i="39"/>
  <c r="L178" i="39" s="1"/>
  <c r="P178" i="39" s="1"/>
  <c r="G178" i="39"/>
  <c r="K178" i="39" s="1"/>
  <c r="O178" i="39" s="1"/>
  <c r="F178" i="39"/>
  <c r="J178" i="39" s="1"/>
  <c r="R177" i="39"/>
  <c r="H177" i="39"/>
  <c r="L177" i="39" s="1"/>
  <c r="P177" i="39" s="1"/>
  <c r="G177" i="39"/>
  <c r="K177" i="39" s="1"/>
  <c r="O177" i="39" s="1"/>
  <c r="F177" i="39"/>
  <c r="J177" i="39" s="1"/>
  <c r="N177" i="39" s="1"/>
  <c r="S177" i="39" s="1"/>
  <c r="K176" i="39"/>
  <c r="O176" i="39" s="1"/>
  <c r="H176" i="39"/>
  <c r="L176" i="39" s="1"/>
  <c r="P176" i="39" s="1"/>
  <c r="G176" i="39"/>
  <c r="F176" i="39"/>
  <c r="J176" i="39" s="1"/>
  <c r="N176" i="39" s="1"/>
  <c r="L175" i="39"/>
  <c r="P175" i="39" s="1"/>
  <c r="H175" i="39"/>
  <c r="G175" i="39"/>
  <c r="K175" i="39" s="1"/>
  <c r="O175" i="39" s="1"/>
  <c r="F175" i="39"/>
  <c r="J175" i="39" s="1"/>
  <c r="N175" i="39" s="1"/>
  <c r="S175" i="39" s="1"/>
  <c r="P174" i="39"/>
  <c r="H174" i="39"/>
  <c r="L174" i="39" s="1"/>
  <c r="G174" i="39"/>
  <c r="K174" i="39" s="1"/>
  <c r="O174" i="39" s="1"/>
  <c r="F174" i="39"/>
  <c r="J174" i="39" s="1"/>
  <c r="N174" i="39" s="1"/>
  <c r="H173" i="39"/>
  <c r="L173" i="39" s="1"/>
  <c r="P173" i="39" s="1"/>
  <c r="G173" i="39"/>
  <c r="K173" i="39" s="1"/>
  <c r="O173" i="39" s="1"/>
  <c r="F173" i="39"/>
  <c r="J173" i="39" s="1"/>
  <c r="N173" i="39" s="1"/>
  <c r="K172" i="39"/>
  <c r="O172" i="39" s="1"/>
  <c r="H172" i="39"/>
  <c r="L172" i="39" s="1"/>
  <c r="P172" i="39" s="1"/>
  <c r="G172" i="39"/>
  <c r="F172" i="39"/>
  <c r="J172" i="39" s="1"/>
  <c r="N172" i="39" s="1"/>
  <c r="L171" i="39"/>
  <c r="P171" i="39" s="1"/>
  <c r="H171" i="39"/>
  <c r="G171" i="39"/>
  <c r="K171" i="39" s="1"/>
  <c r="O171" i="39" s="1"/>
  <c r="F171" i="39"/>
  <c r="J171" i="39" s="1"/>
  <c r="N171" i="39" s="1"/>
  <c r="N170" i="39"/>
  <c r="S170" i="39" s="1"/>
  <c r="H170" i="39"/>
  <c r="L170" i="39" s="1"/>
  <c r="P170" i="39" s="1"/>
  <c r="G170" i="39"/>
  <c r="K170" i="39" s="1"/>
  <c r="O170" i="39" s="1"/>
  <c r="F170" i="39"/>
  <c r="J170" i="39" s="1"/>
  <c r="R169" i="39"/>
  <c r="H169" i="39"/>
  <c r="L169" i="39" s="1"/>
  <c r="P169" i="39" s="1"/>
  <c r="G169" i="39"/>
  <c r="K169" i="39" s="1"/>
  <c r="O169" i="39" s="1"/>
  <c r="F169" i="39"/>
  <c r="J169" i="39" s="1"/>
  <c r="N169" i="39" s="1"/>
  <c r="S169" i="39" s="1"/>
  <c r="K168" i="39"/>
  <c r="O168" i="39" s="1"/>
  <c r="H168" i="39"/>
  <c r="L168" i="39" s="1"/>
  <c r="P168" i="39" s="1"/>
  <c r="G168" i="39"/>
  <c r="F168" i="39"/>
  <c r="J168" i="39" s="1"/>
  <c r="N168" i="39" s="1"/>
  <c r="L167" i="39"/>
  <c r="P167" i="39" s="1"/>
  <c r="H167" i="39"/>
  <c r="G167" i="39"/>
  <c r="K167" i="39" s="1"/>
  <c r="O167" i="39" s="1"/>
  <c r="F167" i="39"/>
  <c r="J167" i="39" s="1"/>
  <c r="N167" i="39" s="1"/>
  <c r="S167" i="39" s="1"/>
  <c r="P166" i="39"/>
  <c r="H166" i="39"/>
  <c r="L166" i="39" s="1"/>
  <c r="G166" i="39"/>
  <c r="K166" i="39" s="1"/>
  <c r="O166" i="39" s="1"/>
  <c r="F166" i="39"/>
  <c r="J166" i="39" s="1"/>
  <c r="N166" i="39" s="1"/>
  <c r="K165" i="39"/>
  <c r="O165" i="39" s="1"/>
  <c r="H165" i="39"/>
  <c r="L165" i="39" s="1"/>
  <c r="P165" i="39" s="1"/>
  <c r="G165" i="39"/>
  <c r="F165" i="39"/>
  <c r="J165" i="39" s="1"/>
  <c r="N165" i="39" s="1"/>
  <c r="L164" i="39"/>
  <c r="P164" i="39" s="1"/>
  <c r="H164" i="39"/>
  <c r="G164" i="39"/>
  <c r="K164" i="39" s="1"/>
  <c r="O164" i="39" s="1"/>
  <c r="T164" i="39" s="1"/>
  <c r="F164" i="39"/>
  <c r="J164" i="39" s="1"/>
  <c r="N164" i="39" s="1"/>
  <c r="S164" i="39" s="1"/>
  <c r="L163" i="39"/>
  <c r="P163" i="39" s="1"/>
  <c r="H163" i="39"/>
  <c r="G163" i="39"/>
  <c r="K163" i="39" s="1"/>
  <c r="O163" i="39" s="1"/>
  <c r="F163" i="39"/>
  <c r="J163" i="39" s="1"/>
  <c r="N163" i="39" s="1"/>
  <c r="H162" i="39"/>
  <c r="L162" i="39" s="1"/>
  <c r="P162" i="39" s="1"/>
  <c r="G162" i="39"/>
  <c r="K162" i="39" s="1"/>
  <c r="O162" i="39" s="1"/>
  <c r="F162" i="39"/>
  <c r="J162" i="39" s="1"/>
  <c r="N162" i="39" s="1"/>
  <c r="K161" i="39"/>
  <c r="O161" i="39" s="1"/>
  <c r="R161" i="39" s="1"/>
  <c r="H161" i="39"/>
  <c r="L161" i="39" s="1"/>
  <c r="P161" i="39" s="1"/>
  <c r="G161" i="39"/>
  <c r="F161" i="39"/>
  <c r="J161" i="39" s="1"/>
  <c r="N161" i="39" s="1"/>
  <c r="S161" i="39" s="1"/>
  <c r="L160" i="39"/>
  <c r="P160" i="39" s="1"/>
  <c r="H160" i="39"/>
  <c r="G160" i="39"/>
  <c r="K160" i="39" s="1"/>
  <c r="O160" i="39" s="1"/>
  <c r="T160" i="39" s="1"/>
  <c r="F160" i="39"/>
  <c r="J160" i="39" s="1"/>
  <c r="N160" i="39" s="1"/>
  <c r="L159" i="39"/>
  <c r="P159" i="39" s="1"/>
  <c r="H159" i="39"/>
  <c r="G159" i="39"/>
  <c r="K159" i="39" s="1"/>
  <c r="O159" i="39" s="1"/>
  <c r="F159" i="39"/>
  <c r="J159" i="39" s="1"/>
  <c r="N159" i="39" s="1"/>
  <c r="H158" i="39"/>
  <c r="L158" i="39" s="1"/>
  <c r="P158" i="39" s="1"/>
  <c r="G158" i="39"/>
  <c r="K158" i="39" s="1"/>
  <c r="O158" i="39" s="1"/>
  <c r="F158" i="39"/>
  <c r="J158" i="39" s="1"/>
  <c r="N158" i="39" s="1"/>
  <c r="S158" i="39" s="1"/>
  <c r="K157" i="39"/>
  <c r="O157" i="39" s="1"/>
  <c r="R157" i="39" s="1"/>
  <c r="H157" i="39"/>
  <c r="L157" i="39" s="1"/>
  <c r="P157" i="39" s="1"/>
  <c r="G157" i="39"/>
  <c r="F157" i="39"/>
  <c r="J157" i="39" s="1"/>
  <c r="N157" i="39" s="1"/>
  <c r="H156" i="39"/>
  <c r="L156" i="39" s="1"/>
  <c r="P156" i="39" s="1"/>
  <c r="G156" i="39"/>
  <c r="K156" i="39" s="1"/>
  <c r="O156" i="39" s="1"/>
  <c r="R156" i="39" s="1"/>
  <c r="F156" i="39"/>
  <c r="J156" i="39" s="1"/>
  <c r="N156" i="39" s="1"/>
  <c r="H155" i="39"/>
  <c r="L155" i="39" s="1"/>
  <c r="P155" i="39" s="1"/>
  <c r="G155" i="39"/>
  <c r="K155" i="39" s="1"/>
  <c r="O155" i="39" s="1"/>
  <c r="F155" i="39"/>
  <c r="J155" i="39" s="1"/>
  <c r="N155" i="39" s="1"/>
  <c r="N154" i="39"/>
  <c r="S154" i="39" s="1"/>
  <c r="H154" i="39"/>
  <c r="L154" i="39" s="1"/>
  <c r="P154" i="39" s="1"/>
  <c r="G154" i="39"/>
  <c r="K154" i="39" s="1"/>
  <c r="O154" i="39" s="1"/>
  <c r="F154" i="39"/>
  <c r="J154" i="39" s="1"/>
  <c r="N153" i="39"/>
  <c r="H153" i="39"/>
  <c r="L153" i="39" s="1"/>
  <c r="P153" i="39" s="1"/>
  <c r="G153" i="39"/>
  <c r="K153" i="39" s="1"/>
  <c r="O153" i="39" s="1"/>
  <c r="R153" i="39" s="1"/>
  <c r="F153" i="39"/>
  <c r="J153" i="39" s="1"/>
  <c r="L152" i="39"/>
  <c r="P152" i="39" s="1"/>
  <c r="K152" i="39"/>
  <c r="O152" i="39" s="1"/>
  <c r="H152" i="39"/>
  <c r="G152" i="39"/>
  <c r="F152" i="39"/>
  <c r="J152" i="39" s="1"/>
  <c r="N152" i="39" s="1"/>
  <c r="L151" i="39"/>
  <c r="P151" i="39" s="1"/>
  <c r="H151" i="39"/>
  <c r="G151" i="39"/>
  <c r="K151" i="39" s="1"/>
  <c r="O151" i="39" s="1"/>
  <c r="F151" i="39"/>
  <c r="J151" i="39" s="1"/>
  <c r="N151" i="39" s="1"/>
  <c r="S151" i="39" s="1"/>
  <c r="P150" i="39"/>
  <c r="H150" i="39"/>
  <c r="L150" i="39" s="1"/>
  <c r="G150" i="39"/>
  <c r="K150" i="39" s="1"/>
  <c r="O150" i="39" s="1"/>
  <c r="F150" i="39"/>
  <c r="J150" i="39" s="1"/>
  <c r="N150" i="39" s="1"/>
  <c r="K149" i="39"/>
  <c r="O149" i="39" s="1"/>
  <c r="H149" i="39"/>
  <c r="L149" i="39" s="1"/>
  <c r="P149" i="39" s="1"/>
  <c r="G149" i="39"/>
  <c r="F149" i="39"/>
  <c r="J149" i="39" s="1"/>
  <c r="N149" i="39" s="1"/>
  <c r="L148" i="39"/>
  <c r="P148" i="39" s="1"/>
  <c r="H148" i="39"/>
  <c r="G148" i="39"/>
  <c r="K148" i="39" s="1"/>
  <c r="O148" i="39" s="1"/>
  <c r="F148" i="39"/>
  <c r="J148" i="39" s="1"/>
  <c r="N148" i="39" s="1"/>
  <c r="S148" i="39" s="1"/>
  <c r="H147" i="39"/>
  <c r="L147" i="39" s="1"/>
  <c r="P147" i="39" s="1"/>
  <c r="G147" i="39"/>
  <c r="K147" i="39" s="1"/>
  <c r="O147" i="39" s="1"/>
  <c r="F147" i="39"/>
  <c r="J147" i="39" s="1"/>
  <c r="N147" i="39" s="1"/>
  <c r="S147" i="39" s="1"/>
  <c r="H146" i="39"/>
  <c r="L146" i="39" s="1"/>
  <c r="P146" i="39" s="1"/>
  <c r="G146" i="39"/>
  <c r="K146" i="39" s="1"/>
  <c r="O146" i="39" s="1"/>
  <c r="F146" i="39"/>
  <c r="J146" i="39" s="1"/>
  <c r="N146" i="39" s="1"/>
  <c r="P145" i="39"/>
  <c r="K145" i="39"/>
  <c r="O145" i="39" s="1"/>
  <c r="R145" i="39" s="1"/>
  <c r="H145" i="39"/>
  <c r="L145" i="39" s="1"/>
  <c r="G145" i="39"/>
  <c r="F145" i="39"/>
  <c r="J145" i="39" s="1"/>
  <c r="N145" i="39" s="1"/>
  <c r="S145" i="39" s="1"/>
  <c r="L144" i="39"/>
  <c r="P144" i="39" s="1"/>
  <c r="H144" i="39"/>
  <c r="G144" i="39"/>
  <c r="K144" i="39" s="1"/>
  <c r="O144" i="39" s="1"/>
  <c r="F144" i="39"/>
  <c r="J144" i="39" s="1"/>
  <c r="N144" i="39" s="1"/>
  <c r="S144" i="39" s="1"/>
  <c r="H143" i="39"/>
  <c r="L143" i="39" s="1"/>
  <c r="P143" i="39" s="1"/>
  <c r="G143" i="39"/>
  <c r="K143" i="39" s="1"/>
  <c r="O143" i="39" s="1"/>
  <c r="F143" i="39"/>
  <c r="J143" i="39" s="1"/>
  <c r="N143" i="39" s="1"/>
  <c r="S143" i="39" s="1"/>
  <c r="H142" i="39"/>
  <c r="L142" i="39" s="1"/>
  <c r="P142" i="39" s="1"/>
  <c r="G142" i="39"/>
  <c r="K142" i="39" s="1"/>
  <c r="O142" i="39" s="1"/>
  <c r="F142" i="39"/>
  <c r="J142" i="39" s="1"/>
  <c r="N142" i="39" s="1"/>
  <c r="H141" i="39"/>
  <c r="L141" i="39" s="1"/>
  <c r="P141" i="39" s="1"/>
  <c r="G141" i="39"/>
  <c r="K141" i="39" s="1"/>
  <c r="O141" i="39" s="1"/>
  <c r="R141" i="39" s="1"/>
  <c r="F141" i="39"/>
  <c r="J141" i="39" s="1"/>
  <c r="N141" i="39" s="1"/>
  <c r="H140" i="39"/>
  <c r="L140" i="39" s="1"/>
  <c r="P140" i="39" s="1"/>
  <c r="G140" i="39"/>
  <c r="K140" i="39" s="1"/>
  <c r="O140" i="39" s="1"/>
  <c r="F140" i="39"/>
  <c r="J140" i="39" s="1"/>
  <c r="N140" i="39" s="1"/>
  <c r="H139" i="39"/>
  <c r="L139" i="39" s="1"/>
  <c r="P139" i="39" s="1"/>
  <c r="G139" i="39"/>
  <c r="K139" i="39" s="1"/>
  <c r="O139" i="39" s="1"/>
  <c r="F139" i="39"/>
  <c r="J139" i="39" s="1"/>
  <c r="N139" i="39" s="1"/>
  <c r="H138" i="39"/>
  <c r="L138" i="39" s="1"/>
  <c r="P138" i="39" s="1"/>
  <c r="G138" i="39"/>
  <c r="K138" i="39" s="1"/>
  <c r="O138" i="39" s="1"/>
  <c r="F138" i="39"/>
  <c r="J138" i="39" s="1"/>
  <c r="N138" i="39" s="1"/>
  <c r="K137" i="39"/>
  <c r="O137" i="39" s="1"/>
  <c r="R137" i="39" s="1"/>
  <c r="J137" i="39"/>
  <c r="N137" i="39" s="1"/>
  <c r="S137" i="39" s="1"/>
  <c r="H137" i="39"/>
  <c r="L137" i="39" s="1"/>
  <c r="P137" i="39" s="1"/>
  <c r="G137" i="39"/>
  <c r="F137" i="39"/>
  <c r="K136" i="39"/>
  <c r="O136" i="39" s="1"/>
  <c r="H136" i="39"/>
  <c r="L136" i="39" s="1"/>
  <c r="P136" i="39" s="1"/>
  <c r="G136" i="39"/>
  <c r="F136" i="39"/>
  <c r="J136" i="39" s="1"/>
  <c r="N136" i="39" s="1"/>
  <c r="O135" i="39"/>
  <c r="R135" i="39" s="1"/>
  <c r="H135" i="39"/>
  <c r="L135" i="39" s="1"/>
  <c r="P135" i="39" s="1"/>
  <c r="G135" i="39"/>
  <c r="K135" i="39" s="1"/>
  <c r="F135" i="39"/>
  <c r="J135" i="39" s="1"/>
  <c r="N135" i="39" s="1"/>
  <c r="H134" i="39"/>
  <c r="L134" i="39" s="1"/>
  <c r="P134" i="39" s="1"/>
  <c r="G134" i="39"/>
  <c r="K134" i="39" s="1"/>
  <c r="O134" i="39" s="1"/>
  <c r="F134" i="39"/>
  <c r="J134" i="39" s="1"/>
  <c r="N134" i="39" s="1"/>
  <c r="K133" i="39"/>
  <c r="O133" i="39" s="1"/>
  <c r="R133" i="39" s="1"/>
  <c r="J133" i="39"/>
  <c r="N133" i="39" s="1"/>
  <c r="S133" i="39" s="1"/>
  <c r="H133" i="39"/>
  <c r="L133" i="39" s="1"/>
  <c r="P133" i="39" s="1"/>
  <c r="G133" i="39"/>
  <c r="F133" i="39"/>
  <c r="K132" i="39"/>
  <c r="O132" i="39" s="1"/>
  <c r="H132" i="39"/>
  <c r="L132" i="39" s="1"/>
  <c r="P132" i="39" s="1"/>
  <c r="G132" i="39"/>
  <c r="F132" i="39"/>
  <c r="J132" i="39" s="1"/>
  <c r="N132" i="39" s="1"/>
  <c r="O131" i="39"/>
  <c r="R131" i="39" s="1"/>
  <c r="H131" i="39"/>
  <c r="L131" i="39" s="1"/>
  <c r="P131" i="39" s="1"/>
  <c r="G131" i="39"/>
  <c r="K131" i="39" s="1"/>
  <c r="F131" i="39"/>
  <c r="J131" i="39" s="1"/>
  <c r="N131" i="39" s="1"/>
  <c r="H130" i="39"/>
  <c r="L130" i="39" s="1"/>
  <c r="P130" i="39" s="1"/>
  <c r="G130" i="39"/>
  <c r="K130" i="39" s="1"/>
  <c r="O130" i="39" s="1"/>
  <c r="F130" i="39"/>
  <c r="J130" i="39" s="1"/>
  <c r="N130" i="39" s="1"/>
  <c r="K129" i="39"/>
  <c r="O129" i="39" s="1"/>
  <c r="R129" i="39" s="1"/>
  <c r="J129" i="39"/>
  <c r="N129" i="39" s="1"/>
  <c r="S129" i="39" s="1"/>
  <c r="H129" i="39"/>
  <c r="L129" i="39" s="1"/>
  <c r="P129" i="39" s="1"/>
  <c r="G129" i="39"/>
  <c r="F129" i="39"/>
  <c r="K128" i="39"/>
  <c r="O128" i="39" s="1"/>
  <c r="H128" i="39"/>
  <c r="L128" i="39" s="1"/>
  <c r="P128" i="39" s="1"/>
  <c r="G128" i="39"/>
  <c r="F128" i="39"/>
  <c r="J128" i="39" s="1"/>
  <c r="N128" i="39" s="1"/>
  <c r="O127" i="39"/>
  <c r="R127" i="39" s="1"/>
  <c r="H127" i="39"/>
  <c r="L127" i="39" s="1"/>
  <c r="P127" i="39" s="1"/>
  <c r="G127" i="39"/>
  <c r="K127" i="39" s="1"/>
  <c r="F127" i="39"/>
  <c r="J127" i="39" s="1"/>
  <c r="N127" i="39" s="1"/>
  <c r="H126" i="39"/>
  <c r="L126" i="39" s="1"/>
  <c r="P126" i="39" s="1"/>
  <c r="G126" i="39"/>
  <c r="K126" i="39" s="1"/>
  <c r="O126" i="39" s="1"/>
  <c r="F126" i="39"/>
  <c r="J126" i="39" s="1"/>
  <c r="N126" i="39" s="1"/>
  <c r="K125" i="39"/>
  <c r="O125" i="39" s="1"/>
  <c r="R125" i="39" s="1"/>
  <c r="J125" i="39"/>
  <c r="N125" i="39" s="1"/>
  <c r="S125" i="39" s="1"/>
  <c r="H125" i="39"/>
  <c r="L125" i="39" s="1"/>
  <c r="P125" i="39" s="1"/>
  <c r="G125" i="39"/>
  <c r="F125" i="39"/>
  <c r="K124" i="39"/>
  <c r="O124" i="39" s="1"/>
  <c r="H124" i="39"/>
  <c r="L124" i="39" s="1"/>
  <c r="P124" i="39" s="1"/>
  <c r="G124" i="39"/>
  <c r="F124" i="39"/>
  <c r="J124" i="39" s="1"/>
  <c r="N124" i="39" s="1"/>
  <c r="O123" i="39"/>
  <c r="R123" i="39" s="1"/>
  <c r="H123" i="39"/>
  <c r="L123" i="39" s="1"/>
  <c r="P123" i="39" s="1"/>
  <c r="G123" i="39"/>
  <c r="K123" i="39" s="1"/>
  <c r="F123" i="39"/>
  <c r="J123" i="39" s="1"/>
  <c r="N123" i="39" s="1"/>
  <c r="H122" i="39"/>
  <c r="L122" i="39" s="1"/>
  <c r="P122" i="39" s="1"/>
  <c r="G122" i="39"/>
  <c r="K122" i="39" s="1"/>
  <c r="O122" i="39" s="1"/>
  <c r="F122" i="39"/>
  <c r="J122" i="39" s="1"/>
  <c r="N122" i="39" s="1"/>
  <c r="K121" i="39"/>
  <c r="O121" i="39" s="1"/>
  <c r="R121" i="39" s="1"/>
  <c r="J121" i="39"/>
  <c r="N121" i="39" s="1"/>
  <c r="S121" i="39" s="1"/>
  <c r="H121" i="39"/>
  <c r="L121" i="39" s="1"/>
  <c r="P121" i="39" s="1"/>
  <c r="G121" i="39"/>
  <c r="F121" i="39"/>
  <c r="K120" i="39"/>
  <c r="O120" i="39" s="1"/>
  <c r="H120" i="39"/>
  <c r="L120" i="39" s="1"/>
  <c r="P120" i="39" s="1"/>
  <c r="G120" i="39"/>
  <c r="F120" i="39"/>
  <c r="J120" i="39" s="1"/>
  <c r="N120" i="39" s="1"/>
  <c r="O119" i="39"/>
  <c r="R119" i="39" s="1"/>
  <c r="H119" i="39"/>
  <c r="L119" i="39" s="1"/>
  <c r="P119" i="39" s="1"/>
  <c r="G119" i="39"/>
  <c r="K119" i="39" s="1"/>
  <c r="F119" i="39"/>
  <c r="J119" i="39" s="1"/>
  <c r="N119" i="39" s="1"/>
  <c r="H118" i="39"/>
  <c r="L118" i="39" s="1"/>
  <c r="P118" i="39" s="1"/>
  <c r="G118" i="39"/>
  <c r="K118" i="39" s="1"/>
  <c r="O118" i="39" s="1"/>
  <c r="F118" i="39"/>
  <c r="J118" i="39" s="1"/>
  <c r="N118" i="39" s="1"/>
  <c r="K117" i="39"/>
  <c r="O117" i="39" s="1"/>
  <c r="R117" i="39" s="1"/>
  <c r="J117" i="39"/>
  <c r="N117" i="39" s="1"/>
  <c r="S117" i="39" s="1"/>
  <c r="H117" i="39"/>
  <c r="L117" i="39" s="1"/>
  <c r="P117" i="39" s="1"/>
  <c r="G117" i="39"/>
  <c r="F117" i="39"/>
  <c r="K116" i="39"/>
  <c r="O116" i="39" s="1"/>
  <c r="H116" i="39"/>
  <c r="L116" i="39" s="1"/>
  <c r="P116" i="39" s="1"/>
  <c r="G116" i="39"/>
  <c r="F116" i="39"/>
  <c r="J116" i="39" s="1"/>
  <c r="N116" i="39" s="1"/>
  <c r="O115" i="39"/>
  <c r="R115" i="39" s="1"/>
  <c r="H115" i="39"/>
  <c r="L115" i="39" s="1"/>
  <c r="P115" i="39" s="1"/>
  <c r="G115" i="39"/>
  <c r="K115" i="39" s="1"/>
  <c r="F115" i="39"/>
  <c r="J115" i="39" s="1"/>
  <c r="N115" i="39" s="1"/>
  <c r="H114" i="39"/>
  <c r="L114" i="39" s="1"/>
  <c r="P114" i="39" s="1"/>
  <c r="G114" i="39"/>
  <c r="K114" i="39" s="1"/>
  <c r="O114" i="39" s="1"/>
  <c r="F114" i="39"/>
  <c r="J114" i="39" s="1"/>
  <c r="N114" i="39" s="1"/>
  <c r="K113" i="39"/>
  <c r="O113" i="39" s="1"/>
  <c r="R113" i="39" s="1"/>
  <c r="J113" i="39"/>
  <c r="N113" i="39" s="1"/>
  <c r="S113" i="39" s="1"/>
  <c r="H113" i="39"/>
  <c r="L113" i="39" s="1"/>
  <c r="P113" i="39" s="1"/>
  <c r="G113" i="39"/>
  <c r="F113" i="39"/>
  <c r="K112" i="39"/>
  <c r="O112" i="39" s="1"/>
  <c r="H112" i="39"/>
  <c r="L112" i="39" s="1"/>
  <c r="P112" i="39" s="1"/>
  <c r="G112" i="39"/>
  <c r="F112" i="39"/>
  <c r="J112" i="39" s="1"/>
  <c r="N112" i="39" s="1"/>
  <c r="O111" i="39"/>
  <c r="R111" i="39" s="1"/>
  <c r="H111" i="39"/>
  <c r="L111" i="39" s="1"/>
  <c r="P111" i="39" s="1"/>
  <c r="G111" i="39"/>
  <c r="K111" i="39" s="1"/>
  <c r="F111" i="39"/>
  <c r="J111" i="39" s="1"/>
  <c r="N111" i="39" s="1"/>
  <c r="H110" i="39"/>
  <c r="L110" i="39" s="1"/>
  <c r="P110" i="39" s="1"/>
  <c r="G110" i="39"/>
  <c r="K110" i="39" s="1"/>
  <c r="O110" i="39" s="1"/>
  <c r="F110" i="39"/>
  <c r="J110" i="39" s="1"/>
  <c r="N110" i="39" s="1"/>
  <c r="K109" i="39"/>
  <c r="O109" i="39" s="1"/>
  <c r="R109" i="39" s="1"/>
  <c r="J109" i="39"/>
  <c r="N109" i="39" s="1"/>
  <c r="S109" i="39" s="1"/>
  <c r="H109" i="39"/>
  <c r="L109" i="39" s="1"/>
  <c r="P109" i="39" s="1"/>
  <c r="G109" i="39"/>
  <c r="F109" i="39"/>
  <c r="K108" i="39"/>
  <c r="O108" i="39" s="1"/>
  <c r="H108" i="39"/>
  <c r="L108" i="39" s="1"/>
  <c r="P108" i="39" s="1"/>
  <c r="G108" i="39"/>
  <c r="F108" i="39"/>
  <c r="J108" i="39" s="1"/>
  <c r="N108" i="39" s="1"/>
  <c r="O107" i="39"/>
  <c r="R107" i="39" s="1"/>
  <c r="H107" i="39"/>
  <c r="L107" i="39" s="1"/>
  <c r="P107" i="39" s="1"/>
  <c r="G107" i="39"/>
  <c r="K107" i="39" s="1"/>
  <c r="F107" i="39"/>
  <c r="J107" i="39" s="1"/>
  <c r="N107" i="39" s="1"/>
  <c r="H106" i="39"/>
  <c r="L106" i="39" s="1"/>
  <c r="P106" i="39" s="1"/>
  <c r="G106" i="39"/>
  <c r="K106" i="39" s="1"/>
  <c r="O106" i="39" s="1"/>
  <c r="F106" i="39"/>
  <c r="J106" i="39" s="1"/>
  <c r="N106" i="39" s="1"/>
  <c r="K105" i="39"/>
  <c r="O105" i="39" s="1"/>
  <c r="R105" i="39" s="1"/>
  <c r="J105" i="39"/>
  <c r="N105" i="39" s="1"/>
  <c r="S105" i="39" s="1"/>
  <c r="H105" i="39"/>
  <c r="L105" i="39" s="1"/>
  <c r="P105" i="39" s="1"/>
  <c r="G105" i="39"/>
  <c r="F105" i="39"/>
  <c r="K104" i="39"/>
  <c r="O104" i="39" s="1"/>
  <c r="H104" i="39"/>
  <c r="L104" i="39" s="1"/>
  <c r="P104" i="39" s="1"/>
  <c r="G104" i="39"/>
  <c r="F104" i="39"/>
  <c r="J104" i="39" s="1"/>
  <c r="N104" i="39" s="1"/>
  <c r="O103" i="39"/>
  <c r="R103" i="39" s="1"/>
  <c r="H103" i="39"/>
  <c r="L103" i="39" s="1"/>
  <c r="P103" i="39" s="1"/>
  <c r="G103" i="39"/>
  <c r="K103" i="39" s="1"/>
  <c r="F103" i="39"/>
  <c r="J103" i="39" s="1"/>
  <c r="N103" i="39" s="1"/>
  <c r="H102" i="39"/>
  <c r="L102" i="39" s="1"/>
  <c r="P102" i="39" s="1"/>
  <c r="G102" i="39"/>
  <c r="K102" i="39" s="1"/>
  <c r="O102" i="39" s="1"/>
  <c r="F102" i="39"/>
  <c r="J102" i="39" s="1"/>
  <c r="N102" i="39" s="1"/>
  <c r="K101" i="39"/>
  <c r="O101" i="39" s="1"/>
  <c r="R101" i="39" s="1"/>
  <c r="J101" i="39"/>
  <c r="N101" i="39" s="1"/>
  <c r="S101" i="39" s="1"/>
  <c r="H101" i="39"/>
  <c r="L101" i="39" s="1"/>
  <c r="P101" i="39" s="1"/>
  <c r="G101" i="39"/>
  <c r="F101" i="39"/>
  <c r="K100" i="39"/>
  <c r="O100" i="39" s="1"/>
  <c r="H100" i="39"/>
  <c r="L100" i="39" s="1"/>
  <c r="P100" i="39" s="1"/>
  <c r="G100" i="39"/>
  <c r="F100" i="39"/>
  <c r="J100" i="39" s="1"/>
  <c r="N100" i="39" s="1"/>
  <c r="O99" i="39"/>
  <c r="R99" i="39" s="1"/>
  <c r="H99" i="39"/>
  <c r="L99" i="39" s="1"/>
  <c r="P99" i="39" s="1"/>
  <c r="G99" i="39"/>
  <c r="K99" i="39" s="1"/>
  <c r="F99" i="39"/>
  <c r="J99" i="39" s="1"/>
  <c r="N99" i="39" s="1"/>
  <c r="H98" i="39"/>
  <c r="L98" i="39" s="1"/>
  <c r="P98" i="39" s="1"/>
  <c r="G98" i="39"/>
  <c r="K98" i="39" s="1"/>
  <c r="O98" i="39" s="1"/>
  <c r="F98" i="39"/>
  <c r="J98" i="39" s="1"/>
  <c r="N98" i="39" s="1"/>
  <c r="K97" i="39"/>
  <c r="O97" i="39" s="1"/>
  <c r="R97" i="39" s="1"/>
  <c r="J97" i="39"/>
  <c r="N97" i="39" s="1"/>
  <c r="S97" i="39" s="1"/>
  <c r="H97" i="39"/>
  <c r="L97" i="39" s="1"/>
  <c r="P97" i="39" s="1"/>
  <c r="G97" i="39"/>
  <c r="F97" i="39"/>
  <c r="K96" i="39"/>
  <c r="O96" i="39" s="1"/>
  <c r="H96" i="39"/>
  <c r="L96" i="39" s="1"/>
  <c r="P96" i="39" s="1"/>
  <c r="G96" i="39"/>
  <c r="F96" i="39"/>
  <c r="J96" i="39" s="1"/>
  <c r="N96" i="39" s="1"/>
  <c r="O95" i="39"/>
  <c r="R95" i="39" s="1"/>
  <c r="H95" i="39"/>
  <c r="L95" i="39" s="1"/>
  <c r="P95" i="39" s="1"/>
  <c r="G95" i="39"/>
  <c r="K95" i="39" s="1"/>
  <c r="F95" i="39"/>
  <c r="J95" i="39" s="1"/>
  <c r="N95" i="39" s="1"/>
  <c r="H94" i="39"/>
  <c r="L94" i="39" s="1"/>
  <c r="P94" i="39" s="1"/>
  <c r="G94" i="39"/>
  <c r="K94" i="39" s="1"/>
  <c r="O94" i="39" s="1"/>
  <c r="F94" i="39"/>
  <c r="J94" i="39" s="1"/>
  <c r="N94" i="39" s="1"/>
  <c r="K93" i="39"/>
  <c r="O93" i="39" s="1"/>
  <c r="R93" i="39" s="1"/>
  <c r="J93" i="39"/>
  <c r="N93" i="39" s="1"/>
  <c r="S93" i="39" s="1"/>
  <c r="H93" i="39"/>
  <c r="L93" i="39" s="1"/>
  <c r="P93" i="39" s="1"/>
  <c r="G93" i="39"/>
  <c r="F93" i="39"/>
  <c r="K92" i="39"/>
  <c r="O92" i="39" s="1"/>
  <c r="H92" i="39"/>
  <c r="L92" i="39" s="1"/>
  <c r="P92" i="39" s="1"/>
  <c r="G92" i="39"/>
  <c r="F92" i="39"/>
  <c r="J92" i="39" s="1"/>
  <c r="N92" i="39" s="1"/>
  <c r="O91" i="39"/>
  <c r="R91" i="39" s="1"/>
  <c r="H91" i="39"/>
  <c r="L91" i="39" s="1"/>
  <c r="P91" i="39" s="1"/>
  <c r="G91" i="39"/>
  <c r="K91" i="39" s="1"/>
  <c r="F91" i="39"/>
  <c r="J91" i="39" s="1"/>
  <c r="N91" i="39" s="1"/>
  <c r="H90" i="39"/>
  <c r="L90" i="39" s="1"/>
  <c r="P90" i="39" s="1"/>
  <c r="G90" i="39"/>
  <c r="K90" i="39" s="1"/>
  <c r="O90" i="39" s="1"/>
  <c r="F90" i="39"/>
  <c r="J90" i="39" s="1"/>
  <c r="N90" i="39" s="1"/>
  <c r="S90" i="39" s="1"/>
  <c r="K89" i="39"/>
  <c r="O89" i="39" s="1"/>
  <c r="R89" i="39" s="1"/>
  <c r="J89" i="39"/>
  <c r="N89" i="39" s="1"/>
  <c r="S89" i="39" s="1"/>
  <c r="H89" i="39"/>
  <c r="L89" i="39" s="1"/>
  <c r="P89" i="39" s="1"/>
  <c r="G89" i="39"/>
  <c r="F89" i="39"/>
  <c r="K88" i="39"/>
  <c r="O88" i="39" s="1"/>
  <c r="H88" i="39"/>
  <c r="L88" i="39" s="1"/>
  <c r="P88" i="39" s="1"/>
  <c r="G88" i="39"/>
  <c r="F88" i="39"/>
  <c r="J88" i="39" s="1"/>
  <c r="N88" i="39" s="1"/>
  <c r="H87" i="39"/>
  <c r="L87" i="39" s="1"/>
  <c r="P87" i="39" s="1"/>
  <c r="G87" i="39"/>
  <c r="K87" i="39" s="1"/>
  <c r="O87" i="39" s="1"/>
  <c r="R87" i="39" s="1"/>
  <c r="F87" i="39"/>
  <c r="J87" i="39" s="1"/>
  <c r="N87" i="39" s="1"/>
  <c r="H86" i="39"/>
  <c r="L86" i="39" s="1"/>
  <c r="P86" i="39" s="1"/>
  <c r="G86" i="39"/>
  <c r="K86" i="39" s="1"/>
  <c r="O86" i="39" s="1"/>
  <c r="F86" i="39"/>
  <c r="J86" i="39" s="1"/>
  <c r="N86" i="39" s="1"/>
  <c r="S86" i="39" s="1"/>
  <c r="K85" i="39"/>
  <c r="O85" i="39" s="1"/>
  <c r="R85" i="39" s="1"/>
  <c r="H85" i="39"/>
  <c r="L85" i="39" s="1"/>
  <c r="P85" i="39" s="1"/>
  <c r="G85" i="39"/>
  <c r="F85" i="39"/>
  <c r="J85" i="39" s="1"/>
  <c r="N85" i="39" s="1"/>
  <c r="S85" i="39" s="1"/>
  <c r="K84" i="39"/>
  <c r="O84" i="39" s="1"/>
  <c r="H84" i="39"/>
  <c r="L84" i="39" s="1"/>
  <c r="P84" i="39" s="1"/>
  <c r="G84" i="39"/>
  <c r="F84" i="39"/>
  <c r="J84" i="39" s="1"/>
  <c r="N84" i="39" s="1"/>
  <c r="H83" i="39"/>
  <c r="L83" i="39" s="1"/>
  <c r="P83" i="39" s="1"/>
  <c r="G83" i="39"/>
  <c r="K83" i="39" s="1"/>
  <c r="O83" i="39" s="1"/>
  <c r="R83" i="39" s="1"/>
  <c r="F83" i="39"/>
  <c r="J83" i="39" s="1"/>
  <c r="N83" i="39" s="1"/>
  <c r="H82" i="39"/>
  <c r="L82" i="39" s="1"/>
  <c r="P82" i="39" s="1"/>
  <c r="G82" i="39"/>
  <c r="K82" i="39" s="1"/>
  <c r="O82" i="39" s="1"/>
  <c r="F82" i="39"/>
  <c r="J82" i="39" s="1"/>
  <c r="N82" i="39" s="1"/>
  <c r="S82" i="39" s="1"/>
  <c r="K81" i="39"/>
  <c r="O81" i="39" s="1"/>
  <c r="R81" i="39" s="1"/>
  <c r="J81" i="39"/>
  <c r="N81" i="39" s="1"/>
  <c r="S81" i="39" s="1"/>
  <c r="H81" i="39"/>
  <c r="L81" i="39" s="1"/>
  <c r="P81" i="39" s="1"/>
  <c r="G81" i="39"/>
  <c r="F81" i="39"/>
  <c r="K80" i="39"/>
  <c r="O80" i="39" s="1"/>
  <c r="H80" i="39"/>
  <c r="L80" i="39" s="1"/>
  <c r="P80" i="39" s="1"/>
  <c r="G80" i="39"/>
  <c r="F80" i="39"/>
  <c r="J80" i="39" s="1"/>
  <c r="N80" i="39" s="1"/>
  <c r="K79" i="39"/>
  <c r="O79" i="39" s="1"/>
  <c r="R79" i="39" s="1"/>
  <c r="H79" i="39"/>
  <c r="L79" i="39" s="1"/>
  <c r="P79" i="39" s="1"/>
  <c r="G79" i="39"/>
  <c r="F79" i="39"/>
  <c r="J79" i="39" s="1"/>
  <c r="N79" i="39" s="1"/>
  <c r="H78" i="39"/>
  <c r="L78" i="39" s="1"/>
  <c r="P78" i="39" s="1"/>
  <c r="G78" i="39"/>
  <c r="K78" i="39" s="1"/>
  <c r="O78" i="39" s="1"/>
  <c r="F78" i="39"/>
  <c r="J78" i="39" s="1"/>
  <c r="N78" i="39" s="1"/>
  <c r="K77" i="39"/>
  <c r="O77" i="39" s="1"/>
  <c r="R77" i="39" s="1"/>
  <c r="J77" i="39"/>
  <c r="N77" i="39" s="1"/>
  <c r="S77" i="39" s="1"/>
  <c r="H77" i="39"/>
  <c r="L77" i="39" s="1"/>
  <c r="P77" i="39" s="1"/>
  <c r="G77" i="39"/>
  <c r="F77" i="39"/>
  <c r="K76" i="39"/>
  <c r="O76" i="39" s="1"/>
  <c r="H76" i="39"/>
  <c r="L76" i="39" s="1"/>
  <c r="P76" i="39" s="1"/>
  <c r="G76" i="39"/>
  <c r="F76" i="39"/>
  <c r="J76" i="39" s="1"/>
  <c r="N76" i="39" s="1"/>
  <c r="K75" i="39"/>
  <c r="O75" i="39" s="1"/>
  <c r="R75" i="39" s="1"/>
  <c r="H75" i="39"/>
  <c r="L75" i="39" s="1"/>
  <c r="P75" i="39" s="1"/>
  <c r="G75" i="39"/>
  <c r="F75" i="39"/>
  <c r="J75" i="39" s="1"/>
  <c r="N75" i="39" s="1"/>
  <c r="H74" i="39"/>
  <c r="L74" i="39" s="1"/>
  <c r="P74" i="39" s="1"/>
  <c r="G74" i="39"/>
  <c r="K74" i="39" s="1"/>
  <c r="O74" i="39" s="1"/>
  <c r="F74" i="39"/>
  <c r="J74" i="39" s="1"/>
  <c r="N74" i="39" s="1"/>
  <c r="S74" i="39" s="1"/>
  <c r="K73" i="39"/>
  <c r="O73" i="39" s="1"/>
  <c r="R73" i="39" s="1"/>
  <c r="J73" i="39"/>
  <c r="N73" i="39" s="1"/>
  <c r="S73" i="39" s="1"/>
  <c r="H73" i="39"/>
  <c r="L73" i="39" s="1"/>
  <c r="P73" i="39" s="1"/>
  <c r="G73" i="39"/>
  <c r="F73" i="39"/>
  <c r="K72" i="39"/>
  <c r="O72" i="39" s="1"/>
  <c r="H72" i="39"/>
  <c r="L72" i="39" s="1"/>
  <c r="P72" i="39" s="1"/>
  <c r="G72" i="39"/>
  <c r="F72" i="39"/>
  <c r="J72" i="39" s="1"/>
  <c r="N72" i="39" s="1"/>
  <c r="H71" i="39"/>
  <c r="L71" i="39" s="1"/>
  <c r="P71" i="39" s="1"/>
  <c r="G71" i="39"/>
  <c r="K71" i="39" s="1"/>
  <c r="O71" i="39" s="1"/>
  <c r="R71" i="39" s="1"/>
  <c r="F71" i="39"/>
  <c r="J71" i="39" s="1"/>
  <c r="N71" i="39" s="1"/>
  <c r="H70" i="39"/>
  <c r="L70" i="39" s="1"/>
  <c r="P70" i="39" s="1"/>
  <c r="G70" i="39"/>
  <c r="K70" i="39" s="1"/>
  <c r="O70" i="39" s="1"/>
  <c r="F70" i="39"/>
  <c r="J70" i="39" s="1"/>
  <c r="N70" i="39" s="1"/>
  <c r="S70" i="39" s="1"/>
  <c r="K69" i="39"/>
  <c r="O69" i="39" s="1"/>
  <c r="R69" i="39" s="1"/>
  <c r="H69" i="39"/>
  <c r="L69" i="39" s="1"/>
  <c r="P69" i="39" s="1"/>
  <c r="G69" i="39"/>
  <c r="F69" i="39"/>
  <c r="J69" i="39" s="1"/>
  <c r="N69" i="39" s="1"/>
  <c r="S69" i="39" s="1"/>
  <c r="K68" i="39"/>
  <c r="O68" i="39" s="1"/>
  <c r="H68" i="39"/>
  <c r="L68" i="39" s="1"/>
  <c r="P68" i="39" s="1"/>
  <c r="G68" i="39"/>
  <c r="F68" i="39"/>
  <c r="J68" i="39" s="1"/>
  <c r="N68" i="39" s="1"/>
  <c r="H67" i="39"/>
  <c r="L67" i="39" s="1"/>
  <c r="P67" i="39" s="1"/>
  <c r="G67" i="39"/>
  <c r="K67" i="39" s="1"/>
  <c r="O67" i="39" s="1"/>
  <c r="R67" i="39" s="1"/>
  <c r="F67" i="39"/>
  <c r="J67" i="39" s="1"/>
  <c r="N67" i="39" s="1"/>
  <c r="H66" i="39"/>
  <c r="L66" i="39" s="1"/>
  <c r="P66" i="39" s="1"/>
  <c r="G66" i="39"/>
  <c r="K66" i="39" s="1"/>
  <c r="O66" i="39" s="1"/>
  <c r="F66" i="39"/>
  <c r="J66" i="39" s="1"/>
  <c r="N66" i="39" s="1"/>
  <c r="S66" i="39" s="1"/>
  <c r="K65" i="39"/>
  <c r="O65" i="39" s="1"/>
  <c r="R65" i="39" s="1"/>
  <c r="J65" i="39"/>
  <c r="N65" i="39" s="1"/>
  <c r="S65" i="39" s="1"/>
  <c r="H65" i="39"/>
  <c r="L65" i="39" s="1"/>
  <c r="P65" i="39" s="1"/>
  <c r="G65" i="39"/>
  <c r="F65" i="39"/>
  <c r="K64" i="39"/>
  <c r="O64" i="39" s="1"/>
  <c r="H64" i="39"/>
  <c r="L64" i="39" s="1"/>
  <c r="P64" i="39" s="1"/>
  <c r="G64" i="39"/>
  <c r="F64" i="39"/>
  <c r="J64" i="39" s="1"/>
  <c r="N64" i="39" s="1"/>
  <c r="K63" i="39"/>
  <c r="O63" i="39" s="1"/>
  <c r="R63" i="39" s="1"/>
  <c r="H63" i="39"/>
  <c r="L63" i="39" s="1"/>
  <c r="P63" i="39" s="1"/>
  <c r="G63" i="39"/>
  <c r="F63" i="39"/>
  <c r="J63" i="39" s="1"/>
  <c r="N63" i="39" s="1"/>
  <c r="H62" i="39"/>
  <c r="L62" i="39" s="1"/>
  <c r="P62" i="39" s="1"/>
  <c r="G62" i="39"/>
  <c r="K62" i="39" s="1"/>
  <c r="O62" i="39" s="1"/>
  <c r="F62" i="39"/>
  <c r="J62" i="39" s="1"/>
  <c r="N62" i="39" s="1"/>
  <c r="K61" i="39"/>
  <c r="O61" i="39" s="1"/>
  <c r="R61" i="39" s="1"/>
  <c r="J61" i="39"/>
  <c r="N61" i="39" s="1"/>
  <c r="S61" i="39" s="1"/>
  <c r="H61" i="39"/>
  <c r="L61" i="39" s="1"/>
  <c r="P61" i="39" s="1"/>
  <c r="G61" i="39"/>
  <c r="F61" i="39"/>
  <c r="K60" i="39"/>
  <c r="O60" i="39" s="1"/>
  <c r="H60" i="39"/>
  <c r="L60" i="39" s="1"/>
  <c r="P60" i="39" s="1"/>
  <c r="G60" i="39"/>
  <c r="F60" i="39"/>
  <c r="J60" i="39" s="1"/>
  <c r="N60" i="39" s="1"/>
  <c r="K59" i="39"/>
  <c r="O59" i="39" s="1"/>
  <c r="R59" i="39" s="1"/>
  <c r="H59" i="39"/>
  <c r="L59" i="39" s="1"/>
  <c r="P59" i="39" s="1"/>
  <c r="G59" i="39"/>
  <c r="F59" i="39"/>
  <c r="J59" i="39" s="1"/>
  <c r="N59" i="39" s="1"/>
  <c r="H58" i="39"/>
  <c r="L58" i="39" s="1"/>
  <c r="P58" i="39" s="1"/>
  <c r="G58" i="39"/>
  <c r="K58" i="39" s="1"/>
  <c r="O58" i="39" s="1"/>
  <c r="F58" i="39"/>
  <c r="J58" i="39" s="1"/>
  <c r="N58" i="39" s="1"/>
  <c r="S58" i="39" s="1"/>
  <c r="K57" i="39"/>
  <c r="O57" i="39" s="1"/>
  <c r="R57" i="39" s="1"/>
  <c r="J57" i="39"/>
  <c r="N57" i="39" s="1"/>
  <c r="S57" i="39" s="1"/>
  <c r="H57" i="39"/>
  <c r="L57" i="39" s="1"/>
  <c r="P57" i="39" s="1"/>
  <c r="G57" i="39"/>
  <c r="F57" i="39"/>
  <c r="K56" i="39"/>
  <c r="O56" i="39" s="1"/>
  <c r="H56" i="39"/>
  <c r="L56" i="39" s="1"/>
  <c r="P56" i="39" s="1"/>
  <c r="G56" i="39"/>
  <c r="F56" i="39"/>
  <c r="J56" i="39" s="1"/>
  <c r="N56" i="39" s="1"/>
  <c r="H55" i="39"/>
  <c r="L55" i="39" s="1"/>
  <c r="P55" i="39" s="1"/>
  <c r="G55" i="39"/>
  <c r="K55" i="39" s="1"/>
  <c r="O55" i="39" s="1"/>
  <c r="R55" i="39" s="1"/>
  <c r="F55" i="39"/>
  <c r="J55" i="39" s="1"/>
  <c r="N55" i="39" s="1"/>
  <c r="H54" i="39"/>
  <c r="L54" i="39" s="1"/>
  <c r="P54" i="39" s="1"/>
  <c r="G54" i="39"/>
  <c r="K54" i="39" s="1"/>
  <c r="O54" i="39" s="1"/>
  <c r="F54" i="39"/>
  <c r="J54" i="39" s="1"/>
  <c r="N54" i="39" s="1"/>
  <c r="S54" i="39" s="1"/>
  <c r="K53" i="39"/>
  <c r="O53" i="39" s="1"/>
  <c r="R53" i="39" s="1"/>
  <c r="H53" i="39"/>
  <c r="L53" i="39" s="1"/>
  <c r="P53" i="39" s="1"/>
  <c r="G53" i="39"/>
  <c r="F53" i="39"/>
  <c r="J53" i="39" s="1"/>
  <c r="N53" i="39" s="1"/>
  <c r="S53" i="39" s="1"/>
  <c r="K52" i="39"/>
  <c r="O52" i="39" s="1"/>
  <c r="H52" i="39"/>
  <c r="L52" i="39" s="1"/>
  <c r="P52" i="39" s="1"/>
  <c r="G52" i="39"/>
  <c r="F52" i="39"/>
  <c r="J52" i="39" s="1"/>
  <c r="N52" i="39" s="1"/>
  <c r="H51" i="39"/>
  <c r="L51" i="39" s="1"/>
  <c r="P51" i="39" s="1"/>
  <c r="G51" i="39"/>
  <c r="K51" i="39" s="1"/>
  <c r="O51" i="39" s="1"/>
  <c r="R51" i="39" s="1"/>
  <c r="F51" i="39"/>
  <c r="J51" i="39" s="1"/>
  <c r="N51" i="39" s="1"/>
  <c r="H50" i="39"/>
  <c r="L50" i="39" s="1"/>
  <c r="P50" i="39" s="1"/>
  <c r="G50" i="39"/>
  <c r="K50" i="39" s="1"/>
  <c r="O50" i="39" s="1"/>
  <c r="F50" i="39"/>
  <c r="J50" i="39" s="1"/>
  <c r="N50" i="39" s="1"/>
  <c r="S50" i="39" s="1"/>
  <c r="K49" i="39"/>
  <c r="O49" i="39" s="1"/>
  <c r="R49" i="39" s="1"/>
  <c r="J49" i="39"/>
  <c r="N49" i="39" s="1"/>
  <c r="S49" i="39" s="1"/>
  <c r="H49" i="39"/>
  <c r="L49" i="39" s="1"/>
  <c r="P49" i="39" s="1"/>
  <c r="G49" i="39"/>
  <c r="F49" i="39"/>
  <c r="K48" i="39"/>
  <c r="O48" i="39" s="1"/>
  <c r="H48" i="39"/>
  <c r="L48" i="39" s="1"/>
  <c r="P48" i="39" s="1"/>
  <c r="G48" i="39"/>
  <c r="F48" i="39"/>
  <c r="J48" i="39" s="1"/>
  <c r="N48" i="39" s="1"/>
  <c r="K47" i="39"/>
  <c r="O47" i="39" s="1"/>
  <c r="R47" i="39" s="1"/>
  <c r="H47" i="39"/>
  <c r="L47" i="39" s="1"/>
  <c r="P47" i="39" s="1"/>
  <c r="G47" i="39"/>
  <c r="F47" i="39"/>
  <c r="J47" i="39" s="1"/>
  <c r="N47" i="39" s="1"/>
  <c r="H46" i="39"/>
  <c r="L46" i="39" s="1"/>
  <c r="P46" i="39" s="1"/>
  <c r="G46" i="39"/>
  <c r="K46" i="39" s="1"/>
  <c r="O46" i="39" s="1"/>
  <c r="F46" i="39"/>
  <c r="J46" i="39" s="1"/>
  <c r="N46" i="39" s="1"/>
  <c r="K45" i="39"/>
  <c r="O45" i="39" s="1"/>
  <c r="R45" i="39" s="1"/>
  <c r="J45" i="39"/>
  <c r="N45" i="39" s="1"/>
  <c r="S45" i="39" s="1"/>
  <c r="H45" i="39"/>
  <c r="L45" i="39" s="1"/>
  <c r="P45" i="39" s="1"/>
  <c r="G45" i="39"/>
  <c r="F45" i="39"/>
  <c r="K44" i="39"/>
  <c r="O44" i="39" s="1"/>
  <c r="H44" i="39"/>
  <c r="L44" i="39" s="1"/>
  <c r="P44" i="39" s="1"/>
  <c r="G44" i="39"/>
  <c r="F44" i="39"/>
  <c r="J44" i="39" s="1"/>
  <c r="N44" i="39" s="1"/>
  <c r="K43" i="39"/>
  <c r="O43" i="39" s="1"/>
  <c r="R43" i="39" s="1"/>
  <c r="H43" i="39"/>
  <c r="L43" i="39" s="1"/>
  <c r="P43" i="39" s="1"/>
  <c r="G43" i="39"/>
  <c r="F43" i="39"/>
  <c r="J43" i="39" s="1"/>
  <c r="N43" i="39" s="1"/>
  <c r="H42" i="39"/>
  <c r="L42" i="39" s="1"/>
  <c r="P42" i="39" s="1"/>
  <c r="G42" i="39"/>
  <c r="K42" i="39" s="1"/>
  <c r="O42" i="39" s="1"/>
  <c r="F42" i="39"/>
  <c r="J42" i="39" s="1"/>
  <c r="N42" i="39" s="1"/>
  <c r="S42" i="39" s="1"/>
  <c r="K41" i="39"/>
  <c r="O41" i="39" s="1"/>
  <c r="R41" i="39" s="1"/>
  <c r="J41" i="39"/>
  <c r="N41" i="39" s="1"/>
  <c r="S41" i="39" s="1"/>
  <c r="H41" i="39"/>
  <c r="L41" i="39" s="1"/>
  <c r="P41" i="39" s="1"/>
  <c r="G41" i="39"/>
  <c r="F41" i="39"/>
  <c r="K40" i="39"/>
  <c r="O40" i="39" s="1"/>
  <c r="H40" i="39"/>
  <c r="L40" i="39" s="1"/>
  <c r="P40" i="39" s="1"/>
  <c r="G40" i="39"/>
  <c r="F40" i="39"/>
  <c r="J40" i="39" s="1"/>
  <c r="N40" i="39" s="1"/>
  <c r="H39" i="39"/>
  <c r="L39" i="39" s="1"/>
  <c r="P39" i="39" s="1"/>
  <c r="G39" i="39"/>
  <c r="K39" i="39" s="1"/>
  <c r="O39" i="39" s="1"/>
  <c r="R39" i="39" s="1"/>
  <c r="F39" i="39"/>
  <c r="J39" i="39" s="1"/>
  <c r="N39" i="39" s="1"/>
  <c r="H38" i="39"/>
  <c r="L38" i="39" s="1"/>
  <c r="P38" i="39" s="1"/>
  <c r="G38" i="39"/>
  <c r="K38" i="39" s="1"/>
  <c r="O38" i="39" s="1"/>
  <c r="F38" i="39"/>
  <c r="J38" i="39" s="1"/>
  <c r="N38" i="39" s="1"/>
  <c r="S38" i="39" s="1"/>
  <c r="K37" i="39"/>
  <c r="O37" i="39" s="1"/>
  <c r="R37" i="39" s="1"/>
  <c r="H37" i="39"/>
  <c r="L37" i="39" s="1"/>
  <c r="P37" i="39" s="1"/>
  <c r="G37" i="39"/>
  <c r="F37" i="39"/>
  <c r="J37" i="39" s="1"/>
  <c r="N37" i="39" s="1"/>
  <c r="S37" i="39" s="1"/>
  <c r="K36" i="39"/>
  <c r="O36" i="39" s="1"/>
  <c r="H36" i="39"/>
  <c r="L36" i="39" s="1"/>
  <c r="P36" i="39" s="1"/>
  <c r="G36" i="39"/>
  <c r="F36" i="39"/>
  <c r="J36" i="39" s="1"/>
  <c r="N36" i="39" s="1"/>
  <c r="H35" i="39"/>
  <c r="L35" i="39" s="1"/>
  <c r="P35" i="39" s="1"/>
  <c r="G35" i="39"/>
  <c r="K35" i="39" s="1"/>
  <c r="O35" i="39" s="1"/>
  <c r="R35" i="39" s="1"/>
  <c r="F35" i="39"/>
  <c r="J35" i="39" s="1"/>
  <c r="N35" i="39" s="1"/>
  <c r="H34" i="39"/>
  <c r="L34" i="39" s="1"/>
  <c r="P34" i="39" s="1"/>
  <c r="G34" i="39"/>
  <c r="K34" i="39" s="1"/>
  <c r="O34" i="39" s="1"/>
  <c r="F34" i="39"/>
  <c r="J34" i="39" s="1"/>
  <c r="N34" i="39" s="1"/>
  <c r="S34" i="39" s="1"/>
  <c r="K33" i="39"/>
  <c r="O33" i="39" s="1"/>
  <c r="R33" i="39" s="1"/>
  <c r="J33" i="39"/>
  <c r="N33" i="39" s="1"/>
  <c r="S33" i="39" s="1"/>
  <c r="H33" i="39"/>
  <c r="L33" i="39" s="1"/>
  <c r="P33" i="39" s="1"/>
  <c r="G33" i="39"/>
  <c r="F33" i="39"/>
  <c r="K32" i="39"/>
  <c r="O32" i="39" s="1"/>
  <c r="H32" i="39"/>
  <c r="L32" i="39" s="1"/>
  <c r="P32" i="39" s="1"/>
  <c r="G32" i="39"/>
  <c r="F32" i="39"/>
  <c r="J32" i="39" s="1"/>
  <c r="N32" i="39" s="1"/>
  <c r="K31" i="39"/>
  <c r="O31" i="39" s="1"/>
  <c r="R31" i="39" s="1"/>
  <c r="H31" i="39"/>
  <c r="L31" i="39" s="1"/>
  <c r="P31" i="39" s="1"/>
  <c r="G31" i="39"/>
  <c r="F31" i="39"/>
  <c r="J31" i="39" s="1"/>
  <c r="N31" i="39" s="1"/>
  <c r="H30" i="39"/>
  <c r="L30" i="39" s="1"/>
  <c r="P30" i="39" s="1"/>
  <c r="G30" i="39"/>
  <c r="K30" i="39" s="1"/>
  <c r="O30" i="39" s="1"/>
  <c r="F30" i="39"/>
  <c r="J30" i="39" s="1"/>
  <c r="N30" i="39" s="1"/>
  <c r="K29" i="39"/>
  <c r="O29" i="39" s="1"/>
  <c r="R29" i="39" s="1"/>
  <c r="J29" i="39"/>
  <c r="N29" i="39" s="1"/>
  <c r="S29" i="39" s="1"/>
  <c r="H29" i="39"/>
  <c r="L29" i="39" s="1"/>
  <c r="P29" i="39" s="1"/>
  <c r="G29" i="39"/>
  <c r="F29" i="39"/>
  <c r="K28" i="39"/>
  <c r="O28" i="39" s="1"/>
  <c r="H28" i="39"/>
  <c r="L28" i="39" s="1"/>
  <c r="P28" i="39" s="1"/>
  <c r="G28" i="39"/>
  <c r="F28" i="39"/>
  <c r="J28" i="39" s="1"/>
  <c r="N28" i="39" s="1"/>
  <c r="K27" i="39"/>
  <c r="O27" i="39" s="1"/>
  <c r="R27" i="39" s="1"/>
  <c r="H27" i="39"/>
  <c r="L27" i="39" s="1"/>
  <c r="P27" i="39" s="1"/>
  <c r="G27" i="39"/>
  <c r="F27" i="39"/>
  <c r="J27" i="39" s="1"/>
  <c r="N27" i="39" s="1"/>
  <c r="L26" i="39"/>
  <c r="P26" i="39" s="1"/>
  <c r="H26" i="39"/>
  <c r="G26" i="39"/>
  <c r="K26" i="39" s="1"/>
  <c r="O26" i="39" s="1"/>
  <c r="F26" i="39"/>
  <c r="J26" i="39" s="1"/>
  <c r="N26" i="39" s="1"/>
  <c r="H25" i="39"/>
  <c r="L25" i="39" s="1"/>
  <c r="P25" i="39" s="1"/>
  <c r="G25" i="39"/>
  <c r="K25" i="39" s="1"/>
  <c r="O25" i="39" s="1"/>
  <c r="F25" i="39"/>
  <c r="J25" i="39" s="1"/>
  <c r="N25" i="39" s="1"/>
  <c r="J24" i="39"/>
  <c r="N24" i="39" s="1"/>
  <c r="H24" i="39"/>
  <c r="L24" i="39" s="1"/>
  <c r="P24" i="39" s="1"/>
  <c r="G24" i="39"/>
  <c r="K24" i="39" s="1"/>
  <c r="O24" i="39" s="1"/>
  <c r="F24" i="39"/>
  <c r="L23" i="39"/>
  <c r="P23" i="39" s="1"/>
  <c r="H23" i="39"/>
  <c r="G23" i="39"/>
  <c r="K23" i="39" s="1"/>
  <c r="O23" i="39" s="1"/>
  <c r="F23" i="39"/>
  <c r="J23" i="39" s="1"/>
  <c r="N23" i="39" s="1"/>
  <c r="L22" i="39"/>
  <c r="P22" i="39" s="1"/>
  <c r="H22" i="39"/>
  <c r="G22" i="39"/>
  <c r="K22" i="39" s="1"/>
  <c r="O22" i="39" s="1"/>
  <c r="F22" i="39"/>
  <c r="J22" i="39" s="1"/>
  <c r="N22" i="39" s="1"/>
  <c r="H21" i="39"/>
  <c r="L21" i="39" s="1"/>
  <c r="P21" i="39" s="1"/>
  <c r="G21" i="39"/>
  <c r="K21" i="39" s="1"/>
  <c r="O21" i="39" s="1"/>
  <c r="F21" i="39"/>
  <c r="J21" i="39" s="1"/>
  <c r="N21" i="39" s="1"/>
  <c r="J20" i="39"/>
  <c r="N20" i="39" s="1"/>
  <c r="H20" i="39"/>
  <c r="L20" i="39" s="1"/>
  <c r="P20" i="39" s="1"/>
  <c r="G20" i="39"/>
  <c r="K20" i="39" s="1"/>
  <c r="O20" i="39" s="1"/>
  <c r="F20" i="39"/>
  <c r="L19" i="39"/>
  <c r="P19" i="39" s="1"/>
  <c r="H19" i="39"/>
  <c r="G19" i="39"/>
  <c r="K19" i="39" s="1"/>
  <c r="O19" i="39" s="1"/>
  <c r="F19" i="39"/>
  <c r="J19" i="39" s="1"/>
  <c r="N19" i="39" s="1"/>
  <c r="L18" i="39"/>
  <c r="P18" i="39" s="1"/>
  <c r="H18" i="39"/>
  <c r="G18" i="39"/>
  <c r="K18" i="39" s="1"/>
  <c r="O18" i="39" s="1"/>
  <c r="F18" i="39"/>
  <c r="J18" i="39" s="1"/>
  <c r="N18" i="39" s="1"/>
  <c r="H17" i="39"/>
  <c r="L17" i="39" s="1"/>
  <c r="P17" i="39" s="1"/>
  <c r="G17" i="39"/>
  <c r="K17" i="39" s="1"/>
  <c r="O17" i="39" s="1"/>
  <c r="F17" i="39"/>
  <c r="J17" i="39" s="1"/>
  <c r="N17" i="39" s="1"/>
  <c r="J16" i="39"/>
  <c r="N16" i="39" s="1"/>
  <c r="H16" i="39"/>
  <c r="L16" i="39" s="1"/>
  <c r="P16" i="39" s="1"/>
  <c r="G16" i="39"/>
  <c r="K16" i="39" s="1"/>
  <c r="O16" i="39" s="1"/>
  <c r="F16" i="39"/>
  <c r="L15" i="39"/>
  <c r="P15" i="39" s="1"/>
  <c r="H15" i="39"/>
  <c r="G15" i="39"/>
  <c r="K15" i="39" s="1"/>
  <c r="O15" i="39" s="1"/>
  <c r="F15" i="39"/>
  <c r="J15" i="39" s="1"/>
  <c r="N15" i="39" s="1"/>
  <c r="J14" i="39"/>
  <c r="N14" i="39" s="1"/>
  <c r="H14" i="39"/>
  <c r="L14" i="39" s="1"/>
  <c r="P14" i="39" s="1"/>
  <c r="G14" i="39"/>
  <c r="K14" i="39" s="1"/>
  <c r="O14" i="39" s="1"/>
  <c r="F14" i="39"/>
  <c r="L13" i="39"/>
  <c r="P13" i="39" s="1"/>
  <c r="H13" i="39"/>
  <c r="G13" i="39"/>
  <c r="K13" i="39" s="1"/>
  <c r="O13" i="39" s="1"/>
  <c r="F13" i="39"/>
  <c r="J13" i="39" s="1"/>
  <c r="N13" i="39" s="1"/>
  <c r="J12" i="39"/>
  <c r="N12" i="39" s="1"/>
  <c r="H12" i="39"/>
  <c r="L12" i="39" s="1"/>
  <c r="P12" i="39" s="1"/>
  <c r="G12" i="39"/>
  <c r="K12" i="39" s="1"/>
  <c r="O12" i="39" s="1"/>
  <c r="F12" i="39"/>
  <c r="L11" i="39"/>
  <c r="P11" i="39" s="1"/>
  <c r="H11" i="39"/>
  <c r="G11" i="39"/>
  <c r="K11" i="39" s="1"/>
  <c r="O11" i="39" s="1"/>
  <c r="F11" i="39"/>
  <c r="J11" i="39" s="1"/>
  <c r="N11" i="39" s="1"/>
  <c r="J10" i="39"/>
  <c r="N10" i="39" s="1"/>
  <c r="H10" i="39"/>
  <c r="L10" i="39" s="1"/>
  <c r="P10" i="39" s="1"/>
  <c r="G10" i="39"/>
  <c r="K10" i="39" s="1"/>
  <c r="O10" i="39" s="1"/>
  <c r="F10" i="39"/>
  <c r="L9" i="39"/>
  <c r="P9" i="39" s="1"/>
  <c r="H9" i="39"/>
  <c r="G9" i="39"/>
  <c r="K9" i="39" s="1"/>
  <c r="O9" i="39" s="1"/>
  <c r="F9" i="39"/>
  <c r="J9" i="39" s="1"/>
  <c r="N9" i="39" s="1"/>
  <c r="J8" i="39"/>
  <c r="N8" i="39" s="1"/>
  <c r="H8" i="39"/>
  <c r="L8" i="39" s="1"/>
  <c r="P8" i="39" s="1"/>
  <c r="G8" i="39"/>
  <c r="K8" i="39" s="1"/>
  <c r="O8" i="39" s="1"/>
  <c r="F8" i="39"/>
  <c r="L7" i="39"/>
  <c r="P7" i="39" s="1"/>
  <c r="H7" i="39"/>
  <c r="G7" i="39"/>
  <c r="K7" i="39" s="1"/>
  <c r="O7" i="39" s="1"/>
  <c r="F7" i="39"/>
  <c r="J7" i="39" s="1"/>
  <c r="N7" i="39" s="1"/>
  <c r="J6" i="39"/>
  <c r="N6" i="39" s="1"/>
  <c r="H6" i="39"/>
  <c r="L6" i="39" s="1"/>
  <c r="P6" i="39" s="1"/>
  <c r="G6" i="39"/>
  <c r="K6" i="39" s="1"/>
  <c r="O6" i="39" s="1"/>
  <c r="F6" i="39"/>
  <c r="L5" i="39"/>
  <c r="P5" i="39" s="1"/>
  <c r="H5" i="39"/>
  <c r="G5" i="39"/>
  <c r="K5" i="39" s="1"/>
  <c r="O5" i="39" s="1"/>
  <c r="F5" i="39"/>
  <c r="J5" i="39" s="1"/>
  <c r="N5" i="39" s="1"/>
  <c r="J4" i="39"/>
  <c r="N4" i="39" s="1"/>
  <c r="H4" i="39"/>
  <c r="L4" i="39" s="1"/>
  <c r="P4" i="39" s="1"/>
  <c r="G4" i="39"/>
  <c r="K4" i="39" s="1"/>
  <c r="O4" i="39" s="1"/>
  <c r="T48" i="8" l="1"/>
  <c r="S87" i="39"/>
  <c r="S75" i="39"/>
  <c r="S99" i="39"/>
  <c r="S111" i="39"/>
  <c r="S115" i="39"/>
  <c r="S123" i="39"/>
  <c r="S131" i="39"/>
  <c r="S135" i="39"/>
  <c r="T149" i="39"/>
  <c r="T152" i="39"/>
  <c r="R152" i="39"/>
  <c r="T214" i="39"/>
  <c r="R243" i="39"/>
  <c r="T243" i="39"/>
  <c r="S31" i="39"/>
  <c r="S47" i="39"/>
  <c r="S63" i="39"/>
  <c r="S79" i="39"/>
  <c r="T144" i="39"/>
  <c r="T148" i="39"/>
  <c r="S152" i="39"/>
  <c r="S196" i="39"/>
  <c r="S197" i="39"/>
  <c r="S198" i="39"/>
  <c r="S199" i="39"/>
  <c r="S231" i="39"/>
  <c r="R309" i="39"/>
  <c r="T309" i="39"/>
  <c r="S39" i="39"/>
  <c r="S55" i="39"/>
  <c r="S71" i="39"/>
  <c r="T212" i="39"/>
  <c r="R212" i="39"/>
  <c r="S27" i="39"/>
  <c r="S43" i="39"/>
  <c r="S59" i="39"/>
  <c r="S91" i="39"/>
  <c r="S95" i="39"/>
  <c r="S103" i="39"/>
  <c r="S107" i="39"/>
  <c r="S119" i="39"/>
  <c r="S127" i="39"/>
  <c r="T221" i="39"/>
  <c r="S30" i="39"/>
  <c r="S35" i="39"/>
  <c r="S46" i="39"/>
  <c r="S51" i="39"/>
  <c r="S62" i="39"/>
  <c r="S67" i="39"/>
  <c r="S78" i="39"/>
  <c r="S83" i="39"/>
  <c r="S142" i="39"/>
  <c r="S159" i="39"/>
  <c r="S160" i="39"/>
  <c r="S163" i="39"/>
  <c r="T165" i="39"/>
  <c r="S185" i="39"/>
  <c r="S194" i="39"/>
  <c r="T213" i="39"/>
  <c r="T220" i="39"/>
  <c r="T222" i="39"/>
  <c r="S246" i="39"/>
  <c r="R246" i="39"/>
  <c r="S168" i="39"/>
  <c r="S172" i="39"/>
  <c r="S176" i="39"/>
  <c r="S180" i="39"/>
  <c r="S184" i="39"/>
  <c r="S188" i="39"/>
  <c r="S200" i="39"/>
  <c r="S202" i="39"/>
  <c r="S203" i="39"/>
  <c r="S206" i="39"/>
  <c r="S212" i="39"/>
  <c r="S214" i="39"/>
  <c r="R214" i="39"/>
  <c r="T215" i="39"/>
  <c r="S221" i="39"/>
  <c r="S222" i="39"/>
  <c r="T235" i="39"/>
  <c r="T254" i="39"/>
  <c r="T270" i="39"/>
  <c r="S277" i="39"/>
  <c r="S282" i="39"/>
  <c r="T283" i="39"/>
  <c r="R311" i="39"/>
  <c r="T311" i="39"/>
  <c r="S322" i="39"/>
  <c r="S338" i="39"/>
  <c r="T400" i="39"/>
  <c r="T401" i="39"/>
  <c r="S462" i="39"/>
  <c r="S94" i="39"/>
  <c r="S98" i="39"/>
  <c r="S102" i="39"/>
  <c r="S106" i="39"/>
  <c r="S110" i="39"/>
  <c r="S114" i="39"/>
  <c r="S118" i="39"/>
  <c r="S122" i="39"/>
  <c r="S126" i="39"/>
  <c r="S130" i="39"/>
  <c r="S134" i="39"/>
  <c r="S138" i="39"/>
  <c r="S139" i="39"/>
  <c r="S155" i="39"/>
  <c r="S156" i="39"/>
  <c r="S190" i="39"/>
  <c r="S191" i="39"/>
  <c r="S204" i="39"/>
  <c r="S213" i="39"/>
  <c r="S215" i="39"/>
  <c r="T218" i="39"/>
  <c r="R218" i="39"/>
  <c r="T227" i="39"/>
  <c r="S228" i="39"/>
  <c r="T241" i="39"/>
  <c r="T242" i="39"/>
  <c r="R242" i="39"/>
  <c r="T250" i="39"/>
  <c r="R250" i="39"/>
  <c r="T258" i="39"/>
  <c r="S276" i="39"/>
  <c r="T313" i="39"/>
  <c r="R313" i="39"/>
  <c r="S326" i="39"/>
  <c r="S342" i="39"/>
  <c r="S352" i="39"/>
  <c r="S375" i="39"/>
  <c r="S384" i="39"/>
  <c r="S450" i="39"/>
  <c r="S453" i="39"/>
  <c r="S471" i="39"/>
  <c r="T234" i="39"/>
  <c r="R238" i="39"/>
  <c r="T239" i="39"/>
  <c r="R244" i="39"/>
  <c r="T245" i="39"/>
  <c r="S253" i="39"/>
  <c r="S254" i="39"/>
  <c r="T256" i="39"/>
  <c r="S258" i="39"/>
  <c r="T260" i="39"/>
  <c r="S262" i="39"/>
  <c r="T264" i="39"/>
  <c r="S266" i="39"/>
  <c r="T268" i="39"/>
  <c r="T287" i="39"/>
  <c r="S292" i="39"/>
  <c r="S312" i="39"/>
  <c r="S392" i="39"/>
  <c r="S394" i="39"/>
  <c r="T397" i="39"/>
  <c r="T398" i="39"/>
  <c r="S400" i="39"/>
  <c r="S402" i="39"/>
  <c r="S445" i="39"/>
  <c r="S466" i="39"/>
  <c r="T217" i="39"/>
  <c r="T219" i="39"/>
  <c r="T226" i="39"/>
  <c r="T231" i="39"/>
  <c r="R234" i="39"/>
  <c r="T237" i="39"/>
  <c r="T249" i="39"/>
  <c r="T251" i="39"/>
  <c r="T288" i="39"/>
  <c r="S289" i="39"/>
  <c r="T291" i="39"/>
  <c r="S294" i="39"/>
  <c r="T307" i="39"/>
  <c r="S358" i="39"/>
  <c r="S366" i="39"/>
  <c r="S443" i="39"/>
  <c r="S446" i="39"/>
  <c r="S452" i="39"/>
  <c r="S461" i="39"/>
  <c r="S386" i="39"/>
  <c r="T391" i="39"/>
  <c r="T395" i="39"/>
  <c r="T399" i="39"/>
  <c r="S418" i="39"/>
  <c r="S419" i="39"/>
  <c r="S420" i="39"/>
  <c r="S421" i="39"/>
  <c r="S422" i="39"/>
  <c r="S423" i="39"/>
  <c r="S424" i="39"/>
  <c r="S425" i="39"/>
  <c r="S426" i="39"/>
  <c r="S427" i="39"/>
  <c r="S428" i="39"/>
  <c r="S429" i="39"/>
  <c r="S430" i="39"/>
  <c r="S431" i="39"/>
  <c r="S451" i="39"/>
  <c r="S467" i="39"/>
  <c r="S5" i="39"/>
  <c r="S7" i="39"/>
  <c r="T11" i="39"/>
  <c r="R11" i="39"/>
  <c r="T15" i="39"/>
  <c r="R15" i="39"/>
  <c r="S15" i="39"/>
  <c r="S17" i="39"/>
  <c r="T21" i="39"/>
  <c r="R21" i="39"/>
  <c r="S21" i="39"/>
  <c r="S23" i="39"/>
  <c r="S25" i="39"/>
  <c r="R52" i="39"/>
  <c r="T52" i="39"/>
  <c r="R56" i="39"/>
  <c r="T56" i="39"/>
  <c r="R64" i="39"/>
  <c r="T64" i="39"/>
  <c r="R68" i="39"/>
  <c r="T68" i="39"/>
  <c r="R72" i="39"/>
  <c r="T72" i="39"/>
  <c r="R76" i="39"/>
  <c r="T76" i="39"/>
  <c r="R96" i="39"/>
  <c r="T96" i="39"/>
  <c r="R100" i="39"/>
  <c r="T100" i="39"/>
  <c r="R104" i="39"/>
  <c r="T104" i="39"/>
  <c r="R112" i="39"/>
  <c r="T112" i="39"/>
  <c r="R116" i="39"/>
  <c r="T116" i="39"/>
  <c r="R120" i="39"/>
  <c r="T120" i="39"/>
  <c r="R124" i="39"/>
  <c r="T124" i="39"/>
  <c r="S28" i="39"/>
  <c r="S36" i="39"/>
  <c r="S44" i="39"/>
  <c r="S56" i="39"/>
  <c r="S64" i="39"/>
  <c r="S72" i="39"/>
  <c r="S84" i="39"/>
  <c r="S92" i="39"/>
  <c r="S104" i="39"/>
  <c r="S116" i="39"/>
  <c r="S132" i="39"/>
  <c r="T7" i="39"/>
  <c r="R7" i="39"/>
  <c r="R13" i="39"/>
  <c r="T13" i="39"/>
  <c r="T17" i="39"/>
  <c r="R17" i="39"/>
  <c r="S19" i="39"/>
  <c r="T25" i="39"/>
  <c r="R25" i="39"/>
  <c r="R28" i="39"/>
  <c r="T28" i="39"/>
  <c r="R44" i="39"/>
  <c r="T44" i="39"/>
  <c r="R48" i="39"/>
  <c r="T48" i="39"/>
  <c r="R60" i="39"/>
  <c r="T60" i="39"/>
  <c r="R80" i="39"/>
  <c r="T80" i="39"/>
  <c r="R128" i="39"/>
  <c r="T128" i="39"/>
  <c r="R132" i="39"/>
  <c r="T132" i="39"/>
  <c r="S48" i="39"/>
  <c r="S76" i="39"/>
  <c r="S100" i="39"/>
  <c r="S120" i="39"/>
  <c r="S128" i="39"/>
  <c r="S136" i="39"/>
  <c r="T4" i="39"/>
  <c r="R4" i="39"/>
  <c r="S4" i="39"/>
  <c r="T6" i="39"/>
  <c r="R6" i="39"/>
  <c r="S6" i="39"/>
  <c r="T8" i="39"/>
  <c r="R8" i="39"/>
  <c r="S8" i="39"/>
  <c r="T10" i="39"/>
  <c r="R10" i="39"/>
  <c r="S10" i="39"/>
  <c r="R12" i="39"/>
  <c r="T12" i="39"/>
  <c r="S12" i="39"/>
  <c r="T14" i="39"/>
  <c r="R14" i="39"/>
  <c r="S14" i="39"/>
  <c r="T16" i="39"/>
  <c r="R16" i="39"/>
  <c r="S16" i="39"/>
  <c r="T18" i="39"/>
  <c r="R18" i="39"/>
  <c r="S18" i="39"/>
  <c r="T20" i="39"/>
  <c r="R20" i="39"/>
  <c r="S20" i="39"/>
  <c r="T22" i="39"/>
  <c r="R22" i="39"/>
  <c r="S22" i="39"/>
  <c r="T24" i="39"/>
  <c r="R24" i="39"/>
  <c r="S24" i="39"/>
  <c r="R26" i="39"/>
  <c r="T26" i="39"/>
  <c r="S26" i="39"/>
  <c r="R30" i="39"/>
  <c r="T30" i="39"/>
  <c r="R34" i="39"/>
  <c r="T34" i="39"/>
  <c r="R38" i="39"/>
  <c r="T38" i="39"/>
  <c r="R42" i="39"/>
  <c r="T42" i="39"/>
  <c r="R46" i="39"/>
  <c r="T46" i="39"/>
  <c r="R50" i="39"/>
  <c r="T50" i="39"/>
  <c r="R54" i="39"/>
  <c r="T54" i="39"/>
  <c r="R58" i="39"/>
  <c r="T58" i="39"/>
  <c r="R62" i="39"/>
  <c r="T62" i="39"/>
  <c r="R66" i="39"/>
  <c r="T66" i="39"/>
  <c r="R70" i="39"/>
  <c r="T70" i="39"/>
  <c r="R74" i="39"/>
  <c r="T74" i="39"/>
  <c r="R78" i="39"/>
  <c r="T78" i="39"/>
  <c r="R82" i="39"/>
  <c r="T82" i="39"/>
  <c r="R86" i="39"/>
  <c r="T86" i="39"/>
  <c r="R90" i="39"/>
  <c r="T90" i="39"/>
  <c r="R94" i="39"/>
  <c r="T94" i="39"/>
  <c r="R98" i="39"/>
  <c r="T98" i="39"/>
  <c r="R102" i="39"/>
  <c r="T102" i="39"/>
  <c r="R106" i="39"/>
  <c r="T106" i="39"/>
  <c r="R110" i="39"/>
  <c r="T110" i="39"/>
  <c r="R114" i="39"/>
  <c r="T114" i="39"/>
  <c r="R118" i="39"/>
  <c r="T118" i="39"/>
  <c r="R122" i="39"/>
  <c r="T122" i="39"/>
  <c r="R126" i="39"/>
  <c r="T126" i="39"/>
  <c r="R130" i="39"/>
  <c r="T130" i="39"/>
  <c r="R134" i="39"/>
  <c r="T134" i="39"/>
  <c r="S140" i="39"/>
  <c r="R5" i="39"/>
  <c r="T5" i="39"/>
  <c r="T9" i="39"/>
  <c r="R9" i="39"/>
  <c r="S9" i="39"/>
  <c r="S11" i="39"/>
  <c r="S13" i="39"/>
  <c r="T19" i="39"/>
  <c r="R19" i="39"/>
  <c r="T23" i="39"/>
  <c r="R23" i="39"/>
  <c r="R32" i="39"/>
  <c r="T32" i="39"/>
  <c r="R36" i="39"/>
  <c r="T36" i="39"/>
  <c r="R40" i="39"/>
  <c r="T40" i="39"/>
  <c r="R84" i="39"/>
  <c r="T84" i="39"/>
  <c r="R88" i="39"/>
  <c r="T88" i="39"/>
  <c r="R92" i="39"/>
  <c r="T92" i="39"/>
  <c r="R108" i="39"/>
  <c r="T108" i="39"/>
  <c r="R136" i="39"/>
  <c r="T136" i="39"/>
  <c r="S32" i="39"/>
  <c r="S40" i="39"/>
  <c r="S52" i="39"/>
  <c r="S60" i="39"/>
  <c r="S68" i="39"/>
  <c r="S80" i="39"/>
  <c r="S88" i="39"/>
  <c r="S96" i="39"/>
  <c r="S108" i="39"/>
  <c r="S112" i="39"/>
  <c r="S124" i="39"/>
  <c r="T140" i="39"/>
  <c r="R140" i="39"/>
  <c r="T146" i="39"/>
  <c r="R146" i="39"/>
  <c r="T159" i="39"/>
  <c r="R159" i="39"/>
  <c r="T162" i="39"/>
  <c r="R162" i="39"/>
  <c r="T179" i="39"/>
  <c r="R179" i="39"/>
  <c r="T187" i="39"/>
  <c r="R187" i="39"/>
  <c r="R225" i="39"/>
  <c r="R233" i="39"/>
  <c r="R241" i="39"/>
  <c r="R249" i="39"/>
  <c r="T285" i="39"/>
  <c r="R285" i="39"/>
  <c r="S285" i="39"/>
  <c r="T141" i="39"/>
  <c r="R144" i="39"/>
  <c r="S146" i="39"/>
  <c r="T151" i="39"/>
  <c r="R151" i="39"/>
  <c r="S153" i="39"/>
  <c r="T154" i="39"/>
  <c r="R154" i="39"/>
  <c r="T157" i="39"/>
  <c r="R160" i="39"/>
  <c r="S162" i="39"/>
  <c r="T167" i="39"/>
  <c r="R167" i="39"/>
  <c r="S173" i="39"/>
  <c r="T175" i="39"/>
  <c r="R175" i="39"/>
  <c r="S181" i="39"/>
  <c r="T183" i="39"/>
  <c r="R183" i="39"/>
  <c r="S189" i="39"/>
  <c r="T201" i="39"/>
  <c r="R201" i="39"/>
  <c r="S205" i="39"/>
  <c r="T216" i="39"/>
  <c r="R216" i="39"/>
  <c r="S216" i="39"/>
  <c r="T224" i="39"/>
  <c r="R224" i="39"/>
  <c r="S224" i="39"/>
  <c r="T232" i="39"/>
  <c r="R232" i="39"/>
  <c r="S232" i="39"/>
  <c r="T240" i="39"/>
  <c r="R240" i="39"/>
  <c r="S240" i="39"/>
  <c r="T248" i="39"/>
  <c r="R248" i="39"/>
  <c r="S248" i="39"/>
  <c r="T293" i="39"/>
  <c r="R293" i="39"/>
  <c r="S293" i="39"/>
  <c r="T349" i="39"/>
  <c r="T138" i="39"/>
  <c r="T143" i="39"/>
  <c r="R143" i="39"/>
  <c r="T171" i="39"/>
  <c r="R171" i="39"/>
  <c r="T193" i="39"/>
  <c r="R193" i="39"/>
  <c r="T209" i="39"/>
  <c r="R209" i="39"/>
  <c r="R217" i="39"/>
  <c r="T139" i="39"/>
  <c r="R139" i="39"/>
  <c r="T147" i="39"/>
  <c r="R147" i="39"/>
  <c r="S149" i="39"/>
  <c r="T150" i="39"/>
  <c r="R150" i="39"/>
  <c r="T153" i="39"/>
  <c r="T163" i="39"/>
  <c r="R163" i="39"/>
  <c r="S165" i="39"/>
  <c r="T166" i="39"/>
  <c r="R166" i="39"/>
  <c r="T173" i="39"/>
  <c r="T174" i="39"/>
  <c r="R174" i="39"/>
  <c r="T181" i="39"/>
  <c r="T182" i="39"/>
  <c r="R182" i="39"/>
  <c r="T189" i="39"/>
  <c r="R189" i="39"/>
  <c r="S193" i="39"/>
  <c r="T205" i="39"/>
  <c r="R205" i="39"/>
  <c r="S209" i="39"/>
  <c r="T27" i="39"/>
  <c r="T29" i="39"/>
  <c r="T31" i="39"/>
  <c r="T33" i="39"/>
  <c r="T35" i="39"/>
  <c r="T37" i="39"/>
  <c r="T39" i="39"/>
  <c r="T41" i="39"/>
  <c r="T43" i="39"/>
  <c r="T45" i="39"/>
  <c r="T47" i="39"/>
  <c r="T49" i="39"/>
  <c r="T51" i="39"/>
  <c r="T53" i="39"/>
  <c r="T55" i="39"/>
  <c r="T57" i="39"/>
  <c r="T59" i="39"/>
  <c r="T61" i="39"/>
  <c r="T63" i="39"/>
  <c r="T65" i="39"/>
  <c r="T67" i="39"/>
  <c r="T69" i="39"/>
  <c r="T71" i="39"/>
  <c r="T73" i="39"/>
  <c r="T75" i="39"/>
  <c r="T77" i="39"/>
  <c r="T79" i="39"/>
  <c r="T81" i="39"/>
  <c r="T83" i="39"/>
  <c r="T85" i="39"/>
  <c r="T87" i="39"/>
  <c r="T89" i="39"/>
  <c r="T91" i="39"/>
  <c r="T93" i="39"/>
  <c r="T95" i="39"/>
  <c r="T97" i="39"/>
  <c r="T99" i="39"/>
  <c r="T101" i="39"/>
  <c r="T103" i="39"/>
  <c r="T105" i="39"/>
  <c r="T107" i="39"/>
  <c r="T109" i="39"/>
  <c r="T111" i="39"/>
  <c r="T113" i="39"/>
  <c r="T115" i="39"/>
  <c r="T117" i="39"/>
  <c r="T119" i="39"/>
  <c r="T121" i="39"/>
  <c r="T123" i="39"/>
  <c r="T125" i="39"/>
  <c r="T127" i="39"/>
  <c r="T129" i="39"/>
  <c r="T131" i="39"/>
  <c r="T133" i="39"/>
  <c r="T135" i="39"/>
  <c r="T137" i="39"/>
  <c r="R138" i="39"/>
  <c r="S141" i="39"/>
  <c r="T142" i="39"/>
  <c r="R142" i="39"/>
  <c r="T145" i="39"/>
  <c r="R148" i="39"/>
  <c r="R149" i="39"/>
  <c r="S150" i="39"/>
  <c r="T155" i="39"/>
  <c r="R155" i="39"/>
  <c r="T156" i="39"/>
  <c r="S157" i="39"/>
  <c r="T158" i="39"/>
  <c r="R158" i="39"/>
  <c r="T161" i="39"/>
  <c r="R164" i="39"/>
  <c r="R165" i="39"/>
  <c r="S166" i="39"/>
  <c r="T169" i="39"/>
  <c r="T170" i="39"/>
  <c r="R170" i="39"/>
  <c r="S171" i="39"/>
  <c r="R173" i="39"/>
  <c r="S174" i="39"/>
  <c r="T177" i="39"/>
  <c r="T178" i="39"/>
  <c r="R178" i="39"/>
  <c r="S179" i="39"/>
  <c r="R181" i="39"/>
  <c r="S182" i="39"/>
  <c r="T185" i="39"/>
  <c r="T186" i="39"/>
  <c r="R186" i="39"/>
  <c r="S187" i="39"/>
  <c r="T197" i="39"/>
  <c r="R197" i="39"/>
  <c r="S201" i="39"/>
  <c r="T274" i="39"/>
  <c r="R274" i="39"/>
  <c r="S274" i="39"/>
  <c r="T192" i="39"/>
  <c r="R192" i="39"/>
  <c r="T196" i="39"/>
  <c r="R196" i="39"/>
  <c r="T200" i="39"/>
  <c r="R200" i="39"/>
  <c r="T204" i="39"/>
  <c r="R204" i="39"/>
  <c r="T208" i="39"/>
  <c r="R208" i="39"/>
  <c r="R254" i="39"/>
  <c r="R256" i="39"/>
  <c r="R258" i="39"/>
  <c r="R260" i="39"/>
  <c r="R262" i="39"/>
  <c r="R264" i="39"/>
  <c r="R266" i="39"/>
  <c r="R268" i="39"/>
  <c r="R270" i="39"/>
  <c r="T273" i="39"/>
  <c r="R273" i="39"/>
  <c r="T275" i="39"/>
  <c r="R275" i="39"/>
  <c r="T277" i="39"/>
  <c r="R277" i="39"/>
  <c r="T295" i="39"/>
  <c r="R295" i="39"/>
  <c r="S295" i="39"/>
  <c r="R303" i="39"/>
  <c r="T303" i="39"/>
  <c r="S303" i="39"/>
  <c r="T325" i="39"/>
  <c r="T357" i="39"/>
  <c r="T191" i="39"/>
  <c r="R191" i="39"/>
  <c r="T195" i="39"/>
  <c r="R195" i="39"/>
  <c r="T199" i="39"/>
  <c r="R199" i="39"/>
  <c r="T203" i="39"/>
  <c r="R203" i="39"/>
  <c r="T207" i="39"/>
  <c r="R207" i="39"/>
  <c r="T211" i="39"/>
  <c r="R211" i="39"/>
  <c r="S219" i="39"/>
  <c r="S227" i="39"/>
  <c r="S235" i="39"/>
  <c r="S243" i="39"/>
  <c r="S251" i="39"/>
  <c r="S255" i="39"/>
  <c r="S257" i="39"/>
  <c r="S259" i="39"/>
  <c r="T281" i="39"/>
  <c r="R281" i="39"/>
  <c r="T289" i="39"/>
  <c r="R289" i="39"/>
  <c r="T308" i="39"/>
  <c r="R308" i="39"/>
  <c r="R317" i="39"/>
  <c r="T317" i="39"/>
  <c r="T333" i="39"/>
  <c r="T365" i="39"/>
  <c r="T168" i="39"/>
  <c r="R168" i="39"/>
  <c r="T172" i="39"/>
  <c r="R172" i="39"/>
  <c r="T176" i="39"/>
  <c r="R176" i="39"/>
  <c r="T180" i="39"/>
  <c r="R180" i="39"/>
  <c r="T184" i="39"/>
  <c r="R184" i="39"/>
  <c r="T188" i="39"/>
  <c r="R188" i="39"/>
  <c r="T190" i="39"/>
  <c r="R190" i="39"/>
  <c r="T194" i="39"/>
  <c r="R194" i="39"/>
  <c r="T198" i="39"/>
  <c r="R198" i="39"/>
  <c r="T202" i="39"/>
  <c r="R202" i="39"/>
  <c r="T206" i="39"/>
  <c r="R206" i="39"/>
  <c r="T210" i="39"/>
  <c r="R210" i="39"/>
  <c r="S217" i="39"/>
  <c r="S218" i="39"/>
  <c r="S225" i="39"/>
  <c r="S226" i="39"/>
  <c r="S233" i="39"/>
  <c r="S234" i="39"/>
  <c r="S241" i="39"/>
  <c r="S242" i="39"/>
  <c r="S249" i="39"/>
  <c r="S250" i="39"/>
  <c r="T255" i="39"/>
  <c r="T257" i="39"/>
  <c r="T259" i="39"/>
  <c r="T261" i="39"/>
  <c r="T263" i="39"/>
  <c r="T265" i="39"/>
  <c r="T267" i="39"/>
  <c r="S268" i="39"/>
  <c r="T269" i="39"/>
  <c r="S270" i="39"/>
  <c r="T271" i="39"/>
  <c r="T279" i="39"/>
  <c r="R279" i="39"/>
  <c r="T299" i="39"/>
  <c r="R299" i="39"/>
  <c r="S299" i="39"/>
  <c r="T341" i="39"/>
  <c r="S275" i="39"/>
  <c r="T276" i="39"/>
  <c r="R276" i="39"/>
  <c r="R284" i="39"/>
  <c r="R288" i="39"/>
  <c r="R292" i="39"/>
  <c r="T298" i="39"/>
  <c r="R298" i="39"/>
  <c r="T302" i="39"/>
  <c r="R302" i="39"/>
  <c r="T305" i="39"/>
  <c r="S308" i="39"/>
  <c r="S315" i="39"/>
  <c r="T315" i="39"/>
  <c r="T318" i="39"/>
  <c r="S319" i="39"/>
  <c r="T323" i="39"/>
  <c r="T331" i="39"/>
  <c r="T339" i="39"/>
  <c r="T347" i="39"/>
  <c r="T355" i="39"/>
  <c r="T363" i="39"/>
  <c r="T272" i="39"/>
  <c r="R272" i="39"/>
  <c r="T278" i="39"/>
  <c r="S278" i="39"/>
  <c r="T297" i="39"/>
  <c r="R297" i="39"/>
  <c r="T301" i="39"/>
  <c r="R301" i="39"/>
  <c r="T306" i="39"/>
  <c r="R306" i="39"/>
  <c r="T321" i="39"/>
  <c r="T329" i="39"/>
  <c r="T337" i="39"/>
  <c r="T345" i="39"/>
  <c r="T353" i="39"/>
  <c r="T361" i="39"/>
  <c r="T369" i="39"/>
  <c r="S279" i="39"/>
  <c r="T280" i="39"/>
  <c r="R280" i="39"/>
  <c r="T296" i="39"/>
  <c r="R296" i="39"/>
  <c r="T300" i="39"/>
  <c r="R300" i="39"/>
  <c r="R305" i="39"/>
  <c r="T310" i="39"/>
  <c r="R310" i="39"/>
  <c r="T314" i="39"/>
  <c r="R314" i="39"/>
  <c r="T319" i="39"/>
  <c r="T327" i="39"/>
  <c r="T335" i="39"/>
  <c r="T343" i="39"/>
  <c r="T351" i="39"/>
  <c r="T359" i="39"/>
  <c r="T367" i="39"/>
  <c r="T320" i="39"/>
  <c r="S321" i="39"/>
  <c r="T322" i="39"/>
  <c r="S323" i="39"/>
  <c r="T324" i="39"/>
  <c r="S325" i="39"/>
  <c r="T326" i="39"/>
  <c r="S327" i="39"/>
  <c r="T328" i="39"/>
  <c r="S329" i="39"/>
  <c r="T330" i="39"/>
  <c r="S331" i="39"/>
  <c r="T332" i="39"/>
  <c r="S333" i="39"/>
  <c r="T334" i="39"/>
  <c r="S335" i="39"/>
  <c r="T336" i="39"/>
  <c r="S337" i="39"/>
  <c r="T338" i="39"/>
  <c r="S339" i="39"/>
  <c r="T340" i="39"/>
  <c r="S341" i="39"/>
  <c r="T342" i="39"/>
  <c r="S343" i="39"/>
  <c r="T344" i="39"/>
  <c r="S345" i="39"/>
  <c r="T346" i="39"/>
  <c r="S347" i="39"/>
  <c r="T348" i="39"/>
  <c r="S349" i="39"/>
  <c r="T350" i="39"/>
  <c r="S351" i="39"/>
  <c r="T352" i="39"/>
  <c r="S353" i="39"/>
  <c r="T354" i="39"/>
  <c r="S355" i="39"/>
  <c r="T356" i="39"/>
  <c r="S357" i="39"/>
  <c r="T358" i="39"/>
  <c r="S359" i="39"/>
  <c r="T360" i="39"/>
  <c r="S361" i="39"/>
  <c r="T362" i="39"/>
  <c r="S363" i="39"/>
  <c r="T364" i="39"/>
  <c r="S365" i="39"/>
  <c r="T366" i="39"/>
  <c r="S367" i="39"/>
  <c r="T368" i="39"/>
  <c r="S369" i="39"/>
  <c r="T370" i="39"/>
  <c r="T372" i="39"/>
  <c r="T374" i="39"/>
  <c r="T376" i="39"/>
  <c r="T378" i="39"/>
  <c r="T380" i="39"/>
  <c r="T382" i="39"/>
  <c r="T389" i="39"/>
  <c r="R389" i="39"/>
  <c r="R401" i="39"/>
  <c r="R404" i="39"/>
  <c r="T404" i="39"/>
  <c r="T414" i="39"/>
  <c r="R414" i="39"/>
  <c r="T282" i="39"/>
  <c r="R282" i="39"/>
  <c r="T286" i="39"/>
  <c r="R286" i="39"/>
  <c r="T290" i="39"/>
  <c r="R290" i="39"/>
  <c r="T294" i="39"/>
  <c r="R294" i="39"/>
  <c r="T304" i="39"/>
  <c r="R304" i="39"/>
  <c r="S306" i="39"/>
  <c r="S309" i="39"/>
  <c r="T312" i="39"/>
  <c r="R312" i="39"/>
  <c r="S314" i="39"/>
  <c r="S317" i="39"/>
  <c r="T385" i="39"/>
  <c r="R385" i="39"/>
  <c r="T371" i="39"/>
  <c r="S372" i="39"/>
  <c r="T373" i="39"/>
  <c r="S374" i="39"/>
  <c r="T375" i="39"/>
  <c r="S376" i="39"/>
  <c r="T377" i="39"/>
  <c r="S378" i="39"/>
  <c r="T379" i="39"/>
  <c r="S380" i="39"/>
  <c r="T381" i="39"/>
  <c r="S382" i="39"/>
  <c r="T383" i="39"/>
  <c r="S313" i="39"/>
  <c r="T316" i="39"/>
  <c r="R316" i="39"/>
  <c r="R393" i="39"/>
  <c r="R391" i="39"/>
  <c r="R399" i="39"/>
  <c r="T384" i="39"/>
  <c r="R384" i="39"/>
  <c r="T386" i="39"/>
  <c r="R397" i="39"/>
  <c r="T387" i="39"/>
  <c r="R387" i="39"/>
  <c r="R395" i="39"/>
  <c r="S385" i="39"/>
  <c r="S389" i="39"/>
  <c r="R405" i="39"/>
  <c r="T405" i="39"/>
  <c r="T415" i="39"/>
  <c r="R415" i="39"/>
  <c r="S391" i="39"/>
  <c r="R392" i="39"/>
  <c r="S393" i="39"/>
  <c r="R394" i="39"/>
  <c r="S395" i="39"/>
  <c r="R396" i="39"/>
  <c r="S397" i="39"/>
  <c r="R398" i="39"/>
  <c r="S399" i="39"/>
  <c r="R400" i="39"/>
  <c r="S401" i="39"/>
  <c r="R402" i="39"/>
  <c r="T402" i="39"/>
  <c r="S404" i="39"/>
  <c r="R406" i="39"/>
  <c r="T406" i="39"/>
  <c r="T411" i="39"/>
  <c r="R411" i="39"/>
  <c r="T412" i="39"/>
  <c r="R412" i="39"/>
  <c r="T416" i="39"/>
  <c r="R416" i="39"/>
  <c r="S387" i="39"/>
  <c r="T390" i="39"/>
  <c r="R403" i="39"/>
  <c r="T403" i="39"/>
  <c r="S405" i="39"/>
  <c r="R407" i="39"/>
  <c r="T407" i="39"/>
  <c r="R408" i="39"/>
  <c r="T408" i="39"/>
  <c r="R409" i="39"/>
  <c r="T409" i="39"/>
  <c r="T410" i="39"/>
  <c r="R410" i="39"/>
  <c r="T413" i="39"/>
  <c r="R413" i="39"/>
  <c r="R418" i="39"/>
  <c r="T418" i="39"/>
  <c r="R419" i="39"/>
  <c r="T419" i="39"/>
  <c r="R420" i="39"/>
  <c r="T420" i="39"/>
  <c r="R421" i="39"/>
  <c r="T421" i="39"/>
  <c r="R422" i="39"/>
  <c r="T422" i="39"/>
  <c r="R423" i="39"/>
  <c r="T423" i="39"/>
  <c r="R424" i="39"/>
  <c r="T424" i="39"/>
  <c r="R425" i="39"/>
  <c r="T425" i="39"/>
  <c r="R426" i="39"/>
  <c r="T426" i="39"/>
  <c r="R427" i="39"/>
  <c r="T427" i="39"/>
  <c r="R428" i="39"/>
  <c r="T428" i="39"/>
  <c r="R429" i="39"/>
  <c r="T429" i="39"/>
  <c r="R430" i="39"/>
  <c r="T430" i="39"/>
  <c r="R431" i="39"/>
  <c r="T431" i="39"/>
  <c r="T432" i="39"/>
  <c r="R432" i="39"/>
  <c r="T433" i="39"/>
  <c r="R433" i="39"/>
  <c r="T436" i="39"/>
  <c r="R436" i="39"/>
  <c r="T437" i="39"/>
  <c r="R437" i="39"/>
  <c r="T440" i="39"/>
  <c r="R440" i="39"/>
  <c r="T441" i="39"/>
  <c r="R441" i="39"/>
  <c r="R449" i="39"/>
  <c r="T449" i="39"/>
  <c r="R456" i="39"/>
  <c r="T456" i="39"/>
  <c r="R465" i="39"/>
  <c r="T465" i="39"/>
  <c r="R472" i="39"/>
  <c r="T472" i="39"/>
  <c r="S412" i="39"/>
  <c r="S413" i="39"/>
  <c r="S414" i="39"/>
  <c r="S415" i="39"/>
  <c r="S416" i="39"/>
  <c r="S417" i="39"/>
  <c r="S435" i="39"/>
  <c r="S436" i="39"/>
  <c r="S439" i="39"/>
  <c r="S440" i="39"/>
  <c r="R445" i="39"/>
  <c r="T445" i="39"/>
  <c r="S449" i="39"/>
  <c r="R452" i="39"/>
  <c r="T452" i="39"/>
  <c r="S456" i="39"/>
  <c r="R461" i="39"/>
  <c r="T461" i="39"/>
  <c r="S465" i="39"/>
  <c r="R468" i="39"/>
  <c r="T468" i="39"/>
  <c r="S472" i="39"/>
  <c r="R474" i="39"/>
  <c r="T474" i="39"/>
  <c r="T434" i="39"/>
  <c r="R434" i="39"/>
  <c r="T435" i="39"/>
  <c r="R435" i="39"/>
  <c r="T438" i="39"/>
  <c r="R438" i="39"/>
  <c r="T439" i="39"/>
  <c r="R439" i="39"/>
  <c r="T442" i="39"/>
  <c r="R442" i="39"/>
  <c r="R448" i="39"/>
  <c r="T448" i="39"/>
  <c r="R457" i="39"/>
  <c r="T457" i="39"/>
  <c r="R464" i="39"/>
  <c r="T464" i="39"/>
  <c r="R473" i="39"/>
  <c r="T473" i="39"/>
  <c r="S411" i="39"/>
  <c r="R417" i="39"/>
  <c r="T417" i="39"/>
  <c r="S432" i="39"/>
  <c r="S433" i="39"/>
  <c r="S434" i="39"/>
  <c r="S437" i="39"/>
  <c r="S438" i="39"/>
  <c r="S441" i="39"/>
  <c r="S442" i="39"/>
  <c r="R444" i="39"/>
  <c r="T444" i="39"/>
  <c r="S448" i="39"/>
  <c r="R453" i="39"/>
  <c r="T453" i="39"/>
  <c r="S457" i="39"/>
  <c r="R460" i="39"/>
  <c r="T460" i="39"/>
  <c r="S464" i="39"/>
  <c r="R469" i="39"/>
  <c r="T469" i="39"/>
  <c r="S473" i="39"/>
  <c r="T443" i="39"/>
  <c r="T447" i="39"/>
  <c r="T451" i="39"/>
  <c r="T455" i="39"/>
  <c r="T459" i="39"/>
  <c r="T463" i="39"/>
  <c r="T467" i="39"/>
  <c r="T471" i="39"/>
  <c r="S474" i="39"/>
  <c r="T446" i="39"/>
  <c r="T450" i="39"/>
  <c r="T454" i="39"/>
  <c r="T458" i="39"/>
  <c r="T462" i="39"/>
  <c r="T466" i="39"/>
  <c r="T470" i="39"/>
  <c r="V36" i="37"/>
  <c r="AD34" i="37"/>
  <c r="Z36" i="37" s="1"/>
  <c r="Y36" i="37"/>
  <c r="AA36" i="37" l="1"/>
  <c r="U36" i="37" s="1"/>
  <c r="T36" i="37" s="1"/>
  <c r="AJ52" i="32"/>
  <c r="AK52" i="32" s="1"/>
  <c r="AL52" i="32" s="1"/>
  <c r="AK54" i="32" l="1"/>
  <c r="AL54" i="32" s="1"/>
  <c r="AK53" i="32"/>
  <c r="D58" i="31"/>
  <c r="D58" i="27"/>
  <c r="K80" i="35"/>
  <c r="K81" i="35" s="1"/>
  <c r="R79" i="36"/>
  <c r="S79" i="36" s="1"/>
  <c r="R78" i="36"/>
  <c r="S78" i="36" s="1"/>
  <c r="F78" i="36"/>
  <c r="F77" i="36" s="1"/>
  <c r="G77" i="36" s="1"/>
  <c r="R77" i="36"/>
  <c r="S77" i="36" s="1"/>
  <c r="R76" i="36"/>
  <c r="S76" i="36" s="1"/>
  <c r="R75" i="36"/>
  <c r="S75" i="36" s="1"/>
  <c r="F75" i="36"/>
  <c r="F74" i="36" s="1"/>
  <c r="G74" i="36" s="1"/>
  <c r="R74" i="36"/>
  <c r="S74" i="36" s="1"/>
  <c r="R73" i="36"/>
  <c r="S73" i="36" s="1"/>
  <c r="R72" i="36"/>
  <c r="S72" i="36" s="1"/>
  <c r="F72" i="36"/>
  <c r="R71" i="36"/>
  <c r="S71" i="36" s="1"/>
  <c r="R70" i="36"/>
  <c r="S70" i="36" s="1"/>
  <c r="AV12" i="36"/>
  <c r="R69" i="36"/>
  <c r="S69" i="36" s="1"/>
  <c r="F69" i="36"/>
  <c r="R68" i="36"/>
  <c r="S68" i="36" s="1"/>
  <c r="R67" i="36"/>
  <c r="S67" i="36" s="1"/>
  <c r="AU11" i="36"/>
  <c r="F66" i="36"/>
  <c r="F65" i="36" s="1"/>
  <c r="G65" i="36" s="1"/>
  <c r="R65" i="36"/>
  <c r="S65" i="36" s="1"/>
  <c r="R64" i="36"/>
  <c r="S64" i="36" s="1"/>
  <c r="R63" i="36"/>
  <c r="S63" i="36" s="1"/>
  <c r="F63" i="36"/>
  <c r="F62" i="36" s="1"/>
  <c r="G62" i="36" s="1"/>
  <c r="AT10" i="36"/>
  <c r="R60" i="36"/>
  <c r="S60" i="36" s="1"/>
  <c r="R59" i="36"/>
  <c r="S59" i="36" s="1"/>
  <c r="F59" i="36"/>
  <c r="F60" i="36" s="1"/>
  <c r="G60" i="36" s="1"/>
  <c r="Y58" i="36"/>
  <c r="R58" i="36"/>
  <c r="S58" i="36" s="1"/>
  <c r="D58" i="36"/>
  <c r="R57" i="36"/>
  <c r="S57" i="36" s="1"/>
  <c r="R56" i="36"/>
  <c r="S56" i="36" s="1"/>
  <c r="F56" i="36"/>
  <c r="F57" i="36" s="1"/>
  <c r="G57" i="36" s="1"/>
  <c r="R55" i="36"/>
  <c r="S55" i="36" s="1"/>
  <c r="R54" i="36"/>
  <c r="S54" i="36" s="1"/>
  <c r="R53" i="36"/>
  <c r="S53" i="36" s="1"/>
  <c r="F53" i="36"/>
  <c r="F54" i="36" s="1"/>
  <c r="G54" i="36" s="1"/>
  <c r="R52" i="36"/>
  <c r="S52" i="36" s="1"/>
  <c r="R51" i="36"/>
  <c r="S51" i="36" s="1"/>
  <c r="R50" i="36"/>
  <c r="S50" i="36" s="1"/>
  <c r="F50" i="36"/>
  <c r="F51" i="36" s="1"/>
  <c r="G51" i="36" s="1"/>
  <c r="R49" i="36"/>
  <c r="S49" i="36" s="1"/>
  <c r="R48" i="36"/>
  <c r="S48" i="36" s="1"/>
  <c r="R47" i="36"/>
  <c r="S47" i="36" s="1"/>
  <c r="F47" i="36"/>
  <c r="F48" i="36" s="1"/>
  <c r="G48" i="36" s="1"/>
  <c r="R46" i="36"/>
  <c r="S46" i="36" s="1"/>
  <c r="R45" i="36"/>
  <c r="S45" i="36" s="1"/>
  <c r="R44" i="36"/>
  <c r="S44" i="36" s="1"/>
  <c r="F44" i="36"/>
  <c r="F45" i="36" s="1"/>
  <c r="G45" i="36" s="1"/>
  <c r="R43" i="36"/>
  <c r="S43" i="36" s="1"/>
  <c r="R41" i="36"/>
  <c r="S41" i="36" s="1"/>
  <c r="R40" i="36"/>
  <c r="S40" i="36" s="1"/>
  <c r="F40" i="36"/>
  <c r="F41" i="36" s="1"/>
  <c r="G41" i="36" s="1"/>
  <c r="R39" i="36"/>
  <c r="S39" i="36" s="1"/>
  <c r="R38" i="36"/>
  <c r="S38" i="36" s="1"/>
  <c r="R37" i="36"/>
  <c r="S37" i="36" s="1"/>
  <c r="F37" i="36"/>
  <c r="R36" i="36"/>
  <c r="S36" i="36" s="1"/>
  <c r="R35" i="36"/>
  <c r="S35" i="36" s="1"/>
  <c r="R34" i="36"/>
  <c r="S34" i="36" s="1"/>
  <c r="F34" i="36"/>
  <c r="R33" i="36"/>
  <c r="S33" i="36" s="1"/>
  <c r="R32" i="36"/>
  <c r="S32" i="36" s="1"/>
  <c r="R31" i="36"/>
  <c r="S31" i="36" s="1"/>
  <c r="F31" i="36"/>
  <c r="F32" i="36" s="1"/>
  <c r="G32" i="36" s="1"/>
  <c r="R30" i="36"/>
  <c r="S30" i="36" s="1"/>
  <c r="R29" i="36"/>
  <c r="S29" i="36" s="1"/>
  <c r="R28" i="36"/>
  <c r="S28" i="36" s="1"/>
  <c r="F28" i="36"/>
  <c r="F29" i="36" s="1"/>
  <c r="G29" i="36" s="1"/>
  <c r="R27" i="36"/>
  <c r="S27" i="36" s="1"/>
  <c r="R26" i="36"/>
  <c r="S26" i="36" s="1"/>
  <c r="AH12" i="36"/>
  <c r="R25" i="36"/>
  <c r="S25" i="36" s="1"/>
  <c r="F25" i="36"/>
  <c r="F26" i="36" s="1"/>
  <c r="G26" i="36" s="1"/>
  <c r="R24" i="36"/>
  <c r="S24" i="36" s="1"/>
  <c r="AG12" i="36"/>
  <c r="R21" i="36"/>
  <c r="S21" i="36" s="1"/>
  <c r="F21" i="36"/>
  <c r="F22" i="36" s="1"/>
  <c r="G22" i="36" s="1"/>
  <c r="R20" i="36"/>
  <c r="S20" i="36" s="1"/>
  <c r="R19" i="36"/>
  <c r="S19" i="36" s="1"/>
  <c r="R18" i="36"/>
  <c r="S18" i="36" s="1"/>
  <c r="F18" i="36"/>
  <c r="F19" i="36" s="1"/>
  <c r="G19" i="36" s="1"/>
  <c r="R17" i="36"/>
  <c r="S17" i="36" s="1"/>
  <c r="R16" i="36"/>
  <c r="S16" i="36" s="1"/>
  <c r="R15" i="36"/>
  <c r="S15" i="36" s="1"/>
  <c r="F15" i="36"/>
  <c r="F16" i="36" s="1"/>
  <c r="G16" i="36" s="1"/>
  <c r="R14" i="36"/>
  <c r="S14" i="36" s="1"/>
  <c r="R13" i="36"/>
  <c r="S13" i="36" s="1"/>
  <c r="AY12" i="36"/>
  <c r="AU12" i="36"/>
  <c r="AQ12" i="36"/>
  <c r="AP12" i="36"/>
  <c r="AM12" i="36"/>
  <c r="AL12" i="36"/>
  <c r="AE12" i="36"/>
  <c r="AD12" i="36"/>
  <c r="R12" i="36"/>
  <c r="S12" i="36" s="1"/>
  <c r="F12" i="36"/>
  <c r="F11" i="36" s="1"/>
  <c r="G11" i="36" s="1"/>
  <c r="AX11" i="36"/>
  <c r="AV11" i="36"/>
  <c r="AT11" i="36"/>
  <c r="AS11" i="36"/>
  <c r="AR11" i="36"/>
  <c r="AN11" i="36"/>
  <c r="AI11" i="36"/>
  <c r="AH11" i="36"/>
  <c r="R11" i="36"/>
  <c r="S11" i="36" s="1"/>
  <c r="AY10" i="36"/>
  <c r="AW10" i="36"/>
  <c r="AU10" i="36"/>
  <c r="AS10" i="36"/>
  <c r="AR10" i="36"/>
  <c r="AP10" i="36"/>
  <c r="AO10" i="36"/>
  <c r="AN10" i="36"/>
  <c r="AM10" i="36"/>
  <c r="AK10" i="36"/>
  <c r="R10" i="36"/>
  <c r="S10" i="36" s="1"/>
  <c r="AC11" i="36"/>
  <c r="F9" i="36"/>
  <c r="F10" i="36" s="1"/>
  <c r="G10" i="36" s="1"/>
  <c r="R7" i="36"/>
  <c r="S7" i="36" s="1"/>
  <c r="AS6" i="36"/>
  <c r="F6" i="36"/>
  <c r="F7" i="36" s="1"/>
  <c r="G7" i="36" s="1"/>
  <c r="G80" i="35"/>
  <c r="G81" i="35" s="1"/>
  <c r="F80" i="35"/>
  <c r="F81" i="35" s="1"/>
  <c r="I80" i="35"/>
  <c r="I81" i="35" s="1"/>
  <c r="H80" i="35"/>
  <c r="H81" i="35" s="1"/>
  <c r="D80" i="35"/>
  <c r="D81" i="35" s="1"/>
  <c r="R79" i="21"/>
  <c r="R78" i="21"/>
  <c r="R77" i="21"/>
  <c r="R76" i="21"/>
  <c r="R75" i="21"/>
  <c r="R74" i="21"/>
  <c r="R73" i="21"/>
  <c r="R72" i="21"/>
  <c r="R71" i="21"/>
  <c r="R70" i="21"/>
  <c r="R69" i="21"/>
  <c r="R68" i="21"/>
  <c r="R67" i="21"/>
  <c r="R66" i="21"/>
  <c r="R65" i="21"/>
  <c r="R64" i="21"/>
  <c r="R63" i="21"/>
  <c r="R62" i="21"/>
  <c r="R60" i="21"/>
  <c r="R59" i="21"/>
  <c r="R58" i="21"/>
  <c r="R57" i="21"/>
  <c r="R56" i="21"/>
  <c r="R55" i="21"/>
  <c r="R54" i="21"/>
  <c r="R53" i="21"/>
  <c r="R52" i="21"/>
  <c r="R51" i="21"/>
  <c r="R50" i="21"/>
  <c r="R49" i="21"/>
  <c r="R48" i="21"/>
  <c r="R47" i="21"/>
  <c r="R46" i="21"/>
  <c r="R45" i="21"/>
  <c r="R44" i="21"/>
  <c r="R43" i="21"/>
  <c r="R41" i="21"/>
  <c r="R40" i="21"/>
  <c r="R39" i="21"/>
  <c r="R38" i="21"/>
  <c r="R37" i="21"/>
  <c r="R36" i="21"/>
  <c r="R35" i="21"/>
  <c r="R34" i="21"/>
  <c r="R33" i="21"/>
  <c r="R32" i="21"/>
  <c r="R31" i="21"/>
  <c r="R30" i="21"/>
  <c r="R29" i="21"/>
  <c r="R28" i="21"/>
  <c r="R27" i="21"/>
  <c r="R26" i="21"/>
  <c r="R25" i="21"/>
  <c r="R24" i="21"/>
  <c r="R22" i="21"/>
  <c r="R21" i="21"/>
  <c r="R20" i="21"/>
  <c r="R19" i="21"/>
  <c r="R18" i="21"/>
  <c r="R17" i="21"/>
  <c r="R16" i="21"/>
  <c r="R15" i="21"/>
  <c r="R14" i="21"/>
  <c r="R13" i="21"/>
  <c r="R12" i="21"/>
  <c r="R11" i="21"/>
  <c r="R10" i="21"/>
  <c r="R9" i="21"/>
  <c r="R8" i="21"/>
  <c r="R7" i="21"/>
  <c r="R6" i="21"/>
  <c r="R5" i="21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64" i="27"/>
  <c r="R63" i="27"/>
  <c r="R62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45" i="27"/>
  <c r="R44" i="27"/>
  <c r="R43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26" i="27"/>
  <c r="R25" i="27"/>
  <c r="R24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7" i="27"/>
  <c r="R6" i="27"/>
  <c r="R5" i="27"/>
  <c r="R5" i="31"/>
  <c r="S5" i="31" s="1"/>
  <c r="T5" i="31" s="1"/>
  <c r="S42" i="31"/>
  <c r="T42" i="31" s="1"/>
  <c r="S61" i="31"/>
  <c r="T61" i="31" s="1"/>
  <c r="R65" i="31"/>
  <c r="S65" i="31" s="1"/>
  <c r="T65" i="31" s="1"/>
  <c r="R66" i="31"/>
  <c r="S66" i="31" s="1"/>
  <c r="T66" i="31" s="1"/>
  <c r="R67" i="31"/>
  <c r="S67" i="31" s="1"/>
  <c r="T67" i="31" s="1"/>
  <c r="R68" i="31"/>
  <c r="S68" i="31" s="1"/>
  <c r="T68" i="31" s="1"/>
  <c r="R69" i="31"/>
  <c r="S69" i="31" s="1"/>
  <c r="T69" i="31" s="1"/>
  <c r="R70" i="31"/>
  <c r="S70" i="31" s="1"/>
  <c r="T70" i="31" s="1"/>
  <c r="R71" i="31"/>
  <c r="S71" i="31" s="1"/>
  <c r="T71" i="31" s="1"/>
  <c r="R72" i="31"/>
  <c r="S72" i="31" s="1"/>
  <c r="T72" i="31" s="1"/>
  <c r="R73" i="31"/>
  <c r="S73" i="31" s="1"/>
  <c r="T73" i="31" s="1"/>
  <c r="R74" i="31"/>
  <c r="S74" i="31" s="1"/>
  <c r="T74" i="31" s="1"/>
  <c r="R75" i="31"/>
  <c r="S75" i="31" s="1"/>
  <c r="T75" i="31" s="1"/>
  <c r="R76" i="31"/>
  <c r="S76" i="31" s="1"/>
  <c r="T76" i="31" s="1"/>
  <c r="R77" i="31"/>
  <c r="S77" i="31" s="1"/>
  <c r="T77" i="31" s="1"/>
  <c r="R78" i="31"/>
  <c r="S78" i="31" s="1"/>
  <c r="T78" i="31" s="1"/>
  <c r="R79" i="31"/>
  <c r="S79" i="31" s="1"/>
  <c r="T79" i="31" s="1"/>
  <c r="R64" i="31"/>
  <c r="S64" i="31" s="1"/>
  <c r="T64" i="31" s="1"/>
  <c r="R63" i="31"/>
  <c r="S63" i="31" s="1"/>
  <c r="T63" i="31" s="1"/>
  <c r="R62" i="31"/>
  <c r="S62" i="31" s="1"/>
  <c r="T62" i="31" s="1"/>
  <c r="R46" i="31"/>
  <c r="S46" i="31" s="1"/>
  <c r="T46" i="31" s="1"/>
  <c r="R47" i="31"/>
  <c r="S47" i="31" s="1"/>
  <c r="T47" i="31" s="1"/>
  <c r="R48" i="31"/>
  <c r="S48" i="31" s="1"/>
  <c r="T48" i="31" s="1"/>
  <c r="R49" i="31"/>
  <c r="S49" i="31" s="1"/>
  <c r="T49" i="31" s="1"/>
  <c r="R50" i="31"/>
  <c r="S50" i="31" s="1"/>
  <c r="T50" i="31" s="1"/>
  <c r="R51" i="31"/>
  <c r="S51" i="31" s="1"/>
  <c r="T51" i="31" s="1"/>
  <c r="R52" i="31"/>
  <c r="S52" i="31" s="1"/>
  <c r="T52" i="31" s="1"/>
  <c r="R53" i="31"/>
  <c r="S53" i="31" s="1"/>
  <c r="T53" i="31" s="1"/>
  <c r="R54" i="31"/>
  <c r="S54" i="31" s="1"/>
  <c r="T54" i="31" s="1"/>
  <c r="R55" i="31"/>
  <c r="S55" i="31" s="1"/>
  <c r="T55" i="31" s="1"/>
  <c r="R56" i="31"/>
  <c r="S56" i="31" s="1"/>
  <c r="T56" i="31" s="1"/>
  <c r="R57" i="31"/>
  <c r="S57" i="31" s="1"/>
  <c r="T57" i="31" s="1"/>
  <c r="R58" i="31"/>
  <c r="S58" i="31" s="1"/>
  <c r="T58" i="31" s="1"/>
  <c r="R59" i="31"/>
  <c r="S59" i="31" s="1"/>
  <c r="T59" i="31" s="1"/>
  <c r="R60" i="31"/>
  <c r="S60" i="31" s="1"/>
  <c r="T60" i="31" s="1"/>
  <c r="R45" i="31"/>
  <c r="S45" i="31" s="1"/>
  <c r="T45" i="31" s="1"/>
  <c r="R44" i="31"/>
  <c r="S44" i="31" s="1"/>
  <c r="T44" i="31" s="1"/>
  <c r="R43" i="31"/>
  <c r="S43" i="31" s="1"/>
  <c r="T43" i="31" s="1"/>
  <c r="R27" i="31"/>
  <c r="S27" i="31" s="1"/>
  <c r="T27" i="31" s="1"/>
  <c r="R28" i="31"/>
  <c r="S28" i="31" s="1"/>
  <c r="T28" i="31" s="1"/>
  <c r="R29" i="31"/>
  <c r="S29" i="31" s="1"/>
  <c r="T29" i="31" s="1"/>
  <c r="R30" i="31"/>
  <c r="S30" i="31" s="1"/>
  <c r="T30" i="31" s="1"/>
  <c r="R31" i="31"/>
  <c r="S31" i="31" s="1"/>
  <c r="T31" i="31" s="1"/>
  <c r="R32" i="31"/>
  <c r="S32" i="31" s="1"/>
  <c r="T32" i="31" s="1"/>
  <c r="R33" i="31"/>
  <c r="S33" i="31" s="1"/>
  <c r="T33" i="31" s="1"/>
  <c r="R34" i="31"/>
  <c r="S34" i="31" s="1"/>
  <c r="T34" i="31" s="1"/>
  <c r="R35" i="31"/>
  <c r="S35" i="31" s="1"/>
  <c r="T35" i="31" s="1"/>
  <c r="R36" i="31"/>
  <c r="S36" i="31" s="1"/>
  <c r="T36" i="31" s="1"/>
  <c r="R37" i="31"/>
  <c r="S37" i="31" s="1"/>
  <c r="T37" i="31" s="1"/>
  <c r="R38" i="31"/>
  <c r="S38" i="31" s="1"/>
  <c r="T38" i="31" s="1"/>
  <c r="R39" i="31"/>
  <c r="S39" i="31" s="1"/>
  <c r="T39" i="31" s="1"/>
  <c r="R40" i="31"/>
  <c r="S40" i="31" s="1"/>
  <c r="T40" i="31" s="1"/>
  <c r="R41" i="31"/>
  <c r="S41" i="31" s="1"/>
  <c r="T41" i="31" s="1"/>
  <c r="R26" i="31"/>
  <c r="S26" i="31" s="1"/>
  <c r="T26" i="31" s="1"/>
  <c r="R25" i="31"/>
  <c r="S25" i="31" s="1"/>
  <c r="T25" i="31" s="1"/>
  <c r="R24" i="31"/>
  <c r="S24" i="31" s="1"/>
  <c r="T24" i="31" s="1"/>
  <c r="R8" i="31"/>
  <c r="S8" i="31" s="1"/>
  <c r="T8" i="31" s="1"/>
  <c r="R9" i="31"/>
  <c r="S9" i="31" s="1"/>
  <c r="T9" i="31" s="1"/>
  <c r="R10" i="31"/>
  <c r="S10" i="31" s="1"/>
  <c r="T10" i="31" s="1"/>
  <c r="R11" i="31"/>
  <c r="S11" i="31" s="1"/>
  <c r="T11" i="31" s="1"/>
  <c r="R12" i="31"/>
  <c r="S12" i="31" s="1"/>
  <c r="T12" i="31" s="1"/>
  <c r="R13" i="31"/>
  <c r="S13" i="31" s="1"/>
  <c r="T13" i="31" s="1"/>
  <c r="R14" i="31"/>
  <c r="S14" i="31" s="1"/>
  <c r="T14" i="31" s="1"/>
  <c r="R15" i="31"/>
  <c r="S15" i="31" s="1"/>
  <c r="T15" i="31" s="1"/>
  <c r="R16" i="31"/>
  <c r="S16" i="31" s="1"/>
  <c r="T16" i="31" s="1"/>
  <c r="R17" i="31"/>
  <c r="S17" i="31" s="1"/>
  <c r="T17" i="31" s="1"/>
  <c r="R18" i="31"/>
  <c r="S18" i="31" s="1"/>
  <c r="T18" i="31" s="1"/>
  <c r="R19" i="31"/>
  <c r="S19" i="31" s="1"/>
  <c r="T19" i="31" s="1"/>
  <c r="R20" i="31"/>
  <c r="S20" i="31" s="1"/>
  <c r="T20" i="31" s="1"/>
  <c r="R21" i="31"/>
  <c r="S21" i="31" s="1"/>
  <c r="T21" i="31" s="1"/>
  <c r="R22" i="31"/>
  <c r="S22" i="31" s="1"/>
  <c r="T22" i="31" s="1"/>
  <c r="R7" i="31"/>
  <c r="S7" i="31" s="1"/>
  <c r="T7" i="31" s="1"/>
  <c r="R6" i="31"/>
  <c r="S6" i="31" s="1"/>
  <c r="T6" i="31" s="1"/>
  <c r="R65" i="32"/>
  <c r="S65" i="32" s="1"/>
  <c r="T65" i="32" s="1"/>
  <c r="R66" i="32"/>
  <c r="S66" i="32" s="1"/>
  <c r="T66" i="32" s="1"/>
  <c r="R67" i="32"/>
  <c r="S67" i="32" s="1"/>
  <c r="T67" i="32" s="1"/>
  <c r="R68" i="32"/>
  <c r="S68" i="32" s="1"/>
  <c r="T68" i="32" s="1"/>
  <c r="R69" i="32"/>
  <c r="S69" i="32" s="1"/>
  <c r="T69" i="32" s="1"/>
  <c r="R70" i="32"/>
  <c r="S70" i="32" s="1"/>
  <c r="T70" i="32" s="1"/>
  <c r="R71" i="32"/>
  <c r="S71" i="32" s="1"/>
  <c r="T71" i="32" s="1"/>
  <c r="R72" i="32"/>
  <c r="S72" i="32" s="1"/>
  <c r="T72" i="32" s="1"/>
  <c r="R73" i="32"/>
  <c r="S73" i="32" s="1"/>
  <c r="T73" i="32" s="1"/>
  <c r="R74" i="32"/>
  <c r="S74" i="32" s="1"/>
  <c r="T74" i="32" s="1"/>
  <c r="R75" i="32"/>
  <c r="S75" i="32" s="1"/>
  <c r="T75" i="32" s="1"/>
  <c r="R76" i="32"/>
  <c r="S76" i="32" s="1"/>
  <c r="T76" i="32" s="1"/>
  <c r="R77" i="32"/>
  <c r="S77" i="32" s="1"/>
  <c r="T77" i="32" s="1"/>
  <c r="R78" i="32"/>
  <c r="S78" i="32" s="1"/>
  <c r="T78" i="32" s="1"/>
  <c r="R79" i="32"/>
  <c r="S79" i="32" s="1"/>
  <c r="T79" i="32" s="1"/>
  <c r="R64" i="32"/>
  <c r="S64" i="32" s="1"/>
  <c r="T64" i="32" s="1"/>
  <c r="R63" i="32"/>
  <c r="S63" i="32" s="1"/>
  <c r="T63" i="32" s="1"/>
  <c r="R62" i="32"/>
  <c r="S62" i="32" s="1"/>
  <c r="T62" i="32" s="1"/>
  <c r="R46" i="32"/>
  <c r="S46" i="32" s="1"/>
  <c r="T46" i="32" s="1"/>
  <c r="R47" i="32"/>
  <c r="S47" i="32" s="1"/>
  <c r="T47" i="32" s="1"/>
  <c r="R48" i="32"/>
  <c r="S48" i="32" s="1"/>
  <c r="T48" i="32" s="1"/>
  <c r="R49" i="32"/>
  <c r="S49" i="32" s="1"/>
  <c r="T49" i="32" s="1"/>
  <c r="R50" i="32"/>
  <c r="S50" i="32" s="1"/>
  <c r="T50" i="32" s="1"/>
  <c r="R51" i="32"/>
  <c r="S51" i="32" s="1"/>
  <c r="T51" i="32" s="1"/>
  <c r="R52" i="32"/>
  <c r="S52" i="32" s="1"/>
  <c r="T52" i="32" s="1"/>
  <c r="R53" i="32"/>
  <c r="S53" i="32" s="1"/>
  <c r="T53" i="32" s="1"/>
  <c r="R54" i="32"/>
  <c r="S54" i="32" s="1"/>
  <c r="T54" i="32" s="1"/>
  <c r="R55" i="32"/>
  <c r="S55" i="32" s="1"/>
  <c r="T55" i="32" s="1"/>
  <c r="R56" i="32"/>
  <c r="S56" i="32" s="1"/>
  <c r="T56" i="32" s="1"/>
  <c r="R57" i="32"/>
  <c r="S57" i="32" s="1"/>
  <c r="T57" i="32" s="1"/>
  <c r="R58" i="32"/>
  <c r="S58" i="32" s="1"/>
  <c r="T58" i="32" s="1"/>
  <c r="R59" i="32"/>
  <c r="S59" i="32" s="1"/>
  <c r="T59" i="32" s="1"/>
  <c r="R60" i="32"/>
  <c r="S60" i="32" s="1"/>
  <c r="T60" i="32" s="1"/>
  <c r="R45" i="32"/>
  <c r="S45" i="32" s="1"/>
  <c r="T45" i="32" s="1"/>
  <c r="R44" i="32"/>
  <c r="S44" i="32" s="1"/>
  <c r="T44" i="32" s="1"/>
  <c r="R43" i="32"/>
  <c r="S43" i="32" s="1"/>
  <c r="T43" i="32" s="1"/>
  <c r="R27" i="32"/>
  <c r="S27" i="32" s="1"/>
  <c r="T27" i="32" s="1"/>
  <c r="R28" i="32"/>
  <c r="S28" i="32" s="1"/>
  <c r="T28" i="32" s="1"/>
  <c r="R29" i="32"/>
  <c r="S29" i="32" s="1"/>
  <c r="T29" i="32" s="1"/>
  <c r="R30" i="32"/>
  <c r="S30" i="32" s="1"/>
  <c r="T30" i="32" s="1"/>
  <c r="R31" i="32"/>
  <c r="S31" i="32" s="1"/>
  <c r="T31" i="32" s="1"/>
  <c r="R32" i="32"/>
  <c r="S32" i="32" s="1"/>
  <c r="T32" i="32" s="1"/>
  <c r="R33" i="32"/>
  <c r="S33" i="32" s="1"/>
  <c r="T33" i="32" s="1"/>
  <c r="R34" i="32"/>
  <c r="S34" i="32" s="1"/>
  <c r="T34" i="32" s="1"/>
  <c r="R35" i="32"/>
  <c r="S35" i="32" s="1"/>
  <c r="T35" i="32" s="1"/>
  <c r="R36" i="32"/>
  <c r="S36" i="32" s="1"/>
  <c r="T36" i="32" s="1"/>
  <c r="R37" i="32"/>
  <c r="S37" i="32" s="1"/>
  <c r="T37" i="32" s="1"/>
  <c r="R38" i="32"/>
  <c r="S38" i="32" s="1"/>
  <c r="T38" i="32" s="1"/>
  <c r="R39" i="32"/>
  <c r="S39" i="32" s="1"/>
  <c r="T39" i="32" s="1"/>
  <c r="R40" i="32"/>
  <c r="S40" i="32" s="1"/>
  <c r="T40" i="32" s="1"/>
  <c r="R41" i="32"/>
  <c r="S41" i="32" s="1"/>
  <c r="T41" i="32" s="1"/>
  <c r="R26" i="32"/>
  <c r="S26" i="32" s="1"/>
  <c r="T26" i="32" s="1"/>
  <c r="R25" i="32"/>
  <c r="S25" i="32" s="1"/>
  <c r="T25" i="32" s="1"/>
  <c r="R24" i="32"/>
  <c r="S24" i="32" s="1"/>
  <c r="T24" i="32" s="1"/>
  <c r="R8" i="32"/>
  <c r="S8" i="32" s="1"/>
  <c r="T8" i="32" s="1"/>
  <c r="R9" i="32"/>
  <c r="S9" i="32" s="1"/>
  <c r="T9" i="32" s="1"/>
  <c r="R10" i="32"/>
  <c r="S10" i="32" s="1"/>
  <c r="T10" i="32" s="1"/>
  <c r="R11" i="32"/>
  <c r="S11" i="32" s="1"/>
  <c r="T11" i="32" s="1"/>
  <c r="R12" i="32"/>
  <c r="S12" i="32" s="1"/>
  <c r="T12" i="32" s="1"/>
  <c r="R13" i="32"/>
  <c r="S13" i="32" s="1"/>
  <c r="T13" i="32" s="1"/>
  <c r="R14" i="32"/>
  <c r="S14" i="32" s="1"/>
  <c r="T14" i="32" s="1"/>
  <c r="R15" i="32"/>
  <c r="S15" i="32" s="1"/>
  <c r="T15" i="32" s="1"/>
  <c r="R16" i="32"/>
  <c r="S16" i="32" s="1"/>
  <c r="T16" i="32" s="1"/>
  <c r="R17" i="32"/>
  <c r="S17" i="32" s="1"/>
  <c r="T17" i="32" s="1"/>
  <c r="R18" i="32"/>
  <c r="S18" i="32" s="1"/>
  <c r="T18" i="32" s="1"/>
  <c r="R19" i="32"/>
  <c r="S19" i="32" s="1"/>
  <c r="T19" i="32" s="1"/>
  <c r="R20" i="32"/>
  <c r="S20" i="32" s="1"/>
  <c r="T20" i="32" s="1"/>
  <c r="R21" i="32"/>
  <c r="S21" i="32" s="1"/>
  <c r="T21" i="32" s="1"/>
  <c r="R22" i="32"/>
  <c r="S22" i="32" s="1"/>
  <c r="T22" i="32" s="1"/>
  <c r="R7" i="32"/>
  <c r="S7" i="32" s="1"/>
  <c r="T7" i="32" s="1"/>
  <c r="R6" i="32"/>
  <c r="S6" i="32" s="1"/>
  <c r="T6" i="32" s="1"/>
  <c r="R5" i="32"/>
  <c r="S5" i="32" s="1"/>
  <c r="AK55" i="32" l="1"/>
  <c r="AL53" i="32"/>
  <c r="AL55" i="32" s="1"/>
  <c r="F58" i="36"/>
  <c r="G58" i="36" s="1"/>
  <c r="G59" i="36"/>
  <c r="H60" i="36" s="1"/>
  <c r="F46" i="36"/>
  <c r="G46" i="36" s="1"/>
  <c r="T68" i="36" a="1"/>
  <c r="T68" i="36" s="1"/>
  <c r="U68" i="36" s="1"/>
  <c r="V68" i="36" s="1"/>
  <c r="F13" i="36"/>
  <c r="G13" i="36" s="1"/>
  <c r="T11" i="36" a="1"/>
  <c r="T11" i="36" s="1"/>
  <c r="U11" i="36" s="1"/>
  <c r="V11" i="36" s="1"/>
  <c r="G12" i="36"/>
  <c r="H13" i="36" s="1"/>
  <c r="F17" i="36"/>
  <c r="G17" i="36" s="1"/>
  <c r="F8" i="36"/>
  <c r="G8" i="36" s="1"/>
  <c r="G9" i="36"/>
  <c r="H10" i="36" s="1"/>
  <c r="AF10" i="36"/>
  <c r="AL10" i="36"/>
  <c r="AW11" i="36"/>
  <c r="AN12" i="36"/>
  <c r="G28" i="36"/>
  <c r="H29" i="36" s="1"/>
  <c r="F49" i="36"/>
  <c r="G49" i="36" s="1"/>
  <c r="G63" i="36"/>
  <c r="R66" i="36"/>
  <c r="S66" i="36" s="1"/>
  <c r="T65" i="36" s="1" a="1"/>
  <c r="AH10" i="36"/>
  <c r="AQ10" i="36"/>
  <c r="AV10" i="36"/>
  <c r="AM11" i="36"/>
  <c r="AC12" i="36"/>
  <c r="AJ12" i="36"/>
  <c r="AO12" i="36"/>
  <c r="F27" i="36"/>
  <c r="G27" i="36" s="1"/>
  <c r="F43" i="36"/>
  <c r="G43" i="36" s="1"/>
  <c r="AJ10" i="36"/>
  <c r="T17" i="36" a="1"/>
  <c r="T17" i="36" s="1"/>
  <c r="U17" i="36" s="1"/>
  <c r="V17" i="36" s="1"/>
  <c r="F64" i="36"/>
  <c r="G64" i="36" s="1"/>
  <c r="T74" i="36" a="1"/>
  <c r="T74" i="36" s="1"/>
  <c r="U74" i="36" s="1"/>
  <c r="V74" i="36" s="1"/>
  <c r="AO11" i="36"/>
  <c r="F39" i="36"/>
  <c r="G39" i="36" s="1"/>
  <c r="G40" i="36"/>
  <c r="F52" i="36"/>
  <c r="G52" i="36" s="1"/>
  <c r="T58" i="36" a="1"/>
  <c r="T58" i="36" s="1"/>
  <c r="U58" i="36" s="1"/>
  <c r="V58" i="36" s="1"/>
  <c r="R62" i="36"/>
  <c r="S62" i="36" s="1"/>
  <c r="T62" i="36" s="1" a="1"/>
  <c r="T62" i="36" s="1"/>
  <c r="U62" i="36" s="1"/>
  <c r="V62" i="36" s="1"/>
  <c r="G66" i="36"/>
  <c r="H67" i="36" s="1"/>
  <c r="T71" i="36" a="1"/>
  <c r="T72" i="36" s="1"/>
  <c r="U72" i="36" s="1"/>
  <c r="V72" i="36" s="1"/>
  <c r="F5" i="36"/>
  <c r="G5" i="36" s="1"/>
  <c r="G6" i="36"/>
  <c r="H7" i="36" s="1"/>
  <c r="AD11" i="36"/>
  <c r="AL11" i="36"/>
  <c r="AP11" i="36"/>
  <c r="AY11" i="36"/>
  <c r="AB12" i="36"/>
  <c r="AF12" i="36"/>
  <c r="AS12" i="36"/>
  <c r="AW12" i="36"/>
  <c r="F20" i="36"/>
  <c r="G20" i="36" s="1"/>
  <c r="G21" i="36"/>
  <c r="H22" i="36" s="1"/>
  <c r="F24" i="36"/>
  <c r="G24" i="36" s="1"/>
  <c r="T27" i="36" a="1"/>
  <c r="T28" i="36" s="1"/>
  <c r="U28" i="36" s="1"/>
  <c r="V28" i="36" s="1"/>
  <c r="F30" i="36"/>
  <c r="G30" i="36" s="1"/>
  <c r="T43" i="36" a="1"/>
  <c r="T45" i="36" s="1"/>
  <c r="U45" i="36" s="1"/>
  <c r="V45" i="36" s="1"/>
  <c r="T49" i="36" a="1"/>
  <c r="T49" i="36" s="1"/>
  <c r="U49" i="36" s="1"/>
  <c r="V49" i="36" s="1"/>
  <c r="F67" i="36"/>
  <c r="G67" i="36" s="1"/>
  <c r="AG10" i="36"/>
  <c r="AX10" i="36"/>
  <c r="AI12" i="36"/>
  <c r="AR12" i="36"/>
  <c r="R22" i="36"/>
  <c r="S22" i="36" s="1"/>
  <c r="T20" i="36" s="1" a="1"/>
  <c r="F55" i="36"/>
  <c r="G55" i="36" s="1"/>
  <c r="G56" i="36"/>
  <c r="H57" i="36" s="1"/>
  <c r="AD10" i="36"/>
  <c r="AE11" i="36"/>
  <c r="AT12" i="36"/>
  <c r="AX12" i="36"/>
  <c r="T24" i="36" a="1"/>
  <c r="T25" i="36" s="1"/>
  <c r="U25" i="36" s="1"/>
  <c r="V25" i="36" s="1"/>
  <c r="T30" i="36" a="1"/>
  <c r="T32" i="36" s="1"/>
  <c r="U32" i="36" s="1"/>
  <c r="V32" i="36" s="1"/>
  <c r="T77" i="36" a="1"/>
  <c r="T78" i="36" s="1"/>
  <c r="U78" i="36" s="1"/>
  <c r="V78" i="36" s="1"/>
  <c r="R5" i="36"/>
  <c r="S5" i="36" s="1"/>
  <c r="AB10" i="36"/>
  <c r="T12" i="36"/>
  <c r="U12" i="36" s="1"/>
  <c r="V12" i="36" s="1"/>
  <c r="AB11" i="36"/>
  <c r="R6" i="36"/>
  <c r="S6" i="36" s="1"/>
  <c r="AC10" i="36"/>
  <c r="R8" i="36"/>
  <c r="S8" i="36" s="1"/>
  <c r="T14" i="36" a="1"/>
  <c r="T36" i="36" a="1"/>
  <c r="T39" i="36" a="1"/>
  <c r="AE10" i="36"/>
  <c r="AI10" i="36"/>
  <c r="AK12" i="36"/>
  <c r="AF11" i="36"/>
  <c r="AJ11" i="36"/>
  <c r="G15" i="36"/>
  <c r="F38" i="36"/>
  <c r="G38" i="36" s="1"/>
  <c r="F36" i="36"/>
  <c r="G36" i="36" s="1"/>
  <c r="R9" i="36"/>
  <c r="S9" i="36" s="1"/>
  <c r="AQ11" i="36"/>
  <c r="G18" i="36"/>
  <c r="F35" i="36"/>
  <c r="G35" i="36" s="1"/>
  <c r="F33" i="36"/>
  <c r="G33" i="36" s="1"/>
  <c r="G34" i="36"/>
  <c r="G37" i="36"/>
  <c r="AG11" i="36"/>
  <c r="AK11" i="36"/>
  <c r="F14" i="36"/>
  <c r="G14" i="36" s="1"/>
  <c r="G25" i="36"/>
  <c r="T33" i="36" a="1"/>
  <c r="T52" i="36" a="1"/>
  <c r="T55" i="36" a="1"/>
  <c r="G31" i="36"/>
  <c r="G44" i="36"/>
  <c r="T46" i="36" a="1"/>
  <c r="F73" i="36"/>
  <c r="G73" i="36" s="1"/>
  <c r="F71" i="36"/>
  <c r="G71" i="36" s="1"/>
  <c r="G72" i="36"/>
  <c r="G47" i="36"/>
  <c r="G50" i="36"/>
  <c r="G53" i="36"/>
  <c r="F70" i="36"/>
  <c r="G70" i="36" s="1"/>
  <c r="G69" i="36"/>
  <c r="F68" i="36"/>
  <c r="G68" i="36" s="1"/>
  <c r="F76" i="36"/>
  <c r="G76" i="36" s="1"/>
  <c r="G75" i="36"/>
  <c r="F79" i="36"/>
  <c r="G79" i="36" s="1"/>
  <c r="G78" i="36"/>
  <c r="U52" i="32" a="1"/>
  <c r="U52" i="32" s="1"/>
  <c r="V52" i="32" s="1"/>
  <c r="W52" i="32" s="1"/>
  <c r="U77" i="32" a="1"/>
  <c r="U78" i="32" s="1"/>
  <c r="U65" i="32" a="1"/>
  <c r="U67" i="32" s="1"/>
  <c r="U43" i="32" a="1"/>
  <c r="U45" i="32" s="1"/>
  <c r="U68" i="32" a="1"/>
  <c r="U69" i="32" s="1"/>
  <c r="T5" i="32"/>
  <c r="U5" i="32" s="1" a="1"/>
  <c r="U62" i="32" a="1"/>
  <c r="U64" i="32" s="1"/>
  <c r="U30" i="32" a="1"/>
  <c r="U30" i="32" s="1"/>
  <c r="U55" i="32" a="1"/>
  <c r="U55" i="32" s="1"/>
  <c r="U17" i="32" a="1"/>
  <c r="U17" i="32" s="1"/>
  <c r="U24" i="32" a="1"/>
  <c r="U26" i="32" s="1"/>
  <c r="U74" i="32" a="1"/>
  <c r="U75" i="32" s="1"/>
  <c r="U71" i="32" a="1"/>
  <c r="U58" i="32" a="1"/>
  <c r="U58" i="32" s="1"/>
  <c r="U49" i="32" a="1"/>
  <c r="U51" i="32" s="1"/>
  <c r="U46" i="32" a="1"/>
  <c r="U33" i="32" a="1"/>
  <c r="U33" i="32" s="1"/>
  <c r="U36" i="32" a="1"/>
  <c r="U36" i="32" s="1"/>
  <c r="U14" i="32" a="1"/>
  <c r="U14" i="32" s="1"/>
  <c r="U39" i="32" a="1"/>
  <c r="U39" i="32" s="1"/>
  <c r="U27" i="32" a="1"/>
  <c r="U27" i="32" s="1"/>
  <c r="U20" i="32" a="1"/>
  <c r="U21" i="32" s="1"/>
  <c r="U8" i="32" a="1"/>
  <c r="U8" i="32" s="1"/>
  <c r="U11" i="32" a="1"/>
  <c r="U11" i="32" s="1"/>
  <c r="F78" i="32"/>
  <c r="F79" i="32" s="1"/>
  <c r="G79" i="32" s="1"/>
  <c r="F75" i="32"/>
  <c r="F76" i="32" s="1"/>
  <c r="G76" i="32" s="1"/>
  <c r="F72" i="32"/>
  <c r="G72" i="32" s="1"/>
  <c r="H73" i="32" s="1"/>
  <c r="F69" i="32"/>
  <c r="F70" i="32" s="1"/>
  <c r="G70" i="32" s="1"/>
  <c r="F66" i="32"/>
  <c r="G66" i="32" s="1"/>
  <c r="H67" i="32" s="1"/>
  <c r="F63" i="32"/>
  <c r="F64" i="32" s="1"/>
  <c r="G64" i="32" s="1"/>
  <c r="F59" i="32"/>
  <c r="F60" i="32" s="1"/>
  <c r="G60" i="32" s="1"/>
  <c r="F56" i="32"/>
  <c r="F57" i="32" s="1"/>
  <c r="G57" i="32" s="1"/>
  <c r="F53" i="32"/>
  <c r="G53" i="32" s="1"/>
  <c r="H54" i="32" s="1"/>
  <c r="F50" i="32"/>
  <c r="F47" i="32"/>
  <c r="F48" i="32" s="1"/>
  <c r="G48" i="32" s="1"/>
  <c r="F44" i="32"/>
  <c r="F45" i="32" s="1"/>
  <c r="G45" i="32" s="1"/>
  <c r="F40" i="32"/>
  <c r="F39" i="32" s="1"/>
  <c r="G39" i="32" s="1"/>
  <c r="F37" i="32"/>
  <c r="F38" i="32" s="1"/>
  <c r="G38" i="32" s="1"/>
  <c r="F34" i="32"/>
  <c r="F35" i="32" s="1"/>
  <c r="G35" i="32" s="1"/>
  <c r="F31" i="32"/>
  <c r="F32" i="32" s="1"/>
  <c r="G32" i="32" s="1"/>
  <c r="F28" i="32"/>
  <c r="F29" i="32" s="1"/>
  <c r="G29" i="32" s="1"/>
  <c r="F25" i="32"/>
  <c r="F26" i="32" s="1"/>
  <c r="G26" i="32" s="1"/>
  <c r="F21" i="32"/>
  <c r="F22" i="32" s="1"/>
  <c r="G22" i="32" s="1"/>
  <c r="F18" i="32"/>
  <c r="F19" i="32" s="1"/>
  <c r="G19" i="32" s="1"/>
  <c r="F15" i="32"/>
  <c r="F16" i="32" s="1"/>
  <c r="G16" i="32" s="1"/>
  <c r="BG12" i="32"/>
  <c r="BF12" i="32"/>
  <c r="BE12" i="32"/>
  <c r="BD12" i="32"/>
  <c r="BC12" i="32"/>
  <c r="BB12" i="32"/>
  <c r="BA12" i="32"/>
  <c r="AZ12" i="32"/>
  <c r="AY12" i="32"/>
  <c r="AX12" i="32"/>
  <c r="AW12" i="32"/>
  <c r="AV12" i="32"/>
  <c r="AU12" i="32"/>
  <c r="AT12" i="32"/>
  <c r="AS12" i="32"/>
  <c r="AR12" i="32"/>
  <c r="AQ12" i="32"/>
  <c r="AP12" i="32"/>
  <c r="AO12" i="32"/>
  <c r="AN12" i="32"/>
  <c r="AM12" i="32"/>
  <c r="AL12" i="32"/>
  <c r="AK12" i="32"/>
  <c r="AJ12" i="32"/>
  <c r="F12" i="32"/>
  <c r="F13" i="32" s="1"/>
  <c r="G13" i="32" s="1"/>
  <c r="BG11" i="32"/>
  <c r="BF11" i="32"/>
  <c r="BE11" i="32"/>
  <c r="BD11" i="32"/>
  <c r="BC11" i="32"/>
  <c r="BB11" i="32"/>
  <c r="BA11" i="32"/>
  <c r="AZ11" i="32"/>
  <c r="AY11" i="32"/>
  <c r="AX11" i="32"/>
  <c r="AW11" i="32"/>
  <c r="AV11" i="32"/>
  <c r="AU11" i="32"/>
  <c r="AT11" i="32"/>
  <c r="AS11" i="32"/>
  <c r="AR11" i="32"/>
  <c r="AQ11" i="32"/>
  <c r="AP11" i="32"/>
  <c r="AO11" i="32"/>
  <c r="AN11" i="32"/>
  <c r="AM11" i="32"/>
  <c r="AL11" i="32"/>
  <c r="AK11" i="32"/>
  <c r="AJ11" i="32"/>
  <c r="BG10" i="32"/>
  <c r="BF10" i="32"/>
  <c r="BE10" i="32"/>
  <c r="BD10" i="32"/>
  <c r="BC10" i="32"/>
  <c r="BB10" i="32"/>
  <c r="BA10" i="32"/>
  <c r="AZ10" i="32"/>
  <c r="AY10" i="32"/>
  <c r="AX10" i="32"/>
  <c r="AW10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AJ10" i="32"/>
  <c r="F9" i="32"/>
  <c r="F10" i="32" s="1"/>
  <c r="G10" i="32" s="1"/>
  <c r="F6" i="32"/>
  <c r="F7" i="32" s="1"/>
  <c r="G7" i="32" s="1"/>
  <c r="F78" i="31"/>
  <c r="F79" i="31" s="1"/>
  <c r="G79" i="31" s="1"/>
  <c r="F75" i="31"/>
  <c r="F76" i="31" s="1"/>
  <c r="G76" i="31" s="1"/>
  <c r="F72" i="31"/>
  <c r="G72" i="31" s="1"/>
  <c r="H73" i="31" s="1"/>
  <c r="F69" i="31"/>
  <c r="F66" i="31"/>
  <c r="F67" i="31" s="1"/>
  <c r="G67" i="31" s="1"/>
  <c r="F63" i="31"/>
  <c r="G63" i="31" s="1"/>
  <c r="F59" i="31"/>
  <c r="F60" i="31" s="1"/>
  <c r="G60" i="31" s="1"/>
  <c r="Z58" i="31"/>
  <c r="BB6" i="31"/>
  <c r="F56" i="31"/>
  <c r="F57" i="31" s="1"/>
  <c r="G57" i="31" s="1"/>
  <c r="F53" i="31"/>
  <c r="F54" i="31" s="1"/>
  <c r="G54" i="31" s="1"/>
  <c r="F50" i="31"/>
  <c r="G50" i="31" s="1"/>
  <c r="H51" i="31" s="1"/>
  <c r="F47" i="31"/>
  <c r="F44" i="31"/>
  <c r="G44" i="31" s="1"/>
  <c r="F40" i="31"/>
  <c r="G40" i="31" s="1"/>
  <c r="H41" i="31" s="1"/>
  <c r="F37" i="31"/>
  <c r="F38" i="31" s="1"/>
  <c r="G38" i="31" s="1"/>
  <c r="F34" i="31"/>
  <c r="F35" i="31" s="1"/>
  <c r="G35" i="31" s="1"/>
  <c r="F31" i="31"/>
  <c r="F32" i="31" s="1"/>
  <c r="G32" i="31" s="1"/>
  <c r="F28" i="31"/>
  <c r="F25" i="31"/>
  <c r="G25" i="31" s="1"/>
  <c r="F21" i="31"/>
  <c r="G21" i="31" s="1"/>
  <c r="H22" i="31" s="1"/>
  <c r="F18" i="31"/>
  <c r="G18" i="31" s="1"/>
  <c r="F15" i="31"/>
  <c r="F16" i="31" s="1"/>
  <c r="G16" i="31" s="1"/>
  <c r="BH12" i="31"/>
  <c r="BG12" i="31"/>
  <c r="BF12" i="31"/>
  <c r="BE12" i="31"/>
  <c r="BD12" i="31"/>
  <c r="BC12" i="31"/>
  <c r="BB12" i="31"/>
  <c r="BA12" i="31"/>
  <c r="AZ12" i="31"/>
  <c r="AY12" i="31"/>
  <c r="AX12" i="31"/>
  <c r="AW12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F12" i="31"/>
  <c r="F13" i="31" s="1"/>
  <c r="G13" i="31" s="1"/>
  <c r="BH11" i="31"/>
  <c r="BG11" i="31"/>
  <c r="BF11" i="31"/>
  <c r="BE11" i="31"/>
  <c r="BD11" i="31"/>
  <c r="BC11" i="31"/>
  <c r="BB11" i="31"/>
  <c r="BA11" i="31"/>
  <c r="AZ11" i="31"/>
  <c r="AY11" i="31"/>
  <c r="AX11" i="31"/>
  <c r="AW11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BH10" i="31"/>
  <c r="BG10" i="31"/>
  <c r="BF10" i="31"/>
  <c r="BE10" i="31"/>
  <c r="BD10" i="31"/>
  <c r="BC10" i="31"/>
  <c r="BB10" i="31"/>
  <c r="BA10" i="31"/>
  <c r="AZ10" i="31"/>
  <c r="AY10" i="31"/>
  <c r="AX10" i="31"/>
  <c r="AW10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F9" i="31"/>
  <c r="F10" i="31" s="1"/>
  <c r="G10" i="31" s="1"/>
  <c r="F6" i="31"/>
  <c r="F7" i="31" s="1"/>
  <c r="G7" i="31" s="1"/>
  <c r="BB6" i="27"/>
  <c r="Z58" i="27"/>
  <c r="F78" i="27"/>
  <c r="F79" i="27" s="1"/>
  <c r="G79" i="27" s="1"/>
  <c r="F75" i="27"/>
  <c r="F74" i="27" s="1"/>
  <c r="G74" i="27" s="1"/>
  <c r="F72" i="27"/>
  <c r="G72" i="27" s="1"/>
  <c r="F69" i="27"/>
  <c r="F70" i="27" s="1"/>
  <c r="G70" i="27" s="1"/>
  <c r="F66" i="27"/>
  <c r="F67" i="27" s="1"/>
  <c r="G67" i="27" s="1"/>
  <c r="F63" i="27"/>
  <c r="F64" i="27" s="1"/>
  <c r="G64" i="27" s="1"/>
  <c r="F59" i="27"/>
  <c r="G59" i="27" s="1"/>
  <c r="F56" i="27"/>
  <c r="G56" i="27" s="1"/>
  <c r="F53" i="27"/>
  <c r="F52" i="27" s="1"/>
  <c r="G52" i="27" s="1"/>
  <c r="F50" i="27"/>
  <c r="F51" i="27" s="1"/>
  <c r="G51" i="27" s="1"/>
  <c r="F47" i="27"/>
  <c r="F46" i="27" s="1"/>
  <c r="G46" i="27" s="1"/>
  <c r="F44" i="27"/>
  <c r="F45" i="27" s="1"/>
  <c r="G45" i="27" s="1"/>
  <c r="F40" i="27"/>
  <c r="F41" i="27" s="1"/>
  <c r="G41" i="27" s="1"/>
  <c r="F37" i="27"/>
  <c r="F38" i="27" s="1"/>
  <c r="G38" i="27" s="1"/>
  <c r="F34" i="27"/>
  <c r="G34" i="27" s="1"/>
  <c r="F31" i="27"/>
  <c r="F32" i="27" s="1"/>
  <c r="G32" i="27" s="1"/>
  <c r="F28" i="27"/>
  <c r="G28" i="27" s="1"/>
  <c r="F25" i="27"/>
  <c r="F26" i="27" s="1"/>
  <c r="G26" i="27" s="1"/>
  <c r="F21" i="27"/>
  <c r="F22" i="27" s="1"/>
  <c r="G22" i="27" s="1"/>
  <c r="F18" i="27"/>
  <c r="F19" i="27" s="1"/>
  <c r="G19" i="27" s="1"/>
  <c r="F15" i="27"/>
  <c r="F14" i="27" s="1"/>
  <c r="G14" i="27" s="1"/>
  <c r="F12" i="27"/>
  <c r="F11" i="27" s="1"/>
  <c r="G11" i="27" s="1"/>
  <c r="F9" i="27"/>
  <c r="F10" i="27" s="1"/>
  <c r="G10" i="27" s="1"/>
  <c r="F6" i="27"/>
  <c r="F7" i="27" s="1"/>
  <c r="G7" i="27" s="1"/>
  <c r="S5" i="27"/>
  <c r="T5" i="27" s="1"/>
  <c r="S79" i="27"/>
  <c r="T79" i="27" s="1"/>
  <c r="S78" i="27"/>
  <c r="T78" i="27" s="1"/>
  <c r="S77" i="27"/>
  <c r="T77" i="27" s="1"/>
  <c r="S76" i="27"/>
  <c r="T76" i="27" s="1"/>
  <c r="S75" i="27"/>
  <c r="T75" i="27" s="1"/>
  <c r="S74" i="27"/>
  <c r="T74" i="27" s="1"/>
  <c r="S73" i="27"/>
  <c r="T73" i="27" s="1"/>
  <c r="S72" i="27"/>
  <c r="T72" i="27" s="1"/>
  <c r="S71" i="27"/>
  <c r="T71" i="27" s="1"/>
  <c r="S70" i="27"/>
  <c r="T70" i="27" s="1"/>
  <c r="S69" i="27"/>
  <c r="T69" i="27" s="1"/>
  <c r="S68" i="27"/>
  <c r="T68" i="27" s="1"/>
  <c r="S67" i="27"/>
  <c r="T67" i="27" s="1"/>
  <c r="S66" i="27"/>
  <c r="T66" i="27" s="1"/>
  <c r="S65" i="27"/>
  <c r="T65" i="27" s="1"/>
  <c r="S64" i="27"/>
  <c r="T64" i="27" s="1"/>
  <c r="S63" i="27"/>
  <c r="T63" i="27" s="1"/>
  <c r="S62" i="27"/>
  <c r="T62" i="27" s="1"/>
  <c r="S60" i="27"/>
  <c r="T60" i="27" s="1"/>
  <c r="S59" i="27"/>
  <c r="T59" i="27" s="1"/>
  <c r="S58" i="27"/>
  <c r="T58" i="27" s="1"/>
  <c r="S57" i="27"/>
  <c r="T57" i="27" s="1"/>
  <c r="S56" i="27"/>
  <c r="T56" i="27" s="1"/>
  <c r="S55" i="27"/>
  <c r="T55" i="27" s="1"/>
  <c r="S54" i="27"/>
  <c r="T54" i="27" s="1"/>
  <c r="S53" i="27"/>
  <c r="T53" i="27" s="1"/>
  <c r="S52" i="27"/>
  <c r="T52" i="27" s="1"/>
  <c r="S51" i="27"/>
  <c r="T51" i="27" s="1"/>
  <c r="S50" i="27"/>
  <c r="T50" i="27" s="1"/>
  <c r="S49" i="27"/>
  <c r="T49" i="27" s="1"/>
  <c r="S48" i="27"/>
  <c r="T48" i="27" s="1"/>
  <c r="S47" i="27"/>
  <c r="T47" i="27" s="1"/>
  <c r="S46" i="27"/>
  <c r="T46" i="27" s="1"/>
  <c r="S45" i="27"/>
  <c r="T45" i="27" s="1"/>
  <c r="S44" i="27"/>
  <c r="T44" i="27" s="1"/>
  <c r="S43" i="27"/>
  <c r="T43" i="27" s="1"/>
  <c r="S41" i="27"/>
  <c r="T41" i="27" s="1"/>
  <c r="S40" i="27"/>
  <c r="T40" i="27" s="1"/>
  <c r="S39" i="27"/>
  <c r="T39" i="27" s="1"/>
  <c r="S38" i="27"/>
  <c r="T38" i="27" s="1"/>
  <c r="S37" i="27"/>
  <c r="T37" i="27" s="1"/>
  <c r="S36" i="27"/>
  <c r="T36" i="27" s="1"/>
  <c r="S35" i="27"/>
  <c r="T35" i="27" s="1"/>
  <c r="S34" i="27"/>
  <c r="T34" i="27" s="1"/>
  <c r="S33" i="27"/>
  <c r="T33" i="27" s="1"/>
  <c r="S32" i="27"/>
  <c r="T32" i="27" s="1"/>
  <c r="S31" i="27"/>
  <c r="T31" i="27" s="1"/>
  <c r="S30" i="27"/>
  <c r="T30" i="27" s="1"/>
  <c r="S29" i="27"/>
  <c r="T29" i="27" s="1"/>
  <c r="S28" i="27"/>
  <c r="T28" i="27" s="1"/>
  <c r="S27" i="27"/>
  <c r="T27" i="27" s="1"/>
  <c r="S26" i="27"/>
  <c r="T26" i="27" s="1"/>
  <c r="S25" i="27"/>
  <c r="T25" i="27" s="1"/>
  <c r="S24" i="27"/>
  <c r="T24" i="27" s="1"/>
  <c r="S22" i="27"/>
  <c r="T22" i="27" s="1"/>
  <c r="S21" i="27"/>
  <c r="T21" i="27" s="1"/>
  <c r="S20" i="27"/>
  <c r="T20" i="27" s="1"/>
  <c r="S19" i="27"/>
  <c r="T19" i="27" s="1"/>
  <c r="S18" i="27"/>
  <c r="T18" i="27" s="1"/>
  <c r="S17" i="27"/>
  <c r="T17" i="27" s="1"/>
  <c r="S16" i="27"/>
  <c r="T16" i="27" s="1"/>
  <c r="S15" i="27"/>
  <c r="T15" i="27" s="1"/>
  <c r="S14" i="27"/>
  <c r="T14" i="27" s="1"/>
  <c r="S13" i="27"/>
  <c r="T13" i="27" s="1"/>
  <c r="BH12" i="27"/>
  <c r="BG12" i="27"/>
  <c r="BF12" i="27"/>
  <c r="BE12" i="27"/>
  <c r="BD12" i="27"/>
  <c r="BC12" i="27"/>
  <c r="BB12" i="27"/>
  <c r="BA12" i="27"/>
  <c r="AZ12" i="27"/>
  <c r="AY12" i="27"/>
  <c r="AX12" i="27"/>
  <c r="AW12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S12" i="27"/>
  <c r="T12" i="27" s="1"/>
  <c r="BH11" i="27"/>
  <c r="BG11" i="27"/>
  <c r="BF11" i="27"/>
  <c r="BE11" i="27"/>
  <c r="BD11" i="27"/>
  <c r="BC11" i="27"/>
  <c r="BB11" i="27"/>
  <c r="BA11" i="27"/>
  <c r="AZ11" i="27"/>
  <c r="AY11" i="27"/>
  <c r="AX11" i="27"/>
  <c r="AW11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S11" i="27"/>
  <c r="T11" i="27" s="1"/>
  <c r="BH10" i="27"/>
  <c r="BG10" i="27"/>
  <c r="BF10" i="27"/>
  <c r="BE10" i="27"/>
  <c r="BD10" i="27"/>
  <c r="BC10" i="27"/>
  <c r="BB10" i="27"/>
  <c r="BA10" i="27"/>
  <c r="AZ10" i="27"/>
  <c r="AY10" i="27"/>
  <c r="AX10" i="27"/>
  <c r="AW10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S10" i="27"/>
  <c r="T10" i="27" s="1"/>
  <c r="S9" i="27"/>
  <c r="T9" i="27" s="1"/>
  <c r="S8" i="27"/>
  <c r="T8" i="27" s="1"/>
  <c r="S7" i="27"/>
  <c r="T7" i="27" s="1"/>
  <c r="S6" i="27"/>
  <c r="T6" i="27" s="1"/>
  <c r="I58" i="36" l="1" a="1"/>
  <c r="I58" i="36" s="1"/>
  <c r="H59" i="36"/>
  <c r="T13" i="36"/>
  <c r="U13" i="36" s="1"/>
  <c r="V13" i="36" s="1"/>
  <c r="W13" i="36" s="1"/>
  <c r="H58" i="36"/>
  <c r="U77" i="32"/>
  <c r="V77" i="32" s="1"/>
  <c r="W77" i="32" s="1"/>
  <c r="U68" i="32"/>
  <c r="V68" i="32" s="1"/>
  <c r="W68" i="32" s="1"/>
  <c r="I27" i="36" a="1"/>
  <c r="I29" i="36" s="1"/>
  <c r="K29" i="36" s="1"/>
  <c r="L29" i="36" s="1"/>
  <c r="I46" i="36" a="1"/>
  <c r="I47" i="36" s="1"/>
  <c r="H43" i="36"/>
  <c r="T70" i="36"/>
  <c r="U70" i="36" s="1"/>
  <c r="V70" i="36" s="1"/>
  <c r="T69" i="36"/>
  <c r="U69" i="36" s="1"/>
  <c r="V69" i="36" s="1"/>
  <c r="W69" i="36" s="1"/>
  <c r="H8" i="36"/>
  <c r="H12" i="36"/>
  <c r="T63" i="36"/>
  <c r="U63" i="36" s="1"/>
  <c r="V63" i="36" s="1"/>
  <c r="W63" i="36" s="1"/>
  <c r="T31" i="36"/>
  <c r="U31" i="36" s="1"/>
  <c r="V31" i="36" s="1"/>
  <c r="W32" i="36" s="1"/>
  <c r="T26" i="36"/>
  <c r="U26" i="36" s="1"/>
  <c r="V26" i="36" s="1"/>
  <c r="W26" i="36" s="1"/>
  <c r="T64" i="36"/>
  <c r="U64" i="36" s="1"/>
  <c r="V64" i="36" s="1"/>
  <c r="H5" i="36"/>
  <c r="T29" i="36"/>
  <c r="U29" i="36" s="1"/>
  <c r="V29" i="36" s="1"/>
  <c r="W29" i="36" s="1"/>
  <c r="T59" i="36"/>
  <c r="U59" i="36" s="1"/>
  <c r="V59" i="36" s="1"/>
  <c r="W58" i="36" s="1"/>
  <c r="I24" i="36" a="1"/>
  <c r="I26" i="36" s="1"/>
  <c r="K26" i="36" s="1"/>
  <c r="L26" i="36" s="1"/>
  <c r="T24" i="36"/>
  <c r="U24" i="36" s="1"/>
  <c r="V24" i="36" s="1"/>
  <c r="W25" i="36" s="1"/>
  <c r="T27" i="36"/>
  <c r="U27" i="36" s="1"/>
  <c r="V27" i="36" s="1"/>
  <c r="W28" i="36" s="1"/>
  <c r="I65" i="36" a="1"/>
  <c r="I66" i="36" s="1"/>
  <c r="K66" i="36" s="1"/>
  <c r="L66" i="36" s="1"/>
  <c r="T18" i="36"/>
  <c r="U18" i="36" s="1"/>
  <c r="V18" i="36" s="1"/>
  <c r="W17" i="36" s="1"/>
  <c r="I62" i="36" a="1"/>
  <c r="I62" i="36" s="1"/>
  <c r="I8" i="36" a="1"/>
  <c r="I8" i="36" s="1"/>
  <c r="T79" i="36"/>
  <c r="U79" i="36" s="1"/>
  <c r="V79" i="36" s="1"/>
  <c r="W79" i="36" s="1"/>
  <c r="H28" i="36"/>
  <c r="I11" i="36" a="1"/>
  <c r="I13" i="36" s="1"/>
  <c r="K13" i="36" s="1"/>
  <c r="L13" i="36" s="1"/>
  <c r="T44" i="36"/>
  <c r="U44" i="36" s="1"/>
  <c r="V44" i="36" s="1"/>
  <c r="T75" i="36"/>
  <c r="U75" i="36" s="1"/>
  <c r="V75" i="36" s="1"/>
  <c r="W74" i="36" s="1"/>
  <c r="T71" i="36"/>
  <c r="U71" i="36" s="1"/>
  <c r="V71" i="36" s="1"/>
  <c r="W72" i="36" s="1"/>
  <c r="H27" i="36"/>
  <c r="H62" i="36"/>
  <c r="T60" i="36"/>
  <c r="U60" i="36" s="1"/>
  <c r="V60" i="36" s="1"/>
  <c r="H9" i="36"/>
  <c r="I5" i="36" a="1"/>
  <c r="I5" i="36" s="1"/>
  <c r="T19" i="36"/>
  <c r="U19" i="36" s="1"/>
  <c r="V19" i="36" s="1"/>
  <c r="H6" i="36"/>
  <c r="H56" i="36"/>
  <c r="H63" i="36"/>
  <c r="T50" i="36"/>
  <c r="U50" i="36" s="1"/>
  <c r="V50" i="36" s="1"/>
  <c r="W50" i="36" s="1"/>
  <c r="H49" i="36"/>
  <c r="H64" i="36"/>
  <c r="T51" i="36"/>
  <c r="U51" i="36" s="1"/>
  <c r="V51" i="36" s="1"/>
  <c r="H11" i="36"/>
  <c r="H77" i="36"/>
  <c r="T73" i="36"/>
  <c r="U73" i="36" s="1"/>
  <c r="V73" i="36" s="1"/>
  <c r="W73" i="36" s="1"/>
  <c r="T77" i="36"/>
  <c r="U77" i="36" s="1"/>
  <c r="V77" i="36" s="1"/>
  <c r="W78" i="36" s="1"/>
  <c r="H55" i="36"/>
  <c r="H21" i="36"/>
  <c r="H40" i="36"/>
  <c r="T76" i="36"/>
  <c r="U76" i="36" s="1"/>
  <c r="V76" i="36" s="1"/>
  <c r="I55" i="36" a="1"/>
  <c r="I57" i="36" s="1"/>
  <c r="K57" i="36" s="1"/>
  <c r="L57" i="36" s="1"/>
  <c r="T43" i="36"/>
  <c r="U43" i="36" s="1"/>
  <c r="V43" i="36" s="1"/>
  <c r="I52" i="36" a="1"/>
  <c r="I54" i="36" s="1"/>
  <c r="K54" i="36" s="1"/>
  <c r="L54" i="36" s="1"/>
  <c r="T22" i="36"/>
  <c r="U22" i="36" s="1"/>
  <c r="V22" i="36" s="1"/>
  <c r="T20" i="36"/>
  <c r="U20" i="36" s="1"/>
  <c r="V20" i="36" s="1"/>
  <c r="T21" i="36"/>
  <c r="U21" i="36" s="1"/>
  <c r="V21" i="36" s="1"/>
  <c r="W20" i="36" s="1"/>
  <c r="H65" i="36"/>
  <c r="I39" i="36" a="1"/>
  <c r="I41" i="36" s="1"/>
  <c r="K41" i="36" s="1"/>
  <c r="L41" i="36" s="1"/>
  <c r="H20" i="36"/>
  <c r="H66" i="36"/>
  <c r="H52" i="36"/>
  <c r="H39" i="36"/>
  <c r="I20" i="36" a="1"/>
  <c r="I20" i="36" s="1"/>
  <c r="H41" i="36"/>
  <c r="T30" i="36"/>
  <c r="U30" i="36" s="1"/>
  <c r="V30" i="36" s="1"/>
  <c r="T5" i="36" a="1"/>
  <c r="T6" i="36" s="1"/>
  <c r="U6" i="36" s="1"/>
  <c r="V6" i="36" s="1"/>
  <c r="H31" i="36"/>
  <c r="H32" i="36"/>
  <c r="H75" i="36"/>
  <c r="H76" i="36"/>
  <c r="I77" i="36" a="1"/>
  <c r="T66" i="36"/>
  <c r="U66" i="36" s="1"/>
  <c r="V66" i="36" s="1"/>
  <c r="T65" i="36"/>
  <c r="U65" i="36" s="1"/>
  <c r="V65" i="36" s="1"/>
  <c r="T67" i="36"/>
  <c r="U67" i="36" s="1"/>
  <c r="V67" i="36" s="1"/>
  <c r="H71" i="36"/>
  <c r="I71" i="36" a="1"/>
  <c r="W77" i="36"/>
  <c r="H37" i="36"/>
  <c r="H38" i="36"/>
  <c r="I74" i="36" a="1"/>
  <c r="H54" i="36"/>
  <c r="H53" i="36"/>
  <c r="T47" i="36"/>
  <c r="U47" i="36" s="1"/>
  <c r="V47" i="36" s="1"/>
  <c r="T46" i="36"/>
  <c r="U46" i="36" s="1"/>
  <c r="V46" i="36" s="1"/>
  <c r="T48" i="36"/>
  <c r="U48" i="36" s="1"/>
  <c r="V48" i="36" s="1"/>
  <c r="T54" i="36"/>
  <c r="U54" i="36" s="1"/>
  <c r="V54" i="36" s="1"/>
  <c r="T53" i="36"/>
  <c r="U53" i="36" s="1"/>
  <c r="V53" i="36" s="1"/>
  <c r="T52" i="36"/>
  <c r="U52" i="36" s="1"/>
  <c r="V52" i="36" s="1"/>
  <c r="H14" i="36"/>
  <c r="I14" i="36" a="1"/>
  <c r="H34" i="36"/>
  <c r="H35" i="36"/>
  <c r="H15" i="36"/>
  <c r="H16" i="36"/>
  <c r="W45" i="36"/>
  <c r="W27" i="36"/>
  <c r="H69" i="36"/>
  <c r="H70" i="36"/>
  <c r="H72" i="36"/>
  <c r="H73" i="36"/>
  <c r="H18" i="36"/>
  <c r="H19" i="36"/>
  <c r="W24" i="36"/>
  <c r="I17" i="36" a="1"/>
  <c r="W11" i="36"/>
  <c r="H78" i="36"/>
  <c r="H79" i="36"/>
  <c r="H68" i="36"/>
  <c r="I68" i="36" a="1"/>
  <c r="H74" i="36"/>
  <c r="H51" i="36"/>
  <c r="H50" i="36"/>
  <c r="H44" i="36"/>
  <c r="H45" i="36"/>
  <c r="T57" i="36"/>
  <c r="U57" i="36" s="1"/>
  <c r="V57" i="36" s="1"/>
  <c r="T56" i="36"/>
  <c r="U56" i="36" s="1"/>
  <c r="V56" i="36" s="1"/>
  <c r="T55" i="36"/>
  <c r="U55" i="36" s="1"/>
  <c r="V55" i="36" s="1"/>
  <c r="T34" i="36"/>
  <c r="U34" i="36" s="1"/>
  <c r="V34" i="36" s="1"/>
  <c r="T35" i="36"/>
  <c r="U35" i="36" s="1"/>
  <c r="V35" i="36" s="1"/>
  <c r="T33" i="36"/>
  <c r="U33" i="36" s="1"/>
  <c r="V33" i="36" s="1"/>
  <c r="H33" i="36"/>
  <c r="I33" i="36" a="1"/>
  <c r="H36" i="36"/>
  <c r="I36" i="36" a="1"/>
  <c r="I49" i="36" a="1"/>
  <c r="T40" i="36"/>
  <c r="U40" i="36" s="1"/>
  <c r="V40" i="36" s="1"/>
  <c r="T41" i="36"/>
  <c r="U41" i="36" s="1"/>
  <c r="V41" i="36" s="1"/>
  <c r="T39" i="36"/>
  <c r="U39" i="36" s="1"/>
  <c r="V39" i="36" s="1"/>
  <c r="T16" i="36"/>
  <c r="U16" i="36" s="1"/>
  <c r="V16" i="36" s="1"/>
  <c r="T15" i="36"/>
  <c r="U15" i="36" s="1"/>
  <c r="V15" i="36" s="1"/>
  <c r="T14" i="36"/>
  <c r="U14" i="36" s="1"/>
  <c r="V14" i="36" s="1"/>
  <c r="I30" i="36" a="1"/>
  <c r="W12" i="36"/>
  <c r="H47" i="36"/>
  <c r="H48" i="36"/>
  <c r="W71" i="36"/>
  <c r="H46" i="36"/>
  <c r="H25" i="36"/>
  <c r="H26" i="36"/>
  <c r="T37" i="36"/>
  <c r="U37" i="36" s="1"/>
  <c r="V37" i="36" s="1"/>
  <c r="T36" i="36"/>
  <c r="U36" i="36" s="1"/>
  <c r="V36" i="36" s="1"/>
  <c r="T38" i="36"/>
  <c r="U38" i="36" s="1"/>
  <c r="V38" i="36" s="1"/>
  <c r="T8" i="36" a="1"/>
  <c r="H30" i="36"/>
  <c r="H24" i="36"/>
  <c r="H17" i="36"/>
  <c r="I43" i="36" a="1"/>
  <c r="U65" i="32"/>
  <c r="V65" i="32" s="1"/>
  <c r="W65" i="32" s="1"/>
  <c r="U54" i="32"/>
  <c r="V54" i="32" s="1"/>
  <c r="W54" i="32" s="1"/>
  <c r="U66" i="32"/>
  <c r="V66" i="32" s="1"/>
  <c r="W66" i="32" s="1"/>
  <c r="U53" i="32"/>
  <c r="V53" i="32" s="1"/>
  <c r="W53" i="32" s="1"/>
  <c r="U79" i="32"/>
  <c r="V79" i="32" s="1"/>
  <c r="W79" i="32" s="1"/>
  <c r="U19" i="32"/>
  <c r="V19" i="32" s="1"/>
  <c r="W19" i="32" s="1"/>
  <c r="V67" i="32"/>
  <c r="W67" i="32" s="1"/>
  <c r="V78" i="32"/>
  <c r="W78" i="32" s="1"/>
  <c r="V75" i="32"/>
  <c r="W75" i="32" s="1"/>
  <c r="X74" i="32" s="1"/>
  <c r="V69" i="32"/>
  <c r="W69" i="32" s="1"/>
  <c r="U57" i="32"/>
  <c r="V57" i="32" s="1"/>
  <c r="W57" i="32" s="1"/>
  <c r="V64" i="32"/>
  <c r="W64" i="32" s="1"/>
  <c r="V51" i="32"/>
  <c r="W51" i="32" s="1"/>
  <c r="V58" i="32"/>
  <c r="W58" i="32" s="1"/>
  <c r="V55" i="32"/>
  <c r="W55" i="32" s="1"/>
  <c r="U49" i="32"/>
  <c r="V45" i="32"/>
  <c r="W45" i="32" s="1"/>
  <c r="V39" i="32"/>
  <c r="W39" i="32" s="1"/>
  <c r="V30" i="32"/>
  <c r="W30" i="32" s="1"/>
  <c r="V36" i="32"/>
  <c r="W36" i="32" s="1"/>
  <c r="V27" i="32"/>
  <c r="W27" i="32" s="1"/>
  <c r="V33" i="32"/>
  <c r="W33" i="32" s="1"/>
  <c r="V26" i="32"/>
  <c r="W26" i="32" s="1"/>
  <c r="V11" i="32"/>
  <c r="W11" i="32" s="1"/>
  <c r="V8" i="32"/>
  <c r="W8" i="32" s="1"/>
  <c r="V14" i="32"/>
  <c r="W14" i="32" s="1"/>
  <c r="V21" i="32"/>
  <c r="W21" i="32" s="1"/>
  <c r="X20" i="32" s="1"/>
  <c r="V17" i="32"/>
  <c r="W17" i="32" s="1"/>
  <c r="U32" i="32"/>
  <c r="U38" i="32"/>
  <c r="U37" i="32"/>
  <c r="U43" i="32"/>
  <c r="U74" i="32"/>
  <c r="U31" i="32"/>
  <c r="U44" i="32"/>
  <c r="U56" i="32"/>
  <c r="U70" i="32"/>
  <c r="U6" i="32"/>
  <c r="U7" i="32"/>
  <c r="U5" i="32"/>
  <c r="U62" i="32"/>
  <c r="U63" i="32"/>
  <c r="U18" i="32"/>
  <c r="U40" i="32"/>
  <c r="U41" i="32"/>
  <c r="U50" i="32"/>
  <c r="U24" i="32"/>
  <c r="U76" i="32"/>
  <c r="U25" i="32"/>
  <c r="U71" i="32"/>
  <c r="U73" i="32"/>
  <c r="U72" i="32"/>
  <c r="U59" i="32"/>
  <c r="U60" i="32"/>
  <c r="U15" i="32"/>
  <c r="U16" i="32"/>
  <c r="U46" i="32"/>
  <c r="U47" i="32"/>
  <c r="U48" i="32"/>
  <c r="U13" i="32"/>
  <c r="U29" i="32"/>
  <c r="U35" i="32"/>
  <c r="U28" i="32"/>
  <c r="U34" i="32"/>
  <c r="U9" i="32"/>
  <c r="U10" i="32"/>
  <c r="U12" i="32"/>
  <c r="U22" i="32"/>
  <c r="U20" i="32"/>
  <c r="F20" i="32"/>
  <c r="G20" i="32" s="1"/>
  <c r="F71" i="32"/>
  <c r="G71" i="32" s="1"/>
  <c r="F67" i="32"/>
  <c r="G67" i="32" s="1"/>
  <c r="F65" i="32"/>
  <c r="G65" i="32" s="1"/>
  <c r="F68" i="32"/>
  <c r="G68" i="32" s="1"/>
  <c r="F33" i="32"/>
  <c r="G33" i="32" s="1"/>
  <c r="F54" i="32"/>
  <c r="G54" i="32" s="1"/>
  <c r="G21" i="32"/>
  <c r="G34" i="32"/>
  <c r="H35" i="32" s="1"/>
  <c r="G40" i="32"/>
  <c r="H41" i="32" s="1"/>
  <c r="F55" i="32"/>
  <c r="G55" i="32" s="1"/>
  <c r="G18" i="32"/>
  <c r="H19" i="32" s="1"/>
  <c r="G31" i="32"/>
  <c r="H32" i="32" s="1"/>
  <c r="F41" i="32"/>
  <c r="G41" i="32" s="1"/>
  <c r="F52" i="32"/>
  <c r="G52" i="32" s="1"/>
  <c r="F58" i="32"/>
  <c r="G58" i="32" s="1"/>
  <c r="G75" i="32"/>
  <c r="H76" i="32" s="1"/>
  <c r="G6" i="32"/>
  <c r="F17" i="32"/>
  <c r="G17" i="32" s="1"/>
  <c r="F24" i="32"/>
  <c r="G24" i="32" s="1"/>
  <c r="G25" i="32"/>
  <c r="H26" i="32" s="1"/>
  <c r="F30" i="32"/>
  <c r="G30" i="32" s="1"/>
  <c r="F36" i="32"/>
  <c r="G36" i="32" s="1"/>
  <c r="G37" i="32"/>
  <c r="H38" i="32" s="1"/>
  <c r="G44" i="32"/>
  <c r="H45" i="32" s="1"/>
  <c r="G59" i="32"/>
  <c r="H60" i="32" s="1"/>
  <c r="G69" i="32"/>
  <c r="H70" i="32" s="1"/>
  <c r="F73" i="32"/>
  <c r="G73" i="32" s="1"/>
  <c r="F77" i="32"/>
  <c r="G77" i="32" s="1"/>
  <c r="F74" i="32"/>
  <c r="G74" i="32" s="1"/>
  <c r="F5" i="32"/>
  <c r="G5" i="32" s="1"/>
  <c r="G9" i="32"/>
  <c r="H10" i="32" s="1"/>
  <c r="G12" i="32"/>
  <c r="H13" i="32" s="1"/>
  <c r="G15" i="32"/>
  <c r="H16" i="32" s="1"/>
  <c r="F27" i="32"/>
  <c r="G27" i="32" s="1"/>
  <c r="G28" i="32"/>
  <c r="F43" i="32"/>
  <c r="G43" i="32" s="1"/>
  <c r="G47" i="32"/>
  <c r="G63" i="32"/>
  <c r="H64" i="32" s="1"/>
  <c r="F8" i="32"/>
  <c r="G8" i="32" s="1"/>
  <c r="F11" i="32"/>
  <c r="G11" i="32" s="1"/>
  <c r="F14" i="32"/>
  <c r="G14" i="32" s="1"/>
  <c r="F46" i="32"/>
  <c r="G46" i="32" s="1"/>
  <c r="F62" i="32"/>
  <c r="G62" i="32" s="1"/>
  <c r="G78" i="32"/>
  <c r="H79" i="32" s="1"/>
  <c r="G50" i="32"/>
  <c r="F49" i="32"/>
  <c r="G49" i="32" s="1"/>
  <c r="F51" i="32"/>
  <c r="G51" i="32" s="1"/>
  <c r="G56" i="32"/>
  <c r="F17" i="31"/>
  <c r="G17" i="31" s="1"/>
  <c r="F19" i="31"/>
  <c r="G19" i="31" s="1"/>
  <c r="F43" i="31"/>
  <c r="G43" i="31" s="1"/>
  <c r="F45" i="31"/>
  <c r="G45" i="31" s="1"/>
  <c r="F71" i="31"/>
  <c r="G71" i="31" s="1"/>
  <c r="F22" i="31"/>
  <c r="G22" i="31" s="1"/>
  <c r="U68" i="31" a="1"/>
  <c r="U70" i="31" s="1"/>
  <c r="V70" i="31" s="1"/>
  <c r="W70" i="31" s="1"/>
  <c r="F73" i="31"/>
  <c r="G73" i="31" s="1"/>
  <c r="G78" i="31"/>
  <c r="H79" i="31" s="1"/>
  <c r="U43" i="31" a="1"/>
  <c r="U45" i="31" s="1"/>
  <c r="V45" i="31" s="1"/>
  <c r="W45" i="31" s="1"/>
  <c r="U24" i="31" a="1"/>
  <c r="U24" i="31" s="1"/>
  <c r="V24" i="31" s="1"/>
  <c r="W24" i="31" s="1"/>
  <c r="U27" i="31" a="1"/>
  <c r="U29" i="31" s="1"/>
  <c r="V29" i="31" s="1"/>
  <c r="W29" i="31" s="1"/>
  <c r="F62" i="31"/>
  <c r="G62" i="31" s="1"/>
  <c r="F64" i="31"/>
  <c r="G64" i="31" s="1"/>
  <c r="F14" i="31"/>
  <c r="G14" i="31" s="1"/>
  <c r="F41" i="31"/>
  <c r="G41" i="31" s="1"/>
  <c r="F58" i="31"/>
  <c r="G58" i="31" s="1"/>
  <c r="G59" i="31"/>
  <c r="H60" i="31" s="1"/>
  <c r="F77" i="31"/>
  <c r="G77" i="31" s="1"/>
  <c r="U71" i="31" a="1"/>
  <c r="U71" i="31" s="1"/>
  <c r="V71" i="31" s="1"/>
  <c r="W71" i="31" s="1"/>
  <c r="F24" i="31"/>
  <c r="G24" i="31" s="1"/>
  <c r="F26" i="31"/>
  <c r="G26" i="31" s="1"/>
  <c r="U65" i="31" a="1"/>
  <c r="U67" i="31" s="1"/>
  <c r="V67" i="31" s="1"/>
  <c r="W67" i="31" s="1"/>
  <c r="F8" i="31"/>
  <c r="G8" i="31" s="1"/>
  <c r="G9" i="31"/>
  <c r="H10" i="31" s="1"/>
  <c r="G12" i="31"/>
  <c r="G34" i="31"/>
  <c r="H35" i="31" s="1"/>
  <c r="F51" i="31"/>
  <c r="G51" i="31" s="1"/>
  <c r="F52" i="31"/>
  <c r="G52" i="31" s="1"/>
  <c r="G53" i="31"/>
  <c r="F55" i="31"/>
  <c r="G55" i="31" s="1"/>
  <c r="G56" i="31"/>
  <c r="H57" i="31" s="1"/>
  <c r="U36" i="31" a="1"/>
  <c r="U36" i="31" s="1"/>
  <c r="V36" i="31" s="1"/>
  <c r="W36" i="31" s="1"/>
  <c r="F11" i="31"/>
  <c r="G11" i="31" s="1"/>
  <c r="U14" i="31" a="1"/>
  <c r="U14" i="31" s="1"/>
  <c r="V14" i="31" s="1"/>
  <c r="W14" i="31" s="1"/>
  <c r="F33" i="31"/>
  <c r="G33" i="31" s="1"/>
  <c r="F36" i="31"/>
  <c r="G36" i="31" s="1"/>
  <c r="G37" i="31"/>
  <c r="F39" i="31"/>
  <c r="G39" i="31" s="1"/>
  <c r="F49" i="31"/>
  <c r="G49" i="31" s="1"/>
  <c r="U8" i="31" a="1"/>
  <c r="U9" i="31" s="1"/>
  <c r="V9" i="31" s="1"/>
  <c r="W9" i="31" s="1"/>
  <c r="X8" i="31" s="1"/>
  <c r="U11" i="31" a="1"/>
  <c r="U12" i="31" s="1"/>
  <c r="V12" i="31" s="1"/>
  <c r="W12" i="31" s="1"/>
  <c r="F20" i="31"/>
  <c r="G20" i="31" s="1"/>
  <c r="U17" i="31" a="1"/>
  <c r="H19" i="31"/>
  <c r="H26" i="31"/>
  <c r="U5" i="31" a="1"/>
  <c r="U30" i="31" a="1"/>
  <c r="F29" i="31"/>
  <c r="G29" i="31" s="1"/>
  <c r="G28" i="31"/>
  <c r="F27" i="31"/>
  <c r="G27" i="31" s="1"/>
  <c r="U49" i="31" a="1"/>
  <c r="F5" i="31"/>
  <c r="G5" i="31" s="1"/>
  <c r="G6" i="31"/>
  <c r="U46" i="31" a="1"/>
  <c r="U33" i="31" a="1"/>
  <c r="G15" i="31"/>
  <c r="U20" i="31" a="1"/>
  <c r="H45" i="31"/>
  <c r="U39" i="31" a="1"/>
  <c r="F48" i="31"/>
  <c r="G48" i="31" s="1"/>
  <c r="G47" i="31"/>
  <c r="F46" i="31"/>
  <c r="G46" i="31" s="1"/>
  <c r="U52" i="31" a="1"/>
  <c r="U55" i="31" a="1"/>
  <c r="F30" i="31"/>
  <c r="G30" i="31" s="1"/>
  <c r="G31" i="31"/>
  <c r="U62" i="31" a="1"/>
  <c r="H64" i="31"/>
  <c r="G66" i="31"/>
  <c r="F65" i="31"/>
  <c r="G65" i="31" s="1"/>
  <c r="U58" i="31" a="1"/>
  <c r="F70" i="31"/>
  <c r="G70" i="31" s="1"/>
  <c r="G69" i="31"/>
  <c r="F68" i="31"/>
  <c r="G68" i="31" s="1"/>
  <c r="U74" i="31" a="1"/>
  <c r="U77" i="31" a="1"/>
  <c r="F74" i="31"/>
  <c r="G74" i="31" s="1"/>
  <c r="G75" i="31"/>
  <c r="F43" i="27"/>
  <c r="G43" i="27" s="1"/>
  <c r="F20" i="27"/>
  <c r="G20" i="27" s="1"/>
  <c r="G18" i="27"/>
  <c r="G63" i="27"/>
  <c r="G25" i="27"/>
  <c r="G31" i="27"/>
  <c r="G75" i="27"/>
  <c r="F24" i="27"/>
  <c r="G24" i="27" s="1"/>
  <c r="F68" i="27"/>
  <c r="G68" i="27" s="1"/>
  <c r="G12" i="27"/>
  <c r="G44" i="27"/>
  <c r="G69" i="27"/>
  <c r="U74" i="27" a="1"/>
  <c r="U74" i="27" s="1"/>
  <c r="V74" i="27" s="1"/>
  <c r="F49" i="27"/>
  <c r="G49" i="27" s="1"/>
  <c r="G21" i="27"/>
  <c r="G9" i="27"/>
  <c r="G47" i="27"/>
  <c r="G6" i="27"/>
  <c r="G37" i="27"/>
  <c r="G50" i="27"/>
  <c r="F8" i="27"/>
  <c r="G8" i="27" s="1"/>
  <c r="F36" i="27"/>
  <c r="G36" i="27" s="1"/>
  <c r="G15" i="27"/>
  <c r="G40" i="27"/>
  <c r="G53" i="27"/>
  <c r="G78" i="27"/>
  <c r="G66" i="27"/>
  <c r="U55" i="27" a="1"/>
  <c r="U56" i="27" s="1"/>
  <c r="V56" i="27" s="1"/>
  <c r="W56" i="27" s="1"/>
  <c r="F65" i="27"/>
  <c r="G65" i="27" s="1"/>
  <c r="U27" i="27" a="1"/>
  <c r="U28" i="27" s="1"/>
  <c r="V28" i="27" s="1"/>
  <c r="U20" i="27" a="1"/>
  <c r="U20" i="27" s="1"/>
  <c r="V20" i="27" s="1"/>
  <c r="W20" i="27" s="1"/>
  <c r="F62" i="27"/>
  <c r="G62" i="27" s="1"/>
  <c r="U33" i="27" a="1"/>
  <c r="U33" i="27" s="1"/>
  <c r="V33" i="27" s="1"/>
  <c r="U68" i="27" a="1"/>
  <c r="U68" i="27" s="1"/>
  <c r="V68" i="27" s="1"/>
  <c r="F16" i="27"/>
  <c r="G16" i="27" s="1"/>
  <c r="U17" i="27" a="1"/>
  <c r="U17" i="27" s="1"/>
  <c r="V17" i="27" s="1"/>
  <c r="W17" i="27" s="1"/>
  <c r="F30" i="27"/>
  <c r="G30" i="27" s="1"/>
  <c r="F76" i="27"/>
  <c r="G76" i="27" s="1"/>
  <c r="U11" i="27" a="1"/>
  <c r="U11" i="27" s="1"/>
  <c r="V11" i="27" s="1"/>
  <c r="W11" i="27" s="1"/>
  <c r="U14" i="27" a="1"/>
  <c r="U14" i="27" s="1"/>
  <c r="V14" i="27" s="1"/>
  <c r="W14" i="27" s="1"/>
  <c r="U24" i="27" a="1"/>
  <c r="U26" i="27" s="1"/>
  <c r="V26" i="27" s="1"/>
  <c r="W26" i="27" s="1"/>
  <c r="U36" i="27" a="1"/>
  <c r="U36" i="27" s="1"/>
  <c r="V36" i="27" s="1"/>
  <c r="W36" i="27" s="1"/>
  <c r="U52" i="27" a="1"/>
  <c r="U52" i="27" s="1"/>
  <c r="V52" i="27" s="1"/>
  <c r="W52" i="27" s="1"/>
  <c r="U58" i="27" a="1"/>
  <c r="U58" i="27" s="1"/>
  <c r="V58" i="27" s="1"/>
  <c r="W58" i="27" s="1"/>
  <c r="U62" i="27" a="1"/>
  <c r="U64" i="27" s="1"/>
  <c r="V64" i="27" s="1"/>
  <c r="U65" i="27" a="1"/>
  <c r="U67" i="27" s="1"/>
  <c r="V67" i="27" s="1"/>
  <c r="U71" i="27" a="1"/>
  <c r="U71" i="27" s="1"/>
  <c r="V71" i="27" s="1"/>
  <c r="W71" i="27" s="1"/>
  <c r="U77" i="27" a="1"/>
  <c r="U79" i="27" s="1"/>
  <c r="V79" i="27" s="1"/>
  <c r="W79" i="27" s="1"/>
  <c r="F77" i="27"/>
  <c r="G77" i="27" s="1"/>
  <c r="U8" i="27" a="1"/>
  <c r="U8" i="27" s="1"/>
  <c r="V8" i="27" s="1"/>
  <c r="W8" i="27" s="1"/>
  <c r="U46" i="27" a="1"/>
  <c r="U46" i="27" s="1"/>
  <c r="V46" i="27" s="1"/>
  <c r="W46" i="27" s="1"/>
  <c r="U49" i="27" a="1"/>
  <c r="U51" i="27" s="1"/>
  <c r="V51" i="27" s="1"/>
  <c r="W51" i="27" s="1"/>
  <c r="F57" i="27"/>
  <c r="G57" i="27" s="1"/>
  <c r="F55" i="27"/>
  <c r="G55" i="27" s="1"/>
  <c r="F5" i="27"/>
  <c r="G5" i="27" s="1"/>
  <c r="F13" i="27"/>
  <c r="G13" i="27" s="1"/>
  <c r="F17" i="27"/>
  <c r="G17" i="27" s="1"/>
  <c r="F71" i="27"/>
  <c r="G71" i="27" s="1"/>
  <c r="F73" i="27"/>
  <c r="G73" i="27" s="1"/>
  <c r="F29" i="27"/>
  <c r="G29" i="27" s="1"/>
  <c r="F27" i="27"/>
  <c r="G27" i="27" s="1"/>
  <c r="F33" i="27"/>
  <c r="G33" i="27" s="1"/>
  <c r="F35" i="27"/>
  <c r="G35" i="27" s="1"/>
  <c r="F58" i="27"/>
  <c r="G58" i="27" s="1"/>
  <c r="F60" i="27"/>
  <c r="G60" i="27" s="1"/>
  <c r="F39" i="27"/>
  <c r="G39" i="27" s="1"/>
  <c r="F48" i="27"/>
  <c r="G48" i="27" s="1"/>
  <c r="F54" i="27"/>
  <c r="G54" i="27" s="1"/>
  <c r="U5" i="27" a="1"/>
  <c r="U5" i="27" s="1"/>
  <c r="V5" i="27" s="1"/>
  <c r="W5" i="27" s="1"/>
  <c r="U30" i="27" a="1"/>
  <c r="U31" i="27" s="1"/>
  <c r="V31" i="27" s="1"/>
  <c r="W31" i="27" s="1"/>
  <c r="U39" i="27" a="1"/>
  <c r="U40" i="27" s="1"/>
  <c r="V40" i="27" s="1"/>
  <c r="U43" i="27" a="1"/>
  <c r="U45" i="27" s="1"/>
  <c r="V45" i="27" s="1"/>
  <c r="W45" i="27" s="1"/>
  <c r="E36" i="24"/>
  <c r="D36" i="24"/>
  <c r="C36" i="24"/>
  <c r="E34" i="24"/>
  <c r="D34" i="24"/>
  <c r="C34" i="24"/>
  <c r="E11" i="24"/>
  <c r="D11" i="24"/>
  <c r="C11" i="24"/>
  <c r="E9" i="24"/>
  <c r="D9" i="24"/>
  <c r="C9" i="24"/>
  <c r="F78" i="21"/>
  <c r="G78" i="21" s="1"/>
  <c r="F75" i="21"/>
  <c r="F76" i="21" s="1"/>
  <c r="G76" i="21" s="1"/>
  <c r="F72" i="21"/>
  <c r="G72" i="21" s="1"/>
  <c r="F69" i="21"/>
  <c r="G69" i="21" s="1"/>
  <c r="F66" i="21"/>
  <c r="G66" i="21" s="1"/>
  <c r="F63" i="21"/>
  <c r="G63" i="21" s="1"/>
  <c r="F59" i="21"/>
  <c r="G59" i="21" s="1"/>
  <c r="F56" i="21"/>
  <c r="F55" i="21" s="1"/>
  <c r="G55" i="21" s="1"/>
  <c r="F53" i="21"/>
  <c r="G53" i="21" s="1"/>
  <c r="F50" i="21"/>
  <c r="F49" i="21" s="1"/>
  <c r="G49" i="21" s="1"/>
  <c r="F47" i="21"/>
  <c r="F48" i="21" s="1"/>
  <c r="G48" i="21" s="1"/>
  <c r="F44" i="21"/>
  <c r="G44" i="21" s="1"/>
  <c r="F40" i="21"/>
  <c r="G40" i="21" s="1"/>
  <c r="F37" i="21"/>
  <c r="G37" i="21" s="1"/>
  <c r="F34" i="21"/>
  <c r="F35" i="21" s="1"/>
  <c r="F31" i="21"/>
  <c r="F28" i="21"/>
  <c r="G28" i="21" s="1"/>
  <c r="F25" i="21"/>
  <c r="F26" i="21" s="1"/>
  <c r="G26" i="21" s="1"/>
  <c r="F21" i="21"/>
  <c r="G21" i="21" s="1"/>
  <c r="F18" i="21"/>
  <c r="F19" i="21" s="1"/>
  <c r="G19" i="21" s="1"/>
  <c r="F15" i="21"/>
  <c r="F16" i="21" s="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F12" i="21"/>
  <c r="G12" i="21" s="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F9" i="21"/>
  <c r="G9" i="21" s="1"/>
  <c r="F6" i="21"/>
  <c r="F7" i="21" s="1"/>
  <c r="D12" i="11"/>
  <c r="D13" i="11"/>
  <c r="D14" i="11"/>
  <c r="J56" i="12"/>
  <c r="J57" i="12"/>
  <c r="J55" i="12"/>
  <c r="I56" i="12"/>
  <c r="I57" i="12"/>
  <c r="I55" i="12"/>
  <c r="H57" i="12"/>
  <c r="H56" i="12"/>
  <c r="H55" i="12"/>
  <c r="L36" i="11"/>
  <c r="J40" i="11" s="1"/>
  <c r="K35" i="11"/>
  <c r="J39" i="11" s="1"/>
  <c r="J34" i="11"/>
  <c r="J38" i="11" s="1"/>
  <c r="I59" i="36" l="1"/>
  <c r="J60" i="36" s="1"/>
  <c r="I60" i="36"/>
  <c r="K60" i="36" s="1"/>
  <c r="L60" i="36" s="1"/>
  <c r="H11" i="31"/>
  <c r="I27" i="36"/>
  <c r="K27" i="36" s="1"/>
  <c r="L27" i="36" s="1"/>
  <c r="W30" i="36"/>
  <c r="I9" i="36"/>
  <c r="K9" i="36" s="1"/>
  <c r="L9" i="36" s="1"/>
  <c r="I28" i="36"/>
  <c r="I10" i="36"/>
  <c r="K10" i="36" s="1"/>
  <c r="L10" i="36" s="1"/>
  <c r="W31" i="36"/>
  <c r="I46" i="36"/>
  <c r="K46" i="36" s="1"/>
  <c r="L46" i="36" s="1"/>
  <c r="I48" i="36"/>
  <c r="K48" i="36" s="1"/>
  <c r="L48" i="36" s="1"/>
  <c r="W70" i="36"/>
  <c r="I53" i="36"/>
  <c r="J54" i="36" s="1"/>
  <c r="I22" i="36"/>
  <c r="K22" i="36" s="1"/>
  <c r="L22" i="36" s="1"/>
  <c r="I65" i="36"/>
  <c r="K65" i="36" s="1"/>
  <c r="L65" i="36" s="1"/>
  <c r="M66" i="36" s="1"/>
  <c r="I63" i="36"/>
  <c r="J64" i="36" s="1"/>
  <c r="W62" i="36"/>
  <c r="W75" i="36"/>
  <c r="I64" i="36"/>
  <c r="K64" i="36" s="1"/>
  <c r="L64" i="36" s="1"/>
  <c r="I52" i="36"/>
  <c r="W64" i="36"/>
  <c r="W68" i="36"/>
  <c r="W18" i="36"/>
  <c r="I24" i="36"/>
  <c r="I25" i="36"/>
  <c r="J26" i="36" s="1"/>
  <c r="W19" i="36"/>
  <c r="W59" i="36"/>
  <c r="J67" i="36"/>
  <c r="W60" i="36"/>
  <c r="I67" i="36"/>
  <c r="K67" i="36" s="1"/>
  <c r="L67" i="36" s="1"/>
  <c r="M67" i="36" s="1"/>
  <c r="W51" i="36"/>
  <c r="I11" i="36"/>
  <c r="K11" i="36" s="1"/>
  <c r="L11" i="36" s="1"/>
  <c r="T5" i="36"/>
  <c r="U5" i="36" s="1"/>
  <c r="V5" i="36" s="1"/>
  <c r="W6" i="36" s="1"/>
  <c r="T7" i="36"/>
  <c r="U7" i="36" s="1"/>
  <c r="V7" i="36" s="1"/>
  <c r="W7" i="36" s="1"/>
  <c r="W22" i="36"/>
  <c r="I55" i="36"/>
  <c r="K55" i="36" s="1"/>
  <c r="L55" i="36" s="1"/>
  <c r="W76" i="36"/>
  <c r="W44" i="36"/>
  <c r="I6" i="36"/>
  <c r="K6" i="36" s="1"/>
  <c r="L6" i="36" s="1"/>
  <c r="W43" i="36"/>
  <c r="I12" i="36"/>
  <c r="W49" i="36"/>
  <c r="I7" i="36"/>
  <c r="K7" i="36" s="1"/>
  <c r="L7" i="36" s="1"/>
  <c r="W53" i="36"/>
  <c r="I56" i="36"/>
  <c r="W40" i="36"/>
  <c r="W34" i="36"/>
  <c r="I39" i="36"/>
  <c r="K39" i="36" s="1"/>
  <c r="L39" i="36" s="1"/>
  <c r="I40" i="36"/>
  <c r="K40" i="36" s="1"/>
  <c r="L40" i="36" s="1"/>
  <c r="W37" i="36"/>
  <c r="W47" i="36"/>
  <c r="I21" i="36"/>
  <c r="J22" i="36" s="1"/>
  <c r="W21" i="36"/>
  <c r="W66" i="36"/>
  <c r="T10" i="36"/>
  <c r="U10" i="36" s="1"/>
  <c r="V10" i="36" s="1"/>
  <c r="T9" i="36"/>
  <c r="U9" i="36" s="1"/>
  <c r="V9" i="36" s="1"/>
  <c r="T8" i="36"/>
  <c r="U8" i="36" s="1"/>
  <c r="V8" i="36" s="1"/>
  <c r="W36" i="36"/>
  <c r="W38" i="36"/>
  <c r="W46" i="36"/>
  <c r="W48" i="36"/>
  <c r="I79" i="36"/>
  <c r="K79" i="36" s="1"/>
  <c r="L79" i="36" s="1"/>
  <c r="I78" i="36"/>
  <c r="I77" i="36"/>
  <c r="I45" i="36"/>
  <c r="K45" i="36" s="1"/>
  <c r="L45" i="36" s="1"/>
  <c r="I43" i="36"/>
  <c r="I44" i="36"/>
  <c r="W14" i="36"/>
  <c r="W16" i="36"/>
  <c r="I38" i="36"/>
  <c r="K38" i="36" s="1"/>
  <c r="L38" i="36" s="1"/>
  <c r="I37" i="36"/>
  <c r="I36" i="36"/>
  <c r="W55" i="36"/>
  <c r="W57" i="36"/>
  <c r="I76" i="36"/>
  <c r="K76" i="36" s="1"/>
  <c r="L76" i="36" s="1"/>
  <c r="I75" i="36"/>
  <c r="I74" i="36"/>
  <c r="I32" i="36"/>
  <c r="K32" i="36" s="1"/>
  <c r="L32" i="36" s="1"/>
  <c r="I30" i="36"/>
  <c r="I31" i="36"/>
  <c r="W39" i="36"/>
  <c r="W41" i="36"/>
  <c r="I35" i="36"/>
  <c r="K35" i="36" s="1"/>
  <c r="L35" i="36" s="1"/>
  <c r="I34" i="36"/>
  <c r="I33" i="36"/>
  <c r="W33" i="36"/>
  <c r="W35" i="36"/>
  <c r="I70" i="36"/>
  <c r="K70" i="36" s="1"/>
  <c r="L70" i="36" s="1"/>
  <c r="I68" i="36"/>
  <c r="I69" i="36"/>
  <c r="I19" i="36"/>
  <c r="K19" i="36" s="1"/>
  <c r="L19" i="36" s="1"/>
  <c r="I18" i="36"/>
  <c r="I17" i="36"/>
  <c r="K5" i="36"/>
  <c r="L5" i="36" s="1"/>
  <c r="K20" i="36"/>
  <c r="L20" i="36" s="1"/>
  <c r="W54" i="36"/>
  <c r="W52" i="36"/>
  <c r="K62" i="36"/>
  <c r="L62" i="36" s="1"/>
  <c r="M65" i="36"/>
  <c r="W15" i="36"/>
  <c r="I50" i="36"/>
  <c r="I49" i="36"/>
  <c r="I51" i="36"/>
  <c r="K51" i="36" s="1"/>
  <c r="L51" i="36" s="1"/>
  <c r="W56" i="36"/>
  <c r="K58" i="36"/>
  <c r="L58" i="36" s="1"/>
  <c r="K8" i="36"/>
  <c r="L8" i="36" s="1"/>
  <c r="I14" i="36"/>
  <c r="I16" i="36"/>
  <c r="K16" i="36" s="1"/>
  <c r="L16" i="36" s="1"/>
  <c r="I15" i="36"/>
  <c r="W5" i="36"/>
  <c r="I73" i="36"/>
  <c r="K73" i="36" s="1"/>
  <c r="L73" i="36" s="1"/>
  <c r="I72" i="36"/>
  <c r="I71" i="36"/>
  <c r="W67" i="36"/>
  <c r="W65" i="36"/>
  <c r="J48" i="36"/>
  <c r="K47" i="36"/>
  <c r="L47" i="36" s="1"/>
  <c r="H43" i="32"/>
  <c r="H12" i="32"/>
  <c r="X69" i="32"/>
  <c r="X68" i="32"/>
  <c r="X67" i="32"/>
  <c r="X66" i="32"/>
  <c r="X65" i="32"/>
  <c r="X79" i="32"/>
  <c r="X77" i="32"/>
  <c r="X78" i="32"/>
  <c r="V76" i="32"/>
  <c r="W76" i="32" s="1"/>
  <c r="X76" i="32" s="1"/>
  <c r="V73" i="32"/>
  <c r="W73" i="32" s="1"/>
  <c r="V72" i="32"/>
  <c r="W72" i="32" s="1"/>
  <c r="V71" i="32"/>
  <c r="W71" i="32" s="1"/>
  <c r="V70" i="32"/>
  <c r="W70" i="32" s="1"/>
  <c r="X70" i="32" s="1"/>
  <c r="V74" i="32"/>
  <c r="W74" i="32" s="1"/>
  <c r="X75" i="32" s="1"/>
  <c r="V62" i="32"/>
  <c r="W62" i="32" s="1"/>
  <c r="V63" i="32"/>
  <c r="W63" i="32" s="1"/>
  <c r="X52" i="32"/>
  <c r="X54" i="32"/>
  <c r="X53" i="32"/>
  <c r="V47" i="32"/>
  <c r="W47" i="32" s="1"/>
  <c r="X46" i="32" s="1"/>
  <c r="V60" i="32"/>
  <c r="W60" i="32" s="1"/>
  <c r="V46" i="32"/>
  <c r="W46" i="32" s="1"/>
  <c r="V59" i="32"/>
  <c r="W59" i="32" s="1"/>
  <c r="V50" i="32"/>
  <c r="W50" i="32" s="1"/>
  <c r="X51" i="32" s="1"/>
  <c r="V56" i="32"/>
  <c r="W56" i="32" s="1"/>
  <c r="V48" i="32"/>
  <c r="W48" i="32" s="1"/>
  <c r="V49" i="32"/>
  <c r="W49" i="32" s="1"/>
  <c r="V43" i="32"/>
  <c r="W43" i="32" s="1"/>
  <c r="V44" i="32"/>
  <c r="W44" i="32" s="1"/>
  <c r="V28" i="32"/>
  <c r="W28" i="32" s="1"/>
  <c r="V35" i="32"/>
  <c r="W35" i="32" s="1"/>
  <c r="V31" i="32"/>
  <c r="W31" i="32" s="1"/>
  <c r="V38" i="32"/>
  <c r="W38" i="32" s="1"/>
  <c r="V37" i="32"/>
  <c r="W37" i="32" s="1"/>
  <c r="V29" i="32"/>
  <c r="W29" i="32" s="1"/>
  <c r="V41" i="32"/>
  <c r="W41" i="32" s="1"/>
  <c r="V32" i="32"/>
  <c r="W32" i="32" s="1"/>
  <c r="V34" i="32"/>
  <c r="W34" i="32" s="1"/>
  <c r="V40" i="32"/>
  <c r="W40" i="32" s="1"/>
  <c r="X39" i="32" s="1"/>
  <c r="V25" i="32"/>
  <c r="W25" i="32" s="1"/>
  <c r="V24" i="32"/>
  <c r="W24" i="32" s="1"/>
  <c r="V22" i="32"/>
  <c r="W22" i="32" s="1"/>
  <c r="X22" i="32" s="1"/>
  <c r="V13" i="32"/>
  <c r="W13" i="32" s="1"/>
  <c r="V16" i="32"/>
  <c r="W16" i="32" s="1"/>
  <c r="V12" i="32"/>
  <c r="W12" i="32" s="1"/>
  <c r="V15" i="32"/>
  <c r="W15" i="32" s="1"/>
  <c r="V18" i="32"/>
  <c r="W18" i="32" s="1"/>
  <c r="V10" i="32"/>
  <c r="W10" i="32" s="1"/>
  <c r="V20" i="32"/>
  <c r="W20" i="32" s="1"/>
  <c r="X21" i="32" s="1"/>
  <c r="V9" i="32"/>
  <c r="W9" i="32" s="1"/>
  <c r="V7" i="32"/>
  <c r="W7" i="32" s="1"/>
  <c r="V6" i="32"/>
  <c r="W6" i="32" s="1"/>
  <c r="V5" i="32"/>
  <c r="W5" i="32" s="1"/>
  <c r="I65" i="32" a="1"/>
  <c r="I66" i="32" s="1"/>
  <c r="I30" i="32" a="1"/>
  <c r="I32" i="32" s="1"/>
  <c r="AR8" i="32" s="1"/>
  <c r="I8" i="32" a="1"/>
  <c r="I8" i="32" s="1"/>
  <c r="H21" i="32"/>
  <c r="I52" i="32" a="1"/>
  <c r="I54" i="32" s="1"/>
  <c r="K54" i="32" s="1"/>
  <c r="L54" i="32" s="1"/>
  <c r="H17" i="32"/>
  <c r="I20" i="32" a="1"/>
  <c r="I22" i="32" s="1"/>
  <c r="K22" i="32" s="1"/>
  <c r="L22" i="32" s="1"/>
  <c r="H65" i="32"/>
  <c r="H72" i="32"/>
  <c r="H66" i="32"/>
  <c r="I55" i="32" a="1"/>
  <c r="I57" i="32" s="1"/>
  <c r="H20" i="32"/>
  <c r="H52" i="32"/>
  <c r="H53" i="32"/>
  <c r="H62" i="32"/>
  <c r="H33" i="32"/>
  <c r="I62" i="32" a="1"/>
  <c r="I63" i="32" s="1"/>
  <c r="H28" i="32"/>
  <c r="I43" i="32" a="1"/>
  <c r="I45" i="32" s="1"/>
  <c r="I74" i="32" a="1"/>
  <c r="I74" i="32" s="1"/>
  <c r="H34" i="32"/>
  <c r="H9" i="32"/>
  <c r="I71" i="32" a="1"/>
  <c r="I72" i="32" s="1"/>
  <c r="BE7" i="32" s="1"/>
  <c r="I33" i="32" a="1"/>
  <c r="H29" i="32"/>
  <c r="H6" i="32"/>
  <c r="H77" i="32"/>
  <c r="H22" i="32"/>
  <c r="H78" i="32"/>
  <c r="H27" i="32"/>
  <c r="I24" i="32" a="1"/>
  <c r="I26" i="32" s="1"/>
  <c r="I58" i="32" a="1"/>
  <c r="I60" i="32" s="1"/>
  <c r="H31" i="32"/>
  <c r="I17" i="32" a="1"/>
  <c r="I18" i="32" s="1"/>
  <c r="J19" i="32" s="1"/>
  <c r="H75" i="32"/>
  <c r="H39" i="32"/>
  <c r="H69" i="32"/>
  <c r="H74" i="32"/>
  <c r="H44" i="32"/>
  <c r="I39" i="32" a="1"/>
  <c r="I41" i="32" s="1"/>
  <c r="K41" i="32" s="1"/>
  <c r="L41" i="32" s="1"/>
  <c r="H68" i="32"/>
  <c r="H18" i="32"/>
  <c r="H46" i="32"/>
  <c r="H40" i="32"/>
  <c r="H63" i="32"/>
  <c r="H71" i="32"/>
  <c r="H25" i="32"/>
  <c r="H24" i="32"/>
  <c r="H37" i="32"/>
  <c r="H8" i="32"/>
  <c r="I5" i="32" a="1"/>
  <c r="I7" i="32" s="1"/>
  <c r="H7" i="32"/>
  <c r="H30" i="32"/>
  <c r="H36" i="32"/>
  <c r="H59" i="32"/>
  <c r="H11" i="32"/>
  <c r="H5" i="32"/>
  <c r="H14" i="32"/>
  <c r="I68" i="32" a="1"/>
  <c r="H58" i="32"/>
  <c r="I27" i="32" a="1"/>
  <c r="I36" i="32" a="1"/>
  <c r="H15" i="32"/>
  <c r="I11" i="32" a="1"/>
  <c r="I12" i="32" s="1"/>
  <c r="I14" i="32" a="1"/>
  <c r="I14" i="32" s="1"/>
  <c r="I77" i="32" a="1"/>
  <c r="I46" i="32" a="1"/>
  <c r="I47" i="32" s="1"/>
  <c r="H47" i="32"/>
  <c r="H55" i="32"/>
  <c r="H48" i="32"/>
  <c r="I49" i="32" a="1"/>
  <c r="H49" i="32"/>
  <c r="H57" i="32"/>
  <c r="H56" i="32"/>
  <c r="H50" i="32"/>
  <c r="H51" i="32"/>
  <c r="I62" i="27" a="1"/>
  <c r="I64" i="27" s="1"/>
  <c r="K64" i="27" s="1"/>
  <c r="U43" i="31"/>
  <c r="V43" i="31" s="1"/>
  <c r="W43" i="31" s="1"/>
  <c r="H77" i="31"/>
  <c r="H33" i="31"/>
  <c r="H44" i="31"/>
  <c r="I17" i="31" a="1"/>
  <c r="I18" i="31" s="1"/>
  <c r="U44" i="31"/>
  <c r="V44" i="31" s="1"/>
  <c r="W44" i="31" s="1"/>
  <c r="U15" i="31"/>
  <c r="V15" i="31" s="1"/>
  <c r="W15" i="31" s="1"/>
  <c r="X15" i="31" s="1"/>
  <c r="H21" i="31"/>
  <c r="U13" i="31"/>
  <c r="V13" i="31" s="1"/>
  <c r="W13" i="31" s="1"/>
  <c r="X13" i="31" s="1"/>
  <c r="H17" i="31"/>
  <c r="U25" i="31"/>
  <c r="V25" i="31" s="1"/>
  <c r="W25" i="31" s="1"/>
  <c r="X25" i="31" s="1"/>
  <c r="U66" i="31"/>
  <c r="V66" i="31" s="1"/>
  <c r="W66" i="31" s="1"/>
  <c r="X65" i="31" s="1"/>
  <c r="U26" i="31"/>
  <c r="V26" i="31" s="1"/>
  <c r="W26" i="31" s="1"/>
  <c r="H18" i="31"/>
  <c r="U69" i="31"/>
  <c r="V69" i="31" s="1"/>
  <c r="W69" i="31" s="1"/>
  <c r="X70" i="31" s="1"/>
  <c r="U65" i="31"/>
  <c r="V65" i="31" s="1"/>
  <c r="W65" i="31" s="1"/>
  <c r="U68" i="31"/>
  <c r="V68" i="31" s="1"/>
  <c r="W68" i="31" s="1"/>
  <c r="H9" i="31"/>
  <c r="H40" i="31"/>
  <c r="H72" i="31"/>
  <c r="U11" i="31"/>
  <c r="V11" i="31" s="1"/>
  <c r="W11" i="31" s="1"/>
  <c r="X12" i="31" s="1"/>
  <c r="I20" i="31" a="1"/>
  <c r="I22" i="31" s="1"/>
  <c r="K22" i="31" s="1"/>
  <c r="L22" i="31" s="1"/>
  <c r="I36" i="31" a="1"/>
  <c r="I36" i="31" s="1"/>
  <c r="I43" i="31" a="1"/>
  <c r="I45" i="31" s="1"/>
  <c r="K45" i="31" s="1"/>
  <c r="L45" i="31" s="1"/>
  <c r="H49" i="31"/>
  <c r="I49" i="31" a="1"/>
  <c r="I51" i="31" s="1"/>
  <c r="K51" i="31" s="1"/>
  <c r="L51" i="31" s="1"/>
  <c r="U73" i="31"/>
  <c r="V73" i="31" s="1"/>
  <c r="W73" i="31" s="1"/>
  <c r="U27" i="31"/>
  <c r="V27" i="31" s="1"/>
  <c r="W27" i="31" s="1"/>
  <c r="H25" i="31"/>
  <c r="H58" i="31"/>
  <c r="I62" i="31" a="1"/>
  <c r="I62" i="31" s="1"/>
  <c r="K62" i="31" s="1"/>
  <c r="L62" i="31" s="1"/>
  <c r="U72" i="31"/>
  <c r="V72" i="31" s="1"/>
  <c r="W72" i="31" s="1"/>
  <c r="H43" i="31"/>
  <c r="H56" i="31"/>
  <c r="H20" i="31"/>
  <c r="U28" i="31"/>
  <c r="V28" i="31" s="1"/>
  <c r="W28" i="31" s="1"/>
  <c r="H39" i="31"/>
  <c r="H71" i="31"/>
  <c r="I55" i="31" a="1"/>
  <c r="I56" i="31" s="1"/>
  <c r="I71" i="31" a="1"/>
  <c r="I72" i="31" s="1"/>
  <c r="U37" i="31"/>
  <c r="V37" i="31" s="1"/>
  <c r="W37" i="31" s="1"/>
  <c r="X36" i="31" s="1"/>
  <c r="H55" i="31"/>
  <c r="I8" i="31" a="1"/>
  <c r="I8" i="31" s="1"/>
  <c r="U16" i="31"/>
  <c r="V16" i="31" s="1"/>
  <c r="W16" i="31" s="1"/>
  <c r="I77" i="31" a="1"/>
  <c r="I77" i="31" s="1"/>
  <c r="H63" i="31"/>
  <c r="U38" i="31"/>
  <c r="V38" i="31" s="1"/>
  <c r="W38" i="31" s="1"/>
  <c r="H8" i="31"/>
  <c r="I33" i="31" a="1"/>
  <c r="I35" i="31" s="1"/>
  <c r="K35" i="31" s="1"/>
  <c r="L35" i="31" s="1"/>
  <c r="I39" i="31" a="1"/>
  <c r="I39" i="31" s="1"/>
  <c r="H78" i="31"/>
  <c r="H62" i="31"/>
  <c r="H53" i="31"/>
  <c r="H24" i="31"/>
  <c r="I58" i="31" a="1"/>
  <c r="I58" i="31" s="1"/>
  <c r="I24" i="31" a="1"/>
  <c r="I24" i="31" s="1"/>
  <c r="U10" i="31"/>
  <c r="V10" i="31" s="1"/>
  <c r="W10" i="31" s="1"/>
  <c r="X10" i="31" s="1"/>
  <c r="I11" i="31" a="1"/>
  <c r="I12" i="31" s="1"/>
  <c r="H59" i="31"/>
  <c r="H12" i="31"/>
  <c r="H54" i="31"/>
  <c r="H52" i="31"/>
  <c r="U8" i="31"/>
  <c r="V8" i="31" s="1"/>
  <c r="W8" i="31" s="1"/>
  <c r="X9" i="31" s="1"/>
  <c r="H13" i="31"/>
  <c r="I52" i="31" a="1"/>
  <c r="I52" i="31" s="1"/>
  <c r="H50" i="31"/>
  <c r="H37" i="31"/>
  <c r="H38" i="31"/>
  <c r="H36" i="31"/>
  <c r="H34" i="31"/>
  <c r="U74" i="31"/>
  <c r="V74" i="31" s="1"/>
  <c r="W74" i="31" s="1"/>
  <c r="U76" i="31"/>
  <c r="V76" i="31" s="1"/>
  <c r="W76" i="31" s="1"/>
  <c r="U75" i="31"/>
  <c r="V75" i="31" s="1"/>
  <c r="W75" i="31" s="1"/>
  <c r="U55" i="31"/>
  <c r="V55" i="31" s="1"/>
  <c r="W55" i="31" s="1"/>
  <c r="U56" i="31"/>
  <c r="V56" i="31" s="1"/>
  <c r="W56" i="31" s="1"/>
  <c r="U57" i="31"/>
  <c r="V57" i="31" s="1"/>
  <c r="W57" i="31" s="1"/>
  <c r="U47" i="31"/>
  <c r="V47" i="31" s="1"/>
  <c r="W47" i="31" s="1"/>
  <c r="U46" i="31"/>
  <c r="V46" i="31" s="1"/>
  <c r="W46" i="31" s="1"/>
  <c r="U48" i="31"/>
  <c r="V48" i="31" s="1"/>
  <c r="W48" i="31" s="1"/>
  <c r="I5" i="31" a="1"/>
  <c r="H5" i="31"/>
  <c r="I27" i="31" a="1"/>
  <c r="H27" i="31"/>
  <c r="X11" i="31"/>
  <c r="I19" i="31"/>
  <c r="K19" i="31" s="1"/>
  <c r="L19" i="31" s="1"/>
  <c r="H28" i="31"/>
  <c r="H29" i="31"/>
  <c r="H68" i="31"/>
  <c r="I68" i="31" a="1"/>
  <c r="U60" i="31"/>
  <c r="V60" i="31" s="1"/>
  <c r="W60" i="31" s="1"/>
  <c r="U59" i="31"/>
  <c r="V59" i="31" s="1"/>
  <c r="W59" i="31" s="1"/>
  <c r="U58" i="31"/>
  <c r="V58" i="31" s="1"/>
  <c r="W58" i="31" s="1"/>
  <c r="I65" i="31" a="1"/>
  <c r="H65" i="31"/>
  <c r="U64" i="31"/>
  <c r="V64" i="31" s="1"/>
  <c r="W64" i="31" s="1"/>
  <c r="U63" i="31"/>
  <c r="V63" i="31" s="1"/>
  <c r="W63" i="31" s="1"/>
  <c r="U62" i="31"/>
  <c r="V62" i="31" s="1"/>
  <c r="W62" i="31" s="1"/>
  <c r="I46" i="31" a="1"/>
  <c r="H46" i="31"/>
  <c r="H16" i="31"/>
  <c r="H15" i="31"/>
  <c r="U18" i="31"/>
  <c r="V18" i="31" s="1"/>
  <c r="W18" i="31" s="1"/>
  <c r="U19" i="31"/>
  <c r="V19" i="31" s="1"/>
  <c r="W19" i="31" s="1"/>
  <c r="U17" i="31"/>
  <c r="V17" i="31" s="1"/>
  <c r="W17" i="31" s="1"/>
  <c r="I74" i="31" a="1"/>
  <c r="H74" i="31"/>
  <c r="I30" i="31" a="1"/>
  <c r="H30" i="31"/>
  <c r="U30" i="31"/>
  <c r="V30" i="31" s="1"/>
  <c r="W30" i="31" s="1"/>
  <c r="U32" i="31"/>
  <c r="V32" i="31" s="1"/>
  <c r="W32" i="31" s="1"/>
  <c r="U31" i="31"/>
  <c r="V31" i="31" s="1"/>
  <c r="W31" i="31" s="1"/>
  <c r="U54" i="31"/>
  <c r="V54" i="31" s="1"/>
  <c r="W54" i="31" s="1"/>
  <c r="U52" i="31"/>
  <c r="V52" i="31" s="1"/>
  <c r="W52" i="31" s="1"/>
  <c r="U53" i="31"/>
  <c r="V53" i="31" s="1"/>
  <c r="W53" i="31" s="1"/>
  <c r="U22" i="31"/>
  <c r="V22" i="31" s="1"/>
  <c r="W22" i="31" s="1"/>
  <c r="U21" i="31"/>
  <c r="V21" i="31" s="1"/>
  <c r="W21" i="31" s="1"/>
  <c r="U20" i="31"/>
  <c r="V20" i="31" s="1"/>
  <c r="W20" i="31" s="1"/>
  <c r="U6" i="31"/>
  <c r="V6" i="31" s="1"/>
  <c r="W6" i="31" s="1"/>
  <c r="U5" i="31"/>
  <c r="V5" i="31" s="1"/>
  <c r="W5" i="31" s="1"/>
  <c r="U7" i="31"/>
  <c r="V7" i="31" s="1"/>
  <c r="W7" i="31" s="1"/>
  <c r="H76" i="31"/>
  <c r="H75" i="31"/>
  <c r="U79" i="31"/>
  <c r="V79" i="31" s="1"/>
  <c r="W79" i="31" s="1"/>
  <c r="U78" i="31"/>
  <c r="V78" i="31" s="1"/>
  <c r="W78" i="31" s="1"/>
  <c r="U77" i="31"/>
  <c r="V77" i="31" s="1"/>
  <c r="W77" i="31" s="1"/>
  <c r="H70" i="31"/>
  <c r="H69" i="31"/>
  <c r="H67" i="31"/>
  <c r="H66" i="31"/>
  <c r="H32" i="31"/>
  <c r="H31" i="31"/>
  <c r="H47" i="31"/>
  <c r="H48" i="31"/>
  <c r="U41" i="31"/>
  <c r="V41" i="31" s="1"/>
  <c r="W41" i="31" s="1"/>
  <c r="U39" i="31"/>
  <c r="V39" i="31" s="1"/>
  <c r="W39" i="31" s="1"/>
  <c r="U40" i="31"/>
  <c r="V40" i="31" s="1"/>
  <c r="W40" i="31" s="1"/>
  <c r="U35" i="31"/>
  <c r="V35" i="31" s="1"/>
  <c r="W35" i="31" s="1"/>
  <c r="U34" i="31"/>
  <c r="V34" i="31" s="1"/>
  <c r="W34" i="31" s="1"/>
  <c r="U33" i="31"/>
  <c r="V33" i="31" s="1"/>
  <c r="W33" i="31" s="1"/>
  <c r="H6" i="31"/>
  <c r="H7" i="31"/>
  <c r="U49" i="31"/>
  <c r="V49" i="31" s="1"/>
  <c r="W49" i="31" s="1"/>
  <c r="U50" i="31"/>
  <c r="V50" i="31" s="1"/>
  <c r="W50" i="31" s="1"/>
  <c r="U51" i="31"/>
  <c r="V51" i="31" s="1"/>
  <c r="W51" i="31" s="1"/>
  <c r="H14" i="31"/>
  <c r="I14" i="31" a="1"/>
  <c r="H59" i="12" a="1"/>
  <c r="I59" i="12" s="1"/>
  <c r="U65" i="27"/>
  <c r="V65" i="27" s="1"/>
  <c r="W65" i="27" s="1"/>
  <c r="U70" i="27"/>
  <c r="V70" i="27" s="1"/>
  <c r="W70" i="27" s="1"/>
  <c r="U10" i="27"/>
  <c r="V10" i="27" s="1"/>
  <c r="W10" i="27" s="1"/>
  <c r="U29" i="27"/>
  <c r="V29" i="27" s="1"/>
  <c r="W29" i="27" s="1"/>
  <c r="I77" i="27" a="1"/>
  <c r="I78" i="27" s="1"/>
  <c r="K78" i="27" s="1"/>
  <c r="I30" i="27" a="1"/>
  <c r="I30" i="27" s="1"/>
  <c r="K30" i="27" s="1"/>
  <c r="U37" i="27"/>
  <c r="V37" i="27" s="1"/>
  <c r="W37" i="27" s="1"/>
  <c r="X36" i="27" s="1"/>
  <c r="I11" i="27" a="1"/>
  <c r="I13" i="27" s="1"/>
  <c r="K13" i="27" s="1"/>
  <c r="U69" i="27"/>
  <c r="V69" i="27" s="1"/>
  <c r="W69" i="27" s="1"/>
  <c r="U38" i="27"/>
  <c r="V38" i="27" s="1"/>
  <c r="W38" i="27" s="1"/>
  <c r="I5" i="27" a="1"/>
  <c r="U13" i="27"/>
  <c r="V13" i="27" s="1"/>
  <c r="W13" i="27" s="1"/>
  <c r="I74" i="27" a="1"/>
  <c r="I75" i="27" s="1"/>
  <c r="K75" i="27" s="1"/>
  <c r="I17" i="27" a="1"/>
  <c r="I17" i="27" s="1"/>
  <c r="K17" i="27" s="1"/>
  <c r="U43" i="27"/>
  <c r="V43" i="27" s="1"/>
  <c r="W43" i="27" s="1"/>
  <c r="U19" i="27"/>
  <c r="V19" i="27" s="1"/>
  <c r="W19" i="27" s="1"/>
  <c r="U57" i="27"/>
  <c r="V57" i="27" s="1"/>
  <c r="W57" i="27" s="1"/>
  <c r="X57" i="27" s="1"/>
  <c r="U59" i="27"/>
  <c r="V59" i="27" s="1"/>
  <c r="W59" i="27" s="1"/>
  <c r="X58" i="27" s="1"/>
  <c r="U49" i="27"/>
  <c r="V49" i="27" s="1"/>
  <c r="W49" i="27" s="1"/>
  <c r="U16" i="27"/>
  <c r="V16" i="27" s="1"/>
  <c r="W16" i="27" s="1"/>
  <c r="U77" i="27"/>
  <c r="V77" i="27" s="1"/>
  <c r="W77" i="27" s="1"/>
  <c r="U18" i="27"/>
  <c r="V18" i="27" s="1"/>
  <c r="W18" i="27" s="1"/>
  <c r="X17" i="27" s="1"/>
  <c r="U15" i="27"/>
  <c r="V15" i="27" s="1"/>
  <c r="W15" i="27" s="1"/>
  <c r="X14" i="27" s="1"/>
  <c r="U55" i="27"/>
  <c r="V55" i="27" s="1"/>
  <c r="W55" i="27" s="1"/>
  <c r="X56" i="27" s="1"/>
  <c r="I20" i="27" a="1"/>
  <c r="I20" i="27" s="1"/>
  <c r="K20" i="27" s="1"/>
  <c r="I43" i="27" a="1"/>
  <c r="I43" i="27" s="1"/>
  <c r="K43" i="27" s="1"/>
  <c r="U50" i="27"/>
  <c r="V50" i="27" s="1"/>
  <c r="W50" i="27" s="1"/>
  <c r="X49" i="27" s="1"/>
  <c r="U78" i="27"/>
  <c r="V78" i="27" s="1"/>
  <c r="W78" i="27" s="1"/>
  <c r="X79" i="27" s="1"/>
  <c r="U60" i="27"/>
  <c r="V60" i="27" s="1"/>
  <c r="W60" i="27" s="1"/>
  <c r="I39" i="27" a="1"/>
  <c r="I39" i="27" s="1"/>
  <c r="K39" i="27" s="1"/>
  <c r="I33" i="27" a="1"/>
  <c r="I33" i="27" s="1"/>
  <c r="K33" i="27" s="1"/>
  <c r="I27" i="27" a="1"/>
  <c r="I27" i="27" s="1"/>
  <c r="K27" i="27" s="1"/>
  <c r="I68" i="27" a="1"/>
  <c r="I69" i="27" s="1"/>
  <c r="K69" i="27" s="1"/>
  <c r="U62" i="27"/>
  <c r="V62" i="27" s="1"/>
  <c r="W62" i="27" s="1"/>
  <c r="U35" i="27"/>
  <c r="V35" i="27" s="1"/>
  <c r="W35" i="27" s="1"/>
  <c r="I24" i="27" a="1"/>
  <c r="I26" i="27" s="1"/>
  <c r="K26" i="27" s="1"/>
  <c r="U76" i="27"/>
  <c r="V76" i="27" s="1"/>
  <c r="W76" i="27" s="1"/>
  <c r="U24" i="27"/>
  <c r="V24" i="27" s="1"/>
  <c r="W24" i="27" s="1"/>
  <c r="U75" i="27"/>
  <c r="V75" i="27" s="1"/>
  <c r="W75" i="27" s="1"/>
  <c r="I71" i="27" a="1"/>
  <c r="I73" i="27" s="1"/>
  <c r="K73" i="27" s="1"/>
  <c r="U34" i="27"/>
  <c r="V34" i="27" s="1"/>
  <c r="W34" i="27" s="1"/>
  <c r="I52" i="27" a="1"/>
  <c r="I54" i="27" s="1"/>
  <c r="K54" i="27" s="1"/>
  <c r="I46" i="27" a="1"/>
  <c r="I47" i="27" s="1"/>
  <c r="K47" i="27" s="1"/>
  <c r="U25" i="27"/>
  <c r="V25" i="27" s="1"/>
  <c r="W25" i="27" s="1"/>
  <c r="U63" i="27"/>
  <c r="V63" i="27" s="1"/>
  <c r="W63" i="27" s="1"/>
  <c r="I55" i="27" a="1"/>
  <c r="I56" i="27" s="1"/>
  <c r="K56" i="27" s="1"/>
  <c r="I14" i="27" a="1"/>
  <c r="I14" i="27" s="1"/>
  <c r="K14" i="27" s="1"/>
  <c r="U66" i="27"/>
  <c r="V66" i="27" s="1"/>
  <c r="W66" i="27" s="1"/>
  <c r="U6" i="27"/>
  <c r="V6" i="27" s="1"/>
  <c r="W6" i="27" s="1"/>
  <c r="X6" i="27" s="1"/>
  <c r="U9" i="27"/>
  <c r="V9" i="27" s="1"/>
  <c r="W9" i="27" s="1"/>
  <c r="X8" i="27" s="1"/>
  <c r="U27" i="27"/>
  <c r="V27" i="27" s="1"/>
  <c r="W27" i="27" s="1"/>
  <c r="I65" i="27" a="1"/>
  <c r="I36" i="27" a="1"/>
  <c r="I49" i="27" a="1"/>
  <c r="U7" i="27"/>
  <c r="V7" i="27" s="1"/>
  <c r="W7" i="27" s="1"/>
  <c r="I58" i="27" a="1"/>
  <c r="I8" i="27" a="1"/>
  <c r="U47" i="27"/>
  <c r="V47" i="27" s="1"/>
  <c r="W47" i="27" s="1"/>
  <c r="X47" i="27" s="1"/>
  <c r="U22" i="27"/>
  <c r="V22" i="27" s="1"/>
  <c r="W22" i="27" s="1"/>
  <c r="U48" i="27"/>
  <c r="V48" i="27" s="1"/>
  <c r="W48" i="27" s="1"/>
  <c r="U12" i="27"/>
  <c r="V12" i="27" s="1"/>
  <c r="W12" i="27" s="1"/>
  <c r="X12" i="27" s="1"/>
  <c r="U72" i="27"/>
  <c r="V72" i="27" s="1"/>
  <c r="W72" i="27" s="1"/>
  <c r="X71" i="27" s="1"/>
  <c r="U21" i="27"/>
  <c r="V21" i="27" s="1"/>
  <c r="W21" i="27" s="1"/>
  <c r="X20" i="27" s="1"/>
  <c r="U73" i="27"/>
  <c r="V73" i="27" s="1"/>
  <c r="W73" i="27" s="1"/>
  <c r="U54" i="27"/>
  <c r="V54" i="27" s="1"/>
  <c r="W54" i="27" s="1"/>
  <c r="U44" i="27"/>
  <c r="V44" i="27" s="1"/>
  <c r="W44" i="27" s="1"/>
  <c r="X43" i="27" s="1"/>
  <c r="U53" i="27"/>
  <c r="V53" i="27" s="1"/>
  <c r="W53" i="27" s="1"/>
  <c r="X53" i="27" s="1"/>
  <c r="U30" i="27"/>
  <c r="V30" i="27" s="1"/>
  <c r="W30" i="27" s="1"/>
  <c r="X31" i="27" s="1"/>
  <c r="U32" i="27"/>
  <c r="V32" i="27" s="1"/>
  <c r="W32" i="27" s="1"/>
  <c r="X32" i="27" s="1"/>
  <c r="U39" i="27"/>
  <c r="V39" i="27" s="1"/>
  <c r="W39" i="27" s="1"/>
  <c r="U41" i="27"/>
  <c r="V41" i="27" s="1"/>
  <c r="W41" i="27" s="1"/>
  <c r="W68" i="27"/>
  <c r="W40" i="27"/>
  <c r="W64" i="27"/>
  <c r="W28" i="27"/>
  <c r="W74" i="27"/>
  <c r="X55" i="27"/>
  <c r="W67" i="27"/>
  <c r="X30" i="27"/>
  <c r="W33" i="27"/>
  <c r="C38" i="24" a="1"/>
  <c r="E39" i="24" s="1"/>
  <c r="C13" i="24" a="1"/>
  <c r="C13" i="24" s="1"/>
  <c r="F24" i="21"/>
  <c r="G24" i="21" s="1"/>
  <c r="F62" i="21"/>
  <c r="G62" i="21" s="1"/>
  <c r="F68" i="21"/>
  <c r="G68" i="21" s="1"/>
  <c r="F74" i="21"/>
  <c r="G74" i="21" s="1"/>
  <c r="F64" i="21"/>
  <c r="G64" i="21" s="1"/>
  <c r="F70" i="21"/>
  <c r="G70" i="21" s="1"/>
  <c r="G25" i="21"/>
  <c r="G18" i="21"/>
  <c r="F32" i="21"/>
  <c r="G31" i="21"/>
  <c r="G50" i="21"/>
  <c r="H41" i="21"/>
  <c r="F39" i="21"/>
  <c r="F41" i="21"/>
  <c r="H64" i="21"/>
  <c r="G35" i="21"/>
  <c r="G75" i="21"/>
  <c r="G16" i="21"/>
  <c r="G34" i="21"/>
  <c r="G56" i="21"/>
  <c r="H29" i="21"/>
  <c r="G15" i="21"/>
  <c r="G47" i="21"/>
  <c r="H73" i="21"/>
  <c r="F10" i="21"/>
  <c r="G10" i="21" s="1"/>
  <c r="F33" i="21"/>
  <c r="G33" i="21" s="1"/>
  <c r="G6" i="21"/>
  <c r="F8" i="21"/>
  <c r="G8" i="21" s="1"/>
  <c r="G7" i="21"/>
  <c r="H54" i="21"/>
  <c r="H45" i="21"/>
  <c r="H22" i="21"/>
  <c r="H10" i="21"/>
  <c r="H13" i="21"/>
  <c r="H79" i="21"/>
  <c r="H67" i="21"/>
  <c r="H38" i="21"/>
  <c r="H60" i="21"/>
  <c r="H70" i="21"/>
  <c r="F51" i="21"/>
  <c r="F46" i="21"/>
  <c r="G46" i="21" s="1"/>
  <c r="F57" i="21"/>
  <c r="G57" i="21" s="1"/>
  <c r="F5" i="21"/>
  <c r="F17" i="21"/>
  <c r="G17" i="21" s="1"/>
  <c r="F13" i="21"/>
  <c r="G13" i="21" s="1"/>
  <c r="F11" i="21"/>
  <c r="G11" i="21" s="1"/>
  <c r="F29" i="21"/>
  <c r="G29" i="21" s="1"/>
  <c r="F27" i="21"/>
  <c r="G27" i="21" s="1"/>
  <c r="F38" i="21"/>
  <c r="G38" i="21" s="1"/>
  <c r="F36" i="21"/>
  <c r="G36" i="21" s="1"/>
  <c r="F60" i="21"/>
  <c r="G60" i="21" s="1"/>
  <c r="F58" i="21"/>
  <c r="G58" i="21" s="1"/>
  <c r="F73" i="21"/>
  <c r="G73" i="21" s="1"/>
  <c r="F71" i="21"/>
  <c r="G71" i="21" s="1"/>
  <c r="F14" i="21"/>
  <c r="G14" i="21" s="1"/>
  <c r="F30" i="21"/>
  <c r="G30" i="21" s="1"/>
  <c r="F22" i="21"/>
  <c r="G22" i="21" s="1"/>
  <c r="F20" i="21"/>
  <c r="G20" i="21" s="1"/>
  <c r="F45" i="21"/>
  <c r="G45" i="21" s="1"/>
  <c r="F43" i="21"/>
  <c r="G43" i="21" s="1"/>
  <c r="F67" i="21"/>
  <c r="G67" i="21" s="1"/>
  <c r="F65" i="21"/>
  <c r="G65" i="21" s="1"/>
  <c r="F79" i="21"/>
  <c r="G79" i="21" s="1"/>
  <c r="F77" i="21"/>
  <c r="G77" i="21" s="1"/>
  <c r="F54" i="21"/>
  <c r="G54" i="21" s="1"/>
  <c r="F52" i="21"/>
  <c r="G52" i="21" s="1"/>
  <c r="I11" i="27" l="1"/>
  <c r="K11" i="27" s="1"/>
  <c r="J58" i="36"/>
  <c r="N60" i="36"/>
  <c r="O60" i="36" s="1"/>
  <c r="D60" i="36" s="1"/>
  <c r="AS8" i="36" s="1"/>
  <c r="K59" i="36"/>
  <c r="L59" i="36" s="1"/>
  <c r="M60" i="36" s="1"/>
  <c r="N59" i="36"/>
  <c r="O59" i="36" s="1"/>
  <c r="D59" i="36" s="1"/>
  <c r="AS7" i="36" s="1"/>
  <c r="N58" i="36"/>
  <c r="J59" i="36"/>
  <c r="N27" i="36"/>
  <c r="O27" i="36" s="1"/>
  <c r="D27" i="36" s="1"/>
  <c r="AI6" i="36" s="1"/>
  <c r="J9" i="36"/>
  <c r="K28" i="36"/>
  <c r="L28" i="36" s="1"/>
  <c r="M28" i="36" s="1"/>
  <c r="N29" i="36"/>
  <c r="O29" i="36" s="1"/>
  <c r="D29" i="36" s="1"/>
  <c r="AI8" i="36" s="1"/>
  <c r="J29" i="36"/>
  <c r="N28" i="36"/>
  <c r="O28" i="36" s="1"/>
  <c r="D28" i="36" s="1"/>
  <c r="AI7" i="36" s="1"/>
  <c r="J10" i="36"/>
  <c r="J8" i="36"/>
  <c r="J27" i="36"/>
  <c r="N10" i="36"/>
  <c r="O10" i="36" s="1"/>
  <c r="Y10" i="36" s="1"/>
  <c r="J28" i="36"/>
  <c r="N8" i="36"/>
  <c r="O8" i="36" s="1"/>
  <c r="Y8" i="36" s="1"/>
  <c r="N9" i="36"/>
  <c r="O9" i="36" s="1"/>
  <c r="Y9" i="36" s="1"/>
  <c r="N47" i="36"/>
  <c r="O47" i="36" s="1"/>
  <c r="D47" i="36" s="1"/>
  <c r="AO7" i="36" s="1"/>
  <c r="J46" i="36"/>
  <c r="J47" i="36"/>
  <c r="N46" i="36"/>
  <c r="O46" i="36" s="1"/>
  <c r="Y46" i="36" s="1"/>
  <c r="N48" i="36"/>
  <c r="O48" i="36" s="1"/>
  <c r="Y48" i="36" s="1"/>
  <c r="K53" i="36"/>
  <c r="L53" i="36" s="1"/>
  <c r="M52" i="36" s="1"/>
  <c r="K25" i="36"/>
  <c r="L25" i="36" s="1"/>
  <c r="M24" i="36" s="1"/>
  <c r="N24" i="36"/>
  <c r="O24" i="36" s="1"/>
  <c r="D24" i="36" s="1"/>
  <c r="AH6" i="36" s="1"/>
  <c r="J53" i="36"/>
  <c r="N25" i="36"/>
  <c r="O25" i="36" s="1"/>
  <c r="Y25" i="36" s="1"/>
  <c r="K63" i="36"/>
  <c r="L63" i="36" s="1"/>
  <c r="M63" i="36" s="1"/>
  <c r="J52" i="36"/>
  <c r="K24" i="36"/>
  <c r="L24" i="36" s="1"/>
  <c r="N52" i="36"/>
  <c r="O52" i="36" s="1"/>
  <c r="Y52" i="36" s="1"/>
  <c r="J62" i="36"/>
  <c r="N26" i="36"/>
  <c r="O26" i="36" s="1"/>
  <c r="Y26" i="36" s="1"/>
  <c r="K52" i="36"/>
  <c r="L52" i="36" s="1"/>
  <c r="N53" i="36"/>
  <c r="O53" i="36" s="1"/>
  <c r="D53" i="36" s="1"/>
  <c r="AQ7" i="36" s="1"/>
  <c r="J24" i="36"/>
  <c r="N56" i="36"/>
  <c r="O56" i="36" s="1"/>
  <c r="Y56" i="36" s="1"/>
  <c r="N11" i="36"/>
  <c r="O11" i="36" s="1"/>
  <c r="Y11" i="36" s="1"/>
  <c r="N54" i="36"/>
  <c r="O54" i="36" s="1"/>
  <c r="Y54" i="36" s="1"/>
  <c r="J25" i="36"/>
  <c r="N62" i="36"/>
  <c r="O62" i="36" s="1"/>
  <c r="Y62" i="36" s="1"/>
  <c r="J63" i="36"/>
  <c r="N63" i="36"/>
  <c r="O63" i="36" s="1"/>
  <c r="Y63" i="36" s="1"/>
  <c r="N64" i="36"/>
  <c r="O64" i="36" s="1"/>
  <c r="D64" i="36" s="1"/>
  <c r="AT8" i="36" s="1"/>
  <c r="N12" i="36"/>
  <c r="O12" i="36" s="1"/>
  <c r="Y12" i="36" s="1"/>
  <c r="N57" i="36"/>
  <c r="O57" i="36" s="1"/>
  <c r="Y57" i="36" s="1"/>
  <c r="J41" i="36"/>
  <c r="K56" i="36"/>
  <c r="L56" i="36" s="1"/>
  <c r="M56" i="36" s="1"/>
  <c r="K21" i="36"/>
  <c r="L21" i="36" s="1"/>
  <c r="M22" i="36" s="1"/>
  <c r="J55" i="36"/>
  <c r="J57" i="36"/>
  <c r="N55" i="36"/>
  <c r="O55" i="36" s="1"/>
  <c r="D55" i="36" s="1"/>
  <c r="AR6" i="36" s="1"/>
  <c r="J56" i="36"/>
  <c r="N66" i="36"/>
  <c r="O66" i="36" s="1"/>
  <c r="N67" i="36"/>
  <c r="O67" i="36" s="1"/>
  <c r="J65" i="36"/>
  <c r="J66" i="36"/>
  <c r="N65" i="36"/>
  <c r="O65" i="36" s="1"/>
  <c r="M6" i="36"/>
  <c r="J5" i="36"/>
  <c r="J7" i="36"/>
  <c r="N5" i="36"/>
  <c r="O5" i="36" s="1"/>
  <c r="Y5" i="36" s="1"/>
  <c r="N13" i="36"/>
  <c r="O13" i="36" s="1"/>
  <c r="D13" i="36" s="1"/>
  <c r="AD8" i="36" s="1"/>
  <c r="J13" i="36"/>
  <c r="J11" i="36"/>
  <c r="N40" i="36"/>
  <c r="O40" i="36" s="1"/>
  <c r="Y40" i="36" s="1"/>
  <c r="N6" i="36"/>
  <c r="O6" i="36" s="1"/>
  <c r="Y6" i="36" s="1"/>
  <c r="J6" i="36"/>
  <c r="K12" i="36"/>
  <c r="L12" i="36" s="1"/>
  <c r="M12" i="36" s="1"/>
  <c r="J12" i="36"/>
  <c r="J40" i="36"/>
  <c r="N7" i="36"/>
  <c r="O7" i="36" s="1"/>
  <c r="Y7" i="36" s="1"/>
  <c r="N39" i="36"/>
  <c r="O39" i="36" s="1"/>
  <c r="Y39" i="36" s="1"/>
  <c r="N20" i="36"/>
  <c r="O20" i="36" s="1"/>
  <c r="Y20" i="36" s="1"/>
  <c r="J39" i="36"/>
  <c r="N21" i="36"/>
  <c r="O21" i="36" s="1"/>
  <c r="Y21" i="36" s="1"/>
  <c r="N41" i="36"/>
  <c r="O41" i="36" s="1"/>
  <c r="Y41" i="36" s="1"/>
  <c r="N22" i="36"/>
  <c r="O22" i="36" s="1"/>
  <c r="Y22" i="36" s="1"/>
  <c r="M9" i="36"/>
  <c r="J21" i="36"/>
  <c r="J20" i="36"/>
  <c r="W9" i="36"/>
  <c r="J32" i="36"/>
  <c r="K31" i="36"/>
  <c r="L31" i="36" s="1"/>
  <c r="J31" i="36"/>
  <c r="J76" i="36"/>
  <c r="J75" i="36"/>
  <c r="K75" i="36"/>
  <c r="L75" i="36" s="1"/>
  <c r="N79" i="36"/>
  <c r="O79" i="36" s="1"/>
  <c r="N77" i="36"/>
  <c r="O77" i="36" s="1"/>
  <c r="N78" i="36"/>
  <c r="O78" i="36" s="1"/>
  <c r="K77" i="36"/>
  <c r="L77" i="36" s="1"/>
  <c r="J77" i="36"/>
  <c r="M46" i="36"/>
  <c r="M48" i="36"/>
  <c r="N73" i="36"/>
  <c r="O73" i="36" s="1"/>
  <c r="N71" i="36"/>
  <c r="O71" i="36" s="1"/>
  <c r="N72" i="36"/>
  <c r="O72" i="36" s="1"/>
  <c r="K71" i="36"/>
  <c r="L71" i="36" s="1"/>
  <c r="J71" i="36"/>
  <c r="M39" i="36"/>
  <c r="M41" i="36"/>
  <c r="J16" i="36"/>
  <c r="K15" i="36"/>
  <c r="L15" i="36" s="1"/>
  <c r="J15" i="36"/>
  <c r="X65" i="36"/>
  <c r="M47" i="36"/>
  <c r="N18" i="36"/>
  <c r="O18" i="36" s="1"/>
  <c r="N17" i="36"/>
  <c r="O17" i="36" s="1"/>
  <c r="J17" i="36"/>
  <c r="N19" i="36"/>
  <c r="O19" i="36" s="1"/>
  <c r="K17" i="36"/>
  <c r="L17" i="36" s="1"/>
  <c r="N69" i="36"/>
  <c r="O69" i="36" s="1"/>
  <c r="K68" i="36"/>
  <c r="L68" i="36" s="1"/>
  <c r="J68" i="36"/>
  <c r="N70" i="36"/>
  <c r="O70" i="36" s="1"/>
  <c r="N68" i="36"/>
  <c r="O68" i="36" s="1"/>
  <c r="N31" i="36"/>
  <c r="O31" i="36" s="1"/>
  <c r="K30" i="36"/>
  <c r="L30" i="36" s="1"/>
  <c r="J30" i="36"/>
  <c r="N32" i="36"/>
  <c r="O32" i="36" s="1"/>
  <c r="N30" i="36"/>
  <c r="O30" i="36" s="1"/>
  <c r="N45" i="36"/>
  <c r="O45" i="36" s="1"/>
  <c r="N44" i="36"/>
  <c r="O44" i="36" s="1"/>
  <c r="K43" i="36"/>
  <c r="L43" i="36" s="1"/>
  <c r="N43" i="36"/>
  <c r="O43" i="36" s="1"/>
  <c r="J43" i="36"/>
  <c r="J79" i="36"/>
  <c r="J78" i="36"/>
  <c r="K78" i="36"/>
  <c r="L78" i="36" s="1"/>
  <c r="J72" i="36"/>
  <c r="J73" i="36"/>
  <c r="K72" i="36"/>
  <c r="L72" i="36" s="1"/>
  <c r="N50" i="36"/>
  <c r="O50" i="36" s="1"/>
  <c r="N49" i="36"/>
  <c r="O49" i="36" s="1"/>
  <c r="J49" i="36"/>
  <c r="N51" i="36"/>
  <c r="O51" i="36" s="1"/>
  <c r="K49" i="36"/>
  <c r="L49" i="36" s="1"/>
  <c r="J18" i="36"/>
  <c r="K18" i="36"/>
  <c r="L18" i="36" s="1"/>
  <c r="J19" i="36"/>
  <c r="M10" i="36"/>
  <c r="M8" i="36"/>
  <c r="W10" i="36"/>
  <c r="W8" i="36"/>
  <c r="J70" i="36"/>
  <c r="K69" i="36"/>
  <c r="L69" i="36" s="1"/>
  <c r="J69" i="36"/>
  <c r="J34" i="36"/>
  <c r="J35" i="36"/>
  <c r="K34" i="36"/>
  <c r="L34" i="36" s="1"/>
  <c r="M7" i="36"/>
  <c r="M5" i="36"/>
  <c r="J38" i="36"/>
  <c r="K37" i="36"/>
  <c r="L37" i="36" s="1"/>
  <c r="J37" i="36"/>
  <c r="J45" i="36"/>
  <c r="J44" i="36"/>
  <c r="K44" i="36"/>
  <c r="L44" i="36" s="1"/>
  <c r="K14" i="36"/>
  <c r="L14" i="36" s="1"/>
  <c r="N15" i="36"/>
  <c r="O15" i="36" s="1"/>
  <c r="N16" i="36"/>
  <c r="O16" i="36" s="1"/>
  <c r="N14" i="36"/>
  <c r="O14" i="36" s="1"/>
  <c r="J14" i="36"/>
  <c r="J50" i="36"/>
  <c r="J51" i="36"/>
  <c r="K50" i="36"/>
  <c r="L50" i="36" s="1"/>
  <c r="M40" i="36"/>
  <c r="N35" i="36"/>
  <c r="O35" i="36" s="1"/>
  <c r="N33" i="36"/>
  <c r="O33" i="36" s="1"/>
  <c r="N34" i="36"/>
  <c r="O34" i="36" s="1"/>
  <c r="K33" i="36"/>
  <c r="L33" i="36" s="1"/>
  <c r="J33" i="36"/>
  <c r="N76" i="36"/>
  <c r="O76" i="36" s="1"/>
  <c r="N74" i="36"/>
  <c r="O74" i="36" s="1"/>
  <c r="K74" i="36"/>
  <c r="L74" i="36" s="1"/>
  <c r="N75" i="36"/>
  <c r="O75" i="36" s="1"/>
  <c r="J74" i="36"/>
  <c r="J36" i="36"/>
  <c r="N38" i="36"/>
  <c r="O38" i="36" s="1"/>
  <c r="N36" i="36"/>
  <c r="O36" i="36" s="1"/>
  <c r="N37" i="36"/>
  <c r="O37" i="36" s="1"/>
  <c r="K36" i="36"/>
  <c r="L36" i="36" s="1"/>
  <c r="H35" i="21"/>
  <c r="H51" i="21"/>
  <c r="H26" i="21"/>
  <c r="I62" i="27"/>
  <c r="K62" i="27" s="1"/>
  <c r="I65" i="32"/>
  <c r="K65" i="32" s="1"/>
  <c r="L65" i="32" s="1"/>
  <c r="X72" i="32"/>
  <c r="X71" i="32"/>
  <c r="X73" i="32"/>
  <c r="X47" i="32"/>
  <c r="X64" i="32"/>
  <c r="X62" i="32"/>
  <c r="X63" i="32"/>
  <c r="X50" i="32"/>
  <c r="X56" i="32"/>
  <c r="X55" i="32"/>
  <c r="X57" i="32"/>
  <c r="X59" i="32"/>
  <c r="X60" i="32"/>
  <c r="X58" i="32"/>
  <c r="X49" i="32"/>
  <c r="X48" i="32"/>
  <c r="X45" i="32"/>
  <c r="X43" i="32"/>
  <c r="X44" i="32"/>
  <c r="X30" i="32"/>
  <c r="X31" i="32"/>
  <c r="X32" i="32"/>
  <c r="X37" i="32"/>
  <c r="X36" i="32"/>
  <c r="X38" i="32"/>
  <c r="X34" i="32"/>
  <c r="X35" i="32"/>
  <c r="X33" i="32"/>
  <c r="X27" i="32"/>
  <c r="X28" i="32"/>
  <c r="X29" i="32"/>
  <c r="X41" i="32"/>
  <c r="X40" i="32"/>
  <c r="X24" i="32"/>
  <c r="X26" i="32"/>
  <c r="X25" i="32"/>
  <c r="X9" i="32"/>
  <c r="X8" i="32"/>
  <c r="X10" i="32"/>
  <c r="X14" i="32"/>
  <c r="X16" i="32"/>
  <c r="X15" i="32"/>
  <c r="X11" i="32"/>
  <c r="X12" i="32"/>
  <c r="X13" i="32"/>
  <c r="X17" i="32"/>
  <c r="X18" i="32"/>
  <c r="X19" i="32"/>
  <c r="X5" i="32"/>
  <c r="X7" i="32"/>
  <c r="X6" i="32"/>
  <c r="I67" i="32"/>
  <c r="N67" i="32" s="1"/>
  <c r="O67" i="32" s="1"/>
  <c r="D67" i="32" s="1"/>
  <c r="I31" i="32"/>
  <c r="AR7" i="32" s="1"/>
  <c r="I30" i="32"/>
  <c r="K30" i="32" s="1"/>
  <c r="L30" i="32" s="1"/>
  <c r="K32" i="32"/>
  <c r="L32" i="32" s="1"/>
  <c r="I10" i="32"/>
  <c r="AK8" i="32" s="1"/>
  <c r="I9" i="32"/>
  <c r="K9" i="32" s="1"/>
  <c r="L9" i="32" s="1"/>
  <c r="I21" i="32"/>
  <c r="AO7" i="32" s="1"/>
  <c r="I52" i="32"/>
  <c r="AY6" i="32" s="1"/>
  <c r="I53" i="32"/>
  <c r="J54" i="32" s="1"/>
  <c r="AU8" i="32"/>
  <c r="I39" i="32"/>
  <c r="AU6" i="32" s="1"/>
  <c r="I40" i="32"/>
  <c r="J41" i="32" s="1"/>
  <c r="AY8" i="32"/>
  <c r="K72" i="32"/>
  <c r="L72" i="32" s="1"/>
  <c r="M71" i="32" s="1"/>
  <c r="AO8" i="32"/>
  <c r="I15" i="32"/>
  <c r="K15" i="32" s="1"/>
  <c r="L15" i="32" s="1"/>
  <c r="I62" i="32"/>
  <c r="K62" i="32" s="1"/>
  <c r="L62" i="32" s="1"/>
  <c r="I55" i="32"/>
  <c r="I71" i="32"/>
  <c r="BE6" i="32" s="1"/>
  <c r="I56" i="32"/>
  <c r="AZ7" i="32" s="1"/>
  <c r="I5" i="32"/>
  <c r="I59" i="32"/>
  <c r="K59" i="32" s="1"/>
  <c r="L59" i="32" s="1"/>
  <c r="M58" i="32" s="1"/>
  <c r="I64" i="32"/>
  <c r="K64" i="32" s="1"/>
  <c r="L64" i="32" s="1"/>
  <c r="I58" i="32"/>
  <c r="K58" i="32" s="1"/>
  <c r="L58" i="32" s="1"/>
  <c r="I20" i="32"/>
  <c r="J73" i="32"/>
  <c r="I73" i="32"/>
  <c r="I43" i="32"/>
  <c r="K43" i="32" s="1"/>
  <c r="L43" i="32" s="1"/>
  <c r="I44" i="32"/>
  <c r="K44" i="32" s="1"/>
  <c r="L44" i="32" s="1"/>
  <c r="I75" i="32"/>
  <c r="K75" i="32" s="1"/>
  <c r="L75" i="32" s="1"/>
  <c r="M74" i="32" s="1"/>
  <c r="I76" i="32"/>
  <c r="BF8" i="32" s="1"/>
  <c r="AP8" i="32"/>
  <c r="K26" i="32"/>
  <c r="L26" i="32" s="1"/>
  <c r="I35" i="32"/>
  <c r="I34" i="32"/>
  <c r="I33" i="32"/>
  <c r="I16" i="32"/>
  <c r="K16" i="32" s="1"/>
  <c r="L16" i="32" s="1"/>
  <c r="K60" i="32"/>
  <c r="L60" i="32" s="1"/>
  <c r="BA8" i="32"/>
  <c r="I24" i="32"/>
  <c r="I25" i="32"/>
  <c r="I19" i="32"/>
  <c r="I17" i="32"/>
  <c r="AN7" i="32"/>
  <c r="I46" i="32"/>
  <c r="K46" i="32" s="1"/>
  <c r="L46" i="32" s="1"/>
  <c r="K31" i="32"/>
  <c r="L31" i="32" s="1"/>
  <c r="I48" i="32"/>
  <c r="K48" i="32" s="1"/>
  <c r="L48" i="32" s="1"/>
  <c r="K18" i="32"/>
  <c r="L18" i="32" s="1"/>
  <c r="M17" i="32" s="1"/>
  <c r="I6" i="32"/>
  <c r="K6" i="32" s="1"/>
  <c r="L6" i="32" s="1"/>
  <c r="I13" i="32"/>
  <c r="I11" i="32"/>
  <c r="I69" i="32"/>
  <c r="I68" i="32"/>
  <c r="I70" i="32"/>
  <c r="I37" i="32"/>
  <c r="I36" i="32"/>
  <c r="I38" i="32"/>
  <c r="I27" i="32"/>
  <c r="I29" i="32"/>
  <c r="I28" i="32"/>
  <c r="I77" i="32"/>
  <c r="I79" i="32"/>
  <c r="I78" i="32"/>
  <c r="BF6" i="32"/>
  <c r="K74" i="32"/>
  <c r="L74" i="32" s="1"/>
  <c r="K66" i="32"/>
  <c r="L66" i="32" s="1"/>
  <c r="J67" i="32"/>
  <c r="BC7" i="32"/>
  <c r="K12" i="32"/>
  <c r="L12" i="32" s="1"/>
  <c r="AL7" i="32"/>
  <c r="J13" i="32"/>
  <c r="K57" i="32"/>
  <c r="L57" i="32" s="1"/>
  <c r="AZ8" i="32"/>
  <c r="K14" i="32"/>
  <c r="L14" i="32" s="1"/>
  <c r="AM6" i="32"/>
  <c r="AJ8" i="32"/>
  <c r="K7" i="32"/>
  <c r="L7" i="32" s="1"/>
  <c r="K47" i="32"/>
  <c r="L47" i="32" s="1"/>
  <c r="AW7" i="32"/>
  <c r="J48" i="32"/>
  <c r="K45" i="32"/>
  <c r="L45" i="32" s="1"/>
  <c r="AV8" i="32"/>
  <c r="K8" i="32"/>
  <c r="L8" i="32" s="1"/>
  <c r="AK6" i="32"/>
  <c r="K63" i="32"/>
  <c r="L63" i="32" s="1"/>
  <c r="J64" i="32"/>
  <c r="BB7" i="32"/>
  <c r="I49" i="32"/>
  <c r="I51" i="32"/>
  <c r="I50" i="32"/>
  <c r="X44" i="31"/>
  <c r="I63" i="27"/>
  <c r="K63" i="27" s="1"/>
  <c r="I31" i="27"/>
  <c r="K31" i="27" s="1"/>
  <c r="X66" i="31"/>
  <c r="X14" i="31"/>
  <c r="I17" i="31"/>
  <c r="N17" i="31" s="1"/>
  <c r="O17" i="31" s="1"/>
  <c r="D17" i="31" s="1"/>
  <c r="X43" i="31"/>
  <c r="X45" i="31"/>
  <c r="I38" i="31"/>
  <c r="K38" i="31" s="1"/>
  <c r="L38" i="31" s="1"/>
  <c r="X24" i="31"/>
  <c r="X16" i="31"/>
  <c r="X26" i="31"/>
  <c r="X67" i="31"/>
  <c r="X68" i="31"/>
  <c r="X69" i="31"/>
  <c r="I20" i="31"/>
  <c r="K20" i="31" s="1"/>
  <c r="L20" i="31" s="1"/>
  <c r="I37" i="31"/>
  <c r="K37" i="31" s="1"/>
  <c r="L37" i="31" s="1"/>
  <c r="X28" i="31"/>
  <c r="I21" i="31"/>
  <c r="I49" i="31"/>
  <c r="K49" i="31" s="1"/>
  <c r="L49" i="31" s="1"/>
  <c r="I43" i="31"/>
  <c r="I44" i="31"/>
  <c r="J45" i="31" s="1"/>
  <c r="X73" i="31"/>
  <c r="I71" i="31"/>
  <c r="K71" i="31" s="1"/>
  <c r="L71" i="31" s="1"/>
  <c r="I78" i="31"/>
  <c r="I25" i="31"/>
  <c r="X71" i="31"/>
  <c r="X72" i="31"/>
  <c r="I26" i="31"/>
  <c r="K26" i="31" s="1"/>
  <c r="L26" i="31" s="1"/>
  <c r="I73" i="31"/>
  <c r="K73" i="31" s="1"/>
  <c r="L73" i="31" s="1"/>
  <c r="X29" i="31"/>
  <c r="X37" i="31"/>
  <c r="I79" i="31"/>
  <c r="K79" i="31" s="1"/>
  <c r="L79" i="31" s="1"/>
  <c r="I40" i="31"/>
  <c r="I50" i="31"/>
  <c r="I57" i="31"/>
  <c r="K57" i="31" s="1"/>
  <c r="L57" i="31" s="1"/>
  <c r="I9" i="31"/>
  <c r="J10" i="31" s="1"/>
  <c r="I63" i="31"/>
  <c r="I64" i="31"/>
  <c r="K64" i="31" s="1"/>
  <c r="L64" i="31" s="1"/>
  <c r="I55" i="31"/>
  <c r="X63" i="31"/>
  <c r="X27" i="31"/>
  <c r="I59" i="31"/>
  <c r="X38" i="31"/>
  <c r="I33" i="31"/>
  <c r="K33" i="31" s="1"/>
  <c r="L33" i="31" s="1"/>
  <c r="I41" i="31"/>
  <c r="K41" i="31" s="1"/>
  <c r="L41" i="31" s="1"/>
  <c r="I10" i="31"/>
  <c r="K10" i="31" s="1"/>
  <c r="L10" i="31" s="1"/>
  <c r="I53" i="31"/>
  <c r="J54" i="31" s="1"/>
  <c r="I34" i="31"/>
  <c r="I13" i="31"/>
  <c r="K13" i="31" s="1"/>
  <c r="L13" i="31" s="1"/>
  <c r="I60" i="31"/>
  <c r="K60" i="31" s="1"/>
  <c r="L60" i="31" s="1"/>
  <c r="I54" i="31"/>
  <c r="K54" i="31" s="1"/>
  <c r="L54" i="31" s="1"/>
  <c r="I11" i="31"/>
  <c r="X75" i="31"/>
  <c r="X31" i="31"/>
  <c r="X78" i="31"/>
  <c r="X21" i="31"/>
  <c r="X59" i="31"/>
  <c r="X50" i="31"/>
  <c r="X47" i="31"/>
  <c r="X7" i="31"/>
  <c r="X5" i="31"/>
  <c r="I66" i="31"/>
  <c r="I65" i="31"/>
  <c r="I67" i="31"/>
  <c r="K67" i="31" s="1"/>
  <c r="L67" i="31" s="1"/>
  <c r="J60" i="12"/>
  <c r="I70" i="31"/>
  <c r="K70" i="31" s="1"/>
  <c r="L70" i="31" s="1"/>
  <c r="I68" i="31"/>
  <c r="I69" i="31"/>
  <c r="X53" i="31"/>
  <c r="J73" i="31"/>
  <c r="K72" i="31"/>
  <c r="L72" i="31" s="1"/>
  <c r="I30" i="31"/>
  <c r="I32" i="31"/>
  <c r="K32" i="31" s="1"/>
  <c r="L32" i="31" s="1"/>
  <c r="I31" i="31"/>
  <c r="X19" i="31"/>
  <c r="X17" i="31"/>
  <c r="K39" i="31"/>
  <c r="L39" i="31" s="1"/>
  <c r="I47" i="31"/>
  <c r="I46" i="31"/>
  <c r="I48" i="31"/>
  <c r="K48" i="31" s="1"/>
  <c r="L48" i="31" s="1"/>
  <c r="X64" i="31"/>
  <c r="X62" i="31"/>
  <c r="J13" i="31"/>
  <c r="K12" i="31"/>
  <c r="L12" i="31" s="1"/>
  <c r="X48" i="31"/>
  <c r="X46" i="31"/>
  <c r="K58" i="31"/>
  <c r="L58" i="31" s="1"/>
  <c r="X55" i="31"/>
  <c r="X57" i="31"/>
  <c r="H60" i="12"/>
  <c r="X51" i="31"/>
  <c r="X49" i="31"/>
  <c r="X34" i="31"/>
  <c r="X40" i="31"/>
  <c r="X79" i="31"/>
  <c r="X77" i="31"/>
  <c r="X20" i="31"/>
  <c r="X22" i="31"/>
  <c r="X32" i="31"/>
  <c r="X30" i="31"/>
  <c r="K36" i="31"/>
  <c r="L36" i="31" s="1"/>
  <c r="K77" i="31"/>
  <c r="L77" i="31" s="1"/>
  <c r="I74" i="31"/>
  <c r="I76" i="31"/>
  <c r="K76" i="31" s="1"/>
  <c r="L76" i="31" s="1"/>
  <c r="I75" i="31"/>
  <c r="X60" i="31"/>
  <c r="X58" i="31"/>
  <c r="I6" i="31"/>
  <c r="I5" i="31"/>
  <c r="I7" i="31"/>
  <c r="K7" i="31" s="1"/>
  <c r="L7" i="31" s="1"/>
  <c r="K24" i="31"/>
  <c r="L24" i="31" s="1"/>
  <c r="X56" i="31"/>
  <c r="X52" i="31"/>
  <c r="X54" i="31"/>
  <c r="J19" i="31"/>
  <c r="K18" i="31"/>
  <c r="L18" i="31" s="1"/>
  <c r="J18" i="31"/>
  <c r="I28" i="31"/>
  <c r="I27" i="31"/>
  <c r="I29" i="31"/>
  <c r="K29" i="31" s="1"/>
  <c r="L29" i="31" s="1"/>
  <c r="I16" i="31"/>
  <c r="K16" i="31" s="1"/>
  <c r="L16" i="31" s="1"/>
  <c r="I15" i="31"/>
  <c r="I14" i="31"/>
  <c r="X39" i="31"/>
  <c r="X41" i="31"/>
  <c r="K52" i="31"/>
  <c r="L52" i="31" s="1"/>
  <c r="X35" i="31"/>
  <c r="X33" i="31"/>
  <c r="X6" i="31"/>
  <c r="X18" i="31"/>
  <c r="J57" i="31"/>
  <c r="K56" i="31"/>
  <c r="L56" i="31" s="1"/>
  <c r="K8" i="31"/>
  <c r="L8" i="31" s="1"/>
  <c r="X76" i="31"/>
  <c r="X74" i="31"/>
  <c r="I14" i="21" a="1"/>
  <c r="I15" i="21" s="1"/>
  <c r="K15" i="21" s="1"/>
  <c r="L15" i="21" s="1"/>
  <c r="M14" i="21" s="1"/>
  <c r="I32" i="27"/>
  <c r="K32" i="27" s="1"/>
  <c r="H63" i="21"/>
  <c r="J61" i="12"/>
  <c r="I61" i="12"/>
  <c r="J59" i="12"/>
  <c r="H59" i="12"/>
  <c r="H68" i="21"/>
  <c r="H61" i="12"/>
  <c r="I60" i="12"/>
  <c r="H62" i="21"/>
  <c r="I77" i="21" a="1"/>
  <c r="I78" i="21" s="1"/>
  <c r="K78" i="21" s="1"/>
  <c r="L78" i="21" s="1"/>
  <c r="M77" i="21" s="1"/>
  <c r="I43" i="21" a="1"/>
  <c r="I45" i="21" s="1"/>
  <c r="K45" i="21" s="1"/>
  <c r="L45" i="21" s="1"/>
  <c r="I58" i="21" a="1"/>
  <c r="I58" i="21" s="1"/>
  <c r="K58" i="21" s="1"/>
  <c r="L58" i="21" s="1"/>
  <c r="I27" i="21" a="1"/>
  <c r="I28" i="21" s="1"/>
  <c r="K28" i="21" s="1"/>
  <c r="L28" i="21" s="1"/>
  <c r="M27" i="21" s="1"/>
  <c r="I25" i="27"/>
  <c r="K25" i="27" s="1"/>
  <c r="I24" i="27"/>
  <c r="K24" i="27" s="1"/>
  <c r="I72" i="27"/>
  <c r="K72" i="27" s="1"/>
  <c r="I46" i="21" a="1"/>
  <c r="I46" i="21" s="1"/>
  <c r="K46" i="21" s="1"/>
  <c r="L46" i="21" s="1"/>
  <c r="I71" i="27"/>
  <c r="K71" i="27" s="1"/>
  <c r="X78" i="27"/>
  <c r="X77" i="27"/>
  <c r="X37" i="27"/>
  <c r="X38" i="27"/>
  <c r="I76" i="27"/>
  <c r="K76" i="27" s="1"/>
  <c r="I12" i="27"/>
  <c r="K12" i="27" s="1"/>
  <c r="I28" i="27"/>
  <c r="K28" i="27" s="1"/>
  <c r="I29" i="27"/>
  <c r="K29" i="27" s="1"/>
  <c r="I79" i="27"/>
  <c r="K79" i="27" s="1"/>
  <c r="I74" i="27"/>
  <c r="K74" i="27" s="1"/>
  <c r="I77" i="27"/>
  <c r="K77" i="27" s="1"/>
  <c r="I70" i="27"/>
  <c r="K70" i="27" s="1"/>
  <c r="I21" i="27"/>
  <c r="K21" i="27" s="1"/>
  <c r="I5" i="27"/>
  <c r="K5" i="27" s="1"/>
  <c r="I7" i="27"/>
  <c r="K7" i="27" s="1"/>
  <c r="I6" i="27"/>
  <c r="K6" i="27" s="1"/>
  <c r="X50" i="27"/>
  <c r="X11" i="27"/>
  <c r="I55" i="27"/>
  <c r="K55" i="27" s="1"/>
  <c r="I35" i="27"/>
  <c r="K35" i="27" s="1"/>
  <c r="X5" i="27"/>
  <c r="X51" i="27"/>
  <c r="X16" i="27"/>
  <c r="I34" i="27"/>
  <c r="K34" i="27" s="1"/>
  <c r="X18" i="27"/>
  <c r="I19" i="27"/>
  <c r="K19" i="27" s="1"/>
  <c r="X15" i="27"/>
  <c r="I18" i="27"/>
  <c r="K18" i="27" s="1"/>
  <c r="X59" i="27"/>
  <c r="I57" i="27"/>
  <c r="K57" i="27" s="1"/>
  <c r="I48" i="27"/>
  <c r="K48" i="27" s="1"/>
  <c r="I44" i="27"/>
  <c r="K44" i="27" s="1"/>
  <c r="I40" i="27"/>
  <c r="K40" i="27" s="1"/>
  <c r="I46" i="27"/>
  <c r="K46" i="27" s="1"/>
  <c r="X25" i="27"/>
  <c r="I45" i="27"/>
  <c r="K45" i="27" s="1"/>
  <c r="X60" i="27"/>
  <c r="I41" i="27"/>
  <c r="K41" i="27" s="1"/>
  <c r="X19" i="27"/>
  <c r="X13" i="27"/>
  <c r="I68" i="27"/>
  <c r="K68" i="27" s="1"/>
  <c r="I22" i="27"/>
  <c r="K22" i="27" s="1"/>
  <c r="X24" i="27"/>
  <c r="X26" i="27"/>
  <c r="I16" i="27"/>
  <c r="K16" i="27" s="1"/>
  <c r="I52" i="27"/>
  <c r="K52" i="27" s="1"/>
  <c r="X54" i="27"/>
  <c r="I15" i="27"/>
  <c r="K15" i="27" s="1"/>
  <c r="I53" i="27"/>
  <c r="K53" i="27" s="1"/>
  <c r="X73" i="27"/>
  <c r="X45" i="27"/>
  <c r="X46" i="27"/>
  <c r="X72" i="27"/>
  <c r="X44" i="27"/>
  <c r="X48" i="27"/>
  <c r="X7" i="27"/>
  <c r="X52" i="27"/>
  <c r="X10" i="27"/>
  <c r="I49" i="27"/>
  <c r="K49" i="27" s="1"/>
  <c r="I51" i="27"/>
  <c r="K51" i="27" s="1"/>
  <c r="I50" i="27"/>
  <c r="K50" i="27" s="1"/>
  <c r="X22" i="27"/>
  <c r="I8" i="27"/>
  <c r="K8" i="27" s="1"/>
  <c r="I10" i="27"/>
  <c r="K10" i="27" s="1"/>
  <c r="I9" i="27"/>
  <c r="K9" i="27" s="1"/>
  <c r="I36" i="27"/>
  <c r="K36" i="27" s="1"/>
  <c r="I38" i="27"/>
  <c r="K38" i="27" s="1"/>
  <c r="I37" i="27"/>
  <c r="K37" i="27" s="1"/>
  <c r="I65" i="27"/>
  <c r="K65" i="27" s="1"/>
  <c r="I67" i="27"/>
  <c r="K67" i="27" s="1"/>
  <c r="I66" i="27"/>
  <c r="K66" i="27" s="1"/>
  <c r="X9" i="27"/>
  <c r="X21" i="27"/>
  <c r="I58" i="27"/>
  <c r="K58" i="27" s="1"/>
  <c r="I60" i="27"/>
  <c r="K60" i="27" s="1"/>
  <c r="I59" i="27"/>
  <c r="K59" i="27" s="1"/>
  <c r="X28" i="27"/>
  <c r="X69" i="27"/>
  <c r="X34" i="27"/>
  <c r="X40" i="27"/>
  <c r="X33" i="27"/>
  <c r="X35" i="27"/>
  <c r="X76" i="27"/>
  <c r="X74" i="27"/>
  <c r="X27" i="27"/>
  <c r="X29" i="27"/>
  <c r="X68" i="27"/>
  <c r="X70" i="27"/>
  <c r="X65" i="27"/>
  <c r="X67" i="27"/>
  <c r="X62" i="27"/>
  <c r="X64" i="27"/>
  <c r="X66" i="27"/>
  <c r="X75" i="27"/>
  <c r="X63" i="27"/>
  <c r="X41" i="27"/>
  <c r="X39" i="27"/>
  <c r="E40" i="24"/>
  <c r="D39" i="24"/>
  <c r="D38" i="24"/>
  <c r="C39" i="24"/>
  <c r="C38" i="24"/>
  <c r="D40" i="24"/>
  <c r="E38" i="24"/>
  <c r="C40" i="24"/>
  <c r="D13" i="24"/>
  <c r="C15" i="24"/>
  <c r="E15" i="24"/>
  <c r="D15" i="24"/>
  <c r="E14" i="24"/>
  <c r="C14" i="24"/>
  <c r="D14" i="24"/>
  <c r="E13" i="24"/>
  <c r="I11" i="21" a="1"/>
  <c r="I11" i="21" s="1"/>
  <c r="I55" i="21" a="1"/>
  <c r="I57" i="21" s="1"/>
  <c r="K57" i="21" s="1"/>
  <c r="L57" i="21" s="1"/>
  <c r="I17" i="21" a="1"/>
  <c r="I18" i="21" s="1"/>
  <c r="I33" i="21" a="1"/>
  <c r="I35" i="21" s="1"/>
  <c r="H24" i="21"/>
  <c r="I52" i="21" a="1"/>
  <c r="I8" i="21" a="1"/>
  <c r="I68" i="21" a="1"/>
  <c r="I65" i="21" a="1"/>
  <c r="I20" i="21" a="1"/>
  <c r="I71" i="21" a="1"/>
  <c r="I36" i="21" a="1"/>
  <c r="I62" i="21" a="1"/>
  <c r="I24" i="21" a="1"/>
  <c r="I74" i="21" a="1"/>
  <c r="H48" i="21"/>
  <c r="H69" i="21"/>
  <c r="H19" i="21"/>
  <c r="H32" i="21"/>
  <c r="H57" i="21"/>
  <c r="H7" i="21"/>
  <c r="G51" i="21"/>
  <c r="H76" i="21"/>
  <c r="G41" i="21"/>
  <c r="H75" i="21"/>
  <c r="G39" i="21"/>
  <c r="G32" i="21"/>
  <c r="H74" i="21"/>
  <c r="G5" i="21"/>
  <c r="H16" i="21"/>
  <c r="H25" i="21"/>
  <c r="H15" i="21"/>
  <c r="M59" i="36" l="1"/>
  <c r="M58" i="36"/>
  <c r="Y59" i="36"/>
  <c r="Y60" i="36"/>
  <c r="M27" i="36"/>
  <c r="Y29" i="36"/>
  <c r="M29" i="36"/>
  <c r="Y27" i="36"/>
  <c r="D9" i="36"/>
  <c r="AC7" i="36" s="1"/>
  <c r="Y28" i="36"/>
  <c r="M26" i="36"/>
  <c r="D8" i="36"/>
  <c r="AC6" i="36" s="1"/>
  <c r="Y47" i="36"/>
  <c r="D10" i="36"/>
  <c r="AC8" i="36" s="1"/>
  <c r="D48" i="36"/>
  <c r="AO8" i="36" s="1"/>
  <c r="M54" i="36"/>
  <c r="M53" i="36"/>
  <c r="D25" i="36"/>
  <c r="AH7" i="36" s="1"/>
  <c r="D56" i="36"/>
  <c r="AR7" i="36" s="1"/>
  <c r="D62" i="36"/>
  <c r="AT6" i="36" s="1"/>
  <c r="D12" i="36"/>
  <c r="AD7" i="36" s="1"/>
  <c r="D26" i="36"/>
  <c r="AH8" i="36" s="1"/>
  <c r="M25" i="36"/>
  <c r="M20" i="36"/>
  <c r="D46" i="36"/>
  <c r="AO6" i="36" s="1"/>
  <c r="Y24" i="36"/>
  <c r="M21" i="36"/>
  <c r="Y53" i="36"/>
  <c r="D52" i="36"/>
  <c r="AQ6" i="36" s="1"/>
  <c r="M64" i="36"/>
  <c r="Y64" i="36"/>
  <c r="D63" i="36"/>
  <c r="AT7" i="36" s="1"/>
  <c r="M62" i="36"/>
  <c r="Y13" i="36"/>
  <c r="D6" i="36"/>
  <c r="AB7" i="36" s="1"/>
  <c r="D54" i="36"/>
  <c r="AQ8" i="36" s="1"/>
  <c r="M11" i="36"/>
  <c r="D57" i="36"/>
  <c r="AR8" i="36" s="1"/>
  <c r="D11" i="36"/>
  <c r="AD6" i="36" s="1"/>
  <c r="M75" i="36"/>
  <c r="D20" i="36"/>
  <c r="AG6" i="36" s="1"/>
  <c r="M57" i="36"/>
  <c r="D22" i="36"/>
  <c r="AG8" i="36" s="1"/>
  <c r="Y55" i="36"/>
  <c r="M55" i="36"/>
  <c r="D7" i="36"/>
  <c r="AB8" i="36" s="1"/>
  <c r="M13" i="36"/>
  <c r="Y67" i="36"/>
  <c r="D67" i="36"/>
  <c r="AU8" i="36" s="1"/>
  <c r="D65" i="36"/>
  <c r="AU6" i="36" s="1"/>
  <c r="Y65" i="36"/>
  <c r="Y66" i="36"/>
  <c r="D66" i="36"/>
  <c r="AU7" i="36" s="1"/>
  <c r="D41" i="36"/>
  <c r="AM8" i="36" s="1"/>
  <c r="D5" i="36"/>
  <c r="AB6" i="36" s="1"/>
  <c r="D40" i="36"/>
  <c r="AM7" i="36" s="1"/>
  <c r="D39" i="36"/>
  <c r="AM6" i="36" s="1"/>
  <c r="M15" i="36"/>
  <c r="M37" i="36"/>
  <c r="M31" i="36"/>
  <c r="D21" i="36"/>
  <c r="AG7" i="36" s="1"/>
  <c r="M78" i="36"/>
  <c r="M44" i="36"/>
  <c r="M72" i="36"/>
  <c r="Y74" i="36"/>
  <c r="D74" i="36"/>
  <c r="AX6" i="36" s="1"/>
  <c r="D68" i="36"/>
  <c r="AV6" i="36" s="1"/>
  <c r="Y68" i="36"/>
  <c r="Y37" i="36"/>
  <c r="D37" i="36"/>
  <c r="AL7" i="36" s="1"/>
  <c r="Y76" i="36"/>
  <c r="D76" i="36"/>
  <c r="AX8" i="36" s="1"/>
  <c r="D33" i="36"/>
  <c r="AK6" i="36" s="1"/>
  <c r="Y33" i="36"/>
  <c r="Y14" i="36"/>
  <c r="D14" i="36"/>
  <c r="AE6" i="36" s="1"/>
  <c r="M43" i="36"/>
  <c r="M45" i="36"/>
  <c r="M36" i="36"/>
  <c r="M38" i="36"/>
  <c r="M33" i="36"/>
  <c r="M35" i="36"/>
  <c r="M68" i="36"/>
  <c r="M70" i="36"/>
  <c r="X8" i="36"/>
  <c r="D49" i="36"/>
  <c r="AP6" i="36" s="1"/>
  <c r="Y49" i="36"/>
  <c r="Y44" i="36"/>
  <c r="D44" i="36"/>
  <c r="AN7" i="36" s="1"/>
  <c r="Y70" i="36"/>
  <c r="D70" i="36"/>
  <c r="AV8" i="36" s="1"/>
  <c r="M18" i="36"/>
  <c r="Y18" i="36"/>
  <c r="D18" i="36"/>
  <c r="AF7" i="36" s="1"/>
  <c r="Y78" i="36"/>
  <c r="D78" i="36"/>
  <c r="AY7" i="36" s="1"/>
  <c r="Y32" i="36"/>
  <c r="D32" i="36"/>
  <c r="AJ8" i="36" s="1"/>
  <c r="Y36" i="36"/>
  <c r="D36" i="36"/>
  <c r="AL6" i="36" s="1"/>
  <c r="Y75" i="36"/>
  <c r="D75" i="36"/>
  <c r="AX7" i="36" s="1"/>
  <c r="Y35" i="36"/>
  <c r="D35" i="36"/>
  <c r="AK8" i="36" s="1"/>
  <c r="Y16" i="36"/>
  <c r="D16" i="36"/>
  <c r="AE8" i="36" s="1"/>
  <c r="M50" i="36"/>
  <c r="Y50" i="36"/>
  <c r="D50" i="36"/>
  <c r="AP7" i="36" s="1"/>
  <c r="M71" i="36"/>
  <c r="M73" i="36"/>
  <c r="Y45" i="36"/>
  <c r="D45" i="36"/>
  <c r="AN8" i="36" s="1"/>
  <c r="D19" i="36"/>
  <c r="AF8" i="36" s="1"/>
  <c r="Y19" i="36"/>
  <c r="D72" i="36"/>
  <c r="AW7" i="36" s="1"/>
  <c r="Y72" i="36"/>
  <c r="X46" i="36"/>
  <c r="Y77" i="36"/>
  <c r="D77" i="36"/>
  <c r="AY6" i="36" s="1"/>
  <c r="M74" i="36"/>
  <c r="M76" i="36"/>
  <c r="M30" i="36"/>
  <c r="M32" i="36"/>
  <c r="Y34" i="36"/>
  <c r="D34" i="36"/>
  <c r="AK7" i="36" s="1"/>
  <c r="M17" i="36"/>
  <c r="M19" i="36"/>
  <c r="Y69" i="36"/>
  <c r="D69" i="36"/>
  <c r="AV7" i="36" s="1"/>
  <c r="D17" i="36"/>
  <c r="AF6" i="36" s="1"/>
  <c r="Y17" i="36"/>
  <c r="M16" i="36"/>
  <c r="M14" i="36"/>
  <c r="Y73" i="36"/>
  <c r="D73" i="36"/>
  <c r="AW8" i="36" s="1"/>
  <c r="D38" i="36"/>
  <c r="AL8" i="36" s="1"/>
  <c r="Y38" i="36"/>
  <c r="M34" i="36"/>
  <c r="M49" i="36"/>
  <c r="M51" i="36"/>
  <c r="Y15" i="36"/>
  <c r="D15" i="36"/>
  <c r="AE7" i="36" s="1"/>
  <c r="X5" i="36"/>
  <c r="Y51" i="36"/>
  <c r="D51" i="36"/>
  <c r="AP8" i="36" s="1"/>
  <c r="M77" i="36"/>
  <c r="M79" i="36"/>
  <c r="D43" i="36"/>
  <c r="AN6" i="36" s="1"/>
  <c r="Y43" i="36"/>
  <c r="D30" i="36"/>
  <c r="AJ6" i="36" s="1"/>
  <c r="Y30" i="36"/>
  <c r="Y31" i="36"/>
  <c r="D31" i="36"/>
  <c r="AJ7" i="36" s="1"/>
  <c r="M69" i="36"/>
  <c r="X39" i="36"/>
  <c r="Y71" i="36"/>
  <c r="D71" i="36"/>
  <c r="AW6" i="36" s="1"/>
  <c r="Y79" i="36"/>
  <c r="D79" i="36"/>
  <c r="AY8" i="36" s="1"/>
  <c r="BC6" i="32"/>
  <c r="I30" i="21" a="1"/>
  <c r="I30" i="21" s="1"/>
  <c r="K30" i="21" s="1"/>
  <c r="L30" i="21" s="1"/>
  <c r="I5" i="21" a="1"/>
  <c r="I5" i="21" s="1"/>
  <c r="I49" i="21" a="1"/>
  <c r="I50" i="21" s="1"/>
  <c r="K50" i="21" s="1"/>
  <c r="L50" i="21" s="1"/>
  <c r="M49" i="21" s="1"/>
  <c r="M31" i="32"/>
  <c r="J10" i="32"/>
  <c r="AK7" i="32"/>
  <c r="J32" i="32"/>
  <c r="K10" i="32"/>
  <c r="L10" i="32" s="1"/>
  <c r="M10" i="32" s="1"/>
  <c r="J9" i="32"/>
  <c r="BC8" i="32"/>
  <c r="J65" i="32"/>
  <c r="K67" i="32"/>
  <c r="L67" i="32" s="1"/>
  <c r="M67" i="32" s="1"/>
  <c r="N65" i="32"/>
  <c r="O65" i="32" s="1"/>
  <c r="J66" i="32"/>
  <c r="N66" i="32"/>
  <c r="O66" i="32" s="1"/>
  <c r="D66" i="32" s="1"/>
  <c r="J31" i="32"/>
  <c r="J22" i="32"/>
  <c r="N31" i="32"/>
  <c r="O31" i="32" s="1"/>
  <c r="D31" i="32" s="1"/>
  <c r="N32" i="32"/>
  <c r="O32" i="32" s="1"/>
  <c r="N30" i="32"/>
  <c r="O30" i="32" s="1"/>
  <c r="J30" i="32"/>
  <c r="AR6" i="32"/>
  <c r="K21" i="32"/>
  <c r="L21" i="32" s="1"/>
  <c r="M22" i="32" s="1"/>
  <c r="N8" i="32"/>
  <c r="O8" i="32" s="1"/>
  <c r="N10" i="32"/>
  <c r="O10" i="32" s="1"/>
  <c r="N9" i="32"/>
  <c r="O9" i="32" s="1"/>
  <c r="J8" i="32"/>
  <c r="K52" i="32"/>
  <c r="L52" i="32" s="1"/>
  <c r="N52" i="32"/>
  <c r="AY7" i="32"/>
  <c r="N53" i="32"/>
  <c r="O53" i="32" s="1"/>
  <c r="D53" i="32" s="1"/>
  <c r="J53" i="32"/>
  <c r="K53" i="32"/>
  <c r="L53" i="32" s="1"/>
  <c r="M54" i="32" s="1"/>
  <c r="N54" i="32"/>
  <c r="O54" i="32" s="1"/>
  <c r="D54" i="32" s="1"/>
  <c r="K39" i="32"/>
  <c r="L39" i="32" s="1"/>
  <c r="J40" i="32"/>
  <c r="J52" i="32"/>
  <c r="K40" i="32"/>
  <c r="L40" i="32" s="1"/>
  <c r="M39" i="32" s="1"/>
  <c r="N41" i="32"/>
  <c r="O41" i="32" s="1"/>
  <c r="D41" i="32" s="1"/>
  <c r="J39" i="32"/>
  <c r="AU7" i="32"/>
  <c r="N39" i="32"/>
  <c r="J16" i="32"/>
  <c r="J57" i="32"/>
  <c r="K56" i="32"/>
  <c r="L56" i="32" s="1"/>
  <c r="M57" i="32" s="1"/>
  <c r="N40" i="32"/>
  <c r="O40" i="32" s="1"/>
  <c r="D40" i="32" s="1"/>
  <c r="AM7" i="32"/>
  <c r="Z67" i="32"/>
  <c r="N72" i="32"/>
  <c r="O72" i="32" s="1"/>
  <c r="D72" i="32" s="1"/>
  <c r="N57" i="32"/>
  <c r="O57" i="32" s="1"/>
  <c r="D57" i="32" s="1"/>
  <c r="BA7" i="32"/>
  <c r="J55" i="32"/>
  <c r="K55" i="32"/>
  <c r="L55" i="32" s="1"/>
  <c r="K5" i="32"/>
  <c r="L5" i="32" s="1"/>
  <c r="M6" i="32" s="1"/>
  <c r="AJ6" i="32"/>
  <c r="K71" i="32"/>
  <c r="L71" i="32" s="1"/>
  <c r="M72" i="32" s="1"/>
  <c r="M59" i="32"/>
  <c r="N62" i="32"/>
  <c r="N56" i="32"/>
  <c r="O56" i="32" s="1"/>
  <c r="D56" i="32" s="1"/>
  <c r="J62" i="32"/>
  <c r="N55" i="32"/>
  <c r="BB6" i="32"/>
  <c r="J56" i="32"/>
  <c r="AZ6" i="32"/>
  <c r="J58" i="32"/>
  <c r="J63" i="32"/>
  <c r="N63" i="32"/>
  <c r="O63" i="32" s="1"/>
  <c r="D63" i="32" s="1"/>
  <c r="K76" i="32"/>
  <c r="L76" i="32" s="1"/>
  <c r="M76" i="32" s="1"/>
  <c r="N64" i="32"/>
  <c r="O64" i="32" s="1"/>
  <c r="D64" i="32" s="1"/>
  <c r="BB8" i="32"/>
  <c r="J60" i="32"/>
  <c r="J45" i="32"/>
  <c r="AW8" i="32"/>
  <c r="K73" i="32"/>
  <c r="L73" i="32" s="1"/>
  <c r="M73" i="32" s="1"/>
  <c r="N18" i="32"/>
  <c r="O18" i="32" s="1"/>
  <c r="D18" i="32" s="1"/>
  <c r="J59" i="32"/>
  <c r="N59" i="32"/>
  <c r="O59" i="32" s="1"/>
  <c r="D59" i="32" s="1"/>
  <c r="N58" i="32"/>
  <c r="J71" i="32"/>
  <c r="M60" i="32"/>
  <c r="AV7" i="32"/>
  <c r="N73" i="32"/>
  <c r="O73" i="32" s="1"/>
  <c r="D73" i="32" s="1"/>
  <c r="N60" i="32"/>
  <c r="O60" i="32" s="1"/>
  <c r="D60" i="32" s="1"/>
  <c r="BA6" i="32"/>
  <c r="J72" i="32"/>
  <c r="AO6" i="32"/>
  <c r="J20" i="32"/>
  <c r="N22" i="32"/>
  <c r="O22" i="32" s="1"/>
  <c r="D22" i="32" s="1"/>
  <c r="K20" i="32"/>
  <c r="L20" i="32" s="1"/>
  <c r="N21" i="32"/>
  <c r="O21" i="32" s="1"/>
  <c r="D21" i="32" s="1"/>
  <c r="N20" i="32"/>
  <c r="N71" i="32"/>
  <c r="BE8" i="32"/>
  <c r="J5" i="32"/>
  <c r="J21" i="32"/>
  <c r="N43" i="32"/>
  <c r="BF7" i="32"/>
  <c r="J14" i="32"/>
  <c r="N12" i="32"/>
  <c r="O12" i="32" s="1"/>
  <c r="D12" i="32" s="1"/>
  <c r="M9" i="32"/>
  <c r="J44" i="32"/>
  <c r="M15" i="32"/>
  <c r="J43" i="32"/>
  <c r="AV6" i="32"/>
  <c r="N44" i="32"/>
  <c r="O44" i="32" s="1"/>
  <c r="D44" i="32" s="1"/>
  <c r="J76" i="32"/>
  <c r="N76" i="32"/>
  <c r="O76" i="32" s="1"/>
  <c r="D76" i="32" s="1"/>
  <c r="N45" i="32"/>
  <c r="O45" i="32" s="1"/>
  <c r="D45" i="32" s="1"/>
  <c r="M75" i="32"/>
  <c r="N16" i="32"/>
  <c r="O16" i="32" s="1"/>
  <c r="D16" i="32" s="1"/>
  <c r="N75" i="32"/>
  <c r="O75" i="32" s="1"/>
  <c r="D75" i="32" s="1"/>
  <c r="J47" i="32"/>
  <c r="N15" i="32"/>
  <c r="O15" i="32" s="1"/>
  <c r="D15" i="32" s="1"/>
  <c r="J15" i="32"/>
  <c r="J75" i="32"/>
  <c r="N74" i="32"/>
  <c r="AM8" i="32"/>
  <c r="J74" i="32"/>
  <c r="N26" i="32"/>
  <c r="O26" i="32" s="1"/>
  <c r="D26" i="32" s="1"/>
  <c r="J12" i="32"/>
  <c r="J35" i="32"/>
  <c r="K34" i="32"/>
  <c r="L34" i="32" s="1"/>
  <c r="J34" i="32"/>
  <c r="AS7" i="32"/>
  <c r="N14" i="32"/>
  <c r="AL8" i="32"/>
  <c r="J46" i="32"/>
  <c r="K35" i="32"/>
  <c r="L35" i="32" s="1"/>
  <c r="AS8" i="32"/>
  <c r="K13" i="32"/>
  <c r="L13" i="32" s="1"/>
  <c r="M13" i="32" s="1"/>
  <c r="N11" i="32"/>
  <c r="K33" i="32"/>
  <c r="L33" i="32" s="1"/>
  <c r="N33" i="32"/>
  <c r="AS6" i="32"/>
  <c r="J33" i="32"/>
  <c r="N35" i="32"/>
  <c r="O35" i="32" s="1"/>
  <c r="D35" i="32" s="1"/>
  <c r="N34" i="32"/>
  <c r="O34" i="32" s="1"/>
  <c r="D34" i="32" s="1"/>
  <c r="AJ7" i="32"/>
  <c r="N19" i="32"/>
  <c r="O19" i="32" s="1"/>
  <c r="D19" i="32" s="1"/>
  <c r="K17" i="32"/>
  <c r="L17" i="32" s="1"/>
  <c r="M18" i="32" s="1"/>
  <c r="J17" i="32"/>
  <c r="AN6" i="32"/>
  <c r="J26" i="32"/>
  <c r="K25" i="32"/>
  <c r="L25" i="32" s="1"/>
  <c r="AP7" i="32"/>
  <c r="N5" i="32"/>
  <c r="J7" i="32"/>
  <c r="J24" i="32"/>
  <c r="J25" i="32"/>
  <c r="N24" i="32"/>
  <c r="AN8" i="32"/>
  <c r="K19" i="32"/>
  <c r="L19" i="32" s="1"/>
  <c r="M19" i="32" s="1"/>
  <c r="AP6" i="32"/>
  <c r="K24" i="32"/>
  <c r="L24" i="32" s="1"/>
  <c r="N25" i="32"/>
  <c r="O25" i="32" s="1"/>
  <c r="D25" i="32" s="1"/>
  <c r="N7" i="32"/>
  <c r="O7" i="32" s="1"/>
  <c r="D7" i="32" s="1"/>
  <c r="N6" i="32"/>
  <c r="O6" i="32" s="1"/>
  <c r="D6" i="32" s="1"/>
  <c r="M32" i="32"/>
  <c r="M66" i="32"/>
  <c r="J6" i="32"/>
  <c r="J18" i="32"/>
  <c r="N17" i="32"/>
  <c r="M30" i="32"/>
  <c r="N13" i="32"/>
  <c r="O13" i="32" s="1"/>
  <c r="D13" i="32" s="1"/>
  <c r="AL6" i="32"/>
  <c r="N46" i="32"/>
  <c r="J11" i="32"/>
  <c r="K11" i="32"/>
  <c r="L11" i="32" s="1"/>
  <c r="M12" i="32" s="1"/>
  <c r="N48" i="32"/>
  <c r="O48" i="32" s="1"/>
  <c r="D48" i="32" s="1"/>
  <c r="N47" i="32"/>
  <c r="O47" i="32" s="1"/>
  <c r="D47" i="32" s="1"/>
  <c r="AW6" i="32"/>
  <c r="K29" i="32"/>
  <c r="L29" i="32" s="1"/>
  <c r="AQ8" i="32"/>
  <c r="J38" i="32"/>
  <c r="AT7" i="32"/>
  <c r="K37" i="32"/>
  <c r="L37" i="32" s="1"/>
  <c r="J37" i="32"/>
  <c r="BD6" i="32"/>
  <c r="K68" i="32"/>
  <c r="L68" i="32" s="1"/>
  <c r="N70" i="32"/>
  <c r="O70" i="32" s="1"/>
  <c r="D70" i="32" s="1"/>
  <c r="N68" i="32"/>
  <c r="J68" i="32"/>
  <c r="K27" i="32"/>
  <c r="L27" i="32" s="1"/>
  <c r="AQ6" i="32"/>
  <c r="N27" i="32"/>
  <c r="J27" i="32"/>
  <c r="N28" i="32"/>
  <c r="O28" i="32" s="1"/>
  <c r="D28" i="32" s="1"/>
  <c r="N29" i="32"/>
  <c r="O29" i="32" s="1"/>
  <c r="D29" i="32" s="1"/>
  <c r="N69" i="32"/>
  <c r="O69" i="32" s="1"/>
  <c r="D69" i="32" s="1"/>
  <c r="J70" i="32"/>
  <c r="K69" i="32"/>
  <c r="L69" i="32" s="1"/>
  <c r="BD7" i="32"/>
  <c r="J69" i="32"/>
  <c r="K38" i="32"/>
  <c r="L38" i="32" s="1"/>
  <c r="AT8" i="32"/>
  <c r="J28" i="32"/>
  <c r="J29" i="32"/>
  <c r="AQ7" i="32"/>
  <c r="K28" i="32"/>
  <c r="L28" i="32" s="1"/>
  <c r="N38" i="32"/>
  <c r="O38" i="32" s="1"/>
  <c r="D38" i="32" s="1"/>
  <c r="K36" i="32"/>
  <c r="L36" i="32" s="1"/>
  <c r="N37" i="32"/>
  <c r="O37" i="32" s="1"/>
  <c r="D37" i="32" s="1"/>
  <c r="J36" i="32"/>
  <c r="AT6" i="32"/>
  <c r="N36" i="32"/>
  <c r="K70" i="32"/>
  <c r="L70" i="32" s="1"/>
  <c r="BD8" i="32"/>
  <c r="N78" i="32"/>
  <c r="O78" i="32" s="1"/>
  <c r="D78" i="32" s="1"/>
  <c r="K78" i="32"/>
  <c r="L78" i="32" s="1"/>
  <c r="BG7" i="32"/>
  <c r="J78" i="32"/>
  <c r="J79" i="32"/>
  <c r="K79" i="32"/>
  <c r="L79" i="32" s="1"/>
  <c r="BG8" i="32"/>
  <c r="BG6" i="32"/>
  <c r="K77" i="32"/>
  <c r="L77" i="32" s="1"/>
  <c r="N79" i="32"/>
  <c r="O79" i="32" s="1"/>
  <c r="D79" i="32" s="1"/>
  <c r="N77" i="32"/>
  <c r="J77" i="32"/>
  <c r="N51" i="32"/>
  <c r="O51" i="32" s="1"/>
  <c r="D51" i="32" s="1"/>
  <c r="K49" i="32"/>
  <c r="L49" i="32" s="1"/>
  <c r="N49" i="32"/>
  <c r="J49" i="32"/>
  <c r="N50" i="32"/>
  <c r="O50" i="32" s="1"/>
  <c r="D50" i="32" s="1"/>
  <c r="AX6" i="32"/>
  <c r="M44" i="32"/>
  <c r="M11" i="32"/>
  <c r="M16" i="32"/>
  <c r="M14" i="32"/>
  <c r="M64" i="32"/>
  <c r="M62" i="32"/>
  <c r="M7" i="32"/>
  <c r="M5" i="32"/>
  <c r="M45" i="32"/>
  <c r="M43" i="32"/>
  <c r="M48" i="32"/>
  <c r="M46" i="32"/>
  <c r="J51" i="32"/>
  <c r="K50" i="32"/>
  <c r="L50" i="32" s="1"/>
  <c r="J50" i="32"/>
  <c r="AX7" i="32"/>
  <c r="K51" i="32"/>
  <c r="L51" i="32" s="1"/>
  <c r="AX8" i="32"/>
  <c r="M8" i="32"/>
  <c r="M63" i="32"/>
  <c r="M47" i="32"/>
  <c r="M65" i="32"/>
  <c r="J55" i="31"/>
  <c r="N19" i="31"/>
  <c r="O19" i="31" s="1"/>
  <c r="K17" i="31"/>
  <c r="L17" i="31" s="1"/>
  <c r="M18" i="31" s="1"/>
  <c r="N18" i="31"/>
  <c r="O18" i="31" s="1"/>
  <c r="J17" i="31"/>
  <c r="J38" i="31"/>
  <c r="N37" i="31"/>
  <c r="O37" i="31" s="1"/>
  <c r="N38" i="31"/>
  <c r="O38" i="31" s="1"/>
  <c r="J20" i="31"/>
  <c r="J36" i="31"/>
  <c r="J37" i="31"/>
  <c r="N36" i="31"/>
  <c r="O36" i="31" s="1"/>
  <c r="N21" i="31"/>
  <c r="O21" i="31" s="1"/>
  <c r="J22" i="31"/>
  <c r="N20" i="31"/>
  <c r="O20" i="31" s="1"/>
  <c r="J21" i="31"/>
  <c r="N22" i="31"/>
  <c r="O22" i="31" s="1"/>
  <c r="K21" i="31"/>
  <c r="L21" i="31" s="1"/>
  <c r="M22" i="31" s="1"/>
  <c r="J44" i="31"/>
  <c r="J43" i="31"/>
  <c r="K43" i="31"/>
  <c r="L43" i="31" s="1"/>
  <c r="N44" i="31"/>
  <c r="O44" i="31" s="1"/>
  <c r="J49" i="31"/>
  <c r="N45" i="31"/>
  <c r="O45" i="31" s="1"/>
  <c r="K44" i="31"/>
  <c r="L44" i="31" s="1"/>
  <c r="N43" i="31"/>
  <c r="O43" i="31" s="1"/>
  <c r="J56" i="31"/>
  <c r="N56" i="31"/>
  <c r="O56" i="31" s="1"/>
  <c r="J34" i="31"/>
  <c r="N77" i="31"/>
  <c r="O77" i="31" s="1"/>
  <c r="J78" i="31"/>
  <c r="N35" i="31"/>
  <c r="O35" i="31" s="1"/>
  <c r="J79" i="31"/>
  <c r="J77" i="31"/>
  <c r="J24" i="31"/>
  <c r="N79" i="31"/>
  <c r="O79" i="31" s="1"/>
  <c r="N41" i="31"/>
  <c r="O41" i="31" s="1"/>
  <c r="N24" i="31"/>
  <c r="O24" i="31" s="1"/>
  <c r="J25" i="31"/>
  <c r="K78" i="31"/>
  <c r="L78" i="31" s="1"/>
  <c r="M79" i="31" s="1"/>
  <c r="N25" i="31"/>
  <c r="O25" i="31" s="1"/>
  <c r="N49" i="31"/>
  <c r="O49" i="31" s="1"/>
  <c r="J41" i="31"/>
  <c r="N78" i="31"/>
  <c r="O78" i="31" s="1"/>
  <c r="J26" i="31"/>
  <c r="J50" i="31"/>
  <c r="N26" i="31"/>
  <c r="O26" i="31" s="1"/>
  <c r="K34" i="31"/>
  <c r="L34" i="31" s="1"/>
  <c r="M34" i="31" s="1"/>
  <c r="K25" i="31"/>
  <c r="L25" i="31" s="1"/>
  <c r="M25" i="31" s="1"/>
  <c r="J71" i="31"/>
  <c r="N57" i="31"/>
  <c r="O57" i="31" s="1"/>
  <c r="N55" i="31"/>
  <c r="O55" i="31" s="1"/>
  <c r="N39" i="31"/>
  <c r="O39" i="31" s="1"/>
  <c r="K55" i="31"/>
  <c r="L55" i="31" s="1"/>
  <c r="M56" i="31" s="1"/>
  <c r="N40" i="31"/>
  <c r="O40" i="31" s="1"/>
  <c r="J72" i="31"/>
  <c r="N71" i="31"/>
  <c r="O71" i="31" s="1"/>
  <c r="J40" i="31"/>
  <c r="J39" i="31"/>
  <c r="N73" i="31"/>
  <c r="O73" i="31" s="1"/>
  <c r="K40" i="31"/>
  <c r="L40" i="31" s="1"/>
  <c r="M41" i="31" s="1"/>
  <c r="N72" i="31"/>
  <c r="O72" i="31" s="1"/>
  <c r="J58" i="31"/>
  <c r="K50" i="31"/>
  <c r="L50" i="31" s="1"/>
  <c r="M51" i="31" s="1"/>
  <c r="N51" i="31"/>
  <c r="O51" i="31" s="1"/>
  <c r="N12" i="31"/>
  <c r="O12" i="31" s="1"/>
  <c r="N62" i="31"/>
  <c r="O62" i="31" s="1"/>
  <c r="J51" i="31"/>
  <c r="N50" i="31"/>
  <c r="O50" i="31" s="1"/>
  <c r="N33" i="31"/>
  <c r="O33" i="31" s="1"/>
  <c r="N53" i="31"/>
  <c r="O53" i="31" s="1"/>
  <c r="N34" i="31"/>
  <c r="O34" i="31" s="1"/>
  <c r="J35" i="31"/>
  <c r="K9" i="31"/>
  <c r="L9" i="31" s="1"/>
  <c r="M8" i="31" s="1"/>
  <c r="J33" i="31"/>
  <c r="N59" i="31"/>
  <c r="O59" i="31" s="1"/>
  <c r="J8" i="31"/>
  <c r="N63" i="31"/>
  <c r="O63" i="31" s="1"/>
  <c r="K63" i="31"/>
  <c r="L63" i="31" s="1"/>
  <c r="J64" i="31"/>
  <c r="N64" i="31"/>
  <c r="O64" i="31" s="1"/>
  <c r="D64" i="31" s="1"/>
  <c r="N60" i="31"/>
  <c r="O60" i="31" s="1"/>
  <c r="J62" i="31"/>
  <c r="J63" i="31"/>
  <c r="N8" i="31"/>
  <c r="O8" i="31" s="1"/>
  <c r="J59" i="31"/>
  <c r="J9" i="31"/>
  <c r="N10" i="31"/>
  <c r="O10" i="31" s="1"/>
  <c r="K59" i="31"/>
  <c r="L59" i="31" s="1"/>
  <c r="M58" i="31" s="1"/>
  <c r="N58" i="31"/>
  <c r="N9" i="31"/>
  <c r="O9" i="31" s="1"/>
  <c r="J60" i="31"/>
  <c r="J11" i="31"/>
  <c r="J52" i="31"/>
  <c r="J53" i="31"/>
  <c r="N11" i="31"/>
  <c r="O11" i="31" s="1"/>
  <c r="N52" i="31"/>
  <c r="O52" i="31" s="1"/>
  <c r="K53" i="31"/>
  <c r="L53" i="31" s="1"/>
  <c r="M54" i="31" s="1"/>
  <c r="J12" i="31"/>
  <c r="K11" i="31"/>
  <c r="L11" i="31" s="1"/>
  <c r="M12" i="31" s="1"/>
  <c r="N13" i="31"/>
  <c r="O13" i="31" s="1"/>
  <c r="N54" i="31"/>
  <c r="O54" i="31" s="1"/>
  <c r="J76" i="31"/>
  <c r="K75" i="31"/>
  <c r="L75" i="31" s="1"/>
  <c r="J75" i="31"/>
  <c r="J67" i="31"/>
  <c r="J66" i="31"/>
  <c r="K66" i="31"/>
  <c r="L66" i="31" s="1"/>
  <c r="Z17" i="31"/>
  <c r="AO6" i="31"/>
  <c r="M19" i="31"/>
  <c r="M17" i="31"/>
  <c r="M37" i="31"/>
  <c r="J47" i="31"/>
  <c r="J48" i="31"/>
  <c r="K47" i="31"/>
  <c r="L47" i="31" s="1"/>
  <c r="M36" i="31"/>
  <c r="M38" i="31"/>
  <c r="M57" i="31"/>
  <c r="M55" i="31"/>
  <c r="N15" i="31"/>
  <c r="O15" i="31" s="1"/>
  <c r="D15" i="31" s="1"/>
  <c r="N16" i="31"/>
  <c r="O16" i="31" s="1"/>
  <c r="D16" i="31" s="1"/>
  <c r="K14" i="31"/>
  <c r="L14" i="31" s="1"/>
  <c r="N14" i="31"/>
  <c r="O14" i="31" s="1"/>
  <c r="D14" i="31" s="1"/>
  <c r="J14" i="31"/>
  <c r="K27" i="31"/>
  <c r="L27" i="31" s="1"/>
  <c r="N27" i="31"/>
  <c r="O27" i="31" s="1"/>
  <c r="D27" i="31" s="1"/>
  <c r="N29" i="31"/>
  <c r="O29" i="31" s="1"/>
  <c r="D29" i="31" s="1"/>
  <c r="J27" i="31"/>
  <c r="N28" i="31"/>
  <c r="O28" i="31" s="1"/>
  <c r="D28" i="31" s="1"/>
  <c r="N7" i="31"/>
  <c r="O7" i="31" s="1"/>
  <c r="D7" i="31" s="1"/>
  <c r="N5" i="31"/>
  <c r="O5" i="31" s="1"/>
  <c r="D5" i="31" s="1"/>
  <c r="J5" i="31"/>
  <c r="K5" i="31"/>
  <c r="L5" i="31" s="1"/>
  <c r="N6" i="31"/>
  <c r="O6" i="31" s="1"/>
  <c r="D6" i="31" s="1"/>
  <c r="K74" i="31"/>
  <c r="L74" i="31" s="1"/>
  <c r="N76" i="31"/>
  <c r="O76" i="31" s="1"/>
  <c r="D76" i="31" s="1"/>
  <c r="N74" i="31"/>
  <c r="O74" i="31" s="1"/>
  <c r="D74" i="31" s="1"/>
  <c r="J74" i="31"/>
  <c r="N75" i="31"/>
  <c r="O75" i="31" s="1"/>
  <c r="D75" i="31" s="1"/>
  <c r="M13" i="31"/>
  <c r="M11" i="31"/>
  <c r="K30" i="31"/>
  <c r="L30" i="31" s="1"/>
  <c r="N32" i="31"/>
  <c r="O32" i="31" s="1"/>
  <c r="D32" i="31" s="1"/>
  <c r="N30" i="31"/>
  <c r="O30" i="31" s="1"/>
  <c r="D30" i="31" s="1"/>
  <c r="J30" i="31"/>
  <c r="N31" i="31"/>
  <c r="O31" i="31" s="1"/>
  <c r="D31" i="31" s="1"/>
  <c r="J69" i="31"/>
  <c r="K69" i="31"/>
  <c r="L69" i="31" s="1"/>
  <c r="J70" i="31"/>
  <c r="J32" i="31"/>
  <c r="K31" i="31"/>
  <c r="L31" i="31" s="1"/>
  <c r="J31" i="31"/>
  <c r="J16" i="31"/>
  <c r="K15" i="31"/>
  <c r="L15" i="31" s="1"/>
  <c r="J15" i="31"/>
  <c r="K28" i="31"/>
  <c r="L28" i="31" s="1"/>
  <c r="J29" i="31"/>
  <c r="J28" i="31"/>
  <c r="J7" i="31"/>
  <c r="K6" i="31"/>
  <c r="L6" i="31" s="1"/>
  <c r="J6" i="31"/>
  <c r="K46" i="31"/>
  <c r="L46" i="31" s="1"/>
  <c r="N46" i="31"/>
  <c r="O46" i="31" s="1"/>
  <c r="D46" i="31" s="1"/>
  <c r="N48" i="31"/>
  <c r="O48" i="31" s="1"/>
  <c r="D48" i="31" s="1"/>
  <c r="N47" i="31"/>
  <c r="O47" i="31" s="1"/>
  <c r="D47" i="31" s="1"/>
  <c r="J46" i="31"/>
  <c r="M71" i="31"/>
  <c r="M73" i="31"/>
  <c r="N69" i="31"/>
  <c r="O69" i="31" s="1"/>
  <c r="D69" i="31" s="1"/>
  <c r="K68" i="31"/>
  <c r="L68" i="31" s="1"/>
  <c r="N70" i="31"/>
  <c r="O70" i="31" s="1"/>
  <c r="D70" i="31" s="1"/>
  <c r="N68" i="31"/>
  <c r="O68" i="31" s="1"/>
  <c r="D68" i="31" s="1"/>
  <c r="J68" i="31"/>
  <c r="N67" i="31"/>
  <c r="O67" i="31" s="1"/>
  <c r="D67" i="31" s="1"/>
  <c r="K65" i="31"/>
  <c r="L65" i="31" s="1"/>
  <c r="N65" i="31"/>
  <c r="O65" i="31" s="1"/>
  <c r="D65" i="31" s="1"/>
  <c r="J65" i="31"/>
  <c r="N66" i="31"/>
  <c r="O66" i="31" s="1"/>
  <c r="D66" i="31" s="1"/>
  <c r="M72" i="31"/>
  <c r="AF7" i="21"/>
  <c r="J16" i="21"/>
  <c r="I16" i="21"/>
  <c r="AF8" i="21" s="1"/>
  <c r="I14" i="21"/>
  <c r="K14" i="21" s="1"/>
  <c r="L14" i="21" s="1"/>
  <c r="M15" i="21" s="1"/>
  <c r="J29" i="21"/>
  <c r="I77" i="21"/>
  <c r="K77" i="21" s="1"/>
  <c r="L77" i="21" s="1"/>
  <c r="M78" i="21" s="1"/>
  <c r="AZ7" i="21"/>
  <c r="J79" i="21"/>
  <c r="I44" i="21"/>
  <c r="I43" i="21"/>
  <c r="K43" i="21" s="1"/>
  <c r="L43" i="21" s="1"/>
  <c r="AO8" i="21"/>
  <c r="I79" i="21"/>
  <c r="K79" i="21" s="1"/>
  <c r="L79" i="21" s="1"/>
  <c r="M79" i="21" s="1"/>
  <c r="I48" i="21"/>
  <c r="AP8" i="21" s="1"/>
  <c r="D64" i="12" a="1"/>
  <c r="D64" i="12" s="1"/>
  <c r="I19" i="21"/>
  <c r="AG8" i="21" s="1"/>
  <c r="I60" i="21"/>
  <c r="AT8" i="21" s="1"/>
  <c r="I59" i="21"/>
  <c r="K59" i="21" s="1"/>
  <c r="L59" i="21" s="1"/>
  <c r="AJ7" i="21"/>
  <c r="I29" i="21"/>
  <c r="K29" i="21" s="1"/>
  <c r="L29" i="21" s="1"/>
  <c r="M29" i="21" s="1"/>
  <c r="I47" i="21"/>
  <c r="I27" i="21"/>
  <c r="AP6" i="21"/>
  <c r="AE6" i="21"/>
  <c r="K11" i="21"/>
  <c r="L11" i="21" s="1"/>
  <c r="I55" i="21"/>
  <c r="I12" i="21"/>
  <c r="J13" i="21" s="1"/>
  <c r="I13" i="21"/>
  <c r="AL8" i="21"/>
  <c r="K35" i="21"/>
  <c r="L35" i="21" s="1"/>
  <c r="I56" i="21"/>
  <c r="J19" i="21"/>
  <c r="K18" i="21"/>
  <c r="L18" i="21" s="1"/>
  <c r="C42" i="24" a="1"/>
  <c r="C44" i="24" s="1"/>
  <c r="E48" i="24" s="1"/>
  <c r="C17" i="24" a="1"/>
  <c r="C19" i="24" s="1"/>
  <c r="I17" i="21"/>
  <c r="I39" i="21" a="1"/>
  <c r="I39" i="21" s="1"/>
  <c r="K39" i="21" s="1"/>
  <c r="L39" i="21" s="1"/>
  <c r="I34" i="21"/>
  <c r="K34" i="21" s="1"/>
  <c r="L34" i="21" s="1"/>
  <c r="AG7" i="21"/>
  <c r="I33" i="21"/>
  <c r="AS8" i="21"/>
  <c r="I74" i="21"/>
  <c r="K74" i="21" s="1"/>
  <c r="L74" i="21" s="1"/>
  <c r="I76" i="21"/>
  <c r="I75" i="21"/>
  <c r="K75" i="21" s="1"/>
  <c r="L75" i="21" s="1"/>
  <c r="I71" i="21"/>
  <c r="I73" i="21"/>
  <c r="I72" i="21"/>
  <c r="K72" i="21" s="1"/>
  <c r="L72" i="21" s="1"/>
  <c r="I68" i="21"/>
  <c r="K68" i="21" s="1"/>
  <c r="L68" i="21" s="1"/>
  <c r="I70" i="21"/>
  <c r="I69" i="21"/>
  <c r="K69" i="21" s="1"/>
  <c r="L69" i="21" s="1"/>
  <c r="I64" i="21"/>
  <c r="I62" i="21"/>
  <c r="K62" i="21" s="1"/>
  <c r="L62" i="21" s="1"/>
  <c r="I63" i="21"/>
  <c r="K63" i="21" s="1"/>
  <c r="L63" i="21" s="1"/>
  <c r="I20" i="21"/>
  <c r="K20" i="21" s="1"/>
  <c r="L20" i="21" s="1"/>
  <c r="I22" i="21"/>
  <c r="I21" i="21"/>
  <c r="K21" i="21" s="1"/>
  <c r="L21" i="21" s="1"/>
  <c r="I8" i="21"/>
  <c r="I10" i="21"/>
  <c r="I9" i="21"/>
  <c r="K9" i="21" s="1"/>
  <c r="L9" i="21" s="1"/>
  <c r="I26" i="21"/>
  <c r="I25" i="21"/>
  <c r="K25" i="21" s="1"/>
  <c r="L25" i="21" s="1"/>
  <c r="I24" i="21"/>
  <c r="K24" i="21" s="1"/>
  <c r="L24" i="21" s="1"/>
  <c r="I36" i="21"/>
  <c r="K36" i="21" s="1"/>
  <c r="L36" i="21" s="1"/>
  <c r="I38" i="21"/>
  <c r="I37" i="21"/>
  <c r="K37" i="21" s="1"/>
  <c r="L37" i="21" s="1"/>
  <c r="I65" i="21"/>
  <c r="K65" i="21" s="1"/>
  <c r="L65" i="21" s="1"/>
  <c r="I67" i="21"/>
  <c r="I66" i="21"/>
  <c r="K66" i="21" s="1"/>
  <c r="L66" i="21" s="1"/>
  <c r="I52" i="21"/>
  <c r="K52" i="21" s="1"/>
  <c r="L52" i="21" s="1"/>
  <c r="I54" i="21"/>
  <c r="I53" i="21"/>
  <c r="K53" i="21" s="1"/>
  <c r="L53" i="21" s="1"/>
  <c r="H30" i="21"/>
  <c r="H50" i="21"/>
  <c r="H49" i="21"/>
  <c r="H40" i="21"/>
  <c r="H39" i="21"/>
  <c r="H14" i="21"/>
  <c r="H55" i="21"/>
  <c r="H56" i="21"/>
  <c r="H20" i="21"/>
  <c r="H21" i="21"/>
  <c r="H43" i="21"/>
  <c r="H44" i="21"/>
  <c r="H53" i="21"/>
  <c r="H52" i="21"/>
  <c r="H8" i="21"/>
  <c r="H9" i="21"/>
  <c r="H46" i="21"/>
  <c r="H47" i="21"/>
  <c r="AT6" i="21"/>
  <c r="H34" i="21"/>
  <c r="H33" i="21"/>
  <c r="H11" i="21"/>
  <c r="H12" i="21"/>
  <c r="H17" i="21"/>
  <c r="H18" i="21"/>
  <c r="H27" i="21"/>
  <c r="H28" i="21"/>
  <c r="H58" i="21"/>
  <c r="H59" i="21"/>
  <c r="H6" i="21"/>
  <c r="H5" i="21"/>
  <c r="H36" i="21"/>
  <c r="H37" i="21"/>
  <c r="H78" i="21"/>
  <c r="H77" i="21"/>
  <c r="H71" i="21"/>
  <c r="H72" i="21"/>
  <c r="H65" i="21"/>
  <c r="H66" i="21"/>
  <c r="H31" i="21"/>
  <c r="X58" i="36" l="1"/>
  <c r="X27" i="36"/>
  <c r="Z8" i="32"/>
  <c r="D8" i="32"/>
  <c r="Z32" i="32"/>
  <c r="D32" i="32"/>
  <c r="Z30" i="32"/>
  <c r="D30" i="32"/>
  <c r="Z9" i="32"/>
  <c r="D9" i="32"/>
  <c r="Z10" i="32"/>
  <c r="D10" i="32"/>
  <c r="Z65" i="32"/>
  <c r="D65" i="32"/>
  <c r="D11" i="31"/>
  <c r="AM6" i="31" s="1"/>
  <c r="D73" i="31"/>
  <c r="BF8" i="31" s="1"/>
  <c r="D35" i="31"/>
  <c r="AT8" i="31" s="1"/>
  <c r="D36" i="31"/>
  <c r="AU6" i="31" s="1"/>
  <c r="Z9" i="31"/>
  <c r="D9" i="31"/>
  <c r="AL7" i="31" s="1"/>
  <c r="D53" i="31"/>
  <c r="AZ7" i="31" s="1"/>
  <c r="Z62" i="31"/>
  <c r="D62" i="31"/>
  <c r="BC6" i="31" s="1"/>
  <c r="Z40" i="31"/>
  <c r="D40" i="31"/>
  <c r="AV7" i="31" s="1"/>
  <c r="Z57" i="31"/>
  <c r="D57" i="31"/>
  <c r="BA8" i="31" s="1"/>
  <c r="D26" i="31"/>
  <c r="AQ8" i="31" s="1"/>
  <c r="D20" i="31"/>
  <c r="AP6" i="31" s="1"/>
  <c r="Z37" i="31"/>
  <c r="D37" i="31"/>
  <c r="AU7" i="31" s="1"/>
  <c r="D59" i="31"/>
  <c r="BB7" i="31" s="1"/>
  <c r="D78" i="31"/>
  <c r="BH7" i="31" s="1"/>
  <c r="D79" i="31"/>
  <c r="BH8" i="31" s="1"/>
  <c r="D45" i="31"/>
  <c r="AW8" i="31" s="1"/>
  <c r="D18" i="31"/>
  <c r="AO7" i="31" s="1"/>
  <c r="D54" i="31"/>
  <c r="AZ8" i="31" s="1"/>
  <c r="D60" i="31"/>
  <c r="BB8" i="31" s="1"/>
  <c r="Z63" i="31"/>
  <c r="D63" i="31"/>
  <c r="BC7" i="31" s="1"/>
  <c r="Z33" i="31"/>
  <c r="D33" i="31"/>
  <c r="AT6" i="31" s="1"/>
  <c r="D12" i="31"/>
  <c r="AM7" i="31" s="1"/>
  <c r="Z72" i="31"/>
  <c r="D72" i="31"/>
  <c r="BF7" i="31" s="1"/>
  <c r="D49" i="31"/>
  <c r="AY6" i="31" s="1"/>
  <c r="D24" i="31"/>
  <c r="AQ6" i="31" s="1"/>
  <c r="Z77" i="31"/>
  <c r="D77" i="31"/>
  <c r="BH6" i="31" s="1"/>
  <c r="Z43" i="31"/>
  <c r="D43" i="31"/>
  <c r="AW6" i="31" s="1"/>
  <c r="D44" i="31"/>
  <c r="AW7" i="31" s="1"/>
  <c r="D19" i="31"/>
  <c r="AO8" i="31" s="1"/>
  <c r="Z10" i="31"/>
  <c r="D10" i="31"/>
  <c r="AL8" i="31" s="1"/>
  <c r="Z34" i="31"/>
  <c r="D34" i="31"/>
  <c r="AT7" i="31" s="1"/>
  <c r="D55" i="31"/>
  <c r="BA6" i="31" s="1"/>
  <c r="Z56" i="31"/>
  <c r="D56" i="31"/>
  <c r="BA7" i="31" s="1"/>
  <c r="D38" i="31"/>
  <c r="AU8" i="31" s="1"/>
  <c r="D13" i="31"/>
  <c r="AM8" i="31" s="1"/>
  <c r="Z52" i="31"/>
  <c r="D52" i="31"/>
  <c r="AZ6" i="31" s="1"/>
  <c r="Z8" i="31"/>
  <c r="D8" i="31"/>
  <c r="AL6" i="31" s="1"/>
  <c r="D50" i="31"/>
  <c r="AY7" i="31" s="1"/>
  <c r="D51" i="31"/>
  <c r="AY8" i="31" s="1"/>
  <c r="D71" i="31"/>
  <c r="BF6" i="31" s="1"/>
  <c r="Z39" i="31"/>
  <c r="D39" i="31"/>
  <c r="AV6" i="31" s="1"/>
  <c r="Z25" i="31"/>
  <c r="D25" i="31"/>
  <c r="AQ7" i="31" s="1"/>
  <c r="D41" i="31"/>
  <c r="AV8" i="31" s="1"/>
  <c r="D22" i="31"/>
  <c r="AP8" i="31" s="1"/>
  <c r="D21" i="31"/>
  <c r="AP7" i="31" s="1"/>
  <c r="X24" i="36"/>
  <c r="X52" i="36"/>
  <c r="X20" i="36"/>
  <c r="X62" i="36"/>
  <c r="X11" i="36"/>
  <c r="X55" i="36"/>
  <c r="I31" i="21"/>
  <c r="K31" i="21" s="1"/>
  <c r="L31" i="21" s="1"/>
  <c r="M31" i="21" s="1"/>
  <c r="I32" i="21"/>
  <c r="K32" i="21" s="1"/>
  <c r="L32" i="21" s="1"/>
  <c r="AH14" i="36" a="1"/>
  <c r="AJ16" i="36" s="1"/>
  <c r="X74" i="36"/>
  <c r="X71" i="36"/>
  <c r="X77" i="36"/>
  <c r="X68" i="36"/>
  <c r="X36" i="36"/>
  <c r="X17" i="36"/>
  <c r="X30" i="36"/>
  <c r="X49" i="36"/>
  <c r="X14" i="36"/>
  <c r="X33" i="36"/>
  <c r="X43" i="36"/>
  <c r="Y8" i="32"/>
  <c r="I51" i="21"/>
  <c r="K51" i="21" s="1"/>
  <c r="L51" i="21" s="1"/>
  <c r="M51" i="21" s="1"/>
  <c r="I49" i="21"/>
  <c r="K49" i="21" s="1"/>
  <c r="L49" i="21" s="1"/>
  <c r="M50" i="21" s="1"/>
  <c r="I6" i="21"/>
  <c r="K6" i="21" s="1"/>
  <c r="L6" i="21" s="1"/>
  <c r="I7" i="21"/>
  <c r="AC8" i="21" s="1"/>
  <c r="Y65" i="32"/>
  <c r="Y74" i="32"/>
  <c r="Y71" i="32"/>
  <c r="Y46" i="32"/>
  <c r="Y58" i="32"/>
  <c r="Y62" i="32"/>
  <c r="Y43" i="32"/>
  <c r="Y30" i="32"/>
  <c r="Y14" i="32"/>
  <c r="Y17" i="32"/>
  <c r="Y11" i="32"/>
  <c r="Y5" i="32"/>
  <c r="Z31" i="32"/>
  <c r="Z66" i="32"/>
  <c r="M21" i="32"/>
  <c r="M20" i="32"/>
  <c r="O36" i="32"/>
  <c r="D36" i="32" s="1"/>
  <c r="O33" i="32"/>
  <c r="O74" i="32"/>
  <c r="D74" i="32" s="1"/>
  <c r="O62" i="32"/>
  <c r="D62" i="32" s="1"/>
  <c r="O27" i="32"/>
  <c r="D27" i="32" s="1"/>
  <c r="O58" i="32"/>
  <c r="D58" i="32" s="1"/>
  <c r="O52" i="32"/>
  <c r="D52" i="32" s="1"/>
  <c r="O11" i="32"/>
  <c r="D11" i="32" s="1"/>
  <c r="O43" i="32"/>
  <c r="D43" i="32" s="1"/>
  <c r="O71" i="32"/>
  <c r="D71" i="32" s="1"/>
  <c r="O55" i="32"/>
  <c r="D55" i="32" s="1"/>
  <c r="O68" i="32"/>
  <c r="O14" i="32"/>
  <c r="D14" i="32" s="1"/>
  <c r="O49" i="32"/>
  <c r="O77" i="32"/>
  <c r="D77" i="32" s="1"/>
  <c r="O46" i="32"/>
  <c r="D46" i="32" s="1"/>
  <c r="O17" i="32"/>
  <c r="D17" i="32" s="1"/>
  <c r="O24" i="32"/>
  <c r="D24" i="32" s="1"/>
  <c r="O5" i="32"/>
  <c r="D5" i="32" s="1"/>
  <c r="O20" i="32"/>
  <c r="O39" i="32"/>
  <c r="D39" i="32" s="1"/>
  <c r="M41" i="32"/>
  <c r="Z53" i="32"/>
  <c r="M40" i="32"/>
  <c r="M53" i="32"/>
  <c r="Z41" i="32"/>
  <c r="M52" i="32"/>
  <c r="Z54" i="32"/>
  <c r="M55" i="32"/>
  <c r="Z40" i="32"/>
  <c r="M56" i="32"/>
  <c r="Z79" i="32"/>
  <c r="Z28" i="32"/>
  <c r="Z25" i="32"/>
  <c r="Z19" i="32"/>
  <c r="Z26" i="32"/>
  <c r="Z75" i="32"/>
  <c r="Z76" i="32"/>
  <c r="Z59" i="32"/>
  <c r="Z64" i="32"/>
  <c r="Z57" i="32"/>
  <c r="Z50" i="32"/>
  <c r="Z51" i="32"/>
  <c r="Z37" i="32"/>
  <c r="Z47" i="32"/>
  <c r="Z16" i="32"/>
  <c r="Z12" i="32"/>
  <c r="Z22" i="32"/>
  <c r="Z72" i="32"/>
  <c r="Z69" i="32"/>
  <c r="Z48" i="32"/>
  <c r="Z6" i="32"/>
  <c r="Z34" i="32"/>
  <c r="Z15" i="32"/>
  <c r="Z44" i="32"/>
  <c r="Z60" i="32"/>
  <c r="Z18" i="32"/>
  <c r="Z63" i="32"/>
  <c r="Z78" i="32"/>
  <c r="Z38" i="32"/>
  <c r="Z29" i="32"/>
  <c r="Z70" i="32"/>
  <c r="Z13" i="32"/>
  <c r="Z7" i="32"/>
  <c r="Z35" i="32"/>
  <c r="Z45" i="32"/>
  <c r="Z21" i="32"/>
  <c r="Z73" i="32"/>
  <c r="Z56" i="32"/>
  <c r="M34" i="32"/>
  <c r="M25" i="32"/>
  <c r="M33" i="32"/>
  <c r="M35" i="32"/>
  <c r="M24" i="32"/>
  <c r="M26" i="32"/>
  <c r="M37" i="32"/>
  <c r="AP14" i="32" a="1"/>
  <c r="AP15" i="32" s="1"/>
  <c r="M29" i="32"/>
  <c r="M27" i="32"/>
  <c r="M68" i="32"/>
  <c r="M70" i="32"/>
  <c r="M28" i="32"/>
  <c r="M69" i="32"/>
  <c r="M78" i="32"/>
  <c r="M38" i="32"/>
  <c r="M36" i="32"/>
  <c r="M79" i="32"/>
  <c r="M77" i="32"/>
  <c r="M51" i="32"/>
  <c r="M49" i="32"/>
  <c r="M50" i="32"/>
  <c r="Z19" i="31"/>
  <c r="Z18" i="31"/>
  <c r="Z20" i="31"/>
  <c r="Z36" i="31"/>
  <c r="Z38" i="31"/>
  <c r="Z45" i="31"/>
  <c r="Z21" i="31"/>
  <c r="M21" i="31"/>
  <c r="M20" i="31"/>
  <c r="Z22" i="31"/>
  <c r="M44" i="31"/>
  <c r="M43" i="31"/>
  <c r="Z41" i="31"/>
  <c r="Z44" i="31"/>
  <c r="M33" i="31"/>
  <c r="Z35" i="31"/>
  <c r="M45" i="31"/>
  <c r="M24" i="31"/>
  <c r="Z26" i="31"/>
  <c r="Z24" i="31"/>
  <c r="Z49" i="31"/>
  <c r="Z79" i="31"/>
  <c r="Z73" i="31"/>
  <c r="M77" i="31"/>
  <c r="M78" i="31"/>
  <c r="M26" i="31"/>
  <c r="M35" i="31"/>
  <c r="Z78" i="31"/>
  <c r="M50" i="31"/>
  <c r="M49" i="31"/>
  <c r="Z59" i="31"/>
  <c r="Z55" i="31"/>
  <c r="Z51" i="31"/>
  <c r="Z12" i="31"/>
  <c r="Z60" i="31"/>
  <c r="M40" i="31"/>
  <c r="Z71" i="31"/>
  <c r="Z13" i="31"/>
  <c r="M53" i="31"/>
  <c r="M39" i="31"/>
  <c r="Z50" i="31"/>
  <c r="Z53" i="31"/>
  <c r="Z54" i="31"/>
  <c r="M52" i="31"/>
  <c r="M59" i="31"/>
  <c r="M47" i="31"/>
  <c r="M10" i="31"/>
  <c r="M9" i="31"/>
  <c r="M60" i="31"/>
  <c r="M64" i="31"/>
  <c r="M63" i="31"/>
  <c r="M62" i="31"/>
  <c r="Z64" i="31"/>
  <c r="BC8" i="31"/>
  <c r="Z11" i="31"/>
  <c r="M69" i="31"/>
  <c r="M75" i="31"/>
  <c r="M6" i="31"/>
  <c r="Z65" i="31"/>
  <c r="BD6" i="31"/>
  <c r="M32" i="31"/>
  <c r="M30" i="31"/>
  <c r="AN7" i="31"/>
  <c r="Z15" i="31"/>
  <c r="M67" i="31"/>
  <c r="M65" i="31"/>
  <c r="M66" i="31"/>
  <c r="Z70" i="31"/>
  <c r="BE8" i="31"/>
  <c r="Y71" i="31"/>
  <c r="Z46" i="31"/>
  <c r="AX6" i="31"/>
  <c r="M7" i="31"/>
  <c r="M5" i="31"/>
  <c r="M14" i="31"/>
  <c r="M16" i="31"/>
  <c r="M70" i="31"/>
  <c r="M68" i="31"/>
  <c r="Z30" i="31"/>
  <c r="AS6" i="31"/>
  <c r="AR8" i="31"/>
  <c r="Z29" i="31"/>
  <c r="Z14" i="31"/>
  <c r="AN6" i="31"/>
  <c r="Y55" i="31"/>
  <c r="Z68" i="31"/>
  <c r="BE6" i="31"/>
  <c r="Z66" i="31"/>
  <c r="BD7" i="31"/>
  <c r="BD8" i="31"/>
  <c r="Z67" i="31"/>
  <c r="AS8" i="31"/>
  <c r="Z32" i="31"/>
  <c r="Y11" i="31"/>
  <c r="Z74" i="31"/>
  <c r="BG6" i="31"/>
  <c r="Z5" i="31"/>
  <c r="AK6" i="31"/>
  <c r="Z27" i="31"/>
  <c r="AR6" i="31"/>
  <c r="M15" i="31"/>
  <c r="Y36" i="31"/>
  <c r="Y17" i="31"/>
  <c r="M76" i="31"/>
  <c r="M74" i="31"/>
  <c r="Z48" i="31"/>
  <c r="AX8" i="31"/>
  <c r="BG7" i="31"/>
  <c r="Z75" i="31"/>
  <c r="BE7" i="31"/>
  <c r="Z69" i="31"/>
  <c r="Z47" i="31"/>
  <c r="AX7" i="31"/>
  <c r="M29" i="31"/>
  <c r="M27" i="31"/>
  <c r="AS7" i="31"/>
  <c r="Z31" i="31"/>
  <c r="M31" i="31"/>
  <c r="BG8" i="31"/>
  <c r="Z76" i="31"/>
  <c r="Z6" i="31"/>
  <c r="AK7" i="31"/>
  <c r="AK8" i="31"/>
  <c r="Z7" i="31"/>
  <c r="Z28" i="31"/>
  <c r="AR7" i="31"/>
  <c r="M28" i="31"/>
  <c r="Z16" i="31"/>
  <c r="AN8" i="31"/>
  <c r="M46" i="31"/>
  <c r="M48" i="31"/>
  <c r="E66" i="12"/>
  <c r="AZ8" i="21"/>
  <c r="K19" i="21"/>
  <c r="L19" i="21" s="1"/>
  <c r="M19" i="21" s="1"/>
  <c r="N33" i="21"/>
  <c r="E65" i="12"/>
  <c r="D66" i="12"/>
  <c r="AF6" i="21"/>
  <c r="J15" i="21"/>
  <c r="D65" i="12"/>
  <c r="N14" i="21"/>
  <c r="J14" i="21"/>
  <c r="N16" i="21"/>
  <c r="N15" i="21"/>
  <c r="K16" i="21"/>
  <c r="L16" i="21" s="1"/>
  <c r="M16" i="21" s="1"/>
  <c r="AZ6" i="21"/>
  <c r="N78" i="21"/>
  <c r="K48" i="21"/>
  <c r="L48" i="21" s="1"/>
  <c r="N56" i="21"/>
  <c r="J47" i="21"/>
  <c r="N77" i="21"/>
  <c r="N57" i="21"/>
  <c r="J78" i="21"/>
  <c r="J77" i="21"/>
  <c r="N79" i="21"/>
  <c r="F65" i="12"/>
  <c r="F64" i="12"/>
  <c r="E64" i="12"/>
  <c r="F66" i="12"/>
  <c r="N47" i="21"/>
  <c r="J43" i="21"/>
  <c r="AO6" i="21"/>
  <c r="K44" i="21"/>
  <c r="L44" i="21" s="1"/>
  <c r="M44" i="21" s="1"/>
  <c r="J45" i="21"/>
  <c r="J55" i="21"/>
  <c r="J44" i="21"/>
  <c r="N43" i="21"/>
  <c r="N55" i="21"/>
  <c r="N44" i="21"/>
  <c r="N46" i="21"/>
  <c r="N45" i="21"/>
  <c r="J56" i="21"/>
  <c r="AO7" i="21"/>
  <c r="N19" i="21"/>
  <c r="AT7" i="21"/>
  <c r="N48" i="21"/>
  <c r="J58" i="21"/>
  <c r="J60" i="21"/>
  <c r="N28" i="21"/>
  <c r="N60" i="21"/>
  <c r="J59" i="21"/>
  <c r="J27" i="21"/>
  <c r="J18" i="21"/>
  <c r="I40" i="21"/>
  <c r="K40" i="21" s="1"/>
  <c r="L40" i="21" s="1"/>
  <c r="M40" i="21" s="1"/>
  <c r="N18" i="21"/>
  <c r="M53" i="21"/>
  <c r="N11" i="21"/>
  <c r="N59" i="21"/>
  <c r="K60" i="21"/>
  <c r="L60" i="21" s="1"/>
  <c r="M60" i="21" s="1"/>
  <c r="J46" i="21"/>
  <c r="N58" i="21"/>
  <c r="J12" i="21"/>
  <c r="N12" i="21"/>
  <c r="N27" i="21"/>
  <c r="J28" i="21"/>
  <c r="J11" i="21"/>
  <c r="AJ8" i="21"/>
  <c r="N13" i="21"/>
  <c r="J33" i="21"/>
  <c r="N29" i="21"/>
  <c r="J17" i="21"/>
  <c r="N17" i="21"/>
  <c r="K27" i="21"/>
  <c r="L27" i="21" s="1"/>
  <c r="M28" i="21" s="1"/>
  <c r="AJ6" i="21"/>
  <c r="K47" i="21"/>
  <c r="L47" i="21" s="1"/>
  <c r="AP7" i="21"/>
  <c r="J48" i="21"/>
  <c r="J34" i="21"/>
  <c r="M66" i="21"/>
  <c r="M25" i="21"/>
  <c r="M21" i="21"/>
  <c r="M75" i="21"/>
  <c r="N35" i="21"/>
  <c r="C17" i="24"/>
  <c r="C22" i="24" s="1"/>
  <c r="M68" i="21"/>
  <c r="AX8" i="21"/>
  <c r="K73" i="21"/>
  <c r="L73" i="21" s="1"/>
  <c r="M73" i="21" s="1"/>
  <c r="M36" i="21"/>
  <c r="M24" i="21"/>
  <c r="AD6" i="21"/>
  <c r="K8" i="21"/>
  <c r="L8" i="21" s="1"/>
  <c r="M9" i="21" s="1"/>
  <c r="M62" i="21"/>
  <c r="AW8" i="21"/>
  <c r="K70" i="21"/>
  <c r="L70" i="21" s="1"/>
  <c r="M70" i="21" s="1"/>
  <c r="AX6" i="21"/>
  <c r="K71" i="21"/>
  <c r="L71" i="21" s="1"/>
  <c r="M72" i="21" s="1"/>
  <c r="J57" i="21"/>
  <c r="K56" i="21"/>
  <c r="L56" i="21" s="1"/>
  <c r="AS7" i="21"/>
  <c r="M58" i="21"/>
  <c r="M59" i="21"/>
  <c r="AE8" i="21"/>
  <c r="K13" i="21"/>
  <c r="L13" i="21" s="1"/>
  <c r="AD8" i="21"/>
  <c r="K10" i="21"/>
  <c r="L10" i="21" s="1"/>
  <c r="M10" i="21" s="1"/>
  <c r="AC6" i="21"/>
  <c r="K5" i="21"/>
  <c r="L5" i="21" s="1"/>
  <c r="M65" i="21"/>
  <c r="AM8" i="21"/>
  <c r="K38" i="21"/>
  <c r="L38" i="21" s="1"/>
  <c r="M38" i="21" s="1"/>
  <c r="AI8" i="21"/>
  <c r="K26" i="21"/>
  <c r="L26" i="21" s="1"/>
  <c r="M26" i="21" s="1"/>
  <c r="M20" i="21"/>
  <c r="M63" i="21"/>
  <c r="M69" i="21"/>
  <c r="M74" i="21"/>
  <c r="AL6" i="21"/>
  <c r="K33" i="21"/>
  <c r="L33" i="21" s="1"/>
  <c r="M34" i="21" s="1"/>
  <c r="M33" i="21"/>
  <c r="M35" i="21"/>
  <c r="E46" i="24"/>
  <c r="AE7" i="21"/>
  <c r="K12" i="21"/>
  <c r="L12" i="21" s="1"/>
  <c r="M12" i="21" s="1"/>
  <c r="AR8" i="21"/>
  <c r="K54" i="21"/>
  <c r="L54" i="21" s="1"/>
  <c r="M54" i="21" s="1"/>
  <c r="M52" i="21"/>
  <c r="AV8" i="21"/>
  <c r="K67" i="21"/>
  <c r="L67" i="21" s="1"/>
  <c r="M67" i="21" s="1"/>
  <c r="M37" i="21"/>
  <c r="M8" i="21"/>
  <c r="AH8" i="21"/>
  <c r="K22" i="21"/>
  <c r="L22" i="21" s="1"/>
  <c r="M22" i="21" s="1"/>
  <c r="AU8" i="21"/>
  <c r="K64" i="21"/>
  <c r="L64" i="21" s="1"/>
  <c r="M64" i="21" s="1"/>
  <c r="M71" i="21"/>
  <c r="AY8" i="21"/>
  <c r="K76" i="21"/>
  <c r="L76" i="21" s="1"/>
  <c r="M76" i="21" s="1"/>
  <c r="AG6" i="21"/>
  <c r="K17" i="21"/>
  <c r="L17" i="21" s="1"/>
  <c r="M18" i="21" s="1"/>
  <c r="C18" i="24"/>
  <c r="M17" i="21"/>
  <c r="AS6" i="21"/>
  <c r="K55" i="21"/>
  <c r="L55" i="21" s="1"/>
  <c r="C42" i="24"/>
  <c r="C47" i="24" s="1"/>
  <c r="C43" i="24"/>
  <c r="E47" i="24"/>
  <c r="J65" i="21"/>
  <c r="I41" i="21"/>
  <c r="AL7" i="21"/>
  <c r="J35" i="21"/>
  <c r="N34" i="21"/>
  <c r="J21" i="21"/>
  <c r="J52" i="21"/>
  <c r="J53" i="21"/>
  <c r="J36" i="21"/>
  <c r="J9" i="21"/>
  <c r="J8" i="21"/>
  <c r="N65" i="21"/>
  <c r="N67" i="21"/>
  <c r="AV6" i="21"/>
  <c r="N66" i="21"/>
  <c r="J24" i="21"/>
  <c r="AI6" i="21"/>
  <c r="N25" i="21"/>
  <c r="N26" i="21"/>
  <c r="N24" i="21"/>
  <c r="N20" i="21"/>
  <c r="J20" i="21"/>
  <c r="N21" i="21"/>
  <c r="AH6" i="21"/>
  <c r="N22" i="21"/>
  <c r="AW6" i="21"/>
  <c r="N68" i="21"/>
  <c r="N70" i="21"/>
  <c r="N69" i="21"/>
  <c r="J68" i="21"/>
  <c r="AY7" i="21"/>
  <c r="J75" i="21"/>
  <c r="J76" i="21"/>
  <c r="AK6" i="21"/>
  <c r="N53" i="21"/>
  <c r="N52" i="21"/>
  <c r="AR6" i="21"/>
  <c r="N54" i="21"/>
  <c r="J37" i="21"/>
  <c r="J38" i="21"/>
  <c r="AM7" i="21"/>
  <c r="J25" i="21"/>
  <c r="AI7" i="21"/>
  <c r="J26" i="21"/>
  <c r="N10" i="21"/>
  <c r="N8" i="21"/>
  <c r="N9" i="21"/>
  <c r="J64" i="21"/>
  <c r="J63" i="21"/>
  <c r="AU7" i="21"/>
  <c r="J72" i="21"/>
  <c r="AX7" i="21"/>
  <c r="J73" i="21"/>
  <c r="J51" i="21"/>
  <c r="AQ7" i="21"/>
  <c r="J67" i="21"/>
  <c r="AV7" i="21"/>
  <c r="J66" i="21"/>
  <c r="J22" i="21"/>
  <c r="AH7" i="21"/>
  <c r="AU6" i="21"/>
  <c r="J62" i="21"/>
  <c r="N62" i="21"/>
  <c r="N64" i="21"/>
  <c r="N63" i="21"/>
  <c r="J69" i="21"/>
  <c r="J70" i="21"/>
  <c r="AW7" i="21"/>
  <c r="N74" i="21"/>
  <c r="N76" i="21"/>
  <c r="AY6" i="21"/>
  <c r="J74" i="21"/>
  <c r="N75" i="21"/>
  <c r="J54" i="21"/>
  <c r="AR7" i="21"/>
  <c r="N36" i="21"/>
  <c r="N38" i="21"/>
  <c r="AM6" i="21"/>
  <c r="N37" i="21"/>
  <c r="J10" i="21"/>
  <c r="AD7" i="21"/>
  <c r="N71" i="21"/>
  <c r="N72" i="21"/>
  <c r="N73" i="21"/>
  <c r="J71" i="21"/>
  <c r="AN6" i="21"/>
  <c r="AC7" i="21" l="1"/>
  <c r="Z49" i="32"/>
  <c r="D49" i="32"/>
  <c r="Z33" i="32"/>
  <c r="D33" i="32"/>
  <c r="AK8" i="21"/>
  <c r="Z20" i="32"/>
  <c r="D20" i="32"/>
  <c r="Z68" i="32"/>
  <c r="D68" i="32"/>
  <c r="AQ8" i="21"/>
  <c r="J32" i="21"/>
  <c r="AK7" i="21"/>
  <c r="M30" i="21"/>
  <c r="N31" i="21"/>
  <c r="O31" i="21" s="1"/>
  <c r="D31" i="21" s="1"/>
  <c r="M32" i="21"/>
  <c r="N30" i="21"/>
  <c r="O30" i="21" s="1"/>
  <c r="D30" i="21" s="1"/>
  <c r="J31" i="21"/>
  <c r="N32" i="21"/>
  <c r="O32" i="21" s="1"/>
  <c r="D32" i="21" s="1"/>
  <c r="J30" i="21"/>
  <c r="AH16" i="36"/>
  <c r="AJ14" i="36"/>
  <c r="AI14" i="36"/>
  <c r="AH14" i="36"/>
  <c r="X81" i="36"/>
  <c r="X82" i="36" s="1"/>
  <c r="AH15" i="36"/>
  <c r="AI15" i="36"/>
  <c r="AJ15" i="36"/>
  <c r="AI16" i="36"/>
  <c r="X85" i="36"/>
  <c r="X86" i="36" s="1"/>
  <c r="AQ6" i="21"/>
  <c r="N51" i="21"/>
  <c r="O51" i="21" s="1"/>
  <c r="D51" i="21" s="1"/>
  <c r="J7" i="21"/>
  <c r="N49" i="21"/>
  <c r="O49" i="21" s="1"/>
  <c r="D49" i="21" s="1"/>
  <c r="N50" i="21"/>
  <c r="O50" i="21" s="1"/>
  <c r="D50" i="21" s="1"/>
  <c r="J50" i="21"/>
  <c r="J49" i="21"/>
  <c r="O75" i="21"/>
  <c r="D75" i="21" s="1"/>
  <c r="O63" i="21"/>
  <c r="D63" i="21" s="1"/>
  <c r="O68" i="21"/>
  <c r="D68" i="21" s="1"/>
  <c r="O65" i="21"/>
  <c r="D65" i="21" s="1"/>
  <c r="O44" i="21"/>
  <c r="D44" i="21" s="1"/>
  <c r="O56" i="21"/>
  <c r="D56" i="21" s="1"/>
  <c r="O14" i="21"/>
  <c r="D14" i="21" s="1"/>
  <c r="O38" i="21"/>
  <c r="D38" i="21" s="1"/>
  <c r="O26" i="21"/>
  <c r="D26" i="21" s="1"/>
  <c r="O29" i="21"/>
  <c r="D29" i="21" s="1"/>
  <c r="O59" i="21"/>
  <c r="D59" i="21" s="1"/>
  <c r="O60" i="21"/>
  <c r="D60" i="21" s="1"/>
  <c r="O47" i="21"/>
  <c r="D47" i="21" s="1"/>
  <c r="O57" i="21"/>
  <c r="D57" i="21" s="1"/>
  <c r="O73" i="21"/>
  <c r="D73" i="21" s="1"/>
  <c r="O36" i="21"/>
  <c r="D36" i="21" s="1"/>
  <c r="O62" i="21"/>
  <c r="D62" i="21" s="1"/>
  <c r="O52" i="21"/>
  <c r="D52" i="21" s="1"/>
  <c r="O69" i="21"/>
  <c r="D69" i="21" s="1"/>
  <c r="O25" i="21"/>
  <c r="D25" i="21" s="1"/>
  <c r="O58" i="21"/>
  <c r="D58" i="21" s="1"/>
  <c r="O11" i="21"/>
  <c r="D11" i="21" s="1"/>
  <c r="O28" i="21"/>
  <c r="D28" i="21" s="1"/>
  <c r="O45" i="21"/>
  <c r="D45" i="21" s="1"/>
  <c r="O43" i="21"/>
  <c r="D43" i="21" s="1"/>
  <c r="O79" i="21"/>
  <c r="D79" i="21" s="1"/>
  <c r="O77" i="21"/>
  <c r="D77" i="21" s="1"/>
  <c r="O78" i="21"/>
  <c r="D78" i="21" s="1"/>
  <c r="O16" i="21"/>
  <c r="D16" i="21" s="1"/>
  <c r="O33" i="21"/>
  <c r="D33" i="21" s="1"/>
  <c r="O71" i="21"/>
  <c r="D71" i="21" s="1"/>
  <c r="O74" i="21"/>
  <c r="D74" i="21" s="1"/>
  <c r="O8" i="21"/>
  <c r="D8" i="21" s="1"/>
  <c r="O54" i="21"/>
  <c r="D54" i="21" s="1"/>
  <c r="O24" i="21"/>
  <c r="D24" i="21" s="1"/>
  <c r="O12" i="21"/>
  <c r="D12" i="21" s="1"/>
  <c r="O18" i="21"/>
  <c r="D18" i="21" s="1"/>
  <c r="O64" i="21"/>
  <c r="D64" i="21" s="1"/>
  <c r="O10" i="21"/>
  <c r="D10" i="21" s="1"/>
  <c r="O21" i="21"/>
  <c r="D21" i="21" s="1"/>
  <c r="O66" i="21"/>
  <c r="D66" i="21" s="1"/>
  <c r="O48" i="21"/>
  <c r="D48" i="21" s="1"/>
  <c r="O55" i="21"/>
  <c r="D55" i="21" s="1"/>
  <c r="O15" i="21"/>
  <c r="D15" i="21" s="1"/>
  <c r="O72" i="21"/>
  <c r="D72" i="21" s="1"/>
  <c r="O37" i="21"/>
  <c r="D37" i="21" s="1"/>
  <c r="O76" i="21"/>
  <c r="D76" i="21" s="1"/>
  <c r="O9" i="21"/>
  <c r="D9" i="21" s="1"/>
  <c r="O53" i="21"/>
  <c r="D53" i="21" s="1"/>
  <c r="O70" i="21"/>
  <c r="D70" i="21" s="1"/>
  <c r="O22" i="21"/>
  <c r="D22" i="21" s="1"/>
  <c r="O20" i="21"/>
  <c r="D20" i="21" s="1"/>
  <c r="O67" i="21"/>
  <c r="D67" i="21" s="1"/>
  <c r="O34" i="21"/>
  <c r="D34" i="21" s="1"/>
  <c r="O35" i="21"/>
  <c r="D35" i="21" s="1"/>
  <c r="O17" i="21"/>
  <c r="D17" i="21" s="1"/>
  <c r="O13" i="21"/>
  <c r="D13" i="21" s="1"/>
  <c r="O27" i="21"/>
  <c r="D27" i="21" s="1"/>
  <c r="O19" i="21"/>
  <c r="D19" i="21" s="1"/>
  <c r="O46" i="21"/>
  <c r="D46" i="21" s="1"/>
  <c r="N6" i="21"/>
  <c r="J6" i="21"/>
  <c r="N7" i="21"/>
  <c r="K7" i="21"/>
  <c r="L7" i="21" s="1"/>
  <c r="M7" i="21" s="1"/>
  <c r="N5" i="21"/>
  <c r="J5" i="21"/>
  <c r="Z43" i="32"/>
  <c r="Y77" i="32"/>
  <c r="Y68" i="32"/>
  <c r="Y39" i="32"/>
  <c r="Y27" i="32"/>
  <c r="Y52" i="32"/>
  <c r="Y49" i="32"/>
  <c r="Y55" i="32"/>
  <c r="Y33" i="32"/>
  <c r="Y36" i="32"/>
  <c r="Y24" i="32"/>
  <c r="Y20" i="32"/>
  <c r="Z14" i="32"/>
  <c r="Z77" i="32"/>
  <c r="Z55" i="32"/>
  <c r="Z74" i="32"/>
  <c r="Z36" i="32"/>
  <c r="Z27" i="32"/>
  <c r="Z5" i="32"/>
  <c r="Z17" i="32"/>
  <c r="Z39" i="32"/>
  <c r="Z24" i="32"/>
  <c r="Z71" i="32"/>
  <c r="Z11" i="32"/>
  <c r="Z58" i="32"/>
  <c r="Z62" i="32"/>
  <c r="Z46" i="32"/>
  <c r="Z52" i="32"/>
  <c r="AQ16" i="32"/>
  <c r="AR16" i="32"/>
  <c r="AQ15" i="32"/>
  <c r="AR15" i="32"/>
  <c r="AR14" i="32"/>
  <c r="AP14" i="32"/>
  <c r="AP16" i="32"/>
  <c r="AQ14" i="32"/>
  <c r="Y39" i="31"/>
  <c r="Y33" i="31"/>
  <c r="Y43" i="31"/>
  <c r="Y20" i="31"/>
  <c r="Y24" i="31"/>
  <c r="Y77" i="31"/>
  <c r="Y49" i="31"/>
  <c r="Y8" i="31"/>
  <c r="Y52" i="31"/>
  <c r="Y62" i="31"/>
  <c r="Y58" i="31"/>
  <c r="Y27" i="31"/>
  <c r="Y30" i="31"/>
  <c r="AQ14" i="31" a="1"/>
  <c r="Y74" i="31"/>
  <c r="Y14" i="31"/>
  <c r="Y65" i="31"/>
  <c r="Y46" i="31"/>
  <c r="Y68" i="31"/>
  <c r="Y5" i="31"/>
  <c r="C23" i="24"/>
  <c r="E34" i="12" a="1"/>
  <c r="E36" i="12" s="1"/>
  <c r="M43" i="21"/>
  <c r="E50" i="12" a="1"/>
  <c r="E50" i="12" s="1"/>
  <c r="M45" i="21"/>
  <c r="E46" i="12" a="1"/>
  <c r="E47" i="12" s="1"/>
  <c r="E38" i="12" a="1"/>
  <c r="E40" i="12" s="1"/>
  <c r="E42" i="12" a="1"/>
  <c r="E42" i="12" s="1"/>
  <c r="M39" i="21"/>
  <c r="N40" i="21"/>
  <c r="AN7" i="21"/>
  <c r="J41" i="21"/>
  <c r="C21" i="24"/>
  <c r="M56" i="21"/>
  <c r="N41" i="21"/>
  <c r="J39" i="21"/>
  <c r="N39" i="21"/>
  <c r="J40" i="21"/>
  <c r="C48" i="24"/>
  <c r="C46" i="24"/>
  <c r="M47" i="21"/>
  <c r="M48" i="21"/>
  <c r="M46" i="21"/>
  <c r="M11" i="21"/>
  <c r="M13" i="21"/>
  <c r="M5" i="21"/>
  <c r="M55" i="21"/>
  <c r="M57" i="21"/>
  <c r="AN8" i="21"/>
  <c r="K41" i="21"/>
  <c r="L41" i="21" s="1"/>
  <c r="M41" i="21" s="1"/>
  <c r="M6" i="21"/>
  <c r="D48" i="24"/>
  <c r="D47" i="24"/>
  <c r="D46" i="24"/>
  <c r="E23" i="24"/>
  <c r="E21" i="24"/>
  <c r="E22" i="24"/>
  <c r="D23" i="24"/>
  <c r="D21" i="24"/>
  <c r="D22" i="24"/>
  <c r="S76" i="21" l="1"/>
  <c r="S70" i="21"/>
  <c r="S71" i="21"/>
  <c r="S77" i="21"/>
  <c r="S68" i="21"/>
  <c r="S74" i="21"/>
  <c r="S67" i="21"/>
  <c r="S72" i="21"/>
  <c r="S64" i="21"/>
  <c r="S79" i="21"/>
  <c r="S69" i="21"/>
  <c r="S73" i="21"/>
  <c r="S63" i="21"/>
  <c r="S78" i="21"/>
  <c r="S65" i="21"/>
  <c r="S66" i="21"/>
  <c r="S75" i="21"/>
  <c r="S62" i="21"/>
  <c r="S46" i="21"/>
  <c r="S48" i="21"/>
  <c r="S58" i="21"/>
  <c r="S57" i="21"/>
  <c r="S49" i="21"/>
  <c r="S53" i="21"/>
  <c r="S50" i="21"/>
  <c r="S45" i="21"/>
  <c r="S52" i="21"/>
  <c r="S47" i="21"/>
  <c r="S54" i="21"/>
  <c r="S60" i="21"/>
  <c r="S56" i="21"/>
  <c r="S55" i="21"/>
  <c r="S51" i="21"/>
  <c r="S59" i="21"/>
  <c r="S44" i="21"/>
  <c r="S43" i="21"/>
  <c r="S35" i="21"/>
  <c r="S33" i="21"/>
  <c r="S28" i="21"/>
  <c r="S25" i="21"/>
  <c r="S36" i="21"/>
  <c r="S38" i="21"/>
  <c r="S27" i="21"/>
  <c r="S34" i="21"/>
  <c r="S31" i="21"/>
  <c r="S29" i="21"/>
  <c r="S32" i="21"/>
  <c r="S37" i="21"/>
  <c r="S30" i="21"/>
  <c r="S26" i="21"/>
  <c r="S24" i="21"/>
  <c r="S19" i="21"/>
  <c r="S17" i="21"/>
  <c r="S15" i="21"/>
  <c r="S10" i="21"/>
  <c r="S12" i="21"/>
  <c r="S16" i="21"/>
  <c r="S13" i="21"/>
  <c r="S18" i="21"/>
  <c r="S20" i="21"/>
  <c r="S8" i="21"/>
  <c r="S11" i="21"/>
  <c r="S9" i="21"/>
  <c r="S21" i="21"/>
  <c r="S22" i="21"/>
  <c r="S14" i="21"/>
  <c r="O7" i="21"/>
  <c r="D7" i="21" s="1"/>
  <c r="O39" i="21"/>
  <c r="D39" i="21" s="1"/>
  <c r="O41" i="21"/>
  <c r="D41" i="21" s="1"/>
  <c r="O40" i="21"/>
  <c r="D40" i="21" s="1"/>
  <c r="O5" i="21"/>
  <c r="D5" i="21" s="1"/>
  <c r="O6" i="21"/>
  <c r="D6" i="21" s="1"/>
  <c r="Y81" i="32"/>
  <c r="Y82" i="32" s="1"/>
  <c r="AA5" i="32" a="1"/>
  <c r="AA6" i="32" s="1"/>
  <c r="AB6" i="32" s="1"/>
  <c r="AC6" i="32" s="1"/>
  <c r="AA27" i="32" a="1"/>
  <c r="AA27" i="32" s="1"/>
  <c r="AA58" i="32" a="1"/>
  <c r="AA58" i="32" s="1"/>
  <c r="AA49" i="32" a="1"/>
  <c r="AA51" i="32" s="1"/>
  <c r="AB51" i="32" s="1"/>
  <c r="AC51" i="32" s="1"/>
  <c r="AA8" i="32" a="1"/>
  <c r="AA8" i="32" s="1"/>
  <c r="AA52" i="32" a="1"/>
  <c r="AA52" i="32" s="1"/>
  <c r="AA65" i="32" a="1"/>
  <c r="AA65" i="32" s="1"/>
  <c r="AA68" i="32" a="1"/>
  <c r="AA68" i="32" s="1"/>
  <c r="AA11" i="32" a="1"/>
  <c r="AA12" i="32" s="1"/>
  <c r="AB12" i="32" s="1"/>
  <c r="AC12" i="32" s="1"/>
  <c r="AA17" i="32" a="1"/>
  <c r="AA17" i="32" s="1"/>
  <c r="AA30" i="32" a="1"/>
  <c r="AA30" i="32" s="1"/>
  <c r="AA43" i="32" a="1"/>
  <c r="AA45" i="32" s="1"/>
  <c r="AB45" i="32" s="1"/>
  <c r="AC45" i="32" s="1"/>
  <c r="AA55" i="32" a="1"/>
  <c r="AA55" i="32" s="1"/>
  <c r="AA71" i="32" a="1"/>
  <c r="AA73" i="32" s="1"/>
  <c r="AA39" i="32" a="1"/>
  <c r="AA40" i="32" s="1"/>
  <c r="AB40" i="32" s="1"/>
  <c r="AC40" i="32" s="1"/>
  <c r="AA20" i="32" a="1"/>
  <c r="AA21" i="32" s="1"/>
  <c r="AB21" i="32" s="1"/>
  <c r="AC21" i="32" s="1"/>
  <c r="AA33" i="32" a="1"/>
  <c r="AA33" i="32" s="1"/>
  <c r="AA46" i="32" a="1"/>
  <c r="AA48" i="32" s="1"/>
  <c r="AB48" i="32" s="1"/>
  <c r="AC48" i="32" s="1"/>
  <c r="AA62" i="32" a="1"/>
  <c r="AA63" i="32" s="1"/>
  <c r="AA77" i="32" a="1"/>
  <c r="AA77" i="32" s="1"/>
  <c r="AA14" i="32" a="1"/>
  <c r="AA14" i="32" s="1"/>
  <c r="AA24" i="32" a="1"/>
  <c r="AA25" i="32" s="1"/>
  <c r="AB25" i="32" s="1"/>
  <c r="AC25" i="32" s="1"/>
  <c r="AA36" i="32" a="1"/>
  <c r="AA36" i="32" s="1"/>
  <c r="AA74" i="32" a="1"/>
  <c r="AA74" i="32" s="1"/>
  <c r="Y81" i="31"/>
  <c r="Y82" i="31" s="1"/>
  <c r="AR16" i="31"/>
  <c r="AQ15" i="31"/>
  <c r="AS15" i="31"/>
  <c r="AQ16" i="31"/>
  <c r="AS14" i="31"/>
  <c r="AR14" i="31"/>
  <c r="AQ14" i="31"/>
  <c r="AS16" i="31"/>
  <c r="AR15" i="31"/>
  <c r="E38" i="12"/>
  <c r="E51" i="12"/>
  <c r="E44" i="12"/>
  <c r="E34" i="12"/>
  <c r="E35" i="12"/>
  <c r="E48" i="12"/>
  <c r="E46" i="12"/>
  <c r="E39" i="12"/>
  <c r="E52" i="12"/>
  <c r="E43" i="12"/>
  <c r="AI14" i="21" a="1"/>
  <c r="AJ16" i="21" s="1"/>
  <c r="G21" i="24" a="1"/>
  <c r="G21" i="24" s="1"/>
  <c r="G46" i="24" a="1"/>
  <c r="G47" i="24" s="1"/>
  <c r="H78" i="27"/>
  <c r="H79" i="27"/>
  <c r="H18" i="27"/>
  <c r="H19" i="27"/>
  <c r="H31" i="27"/>
  <c r="H32" i="27"/>
  <c r="H69" i="27"/>
  <c r="H70" i="27"/>
  <c r="H13" i="27"/>
  <c r="H12" i="27"/>
  <c r="H16" i="27"/>
  <c r="H15" i="27"/>
  <c r="H39" i="27"/>
  <c r="H27" i="27"/>
  <c r="H24" i="27"/>
  <c r="H20" i="27"/>
  <c r="H62" i="27"/>
  <c r="H11" i="27"/>
  <c r="H74" i="27"/>
  <c r="H46" i="27"/>
  <c r="H48" i="27"/>
  <c r="H47" i="27"/>
  <c r="H72" i="27"/>
  <c r="H73" i="27"/>
  <c r="H65" i="27"/>
  <c r="H66" i="27"/>
  <c r="H67" i="27"/>
  <c r="H41" i="27"/>
  <c r="H40" i="27"/>
  <c r="H21" i="27"/>
  <c r="H22" i="27"/>
  <c r="H51" i="27"/>
  <c r="H50" i="27"/>
  <c r="H58" i="27"/>
  <c r="H55" i="27"/>
  <c r="H49" i="27"/>
  <c r="H68" i="27"/>
  <c r="H14" i="27"/>
  <c r="H53" i="27"/>
  <c r="H54" i="27"/>
  <c r="H38" i="27"/>
  <c r="H37" i="27"/>
  <c r="H6" i="27"/>
  <c r="H7" i="27"/>
  <c r="H60" i="27"/>
  <c r="H59" i="27"/>
  <c r="H45" i="27"/>
  <c r="H44" i="27"/>
  <c r="H64" i="27"/>
  <c r="H63" i="27"/>
  <c r="H17" i="27"/>
  <c r="H5" i="27"/>
  <c r="H30" i="27"/>
  <c r="H43" i="27"/>
  <c r="H52" i="27"/>
  <c r="H36" i="27"/>
  <c r="H25" i="27"/>
  <c r="H26" i="27"/>
  <c r="H34" i="27"/>
  <c r="H35" i="27"/>
  <c r="H76" i="27"/>
  <c r="H75" i="27"/>
  <c r="H57" i="27"/>
  <c r="H56" i="27"/>
  <c r="H29" i="27"/>
  <c r="H28" i="27"/>
  <c r="H10" i="27"/>
  <c r="H9" i="27"/>
  <c r="H71" i="27"/>
  <c r="H77" i="27"/>
  <c r="H33" i="27"/>
  <c r="H8" i="27"/>
  <c r="C27" i="12"/>
  <c r="B26" i="12"/>
  <c r="C26" i="12" s="1"/>
  <c r="E26" i="12" s="1"/>
  <c r="B25" i="12"/>
  <c r="C25" i="12" s="1"/>
  <c r="E25" i="12" s="1"/>
  <c r="B24" i="12"/>
  <c r="C24" i="12" s="1"/>
  <c r="C13" i="12"/>
  <c r="E13" i="12" s="1"/>
  <c r="C12" i="12"/>
  <c r="E12" i="12" s="1"/>
  <c r="C14" i="12"/>
  <c r="E14" i="12" s="1"/>
  <c r="E12" i="11"/>
  <c r="H12" i="11" s="1"/>
  <c r="F8" i="11"/>
  <c r="G8" i="11" s="1"/>
  <c r="F9" i="11"/>
  <c r="G9" i="11" s="1"/>
  <c r="F10" i="11"/>
  <c r="H10" i="11" s="1"/>
  <c r="C22" i="11"/>
  <c r="C21" i="11"/>
  <c r="C20" i="11"/>
  <c r="D26" i="11"/>
  <c r="F26" i="11" s="1"/>
  <c r="H26" i="11" s="1"/>
  <c r="D25" i="11"/>
  <c r="F25" i="11" s="1"/>
  <c r="H25" i="11" s="1"/>
  <c r="D24" i="11"/>
  <c r="F24" i="11" s="1"/>
  <c r="Z26" i="11"/>
  <c r="Z25" i="11"/>
  <c r="Z24" i="11"/>
  <c r="AA15" i="32" l="1"/>
  <c r="AB15" i="32" s="1"/>
  <c r="AC15" i="32" s="1"/>
  <c r="AD14" i="32" s="1"/>
  <c r="S40" i="21"/>
  <c r="S41" i="21"/>
  <c r="S39" i="21"/>
  <c r="S6" i="21"/>
  <c r="S7" i="21"/>
  <c r="S5" i="21"/>
  <c r="AA7" i="32"/>
  <c r="AB7" i="32" s="1"/>
  <c r="AC7" i="32" s="1"/>
  <c r="AD7" i="32" s="1"/>
  <c r="AA29" i="32"/>
  <c r="AB29" i="32" s="1"/>
  <c r="AC29" i="32" s="1"/>
  <c r="AA5" i="32"/>
  <c r="AA28" i="32"/>
  <c r="AB28" i="32" s="1"/>
  <c r="AC28" i="32" s="1"/>
  <c r="AD27" i="32" s="1"/>
  <c r="AA31" i="32"/>
  <c r="AB31" i="32" s="1"/>
  <c r="AC31" i="32" s="1"/>
  <c r="AD30" i="32" s="1"/>
  <c r="AA59" i="32"/>
  <c r="AB59" i="32" s="1"/>
  <c r="AC59" i="32" s="1"/>
  <c r="AD58" i="32" s="1"/>
  <c r="AA66" i="32"/>
  <c r="AB66" i="32" s="1"/>
  <c r="AC66" i="32" s="1"/>
  <c r="AA60" i="32"/>
  <c r="AB60" i="32" s="1"/>
  <c r="AC60" i="32" s="1"/>
  <c r="AA67" i="32"/>
  <c r="AB67" i="32" s="1"/>
  <c r="AC67" i="32" s="1"/>
  <c r="AA37" i="32"/>
  <c r="AB37" i="32" s="1"/>
  <c r="AC37" i="32" s="1"/>
  <c r="AD36" i="32" s="1"/>
  <c r="AA32" i="32"/>
  <c r="AB32" i="32" s="1"/>
  <c r="AC32" i="32" s="1"/>
  <c r="AA69" i="32"/>
  <c r="AA70" i="32"/>
  <c r="AA49" i="32"/>
  <c r="AA62" i="32"/>
  <c r="AA50" i="32"/>
  <c r="AB50" i="32" s="1"/>
  <c r="AC50" i="32" s="1"/>
  <c r="AD49" i="32" s="1"/>
  <c r="AA64" i="32"/>
  <c r="AB64" i="32" s="1"/>
  <c r="AC64" i="32" s="1"/>
  <c r="AA38" i="32"/>
  <c r="AB38" i="32" s="1"/>
  <c r="AC38" i="32" s="1"/>
  <c r="AA39" i="32"/>
  <c r="AA41" i="32"/>
  <c r="AB41" i="32" s="1"/>
  <c r="AC41" i="32" s="1"/>
  <c r="AD41" i="32" s="1"/>
  <c r="AA9" i="32"/>
  <c r="AB9" i="32" s="1"/>
  <c r="AC9" i="32" s="1"/>
  <c r="AD8" i="32" s="1"/>
  <c r="AA16" i="32"/>
  <c r="AB16" i="32" s="1"/>
  <c r="AC16" i="32" s="1"/>
  <c r="AA34" i="32"/>
  <c r="AB34" i="32" s="1"/>
  <c r="AC34" i="32" s="1"/>
  <c r="AD33" i="32" s="1"/>
  <c r="AA10" i="32"/>
  <c r="AB10" i="32" s="1"/>
  <c r="AC10" i="32" s="1"/>
  <c r="AA13" i="32"/>
  <c r="AB13" i="32" s="1"/>
  <c r="AC13" i="32" s="1"/>
  <c r="AD13" i="32" s="1"/>
  <c r="AA57" i="32"/>
  <c r="AB57" i="32" s="1"/>
  <c r="AC57" i="32" s="1"/>
  <c r="AA35" i="32"/>
  <c r="AB35" i="32" s="1"/>
  <c r="AC35" i="32" s="1"/>
  <c r="AA78" i="32"/>
  <c r="AB78" i="32" s="1"/>
  <c r="AC78" i="32" s="1"/>
  <c r="AD77" i="32" s="1"/>
  <c r="AA71" i="32"/>
  <c r="AB71" i="32" s="1"/>
  <c r="AC71" i="32" s="1"/>
  <c r="AA11" i="32"/>
  <c r="AB11" i="32" s="1"/>
  <c r="AC11" i="32" s="1"/>
  <c r="AD12" i="32" s="1"/>
  <c r="AA56" i="32"/>
  <c r="AB56" i="32" s="1"/>
  <c r="AC56" i="32" s="1"/>
  <c r="AD55" i="32" s="1"/>
  <c r="AA18" i="32"/>
  <c r="AB18" i="32" s="1"/>
  <c r="AC18" i="32" s="1"/>
  <c r="AD17" i="32" s="1"/>
  <c r="AA22" i="32"/>
  <c r="AB22" i="32" s="1"/>
  <c r="AC22" i="32" s="1"/>
  <c r="AD22" i="32" s="1"/>
  <c r="AA53" i="32"/>
  <c r="AB53" i="32" s="1"/>
  <c r="AC53" i="32" s="1"/>
  <c r="AA72" i="32"/>
  <c r="AE74" i="32" s="1"/>
  <c r="AF74" i="32" s="1"/>
  <c r="AA24" i="32"/>
  <c r="AA19" i="32"/>
  <c r="AB19" i="32" s="1"/>
  <c r="AC19" i="32" s="1"/>
  <c r="AA26" i="32"/>
  <c r="AB26" i="32" s="1"/>
  <c r="AC26" i="32" s="1"/>
  <c r="AD26" i="32" s="1"/>
  <c r="AA54" i="32"/>
  <c r="AB54" i="32" s="1"/>
  <c r="AC54" i="32" s="1"/>
  <c r="AA46" i="32"/>
  <c r="AA75" i="32"/>
  <c r="AB75" i="32" s="1"/>
  <c r="AC75" i="32" s="1"/>
  <c r="AA47" i="32"/>
  <c r="AB47" i="32" s="1"/>
  <c r="AC47" i="32" s="1"/>
  <c r="AD46" i="32" s="1"/>
  <c r="AA79" i="32"/>
  <c r="AB79" i="32" s="1"/>
  <c r="AC79" i="32" s="1"/>
  <c r="AA76" i="32"/>
  <c r="AA20" i="32"/>
  <c r="AA43" i="32"/>
  <c r="AA44" i="32"/>
  <c r="AB44" i="32" s="1"/>
  <c r="AC44" i="32" s="1"/>
  <c r="AD43" i="32" s="1"/>
  <c r="AB52" i="32"/>
  <c r="AC52" i="32" s="1"/>
  <c r="AD5" i="32"/>
  <c r="AD11" i="32"/>
  <c r="AB68" i="32"/>
  <c r="AC68" i="32" s="1"/>
  <c r="AB73" i="32"/>
  <c r="AC73" i="32" s="1"/>
  <c r="AB58" i="32"/>
  <c r="AC58" i="32" s="1"/>
  <c r="AB65" i="32"/>
  <c r="AC65" i="32" s="1"/>
  <c r="AB36" i="32"/>
  <c r="AC36" i="32" s="1"/>
  <c r="AB14" i="32"/>
  <c r="AC14" i="32" s="1"/>
  <c r="AB55" i="32"/>
  <c r="AC55" i="32" s="1"/>
  <c r="AB17" i="32"/>
  <c r="AC17" i="32" s="1"/>
  <c r="AB33" i="32"/>
  <c r="AC33" i="32" s="1"/>
  <c r="AB27" i="32"/>
  <c r="AC27" i="32" s="1"/>
  <c r="AB8" i="32"/>
  <c r="AC8" i="32" s="1"/>
  <c r="AB30" i="32"/>
  <c r="AC30" i="32" s="1"/>
  <c r="AB77" i="32"/>
  <c r="AC77" i="32" s="1"/>
  <c r="AD24" i="32"/>
  <c r="AB74" i="32"/>
  <c r="AC74" i="32" s="1"/>
  <c r="AB63" i="32"/>
  <c r="AC63" i="32" s="1"/>
  <c r="AD20" i="32"/>
  <c r="AD39" i="32"/>
  <c r="AA74" i="31" a="1"/>
  <c r="AA71" i="31" a="1"/>
  <c r="AA68" i="31" a="1"/>
  <c r="AA65" i="31" a="1"/>
  <c r="AA77" i="31" a="1"/>
  <c r="AA49" i="31" a="1"/>
  <c r="AA46" i="31" a="1"/>
  <c r="AA52" i="31" a="1"/>
  <c r="AA43" i="31" a="1"/>
  <c r="AA39" i="31" a="1"/>
  <c r="AA36" i="31" a="1"/>
  <c r="AA30" i="31" a="1"/>
  <c r="AA62" i="31" a="1"/>
  <c r="AA55" i="31" a="1"/>
  <c r="AA27" i="31" a="1"/>
  <c r="AA58" i="31" a="1"/>
  <c r="AA24" i="31" a="1"/>
  <c r="AA8" i="31" a="1"/>
  <c r="AA14" i="31" a="1"/>
  <c r="AA33" i="31" a="1"/>
  <c r="AA5" i="31" a="1"/>
  <c r="AA11" i="31" a="1"/>
  <c r="AA20" i="31" a="1"/>
  <c r="AA17" i="31" a="1"/>
  <c r="AJ14" i="21"/>
  <c r="I47" i="24"/>
  <c r="AI15" i="21"/>
  <c r="H48" i="24"/>
  <c r="AJ15" i="21"/>
  <c r="AK16" i="21"/>
  <c r="AK15" i="21"/>
  <c r="AI16" i="21"/>
  <c r="AI14" i="21"/>
  <c r="AK14" i="21"/>
  <c r="H46" i="24"/>
  <c r="I46" i="24"/>
  <c r="G46" i="24"/>
  <c r="H47" i="24"/>
  <c r="G48" i="24"/>
  <c r="I48" i="24"/>
  <c r="H22" i="24"/>
  <c r="G22" i="24"/>
  <c r="G10" i="11"/>
  <c r="H9" i="11"/>
  <c r="G23" i="24"/>
  <c r="I22" i="24"/>
  <c r="I21" i="24"/>
  <c r="H23" i="24"/>
  <c r="H21" i="24"/>
  <c r="I23" i="24"/>
  <c r="AD24" i="11" a="1"/>
  <c r="AD25" i="11" s="1"/>
  <c r="AE25" i="11" s="1"/>
  <c r="H8" i="11"/>
  <c r="L35" i="27"/>
  <c r="L38" i="27"/>
  <c r="L76" i="27"/>
  <c r="L32" i="27"/>
  <c r="L67" i="27"/>
  <c r="L26" i="27"/>
  <c r="L70" i="27"/>
  <c r="L48" i="27"/>
  <c r="L10" i="27"/>
  <c r="L79" i="27"/>
  <c r="L45" i="27"/>
  <c r="L7" i="27"/>
  <c r="L16" i="27"/>
  <c r="L51" i="27"/>
  <c r="L60" i="27"/>
  <c r="L22" i="27"/>
  <c r="L29" i="27"/>
  <c r="L13" i="27"/>
  <c r="L54" i="27"/>
  <c r="L73" i="27"/>
  <c r="L19" i="27"/>
  <c r="L57" i="27"/>
  <c r="L64" i="27"/>
  <c r="L41" i="27"/>
  <c r="C28" i="12"/>
  <c r="E28" i="12" s="1"/>
  <c r="E24" i="12"/>
  <c r="F29" i="12" s="1"/>
  <c r="C16" i="12"/>
  <c r="E16" i="12" s="1"/>
  <c r="G12" i="12" s="1"/>
  <c r="R24" i="11" a="1"/>
  <c r="R24" i="11" s="1"/>
  <c r="H24" i="11"/>
  <c r="G12" i="11"/>
  <c r="E14" i="11"/>
  <c r="E13" i="11"/>
  <c r="T34" i="11" a="1"/>
  <c r="T34" i="11" s="1"/>
  <c r="D29" i="11" s="1"/>
  <c r="AD15" i="32" l="1"/>
  <c r="AD16" i="32"/>
  <c r="AE5" i="32"/>
  <c r="AF5" i="32" s="1"/>
  <c r="AB5" i="32"/>
  <c r="AC5" i="32" s="1"/>
  <c r="AD6" i="32" s="1"/>
  <c r="AG5" i="32" s="1"/>
  <c r="AE7" i="32"/>
  <c r="AF7" i="32" s="1"/>
  <c r="AE29" i="32"/>
  <c r="AF29" i="32" s="1"/>
  <c r="AE6" i="32"/>
  <c r="AF6" i="32" s="1"/>
  <c r="AE22" i="32"/>
  <c r="AF22" i="32" s="1"/>
  <c r="AE27" i="32"/>
  <c r="AF27" i="32" s="1"/>
  <c r="AD28" i="32"/>
  <c r="AD29" i="32"/>
  <c r="AE28" i="32"/>
  <c r="AF28" i="32" s="1"/>
  <c r="AD38" i="32"/>
  <c r="AD48" i="32"/>
  <c r="AE36" i="32"/>
  <c r="AF36" i="32" s="1"/>
  <c r="AE14" i="32"/>
  <c r="AF14" i="32" s="1"/>
  <c r="AE37" i="32"/>
  <c r="AF37" i="32" s="1"/>
  <c r="AE16" i="32"/>
  <c r="AF16" i="32" s="1"/>
  <c r="AD60" i="32"/>
  <c r="AE32" i="32"/>
  <c r="AF32" i="32" s="1"/>
  <c r="AD53" i="32"/>
  <c r="AD31" i="32"/>
  <c r="AD37" i="32"/>
  <c r="AD59" i="32"/>
  <c r="AE48" i="32"/>
  <c r="AF48" i="32" s="1"/>
  <c r="AD32" i="32"/>
  <c r="AE54" i="32"/>
  <c r="AF54" i="32" s="1"/>
  <c r="AE66" i="32"/>
  <c r="AF66" i="32" s="1"/>
  <c r="AE60" i="32"/>
  <c r="AF60" i="32" s="1"/>
  <c r="AE58" i="32"/>
  <c r="AF58" i="32" s="1"/>
  <c r="AE59" i="32"/>
  <c r="AF59" i="32" s="1"/>
  <c r="AE67" i="32"/>
  <c r="AF67" i="32" s="1"/>
  <c r="AE69" i="32"/>
  <c r="AF69" i="32" s="1"/>
  <c r="AE68" i="32"/>
  <c r="AF68" i="32" s="1"/>
  <c r="AG11" i="32"/>
  <c r="AD51" i="32"/>
  <c r="AE51" i="32"/>
  <c r="AF51" i="32" s="1"/>
  <c r="AE39" i="32"/>
  <c r="AF39" i="32" s="1"/>
  <c r="AE30" i="32"/>
  <c r="AF30" i="32" s="1"/>
  <c r="AB72" i="32"/>
  <c r="AC72" i="32" s="1"/>
  <c r="AD73" i="32" s="1"/>
  <c r="AD45" i="32"/>
  <c r="AB69" i="32"/>
  <c r="AC69" i="32" s="1"/>
  <c r="AD68" i="32" s="1"/>
  <c r="AE31" i="32"/>
  <c r="AF31" i="32" s="1"/>
  <c r="AE50" i="32"/>
  <c r="AF50" i="32" s="1"/>
  <c r="AE71" i="32"/>
  <c r="AF71" i="32" s="1"/>
  <c r="AE65" i="32"/>
  <c r="AF65" i="32" s="1"/>
  <c r="AB70" i="32"/>
  <c r="AC70" i="32" s="1"/>
  <c r="AE76" i="32"/>
  <c r="AF76" i="32" s="1"/>
  <c r="AD9" i="32"/>
  <c r="AE72" i="32"/>
  <c r="AF72" i="32" s="1"/>
  <c r="AE13" i="32"/>
  <c r="AF13" i="32" s="1"/>
  <c r="AE70" i="32"/>
  <c r="AF70" i="32" s="1"/>
  <c r="AE41" i="32"/>
  <c r="AF41" i="32" s="1"/>
  <c r="AE64" i="32"/>
  <c r="AF64" i="32" s="1"/>
  <c r="AE8" i="32"/>
  <c r="AF8" i="32" s="1"/>
  <c r="AE62" i="32"/>
  <c r="AF62" i="32" s="1"/>
  <c r="AE20" i="32"/>
  <c r="AF20" i="32" s="1"/>
  <c r="AD54" i="32"/>
  <c r="AE12" i="32"/>
  <c r="AF12" i="32" s="1"/>
  <c r="AE49" i="32"/>
  <c r="AF49" i="32" s="1"/>
  <c r="AE63" i="32"/>
  <c r="AF63" i="32" s="1"/>
  <c r="AE56" i="32"/>
  <c r="AF56" i="32" s="1"/>
  <c r="AD52" i="32"/>
  <c r="AB39" i="32"/>
  <c r="AC39" i="32" s="1"/>
  <c r="AD40" i="32" s="1"/>
  <c r="AD34" i="32"/>
  <c r="AB62" i="32"/>
  <c r="AC62" i="32" s="1"/>
  <c r="AD63" i="32" s="1"/>
  <c r="AE38" i="32"/>
  <c r="AF38" i="32" s="1"/>
  <c r="AE11" i="32"/>
  <c r="AF11" i="32" s="1"/>
  <c r="AB49" i="32"/>
  <c r="AC49" i="32" s="1"/>
  <c r="AD50" i="32" s="1"/>
  <c r="AE40" i="32"/>
  <c r="AF40" i="32" s="1"/>
  <c r="AE35" i="32"/>
  <c r="AF35" i="32" s="1"/>
  <c r="AE57" i="32"/>
  <c r="AF57" i="32" s="1"/>
  <c r="AE15" i="32"/>
  <c r="AF15" i="32" s="1"/>
  <c r="AE53" i="32"/>
  <c r="AF53" i="32" s="1"/>
  <c r="AE47" i="32"/>
  <c r="AF47" i="32" s="1"/>
  <c r="AE26" i="32"/>
  <c r="AF26" i="32" s="1"/>
  <c r="AD10" i="32"/>
  <c r="AE73" i="32"/>
  <c r="AF73" i="32" s="1"/>
  <c r="AD57" i="32"/>
  <c r="AD35" i="32"/>
  <c r="AD78" i="32"/>
  <c r="AD79" i="32"/>
  <c r="AE33" i="32"/>
  <c r="AF33" i="32" s="1"/>
  <c r="AE55" i="32"/>
  <c r="AF55" i="32" s="1"/>
  <c r="AE44" i="32"/>
  <c r="AF44" i="32" s="1"/>
  <c r="AE9" i="32"/>
  <c r="AF9" i="32" s="1"/>
  <c r="AE79" i="32"/>
  <c r="AF79" i="32" s="1"/>
  <c r="AE10" i="32"/>
  <c r="AF10" i="32" s="1"/>
  <c r="AE34" i="32"/>
  <c r="AF34" i="32" s="1"/>
  <c r="AD56" i="32"/>
  <c r="AE52" i="32"/>
  <c r="AF52" i="32" s="1"/>
  <c r="AE18" i="32"/>
  <c r="AF18" i="32" s="1"/>
  <c r="AB76" i="32"/>
  <c r="AC76" i="32" s="1"/>
  <c r="AD76" i="32" s="1"/>
  <c r="AE24" i="32"/>
  <c r="AF24" i="32" s="1"/>
  <c r="AE77" i="32"/>
  <c r="AF77" i="32" s="1"/>
  <c r="AD18" i="32"/>
  <c r="AE78" i="32"/>
  <c r="AF78" i="32" s="1"/>
  <c r="AE25" i="32"/>
  <c r="AF25" i="32" s="1"/>
  <c r="AB46" i="32"/>
  <c r="AC46" i="32" s="1"/>
  <c r="AD47" i="32" s="1"/>
  <c r="AD19" i="32"/>
  <c r="AE19" i="32"/>
  <c r="AF19" i="32" s="1"/>
  <c r="AE75" i="32"/>
  <c r="AF75" i="32" s="1"/>
  <c r="AB20" i="32"/>
  <c r="AC20" i="32" s="1"/>
  <c r="AD21" i="32" s="1"/>
  <c r="AG20" i="32" s="1"/>
  <c r="AE46" i="32"/>
  <c r="AF46" i="32" s="1"/>
  <c r="AB24" i="32"/>
  <c r="AC24" i="32" s="1"/>
  <c r="AD25" i="32" s="1"/>
  <c r="AE21" i="32"/>
  <c r="AF21" i="32" s="1"/>
  <c r="AD75" i="32"/>
  <c r="AE17" i="32"/>
  <c r="AF17" i="32" s="1"/>
  <c r="AE43" i="32"/>
  <c r="AF43" i="32" s="1"/>
  <c r="AB43" i="32"/>
  <c r="AC43" i="32" s="1"/>
  <c r="AD44" i="32" s="1"/>
  <c r="AE45" i="32"/>
  <c r="AF45" i="32" s="1"/>
  <c r="AD65" i="32"/>
  <c r="AD67" i="32"/>
  <c r="AD66" i="32"/>
  <c r="AD74" i="32"/>
  <c r="AD62" i="32"/>
  <c r="AD64" i="32"/>
  <c r="AA19" i="31"/>
  <c r="AB19" i="31" s="1"/>
  <c r="AC19" i="31" s="1"/>
  <c r="AA17" i="31"/>
  <c r="AB17" i="31" s="1"/>
  <c r="AC17" i="31" s="1"/>
  <c r="AA18" i="31"/>
  <c r="AB18" i="31" s="1"/>
  <c r="AC18" i="31" s="1"/>
  <c r="AA32" i="31"/>
  <c r="AB32" i="31" s="1"/>
  <c r="AC32" i="31" s="1"/>
  <c r="AA31" i="31"/>
  <c r="AB31" i="31" s="1"/>
  <c r="AC31" i="31" s="1"/>
  <c r="AA30" i="31"/>
  <c r="AB30" i="31" s="1"/>
  <c r="AC30" i="31" s="1"/>
  <c r="AA65" i="31"/>
  <c r="AB65" i="31" s="1"/>
  <c r="AC65" i="31" s="1"/>
  <c r="AA66" i="31"/>
  <c r="AB66" i="31" s="1"/>
  <c r="AC66" i="31" s="1"/>
  <c r="AA67" i="31"/>
  <c r="AB67" i="31" s="1"/>
  <c r="AC67" i="31" s="1"/>
  <c r="AA22" i="31"/>
  <c r="AB22" i="31" s="1"/>
  <c r="AC22" i="31" s="1"/>
  <c r="AA21" i="31"/>
  <c r="AB21" i="31" s="1"/>
  <c r="AC21" i="31" s="1"/>
  <c r="AA20" i="31"/>
  <c r="AB20" i="31" s="1"/>
  <c r="AC20" i="31" s="1"/>
  <c r="AA15" i="31"/>
  <c r="AB15" i="31" s="1"/>
  <c r="AC15" i="31" s="1"/>
  <c r="AA14" i="31"/>
  <c r="AB14" i="31" s="1"/>
  <c r="AC14" i="31" s="1"/>
  <c r="AA16" i="31"/>
  <c r="AB16" i="31" s="1"/>
  <c r="AC16" i="31" s="1"/>
  <c r="AA27" i="31"/>
  <c r="AB27" i="31" s="1"/>
  <c r="AC27" i="31" s="1"/>
  <c r="AA29" i="31"/>
  <c r="AB29" i="31" s="1"/>
  <c r="AC29" i="31" s="1"/>
  <c r="AA28" i="31"/>
  <c r="AB28" i="31" s="1"/>
  <c r="AC28" i="31" s="1"/>
  <c r="AA38" i="31"/>
  <c r="AB38" i="31" s="1"/>
  <c r="AC38" i="31" s="1"/>
  <c r="AA37" i="31"/>
  <c r="AB37" i="31" s="1"/>
  <c r="AC37" i="31" s="1"/>
  <c r="AA36" i="31"/>
  <c r="AB36" i="31" s="1"/>
  <c r="AC36" i="31" s="1"/>
  <c r="AA46" i="31"/>
  <c r="AB46" i="31" s="1"/>
  <c r="AC46" i="31" s="1"/>
  <c r="AA47" i="31"/>
  <c r="AB47" i="31" s="1"/>
  <c r="AC47" i="31" s="1"/>
  <c r="AA48" i="31"/>
  <c r="AB48" i="31" s="1"/>
  <c r="AC48" i="31" s="1"/>
  <c r="AA69" i="31"/>
  <c r="AB69" i="31" s="1"/>
  <c r="AC69" i="31" s="1"/>
  <c r="AA70" i="31"/>
  <c r="AB70" i="31" s="1"/>
  <c r="AC70" i="31" s="1"/>
  <c r="AA68" i="31"/>
  <c r="AB68" i="31" s="1"/>
  <c r="AC68" i="31" s="1"/>
  <c r="AA35" i="31"/>
  <c r="AB35" i="31" s="1"/>
  <c r="AC35" i="31" s="1"/>
  <c r="AA34" i="31"/>
  <c r="AB34" i="31" s="1"/>
  <c r="AC34" i="31" s="1"/>
  <c r="AA33" i="31"/>
  <c r="AB33" i="31" s="1"/>
  <c r="AC33" i="31" s="1"/>
  <c r="AA60" i="31"/>
  <c r="AB60" i="31" s="1"/>
  <c r="AC60" i="31" s="1"/>
  <c r="AA59" i="31"/>
  <c r="AB59" i="31" s="1"/>
  <c r="AC59" i="31" s="1"/>
  <c r="AA58" i="31"/>
  <c r="AB58" i="31" s="1"/>
  <c r="AC58" i="31" s="1"/>
  <c r="AA54" i="31"/>
  <c r="AB54" i="31" s="1"/>
  <c r="AC54" i="31" s="1"/>
  <c r="AA53" i="31"/>
  <c r="AB53" i="31" s="1"/>
  <c r="AC53" i="31" s="1"/>
  <c r="AA52" i="31"/>
  <c r="AB52" i="31" s="1"/>
  <c r="AC52" i="31" s="1"/>
  <c r="AA13" i="31"/>
  <c r="AB13" i="31" s="1"/>
  <c r="AC13" i="31" s="1"/>
  <c r="AA11" i="31"/>
  <c r="AB11" i="31" s="1"/>
  <c r="AC11" i="31" s="1"/>
  <c r="AA12" i="31"/>
  <c r="AB12" i="31" s="1"/>
  <c r="AC12" i="31" s="1"/>
  <c r="AA9" i="31"/>
  <c r="AB9" i="31" s="1"/>
  <c r="AC9" i="31" s="1"/>
  <c r="AA10" i="31"/>
  <c r="AB10" i="31" s="1"/>
  <c r="AC10" i="31" s="1"/>
  <c r="AA8" i="31"/>
  <c r="AB8" i="31" s="1"/>
  <c r="AC8" i="31" s="1"/>
  <c r="AA57" i="31"/>
  <c r="AB57" i="31" s="1"/>
  <c r="AC57" i="31" s="1"/>
  <c r="AA56" i="31"/>
  <c r="AB56" i="31" s="1"/>
  <c r="AC56" i="31" s="1"/>
  <c r="AA55" i="31"/>
  <c r="AB55" i="31" s="1"/>
  <c r="AC55" i="31" s="1"/>
  <c r="AA41" i="31"/>
  <c r="AB41" i="31" s="1"/>
  <c r="AC41" i="31" s="1"/>
  <c r="AA40" i="31"/>
  <c r="AB40" i="31" s="1"/>
  <c r="AC40" i="31" s="1"/>
  <c r="AA39" i="31"/>
  <c r="AB39" i="31" s="1"/>
  <c r="AC39" i="31" s="1"/>
  <c r="AA51" i="31"/>
  <c r="AB51" i="31" s="1"/>
  <c r="AC51" i="31" s="1"/>
  <c r="AA49" i="31"/>
  <c r="AB49" i="31" s="1"/>
  <c r="AC49" i="31" s="1"/>
  <c r="AA50" i="31"/>
  <c r="AB50" i="31" s="1"/>
  <c r="AC50" i="31" s="1"/>
  <c r="AA71" i="31"/>
  <c r="AB71" i="31" s="1"/>
  <c r="AC71" i="31" s="1"/>
  <c r="AA73" i="31"/>
  <c r="AB73" i="31" s="1"/>
  <c r="AC73" i="31" s="1"/>
  <c r="AA72" i="31"/>
  <c r="AB72" i="31" s="1"/>
  <c r="AC72" i="31" s="1"/>
  <c r="AA5" i="31"/>
  <c r="AB5" i="31" s="1"/>
  <c r="AC5" i="31" s="1"/>
  <c r="AA7" i="31"/>
  <c r="AB7" i="31" s="1"/>
  <c r="AC7" i="31" s="1"/>
  <c r="AA6" i="31"/>
  <c r="AB6" i="31" s="1"/>
  <c r="AC6" i="31" s="1"/>
  <c r="AA25" i="31"/>
  <c r="AB25" i="31" s="1"/>
  <c r="AC25" i="31" s="1"/>
  <c r="AA24" i="31"/>
  <c r="AB24" i="31" s="1"/>
  <c r="AC24" i="31" s="1"/>
  <c r="AA26" i="31"/>
  <c r="AB26" i="31" s="1"/>
  <c r="AC26" i="31" s="1"/>
  <c r="AA63" i="31"/>
  <c r="AB63" i="31" s="1"/>
  <c r="AC63" i="31" s="1"/>
  <c r="AA62" i="31"/>
  <c r="AB62" i="31" s="1"/>
  <c r="AC62" i="31" s="1"/>
  <c r="AA64" i="31"/>
  <c r="AB64" i="31" s="1"/>
  <c r="AC64" i="31" s="1"/>
  <c r="AA44" i="31"/>
  <c r="AB44" i="31" s="1"/>
  <c r="AC44" i="31" s="1"/>
  <c r="AA43" i="31"/>
  <c r="AB43" i="31" s="1"/>
  <c r="AC43" i="31" s="1"/>
  <c r="AA45" i="31"/>
  <c r="AB45" i="31" s="1"/>
  <c r="AC45" i="31" s="1"/>
  <c r="AA79" i="31"/>
  <c r="AB79" i="31" s="1"/>
  <c r="AC79" i="31" s="1"/>
  <c r="AA78" i="31"/>
  <c r="AB78" i="31" s="1"/>
  <c r="AC78" i="31" s="1"/>
  <c r="AA77" i="31"/>
  <c r="AB77" i="31" s="1"/>
  <c r="AC77" i="31" s="1"/>
  <c r="AA76" i="31"/>
  <c r="AB76" i="31" s="1"/>
  <c r="AC76" i="31" s="1"/>
  <c r="AA75" i="31"/>
  <c r="AB75" i="31" s="1"/>
  <c r="AC75" i="31" s="1"/>
  <c r="AA74" i="31"/>
  <c r="AB74" i="31" s="1"/>
  <c r="AC74" i="31" s="1"/>
  <c r="T5" i="21" a="1"/>
  <c r="T7" i="21" s="1"/>
  <c r="U7" i="21" s="1"/>
  <c r="V7" i="21" s="1"/>
  <c r="T27" i="21" a="1"/>
  <c r="T29" i="21" s="1"/>
  <c r="U29" i="21" s="1"/>
  <c r="V29" i="21" s="1"/>
  <c r="T20" i="21" a="1"/>
  <c r="T21" i="21" s="1"/>
  <c r="U21" i="21" s="1"/>
  <c r="V21" i="21" s="1"/>
  <c r="W20" i="21" s="1"/>
  <c r="T11" i="21" a="1"/>
  <c r="T12" i="21" s="1"/>
  <c r="U12" i="21" s="1"/>
  <c r="V12" i="21" s="1"/>
  <c r="W11" i="21" s="1"/>
  <c r="T62" i="21" a="1"/>
  <c r="T62" i="21" s="1"/>
  <c r="U62" i="21" s="1"/>
  <c r="V62" i="21" s="1"/>
  <c r="T17" i="21" a="1"/>
  <c r="T19" i="21" s="1"/>
  <c r="U19" i="21" s="1"/>
  <c r="V19" i="21" s="1"/>
  <c r="T55" i="21" a="1"/>
  <c r="T55" i="21" s="1"/>
  <c r="U55" i="21" s="1"/>
  <c r="V55" i="21" s="1"/>
  <c r="T30" i="21" a="1"/>
  <c r="T30" i="21" s="1"/>
  <c r="U30" i="21" s="1"/>
  <c r="V30" i="21" s="1"/>
  <c r="T43" i="21" a="1"/>
  <c r="T43" i="21" s="1"/>
  <c r="U43" i="21" s="1"/>
  <c r="V43" i="21" s="1"/>
  <c r="T36" i="21" a="1"/>
  <c r="T37" i="21" s="1"/>
  <c r="U37" i="21" s="1"/>
  <c r="V37" i="21" s="1"/>
  <c r="W36" i="21" s="1"/>
  <c r="T52" i="21" a="1"/>
  <c r="T52" i="21" s="1"/>
  <c r="U52" i="21" s="1"/>
  <c r="V52" i="21" s="1"/>
  <c r="T14" i="21" a="1"/>
  <c r="T15" i="21" s="1"/>
  <c r="U15" i="21" s="1"/>
  <c r="V15" i="21" s="1"/>
  <c r="W14" i="21" s="1"/>
  <c r="T46" i="21" a="1"/>
  <c r="T47" i="21" s="1"/>
  <c r="U47" i="21" s="1"/>
  <c r="V47" i="21" s="1"/>
  <c r="W46" i="21" s="1"/>
  <c r="T24" i="21" a="1"/>
  <c r="T25" i="21" s="1"/>
  <c r="U25" i="21" s="1"/>
  <c r="V25" i="21" s="1"/>
  <c r="W24" i="21" s="1"/>
  <c r="T65" i="21" a="1"/>
  <c r="T66" i="21" s="1"/>
  <c r="U66" i="21" s="1"/>
  <c r="V66" i="21" s="1"/>
  <c r="W65" i="21" s="1"/>
  <c r="T8" i="21" a="1"/>
  <c r="T10" i="21" s="1"/>
  <c r="U10" i="21" s="1"/>
  <c r="V10" i="21" s="1"/>
  <c r="T71" i="21" a="1"/>
  <c r="T73" i="21" s="1"/>
  <c r="U73" i="21" s="1"/>
  <c r="V73" i="21" s="1"/>
  <c r="T39" i="21" a="1"/>
  <c r="T40" i="21" s="1"/>
  <c r="U40" i="21" s="1"/>
  <c r="V40" i="21" s="1"/>
  <c r="W39" i="21" s="1"/>
  <c r="T77" i="21" a="1"/>
  <c r="T78" i="21" s="1"/>
  <c r="U78" i="21" s="1"/>
  <c r="V78" i="21" s="1"/>
  <c r="W77" i="21" s="1"/>
  <c r="T58" i="21" a="1"/>
  <c r="T59" i="21" s="1"/>
  <c r="U59" i="21" s="1"/>
  <c r="V59" i="21" s="1"/>
  <c r="W58" i="21" s="1"/>
  <c r="T49" i="21" a="1"/>
  <c r="T51" i="21" s="1"/>
  <c r="U51" i="21" s="1"/>
  <c r="V51" i="21" s="1"/>
  <c r="T68" i="21" a="1"/>
  <c r="T69" i="21" s="1"/>
  <c r="U69" i="21" s="1"/>
  <c r="V69" i="21" s="1"/>
  <c r="W68" i="21" s="1"/>
  <c r="T33" i="21" a="1"/>
  <c r="T35" i="21" s="1"/>
  <c r="U35" i="21" s="1"/>
  <c r="V35" i="21" s="1"/>
  <c r="T74" i="21" a="1"/>
  <c r="T76" i="21" s="1"/>
  <c r="U76" i="21" s="1"/>
  <c r="V76" i="21" s="1"/>
  <c r="AD26" i="11"/>
  <c r="AE26" i="11" s="1"/>
  <c r="AD24" i="11"/>
  <c r="AE24" i="11" s="1"/>
  <c r="J63" i="27"/>
  <c r="J64" i="27"/>
  <c r="L63" i="27"/>
  <c r="N28" i="27"/>
  <c r="O28" i="27" s="1"/>
  <c r="D28" i="27" s="1"/>
  <c r="J27" i="27"/>
  <c r="N29" i="27"/>
  <c r="O29" i="27" s="1"/>
  <c r="D29" i="27" s="1"/>
  <c r="L27" i="27"/>
  <c r="N27" i="27"/>
  <c r="O27" i="27" s="1"/>
  <c r="D27" i="27" s="1"/>
  <c r="N58" i="27"/>
  <c r="J58" i="27"/>
  <c r="N59" i="27"/>
  <c r="O59" i="27" s="1"/>
  <c r="D59" i="27" s="1"/>
  <c r="N60" i="27"/>
  <c r="O60" i="27" s="1"/>
  <c r="D60" i="27" s="1"/>
  <c r="L58" i="27"/>
  <c r="N14" i="27"/>
  <c r="O14" i="27" s="1"/>
  <c r="D14" i="27" s="1"/>
  <c r="N16" i="27"/>
  <c r="O16" i="27" s="1"/>
  <c r="D16" i="27" s="1"/>
  <c r="J14" i="27"/>
  <c r="N15" i="27"/>
  <c r="O15" i="27" s="1"/>
  <c r="D15" i="27" s="1"/>
  <c r="L14" i="27"/>
  <c r="J6" i="27"/>
  <c r="J7" i="27"/>
  <c r="L6" i="27"/>
  <c r="J45" i="27"/>
  <c r="L44" i="27"/>
  <c r="J44" i="27"/>
  <c r="J8" i="27"/>
  <c r="N10" i="27"/>
  <c r="O10" i="27" s="1"/>
  <c r="D10" i="27" s="1"/>
  <c r="N9" i="27"/>
  <c r="O9" i="27" s="1"/>
  <c r="D9" i="27" s="1"/>
  <c r="N8" i="27"/>
  <c r="O8" i="27" s="1"/>
  <c r="D8" i="27" s="1"/>
  <c r="L8" i="27"/>
  <c r="J66" i="27"/>
  <c r="J67" i="27"/>
  <c r="L66" i="27"/>
  <c r="L30" i="27"/>
  <c r="J30" i="27"/>
  <c r="N31" i="27"/>
  <c r="O31" i="27" s="1"/>
  <c r="D31" i="27" s="1"/>
  <c r="N32" i="27"/>
  <c r="O32" i="27" s="1"/>
  <c r="D32" i="27" s="1"/>
  <c r="N30" i="27"/>
  <c r="O30" i="27" s="1"/>
  <c r="D30" i="27" s="1"/>
  <c r="J76" i="27"/>
  <c r="L75" i="27"/>
  <c r="J75" i="27"/>
  <c r="L17" i="27"/>
  <c r="N19" i="27"/>
  <c r="O19" i="27" s="1"/>
  <c r="D19" i="27" s="1"/>
  <c r="J17" i="27"/>
  <c r="N18" i="27"/>
  <c r="O18" i="27" s="1"/>
  <c r="D18" i="27" s="1"/>
  <c r="N17" i="27"/>
  <c r="O17" i="27" s="1"/>
  <c r="D17" i="27" s="1"/>
  <c r="N40" i="27"/>
  <c r="O40" i="27" s="1"/>
  <c r="D40" i="27" s="1"/>
  <c r="N39" i="27"/>
  <c r="O39" i="27" s="1"/>
  <c r="D39" i="27" s="1"/>
  <c r="L39" i="27"/>
  <c r="N41" i="27"/>
  <c r="O41" i="27" s="1"/>
  <c r="D41" i="27" s="1"/>
  <c r="J39" i="27"/>
  <c r="J18" i="27"/>
  <c r="J19" i="27"/>
  <c r="L18" i="27"/>
  <c r="L71" i="27"/>
  <c r="J71" i="27"/>
  <c r="N71" i="27"/>
  <c r="O71" i="27" s="1"/>
  <c r="D71" i="27" s="1"/>
  <c r="N72" i="27"/>
  <c r="O72" i="27" s="1"/>
  <c r="D72" i="27" s="1"/>
  <c r="N73" i="27"/>
  <c r="O73" i="27" s="1"/>
  <c r="D73" i="27" s="1"/>
  <c r="J12" i="27"/>
  <c r="J13" i="27"/>
  <c r="L12" i="27"/>
  <c r="J20" i="27"/>
  <c r="N22" i="27"/>
  <c r="O22" i="27" s="1"/>
  <c r="D22" i="27" s="1"/>
  <c r="N21" i="27"/>
  <c r="O21" i="27" s="1"/>
  <c r="D21" i="27" s="1"/>
  <c r="N20" i="27"/>
  <c r="O20" i="27" s="1"/>
  <c r="D20" i="27" s="1"/>
  <c r="L20" i="27"/>
  <c r="J51" i="27"/>
  <c r="L50" i="27"/>
  <c r="J50" i="27"/>
  <c r="J16" i="27"/>
  <c r="L15" i="27"/>
  <c r="J15" i="27"/>
  <c r="N6" i="27"/>
  <c r="O6" i="27" s="1"/>
  <c r="D6" i="27" s="1"/>
  <c r="N7" i="27"/>
  <c r="O7" i="27" s="1"/>
  <c r="D7" i="27" s="1"/>
  <c r="N5" i="27"/>
  <c r="O5" i="27" s="1"/>
  <c r="D5" i="27" s="1"/>
  <c r="L5" i="27"/>
  <c r="J5" i="27"/>
  <c r="N77" i="27"/>
  <c r="O77" i="27" s="1"/>
  <c r="D77" i="27" s="1"/>
  <c r="N78" i="27"/>
  <c r="O78" i="27" s="1"/>
  <c r="D78" i="27" s="1"/>
  <c r="J77" i="27"/>
  <c r="L77" i="27"/>
  <c r="N79" i="27"/>
  <c r="O79" i="27" s="1"/>
  <c r="D79" i="27" s="1"/>
  <c r="J10" i="27"/>
  <c r="L9" i="27"/>
  <c r="J9" i="27"/>
  <c r="N48" i="27"/>
  <c r="O48" i="27" s="1"/>
  <c r="D48" i="27" s="1"/>
  <c r="N47" i="27"/>
  <c r="O47" i="27" s="1"/>
  <c r="D47" i="27" s="1"/>
  <c r="N46" i="27"/>
  <c r="O46" i="27" s="1"/>
  <c r="D46" i="27" s="1"/>
  <c r="L46" i="27"/>
  <c r="J46" i="27"/>
  <c r="N26" i="27"/>
  <c r="O26" i="27" s="1"/>
  <c r="D26" i="27" s="1"/>
  <c r="L24" i="27"/>
  <c r="J24" i="27"/>
  <c r="N25" i="27"/>
  <c r="O25" i="27" s="1"/>
  <c r="D25" i="27" s="1"/>
  <c r="N24" i="27"/>
  <c r="O24" i="27" s="1"/>
  <c r="D24" i="27" s="1"/>
  <c r="J32" i="27"/>
  <c r="L31" i="27"/>
  <c r="J31" i="27"/>
  <c r="L36" i="27"/>
  <c r="N36" i="27"/>
  <c r="O36" i="27" s="1"/>
  <c r="D36" i="27" s="1"/>
  <c r="N38" i="27"/>
  <c r="O38" i="27" s="1"/>
  <c r="D38" i="27" s="1"/>
  <c r="J36" i="27"/>
  <c r="N37" i="27"/>
  <c r="O37" i="27" s="1"/>
  <c r="D37" i="27" s="1"/>
  <c r="N34" i="27"/>
  <c r="O34" i="27" s="1"/>
  <c r="D34" i="27" s="1"/>
  <c r="J33" i="27"/>
  <c r="N35" i="27"/>
  <c r="O35" i="27" s="1"/>
  <c r="D35" i="27" s="1"/>
  <c r="N33" i="27"/>
  <c r="O33" i="27" s="1"/>
  <c r="D33" i="27" s="1"/>
  <c r="L33" i="27"/>
  <c r="J55" i="27"/>
  <c r="L55" i="27"/>
  <c r="N56" i="27"/>
  <c r="O56" i="27" s="1"/>
  <c r="D56" i="27" s="1"/>
  <c r="N55" i="27"/>
  <c r="O55" i="27" s="1"/>
  <c r="D55" i="27" s="1"/>
  <c r="N57" i="27"/>
  <c r="O57" i="27" s="1"/>
  <c r="D57" i="27" s="1"/>
  <c r="L53" i="27"/>
  <c r="J54" i="27"/>
  <c r="J53" i="27"/>
  <c r="N12" i="27"/>
  <c r="O12" i="27" s="1"/>
  <c r="D12" i="27" s="1"/>
  <c r="N13" i="27"/>
  <c r="O13" i="27" s="1"/>
  <c r="D13" i="27" s="1"/>
  <c r="L11" i="27"/>
  <c r="N11" i="27"/>
  <c r="O11" i="27" s="1"/>
  <c r="D11" i="27" s="1"/>
  <c r="J11" i="27"/>
  <c r="J28" i="27"/>
  <c r="L28" i="27"/>
  <c r="J29" i="27"/>
  <c r="J60" i="27"/>
  <c r="L59" i="27"/>
  <c r="J59" i="27"/>
  <c r="L49" i="27"/>
  <c r="M50" i="27" s="1"/>
  <c r="J49" i="27"/>
  <c r="N50" i="27"/>
  <c r="O50" i="27" s="1"/>
  <c r="D50" i="27" s="1"/>
  <c r="N51" i="27"/>
  <c r="O51" i="27" s="1"/>
  <c r="D51" i="27" s="1"/>
  <c r="N49" i="27"/>
  <c r="O49" i="27" s="1"/>
  <c r="D49" i="27" s="1"/>
  <c r="L78" i="27"/>
  <c r="J79" i="27"/>
  <c r="J78" i="27"/>
  <c r="L69" i="27"/>
  <c r="J69" i="27"/>
  <c r="J70" i="27"/>
  <c r="N67" i="27"/>
  <c r="O67" i="27" s="1"/>
  <c r="D67" i="27" s="1"/>
  <c r="J65" i="27"/>
  <c r="L65" i="27"/>
  <c r="N65" i="27"/>
  <c r="O65" i="27" s="1"/>
  <c r="D65" i="27" s="1"/>
  <c r="N66" i="27"/>
  <c r="O66" i="27" s="1"/>
  <c r="D66" i="27" s="1"/>
  <c r="L37" i="27"/>
  <c r="J37" i="27"/>
  <c r="J38" i="27"/>
  <c r="J35" i="27"/>
  <c r="L34" i="27"/>
  <c r="J34" i="27"/>
  <c r="J40" i="27"/>
  <c r="J41" i="27"/>
  <c r="L40" i="27"/>
  <c r="N64" i="27"/>
  <c r="O64" i="27" s="1"/>
  <c r="D64" i="27" s="1"/>
  <c r="J62" i="27"/>
  <c r="N63" i="27"/>
  <c r="O63" i="27" s="1"/>
  <c r="D63" i="27" s="1"/>
  <c r="L62" i="27"/>
  <c r="N62" i="27"/>
  <c r="O62" i="27" s="1"/>
  <c r="D62" i="27" s="1"/>
  <c r="L56" i="27"/>
  <c r="J56" i="27"/>
  <c r="J57" i="27"/>
  <c r="J73" i="27"/>
  <c r="L72" i="27"/>
  <c r="J72" i="27"/>
  <c r="L52" i="27"/>
  <c r="J52" i="27"/>
  <c r="N53" i="27"/>
  <c r="O53" i="27" s="1"/>
  <c r="D53" i="27" s="1"/>
  <c r="N52" i="27"/>
  <c r="O52" i="27" s="1"/>
  <c r="D52" i="27" s="1"/>
  <c r="N54" i="27"/>
  <c r="O54" i="27" s="1"/>
  <c r="D54" i="27" s="1"/>
  <c r="J22" i="27"/>
  <c r="L21" i="27"/>
  <c r="J21" i="27"/>
  <c r="J43" i="27"/>
  <c r="L43" i="27"/>
  <c r="N45" i="27"/>
  <c r="O45" i="27" s="1"/>
  <c r="D45" i="27" s="1"/>
  <c r="N44" i="27"/>
  <c r="O44" i="27" s="1"/>
  <c r="D44" i="27" s="1"/>
  <c r="N43" i="27"/>
  <c r="O43" i="27" s="1"/>
  <c r="D43" i="27" s="1"/>
  <c r="J48" i="27"/>
  <c r="L47" i="27"/>
  <c r="J47" i="27"/>
  <c r="J68" i="27"/>
  <c r="N70" i="27"/>
  <c r="O70" i="27" s="1"/>
  <c r="D70" i="27" s="1"/>
  <c r="N69" i="27"/>
  <c r="O69" i="27" s="1"/>
  <c r="D69" i="27" s="1"/>
  <c r="N68" i="27"/>
  <c r="O68" i="27" s="1"/>
  <c r="D68" i="27" s="1"/>
  <c r="L68" i="27"/>
  <c r="M69" i="27" s="1"/>
  <c r="L25" i="27"/>
  <c r="J26" i="27"/>
  <c r="J25" i="27"/>
  <c r="N76" i="27"/>
  <c r="O76" i="27" s="1"/>
  <c r="D76" i="27" s="1"/>
  <c r="J74" i="27"/>
  <c r="N75" i="27"/>
  <c r="O75" i="27" s="1"/>
  <c r="D75" i="27" s="1"/>
  <c r="L74" i="27"/>
  <c r="M75" i="27" s="1"/>
  <c r="N74" i="27"/>
  <c r="O74" i="27" s="1"/>
  <c r="D74" i="27" s="1"/>
  <c r="H12" i="12"/>
  <c r="G14" i="12"/>
  <c r="H14" i="12"/>
  <c r="G13" i="12"/>
  <c r="H13" i="12"/>
  <c r="R25" i="11"/>
  <c r="T24" i="11" s="1"/>
  <c r="U24" i="11" s="1"/>
  <c r="R26" i="11"/>
  <c r="T36" i="11"/>
  <c r="D31" i="11" s="1"/>
  <c r="T35" i="11"/>
  <c r="D30" i="11" s="1"/>
  <c r="AG14" i="32" l="1"/>
  <c r="AG27" i="32"/>
  <c r="AG46" i="32"/>
  <c r="AG36" i="32"/>
  <c r="AG58" i="32"/>
  <c r="AG30" i="32"/>
  <c r="AG43" i="32"/>
  <c r="AG74" i="32"/>
  <c r="AG77" i="32"/>
  <c r="AG55" i="32"/>
  <c r="AG49" i="32"/>
  <c r="AG65" i="32"/>
  <c r="AG62" i="32"/>
  <c r="AG52" i="32"/>
  <c r="AG33" i="32"/>
  <c r="AG39" i="32"/>
  <c r="AG17" i="32"/>
  <c r="AD71" i="32"/>
  <c r="AG8" i="32"/>
  <c r="AG24" i="32"/>
  <c r="AD70" i="32"/>
  <c r="AD69" i="32"/>
  <c r="AD72" i="32"/>
  <c r="AD71" i="31" a="1"/>
  <c r="AD73" i="31" s="1"/>
  <c r="AE73" i="31" s="1"/>
  <c r="AF73" i="31" s="1"/>
  <c r="AD27" i="31" a="1"/>
  <c r="AD27" i="31" s="1"/>
  <c r="AE27" i="31" s="1"/>
  <c r="AF27" i="31" s="1"/>
  <c r="AD74" i="31" a="1"/>
  <c r="AD75" i="31" s="1"/>
  <c r="AE75" i="31" s="1"/>
  <c r="AF75" i="31" s="1"/>
  <c r="AD39" i="31" a="1"/>
  <c r="AD39" i="31" s="1"/>
  <c r="AE39" i="31" s="1"/>
  <c r="AF39" i="31" s="1"/>
  <c r="AD52" i="31" a="1"/>
  <c r="AD54" i="31" s="1"/>
  <c r="AE54" i="31" s="1"/>
  <c r="AF54" i="31" s="1"/>
  <c r="AD20" i="31" a="1"/>
  <c r="AD22" i="31" s="1"/>
  <c r="AE22" i="31" s="1"/>
  <c r="AF22" i="31" s="1"/>
  <c r="AD62" i="31" a="1"/>
  <c r="AD62" i="31" s="1"/>
  <c r="AE62" i="31" s="1"/>
  <c r="AF62" i="31" s="1"/>
  <c r="AD49" i="31" a="1"/>
  <c r="AD49" i="31" s="1"/>
  <c r="AE49" i="31" s="1"/>
  <c r="AF49" i="31" s="1"/>
  <c r="AD11" i="31" a="1"/>
  <c r="AD13" i="31" s="1"/>
  <c r="AE13" i="31" s="1"/>
  <c r="AF13" i="31" s="1"/>
  <c r="AD24" i="31" a="1"/>
  <c r="AD5" i="31" a="1"/>
  <c r="AD68" i="31" a="1"/>
  <c r="AD65" i="31" a="1"/>
  <c r="AD8" i="31" a="1"/>
  <c r="AD33" i="31" a="1"/>
  <c r="AD46" i="31" a="1"/>
  <c r="AD14" i="31" a="1"/>
  <c r="AD30" i="31" a="1"/>
  <c r="AD17" i="31" a="1"/>
  <c r="AD77" i="31" a="1"/>
  <c r="AD43" i="31" a="1"/>
  <c r="AD55" i="31" a="1"/>
  <c r="AD58" i="31" a="1"/>
  <c r="AD36" i="31" a="1"/>
  <c r="T31" i="21"/>
  <c r="U31" i="21" s="1"/>
  <c r="V31" i="21" s="1"/>
  <c r="W31" i="21" s="1"/>
  <c r="T27" i="21"/>
  <c r="U27" i="21" s="1"/>
  <c r="V27" i="21" s="1"/>
  <c r="T6" i="21"/>
  <c r="U6" i="21" s="1"/>
  <c r="V6" i="21" s="1"/>
  <c r="W5" i="21" s="1"/>
  <c r="T57" i="21"/>
  <c r="U57" i="21" s="1"/>
  <c r="V57" i="21" s="1"/>
  <c r="T22" i="21"/>
  <c r="U22" i="21" s="1"/>
  <c r="V22" i="21" s="1"/>
  <c r="W22" i="21" s="1"/>
  <c r="T56" i="21"/>
  <c r="U56" i="21" s="1"/>
  <c r="V56" i="21" s="1"/>
  <c r="W56" i="21" s="1"/>
  <c r="T63" i="21"/>
  <c r="U63" i="21" s="1"/>
  <c r="V63" i="21" s="1"/>
  <c r="W63" i="21" s="1"/>
  <c r="T44" i="21"/>
  <c r="U44" i="21" s="1"/>
  <c r="V44" i="21" s="1"/>
  <c r="W44" i="21" s="1"/>
  <c r="T72" i="21"/>
  <c r="U72" i="21" s="1"/>
  <c r="V72" i="21" s="1"/>
  <c r="T28" i="21"/>
  <c r="U28" i="21" s="1"/>
  <c r="V28" i="21" s="1"/>
  <c r="W29" i="21" s="1"/>
  <c r="T46" i="21"/>
  <c r="U46" i="21" s="1"/>
  <c r="V46" i="21" s="1"/>
  <c r="W47" i="21" s="1"/>
  <c r="T71" i="21"/>
  <c r="T53" i="21"/>
  <c r="U53" i="21" s="1"/>
  <c r="V53" i="21" s="1"/>
  <c r="T54" i="21"/>
  <c r="U54" i="21" s="1"/>
  <c r="V54" i="21" s="1"/>
  <c r="T67" i="21"/>
  <c r="U67" i="21" s="1"/>
  <c r="V67" i="21" s="1"/>
  <c r="W67" i="21" s="1"/>
  <c r="T65" i="21"/>
  <c r="U65" i="21" s="1"/>
  <c r="V65" i="21" s="1"/>
  <c r="W66" i="21" s="1"/>
  <c r="T32" i="21"/>
  <c r="U32" i="21" s="1"/>
  <c r="V32" i="21" s="1"/>
  <c r="T79" i="21"/>
  <c r="U79" i="21" s="1"/>
  <c r="V79" i="21" s="1"/>
  <c r="W79" i="21" s="1"/>
  <c r="T77" i="21"/>
  <c r="U77" i="21" s="1"/>
  <c r="V77" i="21" s="1"/>
  <c r="W78" i="21" s="1"/>
  <c r="T5" i="21"/>
  <c r="U5" i="21" s="1"/>
  <c r="V5" i="21" s="1"/>
  <c r="T33" i="21"/>
  <c r="U33" i="21" s="1"/>
  <c r="V33" i="21" s="1"/>
  <c r="T20" i="21"/>
  <c r="U20" i="21" s="1"/>
  <c r="V20" i="21" s="1"/>
  <c r="W21" i="21" s="1"/>
  <c r="T70" i="21"/>
  <c r="U70" i="21" s="1"/>
  <c r="V70" i="21" s="1"/>
  <c r="W70" i="21" s="1"/>
  <c r="T16" i="21"/>
  <c r="U16" i="21" s="1"/>
  <c r="V16" i="21" s="1"/>
  <c r="W16" i="21" s="1"/>
  <c r="T11" i="21"/>
  <c r="T13" i="21"/>
  <c r="U13" i="21" s="1"/>
  <c r="V13" i="21" s="1"/>
  <c r="W13" i="21" s="1"/>
  <c r="T64" i="21"/>
  <c r="U64" i="21" s="1"/>
  <c r="V64" i="21" s="1"/>
  <c r="T50" i="21"/>
  <c r="U50" i="21" s="1"/>
  <c r="V50" i="21" s="1"/>
  <c r="W51" i="21" s="1"/>
  <c r="T48" i="21"/>
  <c r="U48" i="21" s="1"/>
  <c r="V48" i="21" s="1"/>
  <c r="W48" i="21" s="1"/>
  <c r="T45" i="21"/>
  <c r="T49" i="21"/>
  <c r="U49" i="21" s="1"/>
  <c r="V49" i="21" s="1"/>
  <c r="T58" i="21"/>
  <c r="U58" i="21" s="1"/>
  <c r="V58" i="21" s="1"/>
  <c r="W59" i="21" s="1"/>
  <c r="T36" i="21"/>
  <c r="T17" i="21"/>
  <c r="U17" i="21" s="1"/>
  <c r="V17" i="21" s="1"/>
  <c r="T18" i="21"/>
  <c r="U18" i="21" s="1"/>
  <c r="V18" i="21" s="1"/>
  <c r="W17" i="21" s="1"/>
  <c r="T38" i="21"/>
  <c r="U38" i="21" s="1"/>
  <c r="V38" i="21" s="1"/>
  <c r="W38" i="21" s="1"/>
  <c r="T8" i="21"/>
  <c r="U8" i="21" s="1"/>
  <c r="V8" i="21" s="1"/>
  <c r="T60" i="21"/>
  <c r="U60" i="21" s="1"/>
  <c r="V60" i="21" s="1"/>
  <c r="W60" i="21" s="1"/>
  <c r="T9" i="21"/>
  <c r="T14" i="21"/>
  <c r="U14" i="21" s="1"/>
  <c r="V14" i="21" s="1"/>
  <c r="W15" i="21" s="1"/>
  <c r="Z14" i="21" s="1"/>
  <c r="T34" i="21"/>
  <c r="U34" i="21" s="1"/>
  <c r="V34" i="21" s="1"/>
  <c r="W33" i="21" s="1"/>
  <c r="T75" i="21"/>
  <c r="U75" i="21" s="1"/>
  <c r="V75" i="21" s="1"/>
  <c r="T74" i="21"/>
  <c r="T24" i="21"/>
  <c r="U24" i="21" s="1"/>
  <c r="V24" i="21" s="1"/>
  <c r="W25" i="21" s="1"/>
  <c r="T39" i="21"/>
  <c r="U39" i="21" s="1"/>
  <c r="V39" i="21" s="1"/>
  <c r="W40" i="21" s="1"/>
  <c r="T26" i="21"/>
  <c r="U26" i="21" s="1"/>
  <c r="V26" i="21" s="1"/>
  <c r="W26" i="21" s="1"/>
  <c r="T41" i="21"/>
  <c r="U41" i="21" s="1"/>
  <c r="V41" i="21" s="1"/>
  <c r="W41" i="21" s="1"/>
  <c r="T68" i="21"/>
  <c r="U68" i="21" s="1"/>
  <c r="V68" i="21" s="1"/>
  <c r="W69" i="21" s="1"/>
  <c r="M6" i="27"/>
  <c r="Z53" i="27"/>
  <c r="AZ7" i="27"/>
  <c r="AM8" i="27"/>
  <c r="Z13" i="27"/>
  <c r="AQ7" i="27"/>
  <c r="Z25" i="27"/>
  <c r="Z77" i="27"/>
  <c r="BH6" i="27"/>
  <c r="Z10" i="27"/>
  <c r="AL8" i="27"/>
  <c r="Z70" i="27"/>
  <c r="BE8" i="27"/>
  <c r="Z62" i="27"/>
  <c r="BC6" i="27"/>
  <c r="BC8" i="27"/>
  <c r="Z64" i="27"/>
  <c r="AM7" i="27"/>
  <c r="Z12" i="27"/>
  <c r="Z57" i="27"/>
  <c r="BA8" i="27"/>
  <c r="AU8" i="27"/>
  <c r="Z38" i="27"/>
  <c r="AK7" i="27"/>
  <c r="Z6" i="27"/>
  <c r="AP6" i="27"/>
  <c r="Z20" i="27"/>
  <c r="BF7" i="27"/>
  <c r="Z72" i="27"/>
  <c r="AV8" i="27"/>
  <c r="Z41" i="27"/>
  <c r="AO6" i="27"/>
  <c r="Z17" i="27"/>
  <c r="AS6" i="27"/>
  <c r="Z30" i="27"/>
  <c r="Z15" i="27"/>
  <c r="AN7" i="27"/>
  <c r="BG7" i="27"/>
  <c r="Z75" i="27"/>
  <c r="Z45" i="27"/>
  <c r="AW8" i="27"/>
  <c r="Z65" i="27"/>
  <c r="BD6" i="27"/>
  <c r="BH8" i="27"/>
  <c r="Z79" i="27"/>
  <c r="Z73" i="27"/>
  <c r="BF8" i="27"/>
  <c r="Z40" i="27"/>
  <c r="AV7" i="27"/>
  <c r="AR8" i="27"/>
  <c r="Z29" i="27"/>
  <c r="Z74" i="27"/>
  <c r="BG6" i="27"/>
  <c r="BG8" i="27"/>
  <c r="Z76" i="27"/>
  <c r="AW6" i="27"/>
  <c r="Z43" i="27"/>
  <c r="AZ8" i="27"/>
  <c r="Z54" i="27"/>
  <c r="M53" i="27"/>
  <c r="Z49" i="27"/>
  <c r="AY6" i="27"/>
  <c r="Z11" i="27"/>
  <c r="AM6" i="27"/>
  <c r="BA6" i="27"/>
  <c r="Z55" i="27"/>
  <c r="AT7" i="27"/>
  <c r="Z34" i="27"/>
  <c r="Z36" i="27"/>
  <c r="AU6" i="27"/>
  <c r="AX6" i="27"/>
  <c r="Z46" i="27"/>
  <c r="AP7" i="27"/>
  <c r="Z21" i="27"/>
  <c r="BF6" i="27"/>
  <c r="Z71" i="27"/>
  <c r="Z18" i="27"/>
  <c r="AO7" i="27"/>
  <c r="Z32" i="27"/>
  <c r="AS8" i="27"/>
  <c r="AL6" i="27"/>
  <c r="Z8" i="27"/>
  <c r="Z60" i="27"/>
  <c r="BB8" i="27"/>
  <c r="Z27" i="27"/>
  <c r="AR6" i="27"/>
  <c r="Z28" i="27"/>
  <c r="AR7" i="27"/>
  <c r="Z69" i="27"/>
  <c r="BE7" i="27"/>
  <c r="AY7" i="27"/>
  <c r="Z50" i="27"/>
  <c r="Z35" i="27"/>
  <c r="AT8" i="27"/>
  <c r="Z48" i="27"/>
  <c r="AX8" i="27"/>
  <c r="Z7" i="27"/>
  <c r="AK8" i="27"/>
  <c r="Z19" i="27"/>
  <c r="AO8" i="27"/>
  <c r="Z14" i="27"/>
  <c r="AN6" i="27"/>
  <c r="BE6" i="27"/>
  <c r="Z68" i="27"/>
  <c r="Z44" i="27"/>
  <c r="AW7" i="27"/>
  <c r="Z52" i="27"/>
  <c r="AZ6" i="27"/>
  <c r="BC7" i="27"/>
  <c r="Z63" i="27"/>
  <c r="Z66" i="27"/>
  <c r="BD7" i="27"/>
  <c r="BD8" i="27"/>
  <c r="Z67" i="27"/>
  <c r="AY8" i="27"/>
  <c r="Z51" i="27"/>
  <c r="Z56" i="27"/>
  <c r="BA7" i="27"/>
  <c r="AT6" i="27"/>
  <c r="Z33" i="27"/>
  <c r="AU7" i="27"/>
  <c r="Z37" i="27"/>
  <c r="Z24" i="27"/>
  <c r="AQ6" i="27"/>
  <c r="AQ8" i="27"/>
  <c r="Z26" i="27"/>
  <c r="AX7" i="27"/>
  <c r="Z47" i="27"/>
  <c r="Z78" i="27"/>
  <c r="BH7" i="27"/>
  <c r="AK6" i="27"/>
  <c r="Z5" i="27"/>
  <c r="Z22" i="27"/>
  <c r="AP8" i="27"/>
  <c r="Z39" i="27"/>
  <c r="AV6" i="27"/>
  <c r="Z31" i="27"/>
  <c r="AS7" i="27"/>
  <c r="AL7" i="27"/>
  <c r="Z9" i="27"/>
  <c r="AN8" i="27"/>
  <c r="Z16" i="27"/>
  <c r="BB7" i="27"/>
  <c r="Z59" i="27"/>
  <c r="M66" i="27"/>
  <c r="M12" i="27"/>
  <c r="M37" i="27"/>
  <c r="M27" i="27"/>
  <c r="M29" i="27"/>
  <c r="M63" i="27"/>
  <c r="M39" i="27"/>
  <c r="M41" i="27"/>
  <c r="M35" i="27"/>
  <c r="M33" i="27"/>
  <c r="M36" i="27"/>
  <c r="M38" i="27"/>
  <c r="M68" i="27"/>
  <c r="M70" i="27"/>
  <c r="M34" i="27"/>
  <c r="M25" i="27"/>
  <c r="M8" i="27"/>
  <c r="M10" i="27"/>
  <c r="M49" i="27"/>
  <c r="M51" i="27"/>
  <c r="M40" i="27"/>
  <c r="M65" i="27"/>
  <c r="M67" i="27"/>
  <c r="M16" i="27"/>
  <c r="M14" i="27"/>
  <c r="M76" i="27"/>
  <c r="M74" i="27"/>
  <c r="M43" i="27"/>
  <c r="M45" i="27"/>
  <c r="M28" i="27"/>
  <c r="M64" i="27"/>
  <c r="M62" i="27"/>
  <c r="M46" i="27"/>
  <c r="M48" i="27"/>
  <c r="M22" i="27"/>
  <c r="M20" i="27"/>
  <c r="M73" i="27"/>
  <c r="M71" i="27"/>
  <c r="M55" i="27"/>
  <c r="M57" i="27"/>
  <c r="M60" i="27"/>
  <c r="M58" i="27"/>
  <c r="M54" i="27"/>
  <c r="M52" i="27"/>
  <c r="M56" i="27"/>
  <c r="M21" i="27"/>
  <c r="M72" i="27"/>
  <c r="M15" i="27"/>
  <c r="M26" i="27"/>
  <c r="M24" i="27"/>
  <c r="M44" i="27"/>
  <c r="M77" i="27"/>
  <c r="M79" i="27"/>
  <c r="M32" i="27"/>
  <c r="M30" i="27"/>
  <c r="M47" i="27"/>
  <c r="M78" i="27"/>
  <c r="M13" i="27"/>
  <c r="M11" i="27"/>
  <c r="M19" i="27"/>
  <c r="M17" i="27"/>
  <c r="M18" i="27"/>
  <c r="M31" i="27"/>
  <c r="M9" i="27"/>
  <c r="M5" i="27"/>
  <c r="M7" i="27"/>
  <c r="M59" i="27"/>
  <c r="G17" i="12"/>
  <c r="J26" i="12"/>
  <c r="K26" i="12" s="1"/>
  <c r="J25" i="12"/>
  <c r="K25" i="12" s="1"/>
  <c r="J24" i="12"/>
  <c r="H17" i="12"/>
  <c r="Z68" i="21" l="1"/>
  <c r="Z65" i="21"/>
  <c r="Z77" i="21"/>
  <c r="Z39" i="21"/>
  <c r="Z58" i="21"/>
  <c r="Z46" i="21"/>
  <c r="Z24" i="21"/>
  <c r="Z20" i="21"/>
  <c r="AG68" i="32"/>
  <c r="AG71" i="32"/>
  <c r="W30" i="21"/>
  <c r="AD29" i="31"/>
  <c r="AE29" i="31" s="1"/>
  <c r="AF29" i="31" s="1"/>
  <c r="AD71" i="31"/>
  <c r="AE71" i="31" s="1"/>
  <c r="AF71" i="31" s="1"/>
  <c r="AD28" i="31"/>
  <c r="AE28" i="31" s="1"/>
  <c r="AF28" i="31" s="1"/>
  <c r="AG27" i="31" s="1"/>
  <c r="W32" i="21"/>
  <c r="AD76" i="31"/>
  <c r="AE76" i="31" s="1"/>
  <c r="AF76" i="31" s="1"/>
  <c r="AG76" i="31" s="1"/>
  <c r="AD64" i="31"/>
  <c r="AE64" i="31" s="1"/>
  <c r="AF64" i="31" s="1"/>
  <c r="AD53" i="31"/>
  <c r="AE53" i="31" s="1"/>
  <c r="AF53" i="31" s="1"/>
  <c r="AG52" i="31" s="1"/>
  <c r="AD63" i="31"/>
  <c r="AE63" i="31" s="1"/>
  <c r="AF63" i="31" s="1"/>
  <c r="AG63" i="31" s="1"/>
  <c r="AD74" i="31"/>
  <c r="AE74" i="31" s="1"/>
  <c r="AF74" i="31" s="1"/>
  <c r="AG75" i="31" s="1"/>
  <c r="AD52" i="31"/>
  <c r="AE52" i="31" s="1"/>
  <c r="AF52" i="31" s="1"/>
  <c r="AD11" i="31"/>
  <c r="AE11" i="31" s="1"/>
  <c r="AF11" i="31" s="1"/>
  <c r="AD72" i="31"/>
  <c r="AE72" i="31" s="1"/>
  <c r="AF72" i="31" s="1"/>
  <c r="AD12" i="31"/>
  <c r="AE12" i="31" s="1"/>
  <c r="AF12" i="31" s="1"/>
  <c r="AG11" i="31" s="1"/>
  <c r="W6" i="21"/>
  <c r="AD50" i="31"/>
  <c r="AE50" i="31" s="1"/>
  <c r="AF50" i="31" s="1"/>
  <c r="AG50" i="31" s="1"/>
  <c r="AD41" i="31"/>
  <c r="AE41" i="31" s="1"/>
  <c r="AF41" i="31" s="1"/>
  <c r="AD51" i="31"/>
  <c r="AE51" i="31" s="1"/>
  <c r="AF51" i="31" s="1"/>
  <c r="AD40" i="31"/>
  <c r="AE40" i="31" s="1"/>
  <c r="AF40" i="31" s="1"/>
  <c r="AG40" i="31" s="1"/>
  <c r="AD20" i="31"/>
  <c r="AE20" i="31" s="1"/>
  <c r="AF20" i="31" s="1"/>
  <c r="AD21" i="31"/>
  <c r="AE21" i="31" s="1"/>
  <c r="AF21" i="31" s="1"/>
  <c r="AD31" i="31"/>
  <c r="AE31" i="31" s="1"/>
  <c r="AF31" i="31" s="1"/>
  <c r="AD30" i="31"/>
  <c r="AE30" i="31" s="1"/>
  <c r="AF30" i="31" s="1"/>
  <c r="AD32" i="31"/>
  <c r="AE32" i="31" s="1"/>
  <c r="AF32" i="31" s="1"/>
  <c r="AD45" i="31"/>
  <c r="AE45" i="31" s="1"/>
  <c r="AF45" i="31" s="1"/>
  <c r="AD44" i="31"/>
  <c r="AE44" i="31" s="1"/>
  <c r="AF44" i="31" s="1"/>
  <c r="AD43" i="31"/>
  <c r="AE43" i="31" s="1"/>
  <c r="AF43" i="31" s="1"/>
  <c r="AD16" i="31"/>
  <c r="AE16" i="31" s="1"/>
  <c r="AF16" i="31" s="1"/>
  <c r="AD15" i="31"/>
  <c r="AE15" i="31" s="1"/>
  <c r="AF15" i="31" s="1"/>
  <c r="AD14" i="31"/>
  <c r="AE14" i="31" s="1"/>
  <c r="AF14" i="31" s="1"/>
  <c r="AD67" i="31"/>
  <c r="AE67" i="31" s="1"/>
  <c r="AF67" i="31" s="1"/>
  <c r="AD66" i="31"/>
  <c r="AE66" i="31" s="1"/>
  <c r="AF66" i="31" s="1"/>
  <c r="AD65" i="31"/>
  <c r="AE65" i="31" s="1"/>
  <c r="AF65" i="31" s="1"/>
  <c r="AD55" i="31"/>
  <c r="AE55" i="31" s="1"/>
  <c r="AF55" i="31" s="1"/>
  <c r="AD56" i="31"/>
  <c r="AE56" i="31" s="1"/>
  <c r="AF56" i="31" s="1"/>
  <c r="AD57" i="31"/>
  <c r="AE57" i="31" s="1"/>
  <c r="AF57" i="31" s="1"/>
  <c r="AD26" i="31"/>
  <c r="AE26" i="31" s="1"/>
  <c r="AF26" i="31" s="1"/>
  <c r="AD25" i="31"/>
  <c r="AE25" i="31" s="1"/>
  <c r="AF25" i="31" s="1"/>
  <c r="AD24" i="31"/>
  <c r="AE24" i="31" s="1"/>
  <c r="AF24" i="31" s="1"/>
  <c r="AD36" i="31"/>
  <c r="AE36" i="31" s="1"/>
  <c r="AF36" i="31" s="1"/>
  <c r="AD38" i="31"/>
  <c r="AE38" i="31" s="1"/>
  <c r="AF38" i="31" s="1"/>
  <c r="AD37" i="31"/>
  <c r="AE37" i="31" s="1"/>
  <c r="AF37" i="31" s="1"/>
  <c r="AD77" i="31"/>
  <c r="AE77" i="31" s="1"/>
  <c r="AF77" i="31" s="1"/>
  <c r="AD79" i="31"/>
  <c r="AE79" i="31" s="1"/>
  <c r="AF79" i="31" s="1"/>
  <c r="AD78" i="31"/>
  <c r="AE78" i="31" s="1"/>
  <c r="AF78" i="31" s="1"/>
  <c r="AD48" i="31"/>
  <c r="AE48" i="31" s="1"/>
  <c r="AF48" i="31" s="1"/>
  <c r="AD47" i="31"/>
  <c r="AE47" i="31" s="1"/>
  <c r="AF47" i="31" s="1"/>
  <c r="AD46" i="31"/>
  <c r="AE46" i="31" s="1"/>
  <c r="AF46" i="31" s="1"/>
  <c r="AD69" i="31"/>
  <c r="AE69" i="31" s="1"/>
  <c r="AF69" i="31" s="1"/>
  <c r="AD70" i="31"/>
  <c r="AE70" i="31" s="1"/>
  <c r="AF70" i="31" s="1"/>
  <c r="AD68" i="31"/>
  <c r="AE68" i="31" s="1"/>
  <c r="AF68" i="31" s="1"/>
  <c r="AD58" i="31"/>
  <c r="AE58" i="31" s="1"/>
  <c r="AF58" i="31" s="1"/>
  <c r="AD60" i="31"/>
  <c r="AE60" i="31" s="1"/>
  <c r="AF60" i="31" s="1"/>
  <c r="AD59" i="31"/>
  <c r="AE59" i="31" s="1"/>
  <c r="AF59" i="31" s="1"/>
  <c r="AD17" i="31"/>
  <c r="AE17" i="31" s="1"/>
  <c r="AF17" i="31" s="1"/>
  <c r="AD19" i="31"/>
  <c r="AE19" i="31" s="1"/>
  <c r="AF19" i="31" s="1"/>
  <c r="AD18" i="31"/>
  <c r="AE18" i="31" s="1"/>
  <c r="AF18" i="31" s="1"/>
  <c r="AD33" i="31"/>
  <c r="AE33" i="31" s="1"/>
  <c r="AF33" i="31" s="1"/>
  <c r="AD35" i="31"/>
  <c r="AE35" i="31" s="1"/>
  <c r="AF35" i="31" s="1"/>
  <c r="AD34" i="31"/>
  <c r="AE34" i="31" s="1"/>
  <c r="AF34" i="31" s="1"/>
  <c r="AD9" i="31"/>
  <c r="AE9" i="31" s="1"/>
  <c r="AF9" i="31" s="1"/>
  <c r="AD8" i="31"/>
  <c r="AE8" i="31" s="1"/>
  <c r="AF8" i="31" s="1"/>
  <c r="AD10" i="31"/>
  <c r="AE10" i="31" s="1"/>
  <c r="AF10" i="31" s="1"/>
  <c r="AD7" i="31"/>
  <c r="AE7" i="31" s="1"/>
  <c r="AF7" i="31" s="1"/>
  <c r="AD6" i="31"/>
  <c r="AE6" i="31" s="1"/>
  <c r="AF6" i="31" s="1"/>
  <c r="AD5" i="31"/>
  <c r="AE5" i="31" s="1"/>
  <c r="AF5" i="31" s="1"/>
  <c r="AG74" i="31"/>
  <c r="W7" i="21"/>
  <c r="W35" i="21"/>
  <c r="X73" i="21"/>
  <c r="Y73" i="21" s="1"/>
  <c r="W55" i="21"/>
  <c r="X55" i="21"/>
  <c r="Y55" i="21" s="1"/>
  <c r="X57" i="21"/>
  <c r="Y57" i="21" s="1"/>
  <c r="W57" i="21"/>
  <c r="X56" i="21"/>
  <c r="Y56" i="21" s="1"/>
  <c r="X67" i="21"/>
  <c r="Y67" i="21" s="1"/>
  <c r="U71" i="21"/>
  <c r="V71" i="21" s="1"/>
  <c r="W72" i="21" s="1"/>
  <c r="W43" i="21"/>
  <c r="X43" i="21"/>
  <c r="Y43" i="21" s="1"/>
  <c r="X74" i="21"/>
  <c r="Y74" i="21" s="1"/>
  <c r="U45" i="21"/>
  <c r="V45" i="21" s="1"/>
  <c r="W45" i="21" s="1"/>
  <c r="X27" i="21"/>
  <c r="Y27" i="21" s="1"/>
  <c r="X20" i="21"/>
  <c r="Y20" i="21" s="1"/>
  <c r="X21" i="21"/>
  <c r="Y21" i="21" s="1"/>
  <c r="X28" i="21"/>
  <c r="Y28" i="21" s="1"/>
  <c r="X22" i="21"/>
  <c r="Y22" i="21" s="1"/>
  <c r="X29" i="21"/>
  <c r="Y29" i="21" s="1"/>
  <c r="W27" i="21"/>
  <c r="W28" i="21"/>
  <c r="X78" i="21"/>
  <c r="Y78" i="21" s="1"/>
  <c r="X30" i="21"/>
  <c r="Y30" i="21" s="1"/>
  <c r="X52" i="21"/>
  <c r="Y52" i="21" s="1"/>
  <c r="X54" i="21"/>
  <c r="Y54" i="21" s="1"/>
  <c r="X53" i="21"/>
  <c r="Y53" i="21" s="1"/>
  <c r="X5" i="21"/>
  <c r="Y5" i="21" s="1"/>
  <c r="X32" i="21"/>
  <c r="Y32" i="21" s="1"/>
  <c r="X44" i="21"/>
  <c r="Y44" i="21" s="1"/>
  <c r="X79" i="21"/>
  <c r="Y79" i="21" s="1"/>
  <c r="X31" i="21"/>
  <c r="Y31" i="21" s="1"/>
  <c r="X12" i="21"/>
  <c r="Y12" i="21" s="1"/>
  <c r="X68" i="21"/>
  <c r="Y68" i="21" s="1"/>
  <c r="X71" i="21"/>
  <c r="Y71" i="21" s="1"/>
  <c r="X60" i="21"/>
  <c r="Y60" i="21" s="1"/>
  <c r="X38" i="21"/>
  <c r="Y38" i="21" s="1"/>
  <c r="X37" i="21"/>
  <c r="Y37" i="21" s="1"/>
  <c r="X47" i="21"/>
  <c r="Y47" i="21" s="1"/>
  <c r="X16" i="21"/>
  <c r="Y16" i="21" s="1"/>
  <c r="X13" i="21"/>
  <c r="Y13" i="21" s="1"/>
  <c r="X14" i="21"/>
  <c r="Y14" i="21" s="1"/>
  <c r="U36" i="21"/>
  <c r="V36" i="21" s="1"/>
  <c r="W37" i="21" s="1"/>
  <c r="Z36" i="21" s="1"/>
  <c r="U11" i="21"/>
  <c r="V11" i="21" s="1"/>
  <c r="W12" i="21" s="1"/>
  <c r="Z11" i="21" s="1"/>
  <c r="X69" i="21"/>
  <c r="Y69" i="21" s="1"/>
  <c r="X58" i="21"/>
  <c r="Y58" i="21" s="1"/>
  <c r="X11" i="21"/>
  <c r="Y11" i="21" s="1"/>
  <c r="W49" i="21"/>
  <c r="W50" i="21"/>
  <c r="X10" i="21"/>
  <c r="Y10" i="21" s="1"/>
  <c r="X62" i="21"/>
  <c r="Y62" i="21" s="1"/>
  <c r="X7" i="21"/>
  <c r="Y7" i="21" s="1"/>
  <c r="X41" i="21"/>
  <c r="Y41" i="21" s="1"/>
  <c r="X65" i="21"/>
  <c r="Y65" i="21" s="1"/>
  <c r="X72" i="21"/>
  <c r="Y72" i="21" s="1"/>
  <c r="X6" i="21"/>
  <c r="Y6" i="21" s="1"/>
  <c r="X70" i="21"/>
  <c r="Y70" i="21" s="1"/>
  <c r="X66" i="21"/>
  <c r="Y66" i="21" s="1"/>
  <c r="X48" i="21"/>
  <c r="Y48" i="21" s="1"/>
  <c r="X36" i="21"/>
  <c r="Y36" i="21" s="1"/>
  <c r="X34" i="21"/>
  <c r="Y34" i="21" s="1"/>
  <c r="X9" i="21"/>
  <c r="Y9" i="21" s="1"/>
  <c r="X46" i="21"/>
  <c r="Y46" i="21" s="1"/>
  <c r="X33" i="21"/>
  <c r="Y33" i="21" s="1"/>
  <c r="W34" i="21"/>
  <c r="X63" i="21"/>
  <c r="Y63" i="21" s="1"/>
  <c r="X8" i="21"/>
  <c r="Y8" i="21" s="1"/>
  <c r="U9" i="21"/>
  <c r="V9" i="21" s="1"/>
  <c r="W10" i="21" s="1"/>
  <c r="X40" i="21"/>
  <c r="Y40" i="21" s="1"/>
  <c r="X50" i="21"/>
  <c r="Y50" i="21" s="1"/>
  <c r="W18" i="21"/>
  <c r="X64" i="21"/>
  <c r="Y64" i="21" s="1"/>
  <c r="X39" i="21"/>
  <c r="Y39" i="21" s="1"/>
  <c r="X49" i="21"/>
  <c r="Y49" i="21" s="1"/>
  <c r="X51" i="21"/>
  <c r="Y51" i="21" s="1"/>
  <c r="X19" i="21"/>
  <c r="Y19" i="21" s="1"/>
  <c r="W19" i="21"/>
  <c r="X35" i="21"/>
  <c r="Y35" i="21" s="1"/>
  <c r="X45" i="21"/>
  <c r="Y45" i="21" s="1"/>
  <c r="X18" i="21"/>
  <c r="Y18" i="21" s="1"/>
  <c r="X59" i="21"/>
  <c r="Y59" i="21" s="1"/>
  <c r="X17" i="21"/>
  <c r="Y17" i="21" s="1"/>
  <c r="X77" i="21"/>
  <c r="Y77" i="21" s="1"/>
  <c r="X75" i="21"/>
  <c r="Y75" i="21" s="1"/>
  <c r="X25" i="21"/>
  <c r="Y25" i="21" s="1"/>
  <c r="X24" i="21"/>
  <c r="Y24" i="21" s="1"/>
  <c r="U74" i="21"/>
  <c r="V74" i="21" s="1"/>
  <c r="W75" i="21" s="1"/>
  <c r="X76" i="21"/>
  <c r="Y76" i="21" s="1"/>
  <c r="X15" i="21"/>
  <c r="Y15" i="21" s="1"/>
  <c r="W74" i="21"/>
  <c r="W76" i="21"/>
  <c r="X26" i="21"/>
  <c r="Y26" i="21" s="1"/>
  <c r="AQ14" i="27" a="1"/>
  <c r="AR15" i="27" s="1"/>
  <c r="Y77" i="27"/>
  <c r="Y52" i="27"/>
  <c r="Y20" i="27"/>
  <c r="Y62" i="27"/>
  <c r="Y43" i="27"/>
  <c r="Y27" i="27"/>
  <c r="Y65" i="27"/>
  <c r="Y11" i="27"/>
  <c r="Y30" i="27"/>
  <c r="Y55" i="27"/>
  <c r="Y74" i="27"/>
  <c r="Y49" i="27"/>
  <c r="Y36" i="27"/>
  <c r="Y39" i="27"/>
  <c r="Y24" i="27"/>
  <c r="Y58" i="27"/>
  <c r="Y71" i="27"/>
  <c r="Y33" i="27"/>
  <c r="Y5" i="27"/>
  <c r="Y17" i="27"/>
  <c r="Y46" i="27"/>
  <c r="Y14" i="27"/>
  <c r="Y8" i="27"/>
  <c r="Y68" i="27"/>
  <c r="W52" i="21"/>
  <c r="W54" i="21"/>
  <c r="W53" i="21"/>
  <c r="W73" i="21"/>
  <c r="W71" i="21"/>
  <c r="W62" i="21"/>
  <c r="W64" i="21"/>
  <c r="J29" i="12"/>
  <c r="K24" i="12"/>
  <c r="K29" i="12" s="1"/>
  <c r="AG28" i="31" l="1"/>
  <c r="Z33" i="21"/>
  <c r="Z71" i="21"/>
  <c r="Z74" i="21"/>
  <c r="Z62" i="21"/>
  <c r="Z27" i="21"/>
  <c r="Z55" i="21"/>
  <c r="Z52" i="21"/>
  <c r="Z17" i="21"/>
  <c r="Z49" i="21"/>
  <c r="Z43" i="21"/>
  <c r="Z30" i="21"/>
  <c r="Z5" i="21"/>
  <c r="AG81" i="32"/>
  <c r="AG82" i="32" s="1"/>
  <c r="AG29" i="31"/>
  <c r="AG72" i="31"/>
  <c r="AG64" i="31"/>
  <c r="AG62" i="31"/>
  <c r="AG73" i="31"/>
  <c r="AG71" i="31"/>
  <c r="AG54" i="31"/>
  <c r="AG53" i="31"/>
  <c r="AG13" i="31"/>
  <c r="AG39" i="31"/>
  <c r="AG12" i="31"/>
  <c r="AG21" i="31"/>
  <c r="AG51" i="31"/>
  <c r="AG49" i="31"/>
  <c r="AG15" i="31"/>
  <c r="AG20" i="31"/>
  <c r="AG22" i="31"/>
  <c r="AG41" i="31"/>
  <c r="AG47" i="31"/>
  <c r="AG37" i="31"/>
  <c r="AG44" i="31"/>
  <c r="AG56" i="31"/>
  <c r="AG66" i="31"/>
  <c r="AG31" i="31"/>
  <c r="AG34" i="31"/>
  <c r="AG7" i="31"/>
  <c r="AG5" i="31"/>
  <c r="AG8" i="31"/>
  <c r="AG10" i="31"/>
  <c r="AG19" i="31"/>
  <c r="AG17" i="31"/>
  <c r="AG68" i="31"/>
  <c r="AG70" i="31"/>
  <c r="AG35" i="31"/>
  <c r="AG33" i="31"/>
  <c r="AG59" i="31"/>
  <c r="AG46" i="31"/>
  <c r="AG48" i="31"/>
  <c r="AG78" i="31"/>
  <c r="AG25" i="31"/>
  <c r="AG43" i="31"/>
  <c r="AG45" i="31"/>
  <c r="AG18" i="31"/>
  <c r="AG69" i="31"/>
  <c r="AG38" i="31"/>
  <c r="AG36" i="31"/>
  <c r="AG26" i="31"/>
  <c r="AG24" i="31"/>
  <c r="AG14" i="31"/>
  <c r="AG16" i="31"/>
  <c r="AH74" i="31"/>
  <c r="AG6" i="31"/>
  <c r="AG9" i="31"/>
  <c r="AG60" i="31"/>
  <c r="AG58" i="31"/>
  <c r="AG79" i="31"/>
  <c r="AG77" i="31"/>
  <c r="AG57" i="31"/>
  <c r="AG55" i="31"/>
  <c r="AG67" i="31"/>
  <c r="AG65" i="31"/>
  <c r="AG30" i="31"/>
  <c r="AG32" i="31"/>
  <c r="W8" i="21"/>
  <c r="W9" i="21"/>
  <c r="Y85" i="27"/>
  <c r="Y86" i="27" s="1"/>
  <c r="AS16" i="27"/>
  <c r="AQ14" i="27"/>
  <c r="AS15" i="27"/>
  <c r="AR14" i="27"/>
  <c r="AR16" i="27"/>
  <c r="AQ15" i="27"/>
  <c r="AS14" i="27"/>
  <c r="AQ16" i="27"/>
  <c r="Y81" i="27"/>
  <c r="Y82" i="27" s="1"/>
  <c r="E21" i="11"/>
  <c r="E20" i="11"/>
  <c r="H20" i="11" s="1"/>
  <c r="F31" i="11"/>
  <c r="H31" i="11" s="1"/>
  <c r="F30" i="11"/>
  <c r="H30" i="11" s="1"/>
  <c r="F29" i="11"/>
  <c r="G29" i="11" s="1"/>
  <c r="E22" i="11"/>
  <c r="H22" i="11" s="1"/>
  <c r="E17" i="11"/>
  <c r="H17" i="11" s="1"/>
  <c r="E18" i="11"/>
  <c r="H18" i="11" s="1"/>
  <c r="E16" i="11"/>
  <c r="G16" i="11" s="1"/>
  <c r="H13" i="11"/>
  <c r="H14" i="11"/>
  <c r="I14" i="10"/>
  <c r="I13" i="10"/>
  <c r="H14" i="10"/>
  <c r="H13" i="10"/>
  <c r="G13" i="10"/>
  <c r="G14" i="10"/>
  <c r="M25" i="9"/>
  <c r="M29" i="9" s="1"/>
  <c r="M24" i="9"/>
  <c r="M28" i="9" s="1"/>
  <c r="I24" i="9"/>
  <c r="H24" i="9"/>
  <c r="G24" i="9"/>
  <c r="M23" i="9"/>
  <c r="M27" i="9" s="1"/>
  <c r="G21" i="9"/>
  <c r="I25" i="9" s="1"/>
  <c r="G19" i="9"/>
  <c r="I23" i="9" s="1"/>
  <c r="G18" i="9"/>
  <c r="H25" i="9" s="1"/>
  <c r="G16" i="9"/>
  <c r="H23" i="9" s="1"/>
  <c r="G15" i="9"/>
  <c r="G25" i="9" s="1"/>
  <c r="G13" i="9"/>
  <c r="G23" i="9" s="1"/>
  <c r="M32" i="8"/>
  <c r="M31" i="8"/>
  <c r="I27" i="8"/>
  <c r="H27" i="8"/>
  <c r="G27" i="8"/>
  <c r="M30" i="8"/>
  <c r="G19" i="8"/>
  <c r="M25" i="7"/>
  <c r="M29" i="7" s="1"/>
  <c r="M24" i="7"/>
  <c r="M28" i="7" s="1"/>
  <c r="I24" i="7"/>
  <c r="H24" i="7"/>
  <c r="G24" i="7"/>
  <c r="M23" i="7"/>
  <c r="M27" i="7" s="1"/>
  <c r="G21" i="7"/>
  <c r="I25" i="7" s="1"/>
  <c r="G19" i="7"/>
  <c r="I23" i="7" s="1"/>
  <c r="G18" i="7"/>
  <c r="H25" i="7" s="1"/>
  <c r="G16" i="7"/>
  <c r="H23" i="7" s="1"/>
  <c r="G15" i="7"/>
  <c r="G25" i="7" s="1"/>
  <c r="G13" i="7"/>
  <c r="G23" i="7" s="1"/>
  <c r="M24" i="3"/>
  <c r="M28" i="3" s="1"/>
  <c r="M23" i="3"/>
  <c r="M27" i="3" s="1"/>
  <c r="M25" i="3"/>
  <c r="M29" i="3" s="1"/>
  <c r="I24" i="3"/>
  <c r="H24" i="3"/>
  <c r="G24" i="3"/>
  <c r="G19" i="3"/>
  <c r="I23" i="3" s="1"/>
  <c r="G18" i="3"/>
  <c r="H25" i="3" s="1"/>
  <c r="G16" i="3"/>
  <c r="G15" i="3"/>
  <c r="G25" i="3" s="1"/>
  <c r="G13" i="3"/>
  <c r="G23" i="3" s="1"/>
  <c r="G21" i="3"/>
  <c r="AH27" i="31" l="1"/>
  <c r="Z8" i="21"/>
  <c r="Z81" i="21" s="1"/>
  <c r="Z82" i="21" s="1"/>
  <c r="AH39" i="31"/>
  <c r="AH62" i="31"/>
  <c r="AH52" i="31"/>
  <c r="AH71" i="31"/>
  <c r="AH11" i="31"/>
  <c r="AH49" i="31"/>
  <c r="AH20" i="31"/>
  <c r="AH36" i="31"/>
  <c r="AH30" i="31"/>
  <c r="AH65" i="31"/>
  <c r="AH33" i="31"/>
  <c r="AH77" i="31"/>
  <c r="AH55" i="31"/>
  <c r="AH58" i="31"/>
  <c r="AH24" i="31"/>
  <c r="AH68" i="31"/>
  <c r="AH8" i="31"/>
  <c r="AH17" i="31"/>
  <c r="AH5" i="31"/>
  <c r="AH14" i="31"/>
  <c r="AH43" i="31"/>
  <c r="AH46" i="31"/>
  <c r="AA65" i="27" a="1"/>
  <c r="AA67" i="27" s="1"/>
  <c r="AB67" i="27" s="1"/>
  <c r="AC67" i="27" s="1"/>
  <c r="G15" i="10"/>
  <c r="AA55" i="27" a="1"/>
  <c r="AA55" i="27" s="1"/>
  <c r="AB55" i="27" s="1"/>
  <c r="AC55" i="27" s="1"/>
  <c r="AA52" i="27" a="1"/>
  <c r="AA54" i="27" s="1"/>
  <c r="AB54" i="27" s="1"/>
  <c r="AC54" i="27" s="1"/>
  <c r="AA11" i="27" a="1"/>
  <c r="AA12" i="27" s="1"/>
  <c r="AB12" i="27" s="1"/>
  <c r="AC12" i="27" s="1"/>
  <c r="AA62" i="27" a="1"/>
  <c r="AA63" i="27" s="1"/>
  <c r="AB63" i="27" s="1"/>
  <c r="AC63" i="27" s="1"/>
  <c r="AA46" i="27" a="1"/>
  <c r="AA47" i="27" s="1"/>
  <c r="AB47" i="27" s="1"/>
  <c r="AC47" i="27" s="1"/>
  <c r="AA33" i="27" a="1"/>
  <c r="AA33" i="27" s="1"/>
  <c r="AB33" i="27" s="1"/>
  <c r="AC33" i="27" s="1"/>
  <c r="AA74" i="27" a="1"/>
  <c r="AA76" i="27" s="1"/>
  <c r="AB76" i="27" s="1"/>
  <c r="AC76" i="27" s="1"/>
  <c r="AA68" i="27" a="1"/>
  <c r="AA70" i="27" s="1"/>
  <c r="AB70" i="27" s="1"/>
  <c r="AC70" i="27" s="1"/>
  <c r="AA20" i="27" a="1"/>
  <c r="AA20" i="27" s="1"/>
  <c r="AB20" i="27" s="1"/>
  <c r="AC20" i="27" s="1"/>
  <c r="AA30" i="27" a="1"/>
  <c r="AA31" i="27" s="1"/>
  <c r="AB31" i="27" s="1"/>
  <c r="AC31" i="27" s="1"/>
  <c r="AA36" i="27" a="1"/>
  <c r="AA37" i="27" s="1"/>
  <c r="AB37" i="27" s="1"/>
  <c r="AC37" i="27" s="1"/>
  <c r="AA5" i="27" a="1"/>
  <c r="AA7" i="27" s="1"/>
  <c r="AB7" i="27" s="1"/>
  <c r="AC7" i="27" s="1"/>
  <c r="AA49" i="27" a="1"/>
  <c r="AA49" i="27" s="1"/>
  <c r="AB49" i="27" s="1"/>
  <c r="AC49" i="27" s="1"/>
  <c r="AA17" i="27" a="1"/>
  <c r="AA18" i="27" s="1"/>
  <c r="AB18" i="27" s="1"/>
  <c r="AC18" i="27" s="1"/>
  <c r="AA8" i="27" a="1"/>
  <c r="AA8" i="27" s="1"/>
  <c r="AB8" i="27" s="1"/>
  <c r="AC8" i="27" s="1"/>
  <c r="AA58" i="27" a="1"/>
  <c r="AA60" i="27" s="1"/>
  <c r="AB60" i="27" s="1"/>
  <c r="AC60" i="27" s="1"/>
  <c r="AA43" i="27" a="1"/>
  <c r="AA44" i="27" s="1"/>
  <c r="AB44" i="27" s="1"/>
  <c r="AC44" i="27" s="1"/>
  <c r="AA27" i="27" a="1"/>
  <c r="AA28" i="27" s="1"/>
  <c r="AB28" i="27" s="1"/>
  <c r="AC28" i="27" s="1"/>
  <c r="AA14" i="27" a="1"/>
  <c r="AA14" i="27" s="1"/>
  <c r="AB14" i="27" s="1"/>
  <c r="AC14" i="27" s="1"/>
  <c r="AA24" i="27" a="1"/>
  <c r="AA24" i="27" s="1"/>
  <c r="AB24" i="27" s="1"/>
  <c r="AC24" i="27" s="1"/>
  <c r="AA39" i="27" a="1"/>
  <c r="AA41" i="27" s="1"/>
  <c r="AB41" i="27" s="1"/>
  <c r="AC41" i="27" s="1"/>
  <c r="AA71" i="27" a="1"/>
  <c r="AA71" i="27" s="1"/>
  <c r="AB71" i="27" s="1"/>
  <c r="AC71" i="27" s="1"/>
  <c r="AA77" i="27" a="1"/>
  <c r="AA79" i="27" s="1"/>
  <c r="AB79" i="27" s="1"/>
  <c r="AC79" i="27" s="1"/>
  <c r="H15" i="10"/>
  <c r="G30" i="8" a="1"/>
  <c r="I32" i="8" s="1"/>
  <c r="I15" i="10"/>
  <c r="R20" i="11" a="1"/>
  <c r="R20" i="11" s="1"/>
  <c r="H16" i="11"/>
  <c r="H29" i="11"/>
  <c r="G30" i="11"/>
  <c r="G31" i="11"/>
  <c r="G18" i="11"/>
  <c r="H21" i="11"/>
  <c r="G14" i="11"/>
  <c r="G17" i="11"/>
  <c r="G13" i="11"/>
  <c r="G27" i="9" a="1"/>
  <c r="G27" i="7" a="1"/>
  <c r="H23" i="3"/>
  <c r="I25" i="3"/>
  <c r="AH81" i="31" l="1"/>
  <c r="AH82" i="31" s="1"/>
  <c r="AA34" i="27"/>
  <c r="AB34" i="27" s="1"/>
  <c r="AC34" i="27" s="1"/>
  <c r="I31" i="8"/>
  <c r="AA13" i="27"/>
  <c r="AB13" i="27" s="1"/>
  <c r="AC13" i="27" s="1"/>
  <c r="AA66" i="27"/>
  <c r="AB66" i="27" s="1"/>
  <c r="AC66" i="27" s="1"/>
  <c r="AA21" i="27"/>
  <c r="AB21" i="27" s="1"/>
  <c r="AC21" i="27" s="1"/>
  <c r="AA30" i="27"/>
  <c r="AB30" i="27" s="1"/>
  <c r="AC30" i="27" s="1"/>
  <c r="AA65" i="27"/>
  <c r="AB65" i="27" s="1"/>
  <c r="AC65" i="27" s="1"/>
  <c r="AA11" i="27"/>
  <c r="AB11" i="27" s="1"/>
  <c r="AC11" i="27" s="1"/>
  <c r="AA39" i="27"/>
  <c r="AB39" i="27" s="1"/>
  <c r="AC39" i="27" s="1"/>
  <c r="AA17" i="27"/>
  <c r="AB17" i="27" s="1"/>
  <c r="AC17" i="27" s="1"/>
  <c r="AA74" i="27"/>
  <c r="AB74" i="27" s="1"/>
  <c r="AC74" i="27" s="1"/>
  <c r="AA72" i="27"/>
  <c r="AB72" i="27" s="1"/>
  <c r="AC72" i="27" s="1"/>
  <c r="AA15" i="27"/>
  <c r="AB15" i="27" s="1"/>
  <c r="AC15" i="27" s="1"/>
  <c r="AA29" i="27"/>
  <c r="AB29" i="27" s="1"/>
  <c r="AC29" i="27" s="1"/>
  <c r="AA62" i="27"/>
  <c r="AB62" i="27" s="1"/>
  <c r="AC62" i="27" s="1"/>
  <c r="AA78" i="27"/>
  <c r="AB78" i="27" s="1"/>
  <c r="AC78" i="27" s="1"/>
  <c r="AA9" i="27"/>
  <c r="AB9" i="27" s="1"/>
  <c r="AC9" i="27" s="1"/>
  <c r="AA38" i="27"/>
  <c r="AB38" i="27" s="1"/>
  <c r="AC38" i="27" s="1"/>
  <c r="AA36" i="27"/>
  <c r="AB36" i="27" s="1"/>
  <c r="AC36" i="27" s="1"/>
  <c r="AA45" i="27"/>
  <c r="AB45" i="27" s="1"/>
  <c r="AC45" i="27" s="1"/>
  <c r="AA57" i="27"/>
  <c r="AB57" i="27" s="1"/>
  <c r="AC57" i="27" s="1"/>
  <c r="AA48" i="27"/>
  <c r="AB48" i="27" s="1"/>
  <c r="AC48" i="27" s="1"/>
  <c r="AA75" i="27"/>
  <c r="AB75" i="27" s="1"/>
  <c r="AC75" i="27" s="1"/>
  <c r="AA56" i="27"/>
  <c r="AB56" i="27" s="1"/>
  <c r="AC56" i="27" s="1"/>
  <c r="AA16" i="27"/>
  <c r="AB16" i="27" s="1"/>
  <c r="AC16" i="27" s="1"/>
  <c r="I30" i="8"/>
  <c r="G30" i="8"/>
  <c r="AA10" i="27"/>
  <c r="AB10" i="27" s="1"/>
  <c r="AC10" i="27" s="1"/>
  <c r="AA46" i="27"/>
  <c r="AB46" i="27" s="1"/>
  <c r="AC46" i="27" s="1"/>
  <c r="AA77" i="27"/>
  <c r="AB77" i="27" s="1"/>
  <c r="AC77" i="27" s="1"/>
  <c r="H32" i="8"/>
  <c r="AA25" i="27"/>
  <c r="AB25" i="27" s="1"/>
  <c r="AC25" i="27" s="1"/>
  <c r="AA59" i="27"/>
  <c r="AB59" i="27" s="1"/>
  <c r="AC59" i="27" s="1"/>
  <c r="AA69" i="27"/>
  <c r="AB69" i="27" s="1"/>
  <c r="AC69" i="27" s="1"/>
  <c r="AA53" i="27"/>
  <c r="AB53" i="27" s="1"/>
  <c r="AC53" i="27" s="1"/>
  <c r="AA5" i="27"/>
  <c r="AA52" i="27"/>
  <c r="AB52" i="27" s="1"/>
  <c r="AC52" i="27" s="1"/>
  <c r="AA58" i="27"/>
  <c r="AB58" i="27" s="1"/>
  <c r="AC58" i="27" s="1"/>
  <c r="AA68" i="27"/>
  <c r="AB68" i="27" s="1"/>
  <c r="AC68" i="27" s="1"/>
  <c r="AA6" i="27"/>
  <c r="AB6" i="27" s="1"/>
  <c r="AC6" i="27" s="1"/>
  <c r="AA26" i="27"/>
  <c r="AB26" i="27" s="1"/>
  <c r="AC26" i="27" s="1"/>
  <c r="G32" i="8"/>
  <c r="H31" i="8"/>
  <c r="AA35" i="27"/>
  <c r="AB35" i="27" s="1"/>
  <c r="AC35" i="27" s="1"/>
  <c r="AA22" i="27"/>
  <c r="AB22" i="27" s="1"/>
  <c r="AC22" i="27" s="1"/>
  <c r="AA40" i="27"/>
  <c r="AB40" i="27" s="1"/>
  <c r="AC40" i="27" s="1"/>
  <c r="AA43" i="27"/>
  <c r="AB43" i="27" s="1"/>
  <c r="AC43" i="27" s="1"/>
  <c r="AA51" i="27"/>
  <c r="AB51" i="27" s="1"/>
  <c r="AC51" i="27" s="1"/>
  <c r="H30" i="8"/>
  <c r="G31" i="8"/>
  <c r="N12" i="11" a="1"/>
  <c r="N13" i="11" s="1"/>
  <c r="Z13" i="11" s="1"/>
  <c r="AA50" i="27"/>
  <c r="AB50" i="27" s="1"/>
  <c r="AC50" i="27" s="1"/>
  <c r="N29" i="11" a="1"/>
  <c r="N30" i="11" s="1"/>
  <c r="AA73" i="27"/>
  <c r="AB73" i="27" s="1"/>
  <c r="AC73" i="27" s="1"/>
  <c r="AA32" i="27"/>
  <c r="AB32" i="27" s="1"/>
  <c r="AC32" i="27" s="1"/>
  <c r="AA27" i="27"/>
  <c r="AB27" i="27" s="1"/>
  <c r="AC27" i="27" s="1"/>
  <c r="AA19" i="27"/>
  <c r="AB19" i="27" s="1"/>
  <c r="AC19" i="27" s="1"/>
  <c r="AA64" i="27"/>
  <c r="AB64" i="27" s="1"/>
  <c r="AC64" i="27" s="1"/>
  <c r="R21" i="11"/>
  <c r="N20" i="11" s="1"/>
  <c r="Z20" i="11" s="1"/>
  <c r="R22" i="11"/>
  <c r="N16" i="11" a="1"/>
  <c r="N17" i="11" s="1"/>
  <c r="Z17" i="11" s="1"/>
  <c r="N8" i="11" a="1"/>
  <c r="N8" i="11" s="1"/>
  <c r="Z21" i="11"/>
  <c r="I29" i="9"/>
  <c r="H28" i="9"/>
  <c r="G27" i="9"/>
  <c r="H29" i="9"/>
  <c r="G28" i="9"/>
  <c r="G29" i="9"/>
  <c r="I27" i="9"/>
  <c r="I28" i="9"/>
  <c r="H27" i="9"/>
  <c r="I29" i="7"/>
  <c r="H28" i="7"/>
  <c r="G27" i="7"/>
  <c r="H29" i="7"/>
  <c r="G28" i="7"/>
  <c r="G29" i="7"/>
  <c r="I27" i="7"/>
  <c r="I28" i="7"/>
  <c r="H27" i="7"/>
  <c r="G27" i="3" a="1"/>
  <c r="G28" i="3" s="1"/>
  <c r="AD74" i="27" l="1" a="1"/>
  <c r="AD76" i="27" s="1"/>
  <c r="AE76" i="27" s="1"/>
  <c r="AF76" i="27" s="1"/>
  <c r="AD71" i="27" a="1"/>
  <c r="AD71" i="27" s="1"/>
  <c r="AE71" i="27" s="1"/>
  <c r="AF71" i="27" s="1"/>
  <c r="AD77" i="27" a="1"/>
  <c r="AD78" i="27" s="1"/>
  <c r="AE78" i="27" s="1"/>
  <c r="AF78" i="27" s="1"/>
  <c r="AG77" i="27" s="1"/>
  <c r="AD33" i="27" a="1"/>
  <c r="AD33" i="27" s="1"/>
  <c r="AE33" i="27" s="1"/>
  <c r="AF33" i="27" s="1"/>
  <c r="AD49" i="27" a="1"/>
  <c r="AD49" i="27" s="1"/>
  <c r="AE49" i="27" s="1"/>
  <c r="AF49" i="27" s="1"/>
  <c r="AD11" i="27" a="1"/>
  <c r="AD11" i="27" s="1"/>
  <c r="AE11" i="27" s="1"/>
  <c r="AF11" i="27" s="1"/>
  <c r="AD14" i="27" a="1"/>
  <c r="AD15" i="27" s="1"/>
  <c r="AE15" i="27" s="1"/>
  <c r="AF15" i="27" s="1"/>
  <c r="AG14" i="27" s="1"/>
  <c r="AD30" i="27" a="1"/>
  <c r="AD30" i="27" s="1"/>
  <c r="AE30" i="27" s="1"/>
  <c r="AF30" i="27" s="1"/>
  <c r="AD39" i="27" a="1"/>
  <c r="AD41" i="27" s="1"/>
  <c r="AE41" i="27" s="1"/>
  <c r="AF41" i="27" s="1"/>
  <c r="AD8" i="27" a="1"/>
  <c r="AD8" i="27" s="1"/>
  <c r="AE8" i="27" s="1"/>
  <c r="AF8" i="27" s="1"/>
  <c r="AD17" i="27" a="1"/>
  <c r="AD19" i="27" s="1"/>
  <c r="AE19" i="27" s="1"/>
  <c r="AF19" i="27" s="1"/>
  <c r="AD20" i="27" a="1"/>
  <c r="AD20" i="27" s="1"/>
  <c r="AE20" i="27" s="1"/>
  <c r="AF20" i="27" s="1"/>
  <c r="AD65" i="27" a="1"/>
  <c r="AD67" i="27" s="1"/>
  <c r="AE67" i="27" s="1"/>
  <c r="AF67" i="27" s="1"/>
  <c r="AD62" i="27" a="1"/>
  <c r="AD63" i="27" s="1"/>
  <c r="AE63" i="27" s="1"/>
  <c r="AF63" i="27" s="1"/>
  <c r="AG62" i="27" s="1"/>
  <c r="AD43" i="27" a="1"/>
  <c r="AD45" i="27" s="1"/>
  <c r="AE45" i="27" s="1"/>
  <c r="AF45" i="27" s="1"/>
  <c r="AD27" i="27" a="1"/>
  <c r="AD28" i="27" s="1"/>
  <c r="AE28" i="27" s="1"/>
  <c r="AF28" i="27" s="1"/>
  <c r="AG27" i="27" s="1"/>
  <c r="AD36" i="27" a="1"/>
  <c r="AD38" i="27" s="1"/>
  <c r="AE38" i="27" s="1"/>
  <c r="AF38" i="27" s="1"/>
  <c r="AD68" i="27" a="1"/>
  <c r="AD70" i="27" s="1"/>
  <c r="AE70" i="27" s="1"/>
  <c r="AF70" i="27" s="1"/>
  <c r="AD55" i="27" a="1"/>
  <c r="AD55" i="27" s="1"/>
  <c r="AE55" i="27" s="1"/>
  <c r="AF55" i="27" s="1"/>
  <c r="AD24" i="27" a="1"/>
  <c r="AD26" i="27" s="1"/>
  <c r="AE26" i="27" s="1"/>
  <c r="AF26" i="27" s="1"/>
  <c r="AD58" i="27" a="1"/>
  <c r="AD60" i="27" s="1"/>
  <c r="AE60" i="27" s="1"/>
  <c r="AF60" i="27" s="1"/>
  <c r="AD46" i="27" a="1"/>
  <c r="AD47" i="27" s="1"/>
  <c r="AE47" i="27" s="1"/>
  <c r="AF47" i="27" s="1"/>
  <c r="N12" i="11"/>
  <c r="Z12" i="11" s="1"/>
  <c r="N14" i="11"/>
  <c r="Z14" i="11" s="1"/>
  <c r="AB5" i="27"/>
  <c r="G34" i="8" a="1"/>
  <c r="G36" i="8" s="1"/>
  <c r="AD52" i="27" a="1"/>
  <c r="AD54" i="27" s="1"/>
  <c r="AE54" i="27" s="1"/>
  <c r="AF54" i="27" s="1"/>
  <c r="N31" i="11"/>
  <c r="Z31" i="11" s="1"/>
  <c r="N22" i="11"/>
  <c r="Z22" i="11" s="1"/>
  <c r="AD20" i="11" s="1" a="1"/>
  <c r="N29" i="11"/>
  <c r="Z8" i="11"/>
  <c r="N18" i="11"/>
  <c r="Z18" i="11" s="1"/>
  <c r="N16" i="11"/>
  <c r="Z30" i="11"/>
  <c r="N10" i="11"/>
  <c r="N9" i="11"/>
  <c r="G31" i="9" a="1"/>
  <c r="G31" i="7" a="1"/>
  <c r="H29" i="3"/>
  <c r="G29" i="3"/>
  <c r="I29" i="3"/>
  <c r="H27" i="3"/>
  <c r="I27" i="3"/>
  <c r="I28" i="3"/>
  <c r="H28" i="3"/>
  <c r="G27" i="3"/>
  <c r="I38" i="8" l="1"/>
  <c r="I43" i="8" s="1"/>
  <c r="I39" i="8"/>
  <c r="I44" i="8" s="1"/>
  <c r="I40" i="8"/>
  <c r="I45" i="8" s="1"/>
  <c r="AD75" i="27"/>
  <c r="AE75" i="27" s="1"/>
  <c r="AF75" i="27" s="1"/>
  <c r="AG74" i="27" s="1"/>
  <c r="AD74" i="27"/>
  <c r="AE74" i="27" s="1"/>
  <c r="AF74" i="27" s="1"/>
  <c r="AD79" i="27"/>
  <c r="AE79" i="27" s="1"/>
  <c r="AF79" i="27" s="1"/>
  <c r="AG79" i="27" s="1"/>
  <c r="AD72" i="27"/>
  <c r="AE72" i="27" s="1"/>
  <c r="AF72" i="27" s="1"/>
  <c r="AG72" i="27" s="1"/>
  <c r="AD73" i="27"/>
  <c r="AE73" i="27" s="1"/>
  <c r="AF73" i="27" s="1"/>
  <c r="AD34" i="27"/>
  <c r="AE34" i="27" s="1"/>
  <c r="AF34" i="27" s="1"/>
  <c r="AG33" i="27" s="1"/>
  <c r="AD77" i="27"/>
  <c r="AE77" i="27" s="1"/>
  <c r="AF77" i="27" s="1"/>
  <c r="AG78" i="27" s="1"/>
  <c r="AH77" i="27" s="1"/>
  <c r="AD35" i="27"/>
  <c r="AE35" i="27" s="1"/>
  <c r="AF35" i="27" s="1"/>
  <c r="AD51" i="27"/>
  <c r="AE51" i="27" s="1"/>
  <c r="AF51" i="27" s="1"/>
  <c r="AD50" i="27"/>
  <c r="AE50" i="27" s="1"/>
  <c r="AF50" i="27" s="1"/>
  <c r="AG49" i="27" s="1"/>
  <c r="AD16" i="27"/>
  <c r="AE16" i="27" s="1"/>
  <c r="AF16" i="27" s="1"/>
  <c r="AG16" i="27" s="1"/>
  <c r="AD13" i="27"/>
  <c r="AE13" i="27" s="1"/>
  <c r="AF13" i="27" s="1"/>
  <c r="AD17" i="27"/>
  <c r="AE17" i="27" s="1"/>
  <c r="AF17" i="27" s="1"/>
  <c r="AD14" i="27"/>
  <c r="AE14" i="27" s="1"/>
  <c r="AF14" i="27" s="1"/>
  <c r="AG15" i="27" s="1"/>
  <c r="AD21" i="27"/>
  <c r="AE21" i="27" s="1"/>
  <c r="AF21" i="27" s="1"/>
  <c r="AG21" i="27" s="1"/>
  <c r="AD12" i="27"/>
  <c r="AE12" i="27" s="1"/>
  <c r="AF12" i="27" s="1"/>
  <c r="AG12" i="27" s="1"/>
  <c r="AD32" i="27"/>
  <c r="AE32" i="27" s="1"/>
  <c r="AF32" i="27" s="1"/>
  <c r="AD39" i="27"/>
  <c r="AE39" i="27" s="1"/>
  <c r="AF39" i="27" s="1"/>
  <c r="AD40" i="27"/>
  <c r="AE40" i="27" s="1"/>
  <c r="AF40" i="27" s="1"/>
  <c r="AG39" i="27" s="1"/>
  <c r="AD25" i="27"/>
  <c r="AE25" i="27" s="1"/>
  <c r="AF25" i="27" s="1"/>
  <c r="AG26" i="27" s="1"/>
  <c r="AD22" i="27"/>
  <c r="AE22" i="27" s="1"/>
  <c r="AF22" i="27" s="1"/>
  <c r="AD31" i="27"/>
  <c r="AE31" i="27" s="1"/>
  <c r="AF31" i="27" s="1"/>
  <c r="AG30" i="27" s="1"/>
  <c r="AD69" i="27"/>
  <c r="AE69" i="27" s="1"/>
  <c r="AF69" i="27" s="1"/>
  <c r="AG70" i="27" s="1"/>
  <c r="AD64" i="27"/>
  <c r="AE64" i="27" s="1"/>
  <c r="AF64" i="27" s="1"/>
  <c r="AG64" i="27" s="1"/>
  <c r="AD46" i="27"/>
  <c r="AE46" i="27" s="1"/>
  <c r="AF46" i="27" s="1"/>
  <c r="AG47" i="27" s="1"/>
  <c r="AD62" i="27"/>
  <c r="AE62" i="27" s="1"/>
  <c r="AF62" i="27" s="1"/>
  <c r="AG63" i="27" s="1"/>
  <c r="AD58" i="27"/>
  <c r="AE58" i="27" s="1"/>
  <c r="AF58" i="27" s="1"/>
  <c r="AD66" i="27"/>
  <c r="AE66" i="27" s="1"/>
  <c r="AF66" i="27" s="1"/>
  <c r="AG67" i="27" s="1"/>
  <c r="AD43" i="27"/>
  <c r="AE43" i="27" s="1"/>
  <c r="AF43" i="27" s="1"/>
  <c r="AD9" i="27"/>
  <c r="AE9" i="27" s="1"/>
  <c r="AF9" i="27" s="1"/>
  <c r="AG8" i="27" s="1"/>
  <c r="AD65" i="27"/>
  <c r="AE65" i="27" s="1"/>
  <c r="AF65" i="27" s="1"/>
  <c r="AD18" i="27"/>
  <c r="AE18" i="27" s="1"/>
  <c r="AF18" i="27" s="1"/>
  <c r="AG17" i="27" s="1"/>
  <c r="AD68" i="27"/>
  <c r="AE68" i="27" s="1"/>
  <c r="AF68" i="27" s="1"/>
  <c r="AD10" i="27"/>
  <c r="AE10" i="27" s="1"/>
  <c r="AF10" i="27" s="1"/>
  <c r="AD27" i="27"/>
  <c r="AE27" i="27" s="1"/>
  <c r="AF27" i="27" s="1"/>
  <c r="AG28" i="27" s="1"/>
  <c r="AD44" i="27"/>
  <c r="AE44" i="27" s="1"/>
  <c r="AF44" i="27" s="1"/>
  <c r="AD29" i="27"/>
  <c r="AE29" i="27" s="1"/>
  <c r="AF29" i="27" s="1"/>
  <c r="AG29" i="27" s="1"/>
  <c r="AD36" i="27"/>
  <c r="AE36" i="27" s="1"/>
  <c r="AF36" i="27" s="1"/>
  <c r="AD37" i="27"/>
  <c r="AE37" i="27" s="1"/>
  <c r="AF37" i="27" s="1"/>
  <c r="AG36" i="27" s="1"/>
  <c r="AD59" i="27"/>
  <c r="AE59" i="27" s="1"/>
  <c r="AF59" i="27" s="1"/>
  <c r="AG60" i="27" s="1"/>
  <c r="AD24" i="27"/>
  <c r="AE24" i="27" s="1"/>
  <c r="AF24" i="27" s="1"/>
  <c r="AD57" i="27"/>
  <c r="AE57" i="27" s="1"/>
  <c r="AF57" i="27" s="1"/>
  <c r="AD56" i="27"/>
  <c r="AE56" i="27" s="1"/>
  <c r="AF56" i="27" s="1"/>
  <c r="AG56" i="27" s="1"/>
  <c r="R14" i="11"/>
  <c r="R13" i="11"/>
  <c r="AD48" i="27"/>
  <c r="AE48" i="27" s="1"/>
  <c r="AF48" i="27" s="1"/>
  <c r="AG48" i="27" s="1"/>
  <c r="R12" i="11"/>
  <c r="R29" i="11"/>
  <c r="AC5" i="27"/>
  <c r="G34" i="8"/>
  <c r="G35" i="8"/>
  <c r="Z29" i="11"/>
  <c r="AD29" i="11" s="1" a="1"/>
  <c r="AD53" i="27"/>
  <c r="AE53" i="27" s="1"/>
  <c r="AF53" i="27" s="1"/>
  <c r="AG54" i="27" s="1"/>
  <c r="AD52" i="27"/>
  <c r="AE52" i="27" s="1"/>
  <c r="AF52" i="27" s="1"/>
  <c r="R31" i="11"/>
  <c r="R30" i="11"/>
  <c r="R16" i="11"/>
  <c r="AG34" i="27"/>
  <c r="Z10" i="11"/>
  <c r="R10" i="11"/>
  <c r="R8" i="11"/>
  <c r="R9" i="11"/>
  <c r="Z9" i="11"/>
  <c r="AG46" i="27"/>
  <c r="Z16" i="11"/>
  <c r="AD16" i="11" s="1" a="1"/>
  <c r="AD17" i="11" s="1"/>
  <c r="AE17" i="11" s="1"/>
  <c r="R18" i="11"/>
  <c r="R17" i="11"/>
  <c r="AD12" i="11" a="1"/>
  <c r="AD12" i="11" s="1"/>
  <c r="AE12" i="11" s="1"/>
  <c r="T20" i="11"/>
  <c r="U20" i="11" s="1"/>
  <c r="AD22" i="11"/>
  <c r="AE22" i="11" s="1"/>
  <c r="AD21" i="11"/>
  <c r="AE21" i="11" s="1"/>
  <c r="AD20" i="11"/>
  <c r="AE20" i="11" s="1"/>
  <c r="G33" i="9"/>
  <c r="G32" i="9"/>
  <c r="G31" i="9"/>
  <c r="G31" i="3" a="1"/>
  <c r="G33" i="3" s="1"/>
  <c r="G33" i="7"/>
  <c r="G32" i="7"/>
  <c r="G31" i="7"/>
  <c r="H40" i="8" l="1"/>
  <c r="H45" i="8" s="1"/>
  <c r="H38" i="8"/>
  <c r="H43" i="8" s="1"/>
  <c r="H39" i="8"/>
  <c r="H44" i="8" s="1"/>
  <c r="G39" i="8"/>
  <c r="G44" i="8" s="1"/>
  <c r="G40" i="8"/>
  <c r="G45" i="8" s="1"/>
  <c r="G38" i="8"/>
  <c r="G43" i="8" s="1"/>
  <c r="AG76" i="27"/>
  <c r="AG75" i="27"/>
  <c r="AG73" i="27"/>
  <c r="AG71" i="27"/>
  <c r="AG35" i="27"/>
  <c r="AH33" i="27" s="1"/>
  <c r="AG31" i="27"/>
  <c r="AG50" i="27"/>
  <c r="AG51" i="27"/>
  <c r="AH14" i="27"/>
  <c r="AG68" i="27"/>
  <c r="AG20" i="27"/>
  <c r="AG41" i="27"/>
  <c r="AG25" i="27"/>
  <c r="AG69" i="27"/>
  <c r="AG22" i="27"/>
  <c r="AG24" i="27"/>
  <c r="AG40" i="27"/>
  <c r="AG11" i="27"/>
  <c r="AG18" i="27"/>
  <c r="AG10" i="27"/>
  <c r="AG32" i="27"/>
  <c r="AG13" i="27"/>
  <c r="AH11" i="27" s="1"/>
  <c r="AG58" i="27"/>
  <c r="AG66" i="27"/>
  <c r="AG59" i="27"/>
  <c r="AG19" i="27"/>
  <c r="AG9" i="27"/>
  <c r="AG44" i="27"/>
  <c r="AG65" i="27"/>
  <c r="AH27" i="27"/>
  <c r="AG38" i="27"/>
  <c r="AG37" i="27"/>
  <c r="AG43" i="27"/>
  <c r="AG45" i="27"/>
  <c r="AG57" i="27"/>
  <c r="AG55" i="27"/>
  <c r="T12" i="11"/>
  <c r="U12" i="11" s="1"/>
  <c r="T29" i="11"/>
  <c r="U29" i="11" s="1"/>
  <c r="AD5" i="27" a="1"/>
  <c r="AG52" i="27"/>
  <c r="AG53" i="27"/>
  <c r="AH62" i="27"/>
  <c r="AD8" i="11" a="1"/>
  <c r="AD10" i="11" s="1"/>
  <c r="AE10" i="11" s="1"/>
  <c r="AH46" i="27"/>
  <c r="T16" i="11"/>
  <c r="U16" i="11" s="1"/>
  <c r="T8" i="11"/>
  <c r="U8" i="11" s="1"/>
  <c r="AD18" i="11"/>
  <c r="AE18" i="11" s="1"/>
  <c r="AD16" i="11"/>
  <c r="AE16" i="11" s="1"/>
  <c r="AD13" i="11"/>
  <c r="AE13" i="11" s="1"/>
  <c r="AD14" i="11"/>
  <c r="AE14" i="11" s="1"/>
  <c r="AD29" i="11"/>
  <c r="AE29" i="11" s="1"/>
  <c r="AD31" i="11"/>
  <c r="AE31" i="11" s="1"/>
  <c r="AD30" i="11"/>
  <c r="AE30" i="11" s="1"/>
  <c r="G35" i="9"/>
  <c r="G36" i="9"/>
  <c r="G37" i="9"/>
  <c r="H36" i="9"/>
  <c r="H37" i="9"/>
  <c r="H35" i="9"/>
  <c r="I37" i="9"/>
  <c r="I35" i="9"/>
  <c r="I36" i="9"/>
  <c r="G31" i="3"/>
  <c r="G36" i="3" s="1"/>
  <c r="G32" i="3"/>
  <c r="H35" i="3" s="1"/>
  <c r="G35" i="7"/>
  <c r="G36" i="7"/>
  <c r="G37" i="7"/>
  <c r="H36" i="7"/>
  <c r="H37" i="7"/>
  <c r="H35" i="7"/>
  <c r="I37" i="7"/>
  <c r="I35" i="7"/>
  <c r="I36" i="7"/>
  <c r="I35" i="3"/>
  <c r="I36" i="3"/>
  <c r="I37" i="3"/>
  <c r="P43" i="8" l="1" a="1"/>
  <c r="AH74" i="27"/>
  <c r="AH71" i="27"/>
  <c r="AH68" i="27"/>
  <c r="AH49" i="27"/>
  <c r="AH30" i="27"/>
  <c r="AH20" i="27"/>
  <c r="AH24" i="27"/>
  <c r="AH39" i="27"/>
  <c r="AH8" i="27"/>
  <c r="AH17" i="27"/>
  <c r="AH58" i="27"/>
  <c r="AH65" i="27"/>
  <c r="AH36" i="27"/>
  <c r="AH43" i="27"/>
  <c r="AH55" i="27"/>
  <c r="AH52" i="27"/>
  <c r="G35" i="3"/>
  <c r="AD5" i="27"/>
  <c r="AD7" i="27"/>
  <c r="AE7" i="27" s="1"/>
  <c r="AF7" i="27" s="1"/>
  <c r="AD6" i="27"/>
  <c r="AE6" i="27" s="1"/>
  <c r="AF6" i="27" s="1"/>
  <c r="AD9" i="11"/>
  <c r="AE9" i="11" s="1"/>
  <c r="AD8" i="11"/>
  <c r="AE8" i="11" s="1"/>
  <c r="H37" i="3"/>
  <c r="G37" i="3"/>
  <c r="H36" i="3"/>
  <c r="P43" i="8" l="1"/>
  <c r="P44" i="8"/>
  <c r="P45" i="8"/>
  <c r="AG7" i="27"/>
  <c r="AG5" i="27"/>
  <c r="AE5" i="27"/>
  <c r="AF5" i="27" l="1"/>
  <c r="AG6" i="27" l="1"/>
  <c r="AH5" i="27" l="1"/>
  <c r="AH85" i="27" l="1"/>
  <c r="AH86" i="27" s="1"/>
  <c r="AH81" i="27"/>
  <c r="AH82" i="27" s="1"/>
</calcChain>
</file>

<file path=xl/sharedStrings.xml><?xml version="1.0" encoding="utf-8"?>
<sst xmlns="http://schemas.openxmlformats.org/spreadsheetml/2006/main" count="1152" uniqueCount="295">
  <si>
    <t>Max</t>
  </si>
  <si>
    <t>=</t>
  </si>
  <si>
    <t>R</t>
  </si>
  <si>
    <t>Y</t>
  </si>
  <si>
    <t>G</t>
  </si>
  <si>
    <t>y</t>
  </si>
  <si>
    <t>B</t>
  </si>
  <si>
    <t>RGB system</t>
  </si>
  <si>
    <t>Reference White</t>
  </si>
  <si>
    <t>Xr</t>
  </si>
  <si>
    <t>=xr/yr</t>
  </si>
  <si>
    <t>Yr</t>
  </si>
  <si>
    <t>Zr</t>
  </si>
  <si>
    <t>=(1-xr-yr)/yr</t>
  </si>
  <si>
    <t>Xg</t>
  </si>
  <si>
    <t>=xg/yg</t>
  </si>
  <si>
    <t>Yg</t>
  </si>
  <si>
    <t>Zg</t>
  </si>
  <si>
    <t>=1</t>
  </si>
  <si>
    <t>Xb</t>
  </si>
  <si>
    <t>Yb</t>
  </si>
  <si>
    <t>Zb</t>
  </si>
  <si>
    <t>=xb/yb</t>
  </si>
  <si>
    <t>=(1-xg-yg)/yg</t>
  </si>
  <si>
    <t>=(1-xb-yb)/yb</t>
  </si>
  <si>
    <t>xr</t>
  </si>
  <si>
    <t>yr</t>
  </si>
  <si>
    <t>xb</t>
  </si>
  <si>
    <t>yb</t>
  </si>
  <si>
    <t>xg</t>
  </si>
  <si>
    <t>XW</t>
  </si>
  <si>
    <t>YW</t>
  </si>
  <si>
    <t>ZW</t>
  </si>
  <si>
    <t>D65</t>
  </si>
  <si>
    <t>sRGB</t>
  </si>
  <si>
    <t>yg</t>
  </si>
  <si>
    <t>Sr</t>
  </si>
  <si>
    <t>Sg</t>
  </si>
  <si>
    <t>Sb</t>
  </si>
  <si>
    <t>*</t>
  </si>
  <si>
    <t>LED-B2</t>
  </si>
  <si>
    <t>Sensor</t>
  </si>
  <si>
    <t>https://en.wikipedia.org/wiki/Standard_illuminant</t>
  </si>
  <si>
    <t>http://www.brucelindbloom.com/index.html?WorkingSpaceInfo.html</t>
  </si>
  <si>
    <t>https://github.com/ha5dzs/colour_sensor_primary_calculator/blob/master/primaries.txt</t>
  </si>
  <si>
    <t>|</t>
  </si>
  <si>
    <t>|-1</t>
  </si>
  <si>
    <t xml:space="preserve">|    </t>
  </si>
  <si>
    <t>RGB/XYZ Matrices</t>
  </si>
  <si>
    <t>XYZ</t>
  </si>
  <si>
    <t>xyz</t>
  </si>
  <si>
    <t>CCT</t>
  </si>
  <si>
    <t>Calculated</t>
  </si>
  <si>
    <t>TCS34725</t>
  </si>
  <si>
    <t>TCS34725 (DN40)</t>
  </si>
  <si>
    <t>Lindbloom</t>
  </si>
  <si>
    <t>Reference
White</t>
  </si>
  <si>
    <t>RGB
system</t>
  </si>
  <si>
    <t>rgb</t>
  </si>
  <si>
    <t>RGB</t>
  </si>
  <si>
    <t>sR'G'B'</t>
  </si>
  <si>
    <t>LED Spec</t>
  </si>
  <si>
    <t>Integatration
Time</t>
  </si>
  <si>
    <t>Gain</t>
  </si>
  <si>
    <t>Sensor/xyz Marices</t>
  </si>
  <si>
    <t>linear</t>
  </si>
  <si>
    <t>raw
data</t>
  </si>
  <si>
    <t>0-255</t>
  </si>
  <si>
    <t>0-65535</t>
  </si>
  <si>
    <t>sRGB'</t>
  </si>
  <si>
    <t>not
linear</t>
  </si>
  <si>
    <t>srgb</t>
  </si>
  <si>
    <t>0-1</t>
  </si>
  <si>
    <t>C</t>
  </si>
  <si>
    <t>Sum</t>
  </si>
  <si>
    <t>IR</t>
  </si>
  <si>
    <t>Raw data</t>
  </si>
  <si>
    <t>Sample</t>
  </si>
  <si>
    <t>Color</t>
  </si>
  <si>
    <t>MUST be 1</t>
  </si>
  <si>
    <t>Wrong calculation</t>
  </si>
  <si>
    <t>Valid</t>
  </si>
  <si>
    <t>http://www.brucelindbloom.com/index.html?ColorCalculator.html</t>
  </si>
  <si>
    <t>Normalized to
Complete Spectrum</t>
  </si>
  <si>
    <t>Normalized to
0-1</t>
  </si>
  <si>
    <t>Normalized to
255</t>
  </si>
  <si>
    <t>Tristimulus
Values</t>
  </si>
  <si>
    <t>Chromaticity
Coordinates</t>
  </si>
  <si>
    <t>https://medium.com/hipster-color-science/a-beginners-guide-to-colorimetry-401f1830b65a</t>
  </si>
  <si>
    <t>created by
Mircosoft</t>
  </si>
  <si>
    <t>Measurement of red light [RGB(255 0 0)]:</t>
  </si>
  <si>
    <t>R'r = 205.7000</t>
  </si>
  <si>
    <t>G'r = 23.8000</t>
  </si>
  <si>
    <t>B'r = 25.5000</t>
  </si>
  <si>
    <t>For green light [RGB(0 255 0)]:</t>
  </si>
  <si>
    <t>R'g = 46.8966</t>
  </si>
  <si>
    <t>G'g = 156.3218</t>
  </si>
  <si>
    <t>B'g = 51.7816</t>
  </si>
  <si>
    <t>For blue light [RGB(0 0 255)]:</t>
  </si>
  <si>
    <t>R'b = 6.0355</t>
  </si>
  <si>
    <t>G'b = 51.3018</t>
  </si>
  <si>
    <t>B'b = 197.6627</t>
  </si>
  <si>
    <t>R'w = 77.4623</t>
  </si>
  <si>
    <t>G'w = 90.4528</t>
  </si>
  <si>
    <t>B'w = 87.0849</t>
  </si>
  <si>
    <t>Index</t>
  </si>
  <si>
    <t>Description</t>
  </si>
  <si>
    <t>Row 1: Natural colors</t>
  </si>
  <si>
    <t>Dark skin</t>
  </si>
  <si>
    <t>Light skin</t>
  </si>
  <si>
    <t>Blue sky</t>
  </si>
  <si>
    <t>Foliage</t>
  </si>
  <si>
    <t>Blue flower</t>
  </si>
  <si>
    <t>Bluish green</t>
  </si>
  <si>
    <t>Row 2: Miscellaneous colors</t>
  </si>
  <si>
    <t>Orange</t>
  </si>
  <si>
    <t>Purplish blue</t>
  </si>
  <si>
    <t>Moderate red</t>
  </si>
  <si>
    <t>Purple</t>
  </si>
  <si>
    <t>Yellow green</t>
  </si>
  <si>
    <t>Orange yellow</t>
  </si>
  <si>
    <t>Row 3: Primary and secondary colors</t>
  </si>
  <si>
    <t>Blue</t>
  </si>
  <si>
    <t>Green</t>
  </si>
  <si>
    <t>Red</t>
  </si>
  <si>
    <t>Yellow</t>
  </si>
  <si>
    <t>Magenta</t>
  </si>
  <si>
    <t>Cyan</t>
  </si>
  <si>
    <t>Row 4: Grayscale colors</t>
  </si>
  <si>
    <t>White</t>
  </si>
  <si>
    <t>Neutral 8</t>
  </si>
  <si>
    <t>Neutral 6.5</t>
  </si>
  <si>
    <t>Neutral 5</t>
  </si>
  <si>
    <t>Neutral 3.5</t>
  </si>
  <si>
    <t>Black</t>
  </si>
  <si>
    <t>R*</t>
  </si>
  <si>
    <t>R'</t>
  </si>
  <si>
    <t>R'-1</t>
  </si>
  <si>
    <t>Trans-
formation
Matrix</t>
  </si>
  <si>
    <t>https://comnuan.com/cmnn0100f/cmnn0100f.php</t>
  </si>
  <si>
    <t>sRGB
D65</t>
  </si>
  <si>
    <t>CIE XYZ
D65</t>
  </si>
  <si>
    <t>X</t>
  </si>
  <si>
    <t>Z</t>
  </si>
  <si>
    <t>CIE XYZ
D50</t>
  </si>
  <si>
    <t>CIE Lab
D50</t>
  </si>
  <si>
    <t>D50</t>
  </si>
  <si>
    <t>M2</t>
  </si>
  <si>
    <t>M1</t>
  </si>
  <si>
    <t>Calculated
from
CIE XYZ
D65</t>
  </si>
  <si>
    <t>Reference
sRGB
D65</t>
  </si>
  <si>
    <t>Patched
by M2
sRGB
D65</t>
  </si>
  <si>
    <t>Raw data
sRGB
D65</t>
  </si>
  <si>
    <t>Transformation via M1 related to CIE Lab standard</t>
  </si>
  <si>
    <t>Transformation via M2 related to sRGB standard</t>
  </si>
  <si>
    <t>No Transformation - RGB raw data</t>
  </si>
  <si>
    <t>Comparison</t>
  </si>
  <si>
    <t>ColorChecker 2014 Reference Index</t>
  </si>
  <si>
    <t>ColorChecker 2014 References</t>
  </si>
  <si>
    <t>http://www.brucelindbloom.com/Eqn_ChromAdapt.html</t>
  </si>
  <si>
    <t>CIE xyY
D65</t>
  </si>
  <si>
    <t>CIE xyY
D50</t>
  </si>
  <si>
    <t>Reference-X, Y and Z refer to specific illuminants and observers:</t>
  </si>
  <si>
    <t>X2</t>
  </si>
  <si>
    <t>Y2</t>
  </si>
  <si>
    <t>Z2</t>
  </si>
  <si>
    <t>XYZ (Tristimulus) Reference values of a perfect reflecting diffuser:</t>
  </si>
  <si>
    <t>(using Bradford chromatic adaptation matrices)</t>
  </si>
  <si>
    <t>D50 -&gt; D65</t>
  </si>
  <si>
    <t>Chromatic Adaptation:</t>
  </si>
  <si>
    <t>Patched
by M1
CIE 1976
ΔE*ab</t>
  </si>
  <si>
    <t>Patched
by M1
sRGB
D65</t>
  </si>
  <si>
    <t>D65 -&gt; D50</t>
  </si>
  <si>
    <t>D65 -&gt; D65</t>
  </si>
  <si>
    <t>sRGB -&gt; XYZ</t>
  </si>
  <si>
    <t>Raw data
CIE 1976
ΔE*ab</t>
  </si>
  <si>
    <t>Patched
by M2
CIE 1976
ΔE*ab</t>
  </si>
  <si>
    <t>x</t>
  </si>
  <si>
    <t>|M|</t>
  </si>
  <si>
    <t>CIE Lab
D65</t>
  </si>
  <si>
    <t>Raw data
XYZ
D65</t>
  </si>
  <si>
    <t>Raw data
Lab
D65</t>
  </si>
  <si>
    <t>Incl. Schwarz/Weiss</t>
  </si>
  <si>
    <t>Ohne Schwarz/Weiss</t>
  </si>
  <si>
    <t>Raw data transformation</t>
  </si>
  <si>
    <t>Average</t>
  </si>
  <si>
    <t>Chromatic Adaptation</t>
  </si>
  <si>
    <t>Reference-X, Y and Z refer to specific illuminants and observers</t>
  </si>
  <si>
    <t>XYZ (Tristimulus) Reference values of a perfect reflecting diffuser</t>
  </si>
  <si>
    <t>Raw data
sRGB
D65</t>
  </si>
  <si>
    <t>Raw data
CIE 1976
ΔE*ab</t>
  </si>
  <si>
    <t>Reference
sRGB
D65</t>
  </si>
  <si>
    <t>Normalized
Patched
by M2
CIE 1976
ΔE*ab</t>
  </si>
  <si>
    <t>Normalized
Patched
by M1
CIE 1976
ΔE*ab</t>
  </si>
  <si>
    <t>ΔE*ab</t>
  </si>
  <si>
    <t>Camera
sRGB
D65</t>
  </si>
  <si>
    <t>Camera
XYZ
D65</t>
  </si>
  <si>
    <t>Camera
Lab
D65</t>
  </si>
  <si>
    <t>Camera
CIE 1976
ΔE*ab</t>
  </si>
  <si>
    <t>ColorChecker 2014 References - Calculated</t>
  </si>
  <si>
    <t>Normalized data transformation</t>
  </si>
  <si>
    <t>Raw data
Patched
by M4
CIE 1976
ΔE*ab</t>
  </si>
  <si>
    <t>M4</t>
  </si>
  <si>
    <t>Patched
by M4
CIE XYZ
D65</t>
  </si>
  <si>
    <t>Patched
by M4
CIE Lab
D65</t>
  </si>
  <si>
    <t>Patched
by M4
sRGB
D65</t>
  </si>
  <si>
    <t>Patched
by M4
CIE 1976
ΔE*ab</t>
  </si>
  <si>
    <t>Raw data
Patched
by M3
CIE 1976
ΔE*ab</t>
  </si>
  <si>
    <t>M3</t>
  </si>
  <si>
    <t>Patched
by M3
sRGB
D65</t>
  </si>
  <si>
    <t>Patched
by M3
XYZ
D65</t>
  </si>
  <si>
    <t>Patched
by M3
Lab
D65</t>
  </si>
  <si>
    <t>Patched
by M3
CIE 1976
ΔE*ab</t>
  </si>
  <si>
    <t>Patched
by M1
XYZ
D65</t>
  </si>
  <si>
    <t>Patched
by M1
Lab
D65</t>
  </si>
  <si>
    <t>Patched
by M2
CIE XYZ
D65</t>
  </si>
  <si>
    <t>Patched
by M2
CIE Lab
D65</t>
  </si>
  <si>
    <t>Mxxxx</t>
  </si>
  <si>
    <r>
      <t xml:space="preserve">ColorChecker 2005 References - Calculated
</t>
    </r>
    <r>
      <rPr>
        <sz val="8"/>
        <color theme="1"/>
        <rFont val="Calibri"/>
        <family val="2"/>
        <scheme val="minor"/>
      </rPr>
      <t>https://www.babelcolor.com/index_htm_files/ColorChecker_RGB_and_spectra.zip
Table 2 (8 bit)</t>
    </r>
  </si>
  <si>
    <r>
      <t xml:space="preserve">ColorChecker 2005
</t>
    </r>
    <r>
      <rPr>
        <sz val="8"/>
        <color theme="1"/>
        <rFont val="Calibri"/>
        <family val="2"/>
        <scheme val="minor"/>
      </rPr>
      <t>https://xritephoto.com/documents/literature/en/ColorData-1p_EN.pdf</t>
    </r>
    <r>
      <rPr>
        <b/>
        <sz val="8"/>
        <color theme="1"/>
        <rFont val="Calibri"/>
        <family val="2"/>
        <scheme val="minor"/>
      </rPr>
      <t xml:space="preserve">
</t>
    </r>
    <r>
      <rPr>
        <sz val="8"/>
        <color theme="1"/>
        <rFont val="Calibri"/>
        <family val="2"/>
        <scheme val="minor"/>
      </rPr>
      <t>https://www.babelcolor.com/index_htm_files/ColorChecker_sRGB_from_Lab_D50.tif</t>
    </r>
  </si>
  <si>
    <t>|X|
|Y|
|Z|</t>
  </si>
  <si>
    <t>|R'|
|G'|
|B'|</t>
  </si>
  <si>
    <t xml:space="preserve">|R'|-1
|G'|    
|B'|    </t>
  </si>
  <si>
    <t>Raw data
D65</t>
  </si>
  <si>
    <t>CPL = (AGAINx * ATIME_ms) / (GA * DF), and</t>
  </si>
  <si>
    <t>R’ = R – IR, G’ = G – IR, B’ = B – IR, where IR = (R + G + B – C)/2.</t>
  </si>
  <si>
    <t>CT (degrees Kelvin) = CT_Coef*(B’/R’) + CT_Offset</t>
  </si>
  <si>
    <t>Device</t>
  </si>
  <si>
    <t>DGF</t>
  </si>
  <si>
    <t>R_Coef</t>
  </si>
  <si>
    <t>G_Coef</t>
  </si>
  <si>
    <t>B_Coef</t>
  </si>
  <si>
    <t>CT_Coef</t>
  </si>
  <si>
    <t>CT_Offset</t>
  </si>
  <si>
    <t>TCS3472</t>
  </si>
  <si>
    <t>Lux</t>
  </si>
  <si>
    <t>Lux = (R_Coef * R’ + G_Coef * G’ + B_Coef * B’) / CPL</t>
  </si>
  <si>
    <t>R’</t>
  </si>
  <si>
    <t>+</t>
  </si>
  <si>
    <t>G’</t>
  </si>
  <si>
    <t>/</t>
  </si>
  <si>
    <t>CPL</t>
  </si>
  <si>
    <t>(</t>
  </si>
  <si>
    <t>B’</t>
  </si>
  <si>
    <t>)</t>
  </si>
  <si>
    <t>R – IR</t>
  </si>
  <si>
    <t>G – IR</t>
  </si>
  <si>
    <t>B – IR</t>
  </si>
  <si>
    <t>(R + G + B – C)/2</t>
  </si>
  <si>
    <t xml:space="preserve">IR </t>
  </si>
  <si>
    <t>(B’/R’)</t>
  </si>
  <si>
    <t>700 ms</t>
  </si>
  <si>
    <t>4x</t>
  </si>
  <si>
    <t>lux</t>
  </si>
  <si>
    <t>G''</t>
  </si>
  <si>
    <t>ColorChecker-3-Blue-Sky</t>
  </si>
  <si>
    <t>ColorChecker-2-Light-Skin</t>
  </si>
  <si>
    <t>ColorChecker-1-Dark-Skin</t>
  </si>
  <si>
    <t>ColorChecker-4-Foliage</t>
  </si>
  <si>
    <t>ColorChecker-5-Blue-Flower</t>
  </si>
  <si>
    <t>ColorChecker-6-Bluish-Green</t>
  </si>
  <si>
    <t>ColorChecker-7-Orange</t>
  </si>
  <si>
    <t>ColorChecker-8-Purplish-Blue</t>
  </si>
  <si>
    <t>ColorChecker-9-Moderate-Red</t>
  </si>
  <si>
    <t>ColorChecker-10-Purple</t>
  </si>
  <si>
    <t>ColorChecker-11-Yellow-Green</t>
  </si>
  <si>
    <t>ColorChecker-12-Orange-Yellow</t>
  </si>
  <si>
    <t>ColorChecker-13-Blue</t>
  </si>
  <si>
    <t>ColorChecker-14-Green</t>
  </si>
  <si>
    <t>ColorChecker-15-Red</t>
  </si>
  <si>
    <t>ColorChecker-16-Yellow</t>
  </si>
  <si>
    <t>ColorChecker-17-Magenta</t>
  </si>
  <si>
    <t>ColorChecker-18-Cyan</t>
  </si>
  <si>
    <t>ColorChecker-19-White</t>
  </si>
  <si>
    <t>ColorChecker-20-Neutral-8</t>
  </si>
  <si>
    <t>ColorChecker-21-Neutral-6.5</t>
  </si>
  <si>
    <t>ColorChecker-22-Neutral-5</t>
  </si>
  <si>
    <t>ColorChecker-23-Neutral-3.5</t>
  </si>
  <si>
    <t>ColorChecker-24-Black</t>
  </si>
  <si>
    <t>Name</t>
  </si>
  <si>
    <t>L</t>
  </si>
  <si>
    <t>a</t>
  </si>
  <si>
    <t>b</t>
  </si>
  <si>
    <t>https://matrixcalc.org/en/</t>
  </si>
  <si>
    <t xml:space="preserve"> C/2o</t>
  </si>
  <si>
    <t>Chromatic Adaptation C/2o C -&gt; D65/2O</t>
  </si>
  <si>
    <t>nm</t>
  </si>
  <si>
    <t>C -&gt; D65</t>
  </si>
  <si>
    <t>Sensor RGB values</t>
  </si>
  <si>
    <t>zr</t>
  </si>
  <si>
    <t>zg</t>
  </si>
  <si>
    <t>zb</t>
  </si>
  <si>
    <t>z</t>
  </si>
  <si>
    <t>X = xY/y</t>
  </si>
  <si>
    <t>Z = (1-x-y)Y/y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</si>
</sst>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"/>
    <numFmt numFmtId="167" formatCode="0.000000"/>
    <numFmt numFmtId="168" formatCode="0.00000000"/>
    <numFmt numFmtId="169" formatCode="0.0000000"/>
    <numFmt numFmtId="170" formatCode="#,##0.0000"/>
  </numFmts>
  <fonts count="35">
    <font>
      <sz val="11"/>
      <color theme="1"/>
      <name val="Calibri"/>
      <family val="2"/>
      <scheme val="minor"/>
    </font>
    <font>
      <sz val="9"/>
      <color rgb="FF24292E"/>
      <name val="Consolas"/>
      <family val="3"/>
    </font>
    <font>
      <sz val="10"/>
      <color rgb="FF000000"/>
      <name val="Arial Unicode MS"/>
    </font>
    <font>
      <u/>
      <sz val="11"/>
      <color theme="10"/>
      <name val="Calibri"/>
      <family val="2"/>
      <scheme val="minor"/>
    </font>
    <font>
      <sz val="12"/>
      <color rgb="FF212529"/>
      <name val="Segoe U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4292E"/>
      <name val="Segoe UI"/>
      <family val="2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sz val="11"/>
      <color rgb="FFFFFFFF"/>
      <name val="Arial"/>
      <family val="2"/>
    </font>
    <font>
      <sz val="11"/>
      <color rgb="FF000000"/>
      <name val="Arial"/>
      <family val="2"/>
    </font>
    <font>
      <b/>
      <sz val="11"/>
      <color rgb="FF202122"/>
      <name val="Calibri"/>
      <family val="2"/>
      <scheme val="minor"/>
    </font>
    <font>
      <sz val="11"/>
      <name val="Calibri"/>
      <family val="2"/>
      <scheme val="minor"/>
    </font>
    <font>
      <sz val="11"/>
      <color rgb="FF202122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202122"/>
      <name val="Arial"/>
      <family val="2"/>
    </font>
    <font>
      <sz val="14"/>
      <color rgb="FF000000"/>
      <name val="Arial"/>
      <family val="2"/>
    </font>
    <font>
      <sz val="9"/>
      <color rgb="FF555555"/>
      <name val="Courier New"/>
      <family val="3"/>
    </font>
    <font>
      <b/>
      <sz val="9"/>
      <color rgb="FF555555"/>
      <name val="Courier New"/>
      <family val="3"/>
    </font>
    <font>
      <b/>
      <sz val="8"/>
      <color rgb="FF666666"/>
      <name val="Calibri"/>
      <family val="2"/>
      <scheme val="minor"/>
    </font>
    <font>
      <sz val="11"/>
      <color rgb="FF24292E"/>
      <name val="Calibri"/>
      <family val="2"/>
      <scheme val="minor"/>
    </font>
    <font>
      <b/>
      <sz val="10"/>
      <color rgb="FF2E2E2E"/>
      <name val="Arial"/>
      <family val="2"/>
    </font>
    <font>
      <sz val="11"/>
      <color rgb="FF2E2E2E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Arial"/>
      <family val="2"/>
    </font>
    <font>
      <b/>
      <sz val="11"/>
      <name val="Calibri"/>
      <family val="2"/>
      <scheme val="minor"/>
    </font>
    <font>
      <b/>
      <sz val="11"/>
      <color rgb="FF666666"/>
      <name val="Calibri"/>
      <family val="2"/>
      <scheme val="minor"/>
    </font>
    <font>
      <b/>
      <sz val="11"/>
      <color rgb="FF555555"/>
      <name val="Calibri"/>
      <family val="2"/>
      <scheme val="minor"/>
    </font>
    <font>
      <sz val="11"/>
      <color rgb="FF555555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Arial"/>
      <family val="2"/>
    </font>
  </fonts>
  <fills count="30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735244"/>
        <bgColor indexed="64"/>
      </patternFill>
    </fill>
    <fill>
      <patternFill patternType="solid">
        <fgColor rgb="FFC29682"/>
        <bgColor indexed="64"/>
      </patternFill>
    </fill>
    <fill>
      <patternFill patternType="solid">
        <fgColor rgb="FF627A9D"/>
        <bgColor indexed="64"/>
      </patternFill>
    </fill>
    <fill>
      <patternFill patternType="solid">
        <fgColor rgb="FF576C43"/>
        <bgColor indexed="64"/>
      </patternFill>
    </fill>
    <fill>
      <patternFill patternType="solid">
        <fgColor rgb="FF8580B1"/>
        <bgColor indexed="64"/>
      </patternFill>
    </fill>
    <fill>
      <patternFill patternType="solid">
        <fgColor rgb="FF67BDAA"/>
        <bgColor indexed="64"/>
      </patternFill>
    </fill>
    <fill>
      <patternFill patternType="solid">
        <fgColor rgb="FFD67E2C"/>
        <bgColor indexed="64"/>
      </patternFill>
    </fill>
    <fill>
      <patternFill patternType="solid">
        <fgColor rgb="FF505BA6"/>
        <bgColor indexed="64"/>
      </patternFill>
    </fill>
    <fill>
      <patternFill patternType="solid">
        <fgColor rgb="FFC15A63"/>
        <bgColor indexed="64"/>
      </patternFill>
    </fill>
    <fill>
      <patternFill patternType="solid">
        <fgColor rgb="FF5E3C6C"/>
        <bgColor indexed="64"/>
      </patternFill>
    </fill>
    <fill>
      <patternFill patternType="solid">
        <fgColor rgb="FF9DBC40"/>
        <bgColor indexed="64"/>
      </patternFill>
    </fill>
    <fill>
      <patternFill patternType="solid">
        <fgColor rgb="FFE0A32E"/>
        <bgColor indexed="64"/>
      </patternFill>
    </fill>
    <fill>
      <patternFill patternType="solid">
        <fgColor rgb="FF383D96"/>
        <bgColor indexed="64"/>
      </patternFill>
    </fill>
    <fill>
      <patternFill patternType="solid">
        <fgColor rgb="FF469449"/>
        <bgColor indexed="64"/>
      </patternFill>
    </fill>
    <fill>
      <patternFill patternType="solid">
        <fgColor rgb="FFAF363C"/>
        <bgColor indexed="64"/>
      </patternFill>
    </fill>
    <fill>
      <patternFill patternType="solid">
        <fgColor rgb="FFE7C71F"/>
        <bgColor indexed="64"/>
      </patternFill>
    </fill>
    <fill>
      <patternFill patternType="solid">
        <fgColor rgb="FFBB5695"/>
        <bgColor indexed="64"/>
      </patternFill>
    </fill>
    <fill>
      <patternFill patternType="solid">
        <fgColor rgb="FF0885A1"/>
        <bgColor indexed="64"/>
      </patternFill>
    </fill>
    <fill>
      <patternFill patternType="solid">
        <fgColor rgb="FFF3F3F2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7A7A79"/>
        <bgColor indexed="64"/>
      </patternFill>
    </fill>
    <fill>
      <patternFill patternType="solid">
        <fgColor rgb="FF775E2B"/>
        <bgColor indexed="64"/>
      </patternFill>
    </fill>
    <fill>
      <patternFill patternType="solid">
        <fgColor rgb="FF244299"/>
        <bgColor indexed="64"/>
      </patternFill>
    </fill>
    <fill>
      <patternFill patternType="solid">
        <fgColor rgb="FF3340CC"/>
        <bgColor indexed="64"/>
      </patternFill>
    </fill>
    <fill>
      <patternFill patternType="solid">
        <fgColor rgb="FF3B8341"/>
        <bgColor indexed="64"/>
      </patternFill>
    </fill>
    <fill>
      <patternFill patternType="solid">
        <fgColor rgb="FF71C864"/>
        <bgColor indexed="64"/>
      </patternFill>
    </fill>
    <fill>
      <patternFill patternType="solid">
        <fgColor rgb="FFA9292D"/>
        <bgColor indexed="64"/>
      </patternFill>
    </fill>
    <fill>
      <patternFill patternType="solid">
        <fgColor rgb="FFE35446"/>
        <bgColor indexed="64"/>
      </patternFill>
    </fill>
    <fill>
      <patternFill patternType="solid">
        <fgColor rgb="FFB59F46"/>
        <bgColor indexed="64"/>
      </patternFill>
    </fill>
    <fill>
      <patternFill patternType="solid">
        <fgColor rgb="FF773554"/>
        <bgColor indexed="64"/>
      </patternFill>
    </fill>
    <fill>
      <patternFill patternType="solid">
        <fgColor rgb="FFA25176"/>
        <bgColor indexed="64"/>
      </patternFill>
    </fill>
    <fill>
      <patternFill patternType="solid">
        <fgColor rgb="FF1D687A"/>
        <bgColor indexed="64"/>
      </patternFill>
    </fill>
    <fill>
      <patternFill patternType="solid">
        <fgColor rgb="FF3B86A8"/>
        <bgColor indexed="64"/>
      </patternFill>
    </fill>
    <fill>
      <patternFill patternType="solid">
        <fgColor rgb="FF515A54"/>
        <bgColor indexed="64"/>
      </patternFill>
    </fill>
    <fill>
      <patternFill patternType="solid">
        <fgColor rgb="FF7E8579"/>
        <bgColor indexed="64"/>
      </patternFill>
    </fill>
    <fill>
      <patternFill patternType="solid">
        <fgColor rgb="FF7E8679"/>
        <bgColor indexed="64"/>
      </patternFill>
    </fill>
    <fill>
      <patternFill patternType="solid">
        <fgColor rgb="FF4F5B55"/>
        <bgColor indexed="64"/>
      </patternFill>
    </fill>
    <fill>
      <patternFill patternType="solid">
        <fgColor rgb="FF7C857A"/>
        <bgColor indexed="64"/>
      </patternFill>
    </fill>
    <fill>
      <patternFill patternType="solid">
        <fgColor rgb="FF515757"/>
        <bgColor indexed="64"/>
      </patternFill>
    </fill>
    <fill>
      <patternFill patternType="solid">
        <fgColor rgb="FF7C7F7C"/>
        <bgColor indexed="64"/>
      </patternFill>
    </fill>
    <fill>
      <patternFill patternType="solid">
        <fgColor rgb="FF4B5A5A"/>
        <bgColor indexed="64"/>
      </patternFill>
    </fill>
    <fill>
      <patternFill patternType="solid">
        <fgColor rgb="FF758280"/>
        <bgColor indexed="64"/>
      </patternFill>
    </fill>
    <fill>
      <patternFill patternType="solid">
        <fgColor rgb="FF7C493A"/>
        <bgColor indexed="64"/>
      </patternFill>
    </fill>
    <fill>
      <patternFill patternType="solid">
        <fgColor rgb="FFB37A58"/>
        <bgColor indexed="64"/>
      </patternFill>
    </fill>
    <fill>
      <patternFill patternType="solid">
        <fgColor rgb="FF6F5040"/>
        <bgColor indexed="64"/>
      </patternFill>
    </fill>
    <fill>
      <patternFill patternType="solid">
        <fgColor rgb="FFA4815F"/>
        <bgColor indexed="64"/>
      </patternFill>
    </fill>
    <fill>
      <patternFill patternType="solid">
        <fgColor rgb="FF3C5A69"/>
        <bgColor indexed="64"/>
      </patternFill>
    </fill>
    <fill>
      <patternFill patternType="solid">
        <fgColor rgb="FF607A93"/>
        <bgColor indexed="64"/>
      </patternFill>
    </fill>
    <fill>
      <patternFill patternType="solid">
        <fgColor rgb="FF506D42"/>
        <bgColor indexed="64"/>
      </patternFill>
    </fill>
    <fill>
      <patternFill patternType="solid">
        <fgColor rgb="FF86A963"/>
        <bgColor indexed="64"/>
      </patternFill>
    </fill>
    <fill>
      <patternFill patternType="solid">
        <fgColor rgb="FF4A4F66"/>
        <bgColor indexed="64"/>
      </patternFill>
    </fill>
    <fill>
      <patternFill patternType="solid">
        <fgColor rgb="FF6E6D8E"/>
        <bgColor indexed="64"/>
      </patternFill>
    </fill>
    <fill>
      <patternFill patternType="solid">
        <fgColor rgb="FF386F58"/>
        <bgColor indexed="64"/>
      </patternFill>
    </fill>
    <fill>
      <patternFill patternType="solid">
        <fgColor rgb="FF64A17F"/>
        <bgColor indexed="64"/>
      </patternFill>
    </fill>
    <fill>
      <patternFill patternType="solid">
        <fgColor rgb="FF974126"/>
        <bgColor indexed="64"/>
      </patternFill>
    </fill>
    <fill>
      <patternFill patternType="solid">
        <fgColor rgb="FFD67A3F"/>
        <bgColor indexed="64"/>
      </patternFill>
    </fill>
    <fill>
      <patternFill patternType="solid">
        <fgColor rgb="FF2E4D83"/>
        <bgColor indexed="64"/>
      </patternFill>
    </fill>
    <fill>
      <patternFill patternType="solid">
        <fgColor rgb="FF475BB2"/>
        <bgColor indexed="64"/>
      </patternFill>
    </fill>
    <fill>
      <patternFill patternType="solid">
        <fgColor rgb="FF963336"/>
        <bgColor indexed="64"/>
      </patternFill>
    </fill>
    <fill>
      <patternFill patternType="solid">
        <fgColor rgb="FFCD5D52"/>
        <bgColor indexed="64"/>
      </patternFill>
    </fill>
    <fill>
      <patternFill patternType="solid">
        <fgColor rgb="FF574266"/>
        <bgColor indexed="64"/>
      </patternFill>
    </fill>
    <fill>
      <patternFill patternType="solid">
        <fgColor rgb="FF7C598E"/>
        <bgColor indexed="64"/>
      </patternFill>
    </fill>
    <fill>
      <patternFill patternType="solid">
        <fgColor rgb="FF5E6F33"/>
        <bgColor indexed="64"/>
      </patternFill>
    </fill>
    <fill>
      <patternFill patternType="solid">
        <fgColor rgb="FF9AB351"/>
        <bgColor indexed="64"/>
      </patternFill>
    </fill>
    <fill>
      <patternFill patternType="solid">
        <fgColor rgb="FF855129"/>
        <bgColor indexed="64"/>
      </patternFill>
    </fill>
    <fill>
      <patternFill patternType="solid">
        <fgColor rgb="FFC38E44"/>
        <bgColor indexed="64"/>
      </patternFill>
    </fill>
    <fill>
      <patternFill patternType="solid">
        <fgColor rgb="FFC18668"/>
        <bgColor indexed="64"/>
      </patternFill>
    </fill>
    <fill>
      <patternFill patternType="solid">
        <fgColor rgb="FFB68D71"/>
        <bgColor indexed="64"/>
      </patternFill>
    </fill>
    <fill>
      <patternFill patternType="solid">
        <fgColor rgb="FF69889C"/>
        <bgColor indexed="64"/>
      </patternFill>
    </fill>
    <fill>
      <patternFill patternType="solid">
        <fgColor rgb="FF9FAC7B"/>
        <bgColor indexed="64"/>
      </patternFill>
    </fill>
    <fill>
      <patternFill patternType="solid">
        <fgColor rgb="FF7C7B97"/>
        <bgColor indexed="64"/>
      </patternFill>
    </fill>
    <fill>
      <patternFill patternType="solid">
        <fgColor rgb="FF76A791"/>
        <bgColor indexed="64"/>
      </patternFill>
    </fill>
    <fill>
      <patternFill patternType="solid">
        <fgColor rgb="FFDA8444"/>
        <bgColor indexed="64"/>
      </patternFill>
    </fill>
    <fill>
      <patternFill patternType="solid">
        <fgColor rgb="FF0F68AD"/>
        <bgColor indexed="64"/>
      </patternFill>
    </fill>
    <fill>
      <patternFill patternType="solid">
        <fgColor rgb="FFD2655B"/>
        <bgColor indexed="64"/>
      </patternFill>
    </fill>
    <fill>
      <patternFill patternType="solid">
        <fgColor rgb="FF8A6495"/>
        <bgColor indexed="64"/>
      </patternFill>
    </fill>
    <fill>
      <patternFill patternType="solid">
        <fgColor rgb="FFB2B269"/>
        <bgColor indexed="64"/>
      </patternFill>
    </fill>
    <fill>
      <patternFill patternType="solid">
        <fgColor rgb="FFCF9651"/>
        <bgColor indexed="64"/>
      </patternFill>
    </fill>
    <fill>
      <patternFill patternType="solid">
        <fgColor rgb="FF003DBA"/>
        <bgColor indexed="64"/>
      </patternFill>
    </fill>
    <fill>
      <patternFill patternType="solid">
        <fgColor rgb="FF8DBF7F"/>
        <bgColor indexed="64"/>
      </patternFill>
    </fill>
    <fill>
      <patternFill patternType="solid">
        <fgColor rgb="FFE05747"/>
        <bgColor indexed="64"/>
      </patternFill>
    </fill>
    <fill>
      <patternFill patternType="solid">
        <fgColor rgb="FFC6A458"/>
        <bgColor indexed="64"/>
      </patternFill>
    </fill>
    <fill>
      <patternFill patternType="solid">
        <fgColor rgb="FFAF5581"/>
        <bgColor indexed="64"/>
      </patternFill>
    </fill>
    <fill>
      <patternFill patternType="solid">
        <fgColor rgb="FF0093AB"/>
        <bgColor indexed="64"/>
      </patternFill>
    </fill>
    <fill>
      <patternFill patternType="solid">
        <fgColor rgb="FF929189"/>
        <bgColor indexed="64"/>
      </patternFill>
    </fill>
    <fill>
      <patternFill patternType="solid">
        <fgColor rgb="FF90918A"/>
        <bgColor indexed="64"/>
      </patternFill>
    </fill>
    <fill>
      <patternFill patternType="solid">
        <fgColor rgb="FF908C8B"/>
        <bgColor indexed="64"/>
      </patternFill>
    </fill>
    <fill>
      <patternFill patternType="solid">
        <fgColor rgb="FF888E8F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735143"/>
        <bgColor indexed="64"/>
      </patternFill>
    </fill>
    <fill>
      <patternFill patternType="solid">
        <fgColor rgb="FFC79381"/>
        <bgColor indexed="64"/>
      </patternFill>
    </fill>
    <fill>
      <patternFill patternType="solid">
        <fgColor rgb="FF5B7A9C"/>
        <bgColor indexed="64"/>
      </patternFill>
    </fill>
    <fill>
      <patternFill patternType="solid">
        <fgColor rgb="FF5A6C40"/>
        <bgColor indexed="64"/>
      </patternFill>
    </fill>
    <fill>
      <patternFill patternType="solid">
        <fgColor rgb="FF8280B0"/>
        <bgColor indexed="64"/>
      </patternFill>
    </fill>
    <fill>
      <patternFill patternType="solid">
        <fgColor rgb="FF5CBEAC"/>
        <bgColor indexed="64"/>
      </patternFill>
    </fill>
    <fill>
      <patternFill patternType="solid">
        <fgColor rgb="FFE07C2F"/>
        <bgColor indexed="64"/>
      </patternFill>
    </fill>
    <fill>
      <patternFill patternType="solid">
        <fgColor rgb="FF445BAA"/>
        <bgColor indexed="64"/>
      </patternFill>
    </fill>
    <fill>
      <patternFill patternType="solid">
        <fgColor rgb="FFC65261"/>
        <bgColor indexed="64"/>
      </patternFill>
    </fill>
    <fill>
      <patternFill patternType="solid">
        <fgColor rgb="FF5E3A6A"/>
        <bgColor indexed="64"/>
      </patternFill>
    </fill>
    <fill>
      <patternFill patternType="solid">
        <fgColor rgb="FF9FBD3F"/>
        <bgColor indexed="64"/>
      </patternFill>
    </fill>
    <fill>
      <patternFill patternType="solid">
        <fgColor rgb="FFE6A227"/>
        <bgColor indexed="64"/>
      </patternFill>
    </fill>
    <fill>
      <patternFill patternType="solid">
        <fgColor rgb="FF233F93"/>
        <bgColor indexed="64"/>
      </patternFill>
    </fill>
    <fill>
      <patternFill patternType="solid">
        <fgColor rgb="FF43954A"/>
        <bgColor indexed="64"/>
      </patternFill>
    </fill>
    <fill>
      <patternFill patternType="solid">
        <fgColor rgb="FFB43139"/>
        <bgColor indexed="64"/>
      </patternFill>
    </fill>
    <fill>
      <patternFill patternType="solid">
        <fgColor rgb="FFEEC614"/>
        <bgColor indexed="64"/>
      </patternFill>
    </fill>
    <fill>
      <patternFill patternType="solid">
        <fgColor rgb="FFC15497"/>
        <bgColor indexed="64"/>
      </patternFill>
    </fill>
    <fill>
      <patternFill patternType="solid">
        <fgColor rgb="FF0088AA"/>
        <bgColor indexed="64"/>
      </patternFill>
    </fill>
    <fill>
      <patternFill patternType="solid">
        <fgColor rgb="FFF5F5F3"/>
        <bgColor indexed="64"/>
      </patternFill>
    </fill>
    <fill>
      <patternFill patternType="solid">
        <fgColor rgb="FFC8CACA"/>
        <bgColor indexed="64"/>
      </patternFill>
    </fill>
    <fill>
      <patternFill patternType="solid">
        <fgColor rgb="FFA1A3A3"/>
        <bgColor indexed="64"/>
      </patternFill>
    </fill>
    <fill>
      <patternFill patternType="solid">
        <fgColor rgb="FF79797A"/>
        <bgColor indexed="64"/>
      </patternFill>
    </fill>
    <fill>
      <patternFill patternType="solid">
        <fgColor rgb="FF525456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734D3F"/>
        <bgColor indexed="64"/>
      </patternFill>
    </fill>
    <fill>
      <patternFill patternType="solid">
        <fgColor rgb="FF6D5141"/>
        <bgColor indexed="64"/>
      </patternFill>
    </fill>
    <fill>
      <patternFill patternType="solid">
        <fgColor rgb="FF954327"/>
        <bgColor indexed="64"/>
      </patternFill>
    </fill>
    <fill>
      <patternFill patternType="solid">
        <fgColor rgb="FF315C72"/>
        <bgColor indexed="64"/>
      </patternFill>
    </fill>
    <fill>
      <patternFill patternType="solid">
        <fgColor rgb="FF516D40"/>
        <bgColor indexed="64"/>
      </patternFill>
    </fill>
    <fill>
      <patternFill patternType="solid">
        <fgColor rgb="FF40526D"/>
        <bgColor indexed="64"/>
      </patternFill>
    </fill>
    <fill>
      <patternFill patternType="solid">
        <fgColor rgb="FF2F735E"/>
        <bgColor indexed="64"/>
      </patternFill>
    </fill>
    <fill>
      <patternFill patternType="solid">
        <fgColor rgb="FF214D91"/>
        <bgColor indexed="64"/>
      </patternFill>
    </fill>
    <fill>
      <patternFill patternType="solid">
        <fgColor rgb="FF933339"/>
        <bgColor indexed="64"/>
      </patternFill>
    </fill>
    <fill>
      <patternFill patternType="solid">
        <fgColor rgb="FF4F416E"/>
        <bgColor indexed="64"/>
      </patternFill>
    </fill>
    <fill>
      <patternFill patternType="solid">
        <fgColor rgb="FF5A7332"/>
        <bgColor indexed="64"/>
      </patternFill>
    </fill>
    <fill>
      <patternFill patternType="solid">
        <fgColor rgb="FF835427"/>
        <bgColor indexed="64"/>
      </patternFill>
    </fill>
    <fill>
      <patternFill patternType="solid">
        <fgColor rgb="FF1847A0"/>
        <bgColor indexed="64"/>
      </patternFill>
    </fill>
    <fill>
      <patternFill patternType="solid">
        <fgColor rgb="FF388641"/>
        <bgColor indexed="64"/>
      </patternFill>
    </fill>
    <fill>
      <patternFill patternType="solid">
        <fgColor rgb="FFAE2829"/>
        <bgColor indexed="64"/>
      </patternFill>
    </fill>
    <fill>
      <patternFill patternType="solid">
        <fgColor rgb="FF785F27"/>
        <bgColor indexed="64"/>
      </patternFill>
    </fill>
    <fill>
      <patternFill patternType="solid">
        <fgColor rgb="FF743457"/>
        <bgColor indexed="64"/>
      </patternFill>
    </fill>
    <fill>
      <patternFill patternType="solid">
        <fgColor rgb="FF1B687C"/>
        <bgColor indexed="64"/>
      </patternFill>
    </fill>
    <fill>
      <patternFill patternType="solid">
        <fgColor rgb="FF4C5C57"/>
        <bgColor indexed="64"/>
      </patternFill>
    </fill>
    <fill>
      <patternFill patternType="solid">
        <fgColor rgb="FF4B5C58"/>
        <bgColor indexed="64"/>
      </patternFill>
    </fill>
    <fill>
      <patternFill patternType="solid">
        <fgColor rgb="FF4B5C59"/>
        <bgColor indexed="64"/>
      </patternFill>
    </fill>
    <fill>
      <patternFill patternType="solid">
        <fgColor rgb="FF4B5B59"/>
        <bgColor indexed="64"/>
      </patternFill>
    </fill>
    <fill>
      <patternFill patternType="solid">
        <fgColor rgb="FF485B5C"/>
        <bgColor indexed="64"/>
      </patternFill>
    </fill>
    <fill>
      <patternFill patternType="solid">
        <fgColor rgb="FF4A585D"/>
        <bgColor indexed="64"/>
      </patternFill>
    </fill>
    <fill>
      <patternFill patternType="solid">
        <fgColor rgb="FF7B8579"/>
        <bgColor indexed="64"/>
      </patternFill>
    </fill>
    <fill>
      <patternFill patternType="solid">
        <fgColor rgb="FF32201A"/>
        <bgColor indexed="64"/>
      </patternFill>
    </fill>
    <fill>
      <patternFill patternType="solid">
        <fgColor rgb="FFA56B51"/>
        <bgColor indexed="64"/>
      </patternFill>
    </fill>
    <fill>
      <patternFill patternType="solid">
        <fgColor rgb="FF2C4161"/>
        <bgColor indexed="64"/>
      </patternFill>
    </fill>
    <fill>
      <patternFill patternType="solid">
        <fgColor rgb="FF1F2B14"/>
        <bgColor indexed="64"/>
      </patternFill>
    </fill>
    <fill>
      <patternFill patternType="solid">
        <fgColor rgb="FF505285"/>
        <bgColor indexed="64"/>
      </patternFill>
    </fill>
    <fill>
      <patternFill patternType="solid">
        <fgColor rgb="FF329072"/>
        <bgColor indexed="64"/>
      </patternFill>
    </fill>
    <fill>
      <patternFill patternType="solid">
        <fgColor rgb="FFE36328"/>
        <bgColor indexed="64"/>
      </patternFill>
    </fill>
    <fill>
      <patternFill patternType="solid">
        <fgColor rgb="FF303D9F"/>
        <bgColor indexed="64"/>
      </patternFill>
    </fill>
    <fill>
      <patternFill patternType="solid">
        <fgColor rgb="FFC04447"/>
        <bgColor indexed="64"/>
      </patternFill>
    </fill>
    <fill>
      <patternFill patternType="solid">
        <fgColor rgb="FF2D203E"/>
        <bgColor indexed="64"/>
      </patternFill>
    </fill>
    <fill>
      <patternFill patternType="solid">
        <fgColor rgb="FF72A819"/>
        <bgColor indexed="64"/>
      </patternFill>
    </fill>
    <fill>
      <patternFill patternType="solid">
        <fgColor rgb="FFE98B21"/>
        <bgColor indexed="64"/>
      </patternFill>
    </fill>
    <fill>
      <patternFill patternType="solid">
        <fgColor rgb="FF182267"/>
        <bgColor indexed="64"/>
      </patternFill>
    </fill>
    <fill>
      <patternFill patternType="solid">
        <fgColor rgb="FF1A5717"/>
        <bgColor indexed="64"/>
      </patternFill>
    </fill>
    <fill>
      <patternFill patternType="solid">
        <fgColor rgb="FF902926"/>
        <bgColor indexed="64"/>
      </patternFill>
    </fill>
    <fill>
      <patternFill patternType="solid">
        <fgColor rgb="FFFFCD18"/>
        <bgColor indexed="64"/>
      </patternFill>
    </fill>
    <fill>
      <patternFill patternType="solid">
        <fgColor rgb="FFB64B86"/>
        <bgColor indexed="64"/>
      </patternFill>
    </fill>
    <fill>
      <patternFill patternType="solid">
        <fgColor rgb="FF1A5583"/>
        <bgColor indexed="64"/>
      </patternFill>
    </fill>
    <fill>
      <patternFill patternType="solid">
        <fgColor rgb="FFEAFFFF"/>
        <bgColor indexed="64"/>
      </patternFill>
    </fill>
    <fill>
      <patternFill patternType="solid">
        <fgColor rgb="FF8A979D"/>
        <bgColor indexed="64"/>
      </patternFill>
    </fill>
    <fill>
      <patternFill patternType="solid">
        <fgColor rgb="FF4B5055"/>
        <bgColor indexed="64"/>
      </patternFill>
    </fill>
    <fill>
      <patternFill patternType="solid">
        <fgColor rgb="FF22252A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182265"/>
        <bgColor indexed="64"/>
      </patternFill>
    </fill>
    <fill>
      <patternFill patternType="solid">
        <fgColor rgb="FF6D4C42"/>
        <bgColor indexed="64"/>
      </patternFill>
    </fill>
    <fill>
      <patternFill patternType="solid">
        <fgColor rgb="FFBD8773"/>
        <bgColor indexed="64"/>
      </patternFill>
    </fill>
    <fill>
      <patternFill patternType="solid">
        <fgColor rgb="FF51708D"/>
        <bgColor indexed="64"/>
      </patternFill>
    </fill>
    <fill>
      <patternFill patternType="solid">
        <fgColor rgb="FF556441"/>
        <bgColor indexed="64"/>
      </patternFill>
    </fill>
    <fill>
      <patternFill patternType="solid">
        <fgColor rgb="FF7676A0"/>
        <bgColor indexed="64"/>
      </patternFill>
    </fill>
    <fill>
      <patternFill patternType="solid">
        <fgColor rgb="FF53B29C"/>
        <bgColor indexed="64"/>
      </patternFill>
    </fill>
    <fill>
      <patternFill patternType="solid">
        <fgColor rgb="FFEFC700"/>
        <bgColor indexed="64"/>
      </patternFill>
    </fill>
    <fill>
      <patternFill patternType="solid">
        <fgColor rgb="FFE17928"/>
        <bgColor indexed="64"/>
      </patternFill>
    </fill>
    <fill>
      <patternFill patternType="solid">
        <fgColor rgb="FF445EB0"/>
        <bgColor indexed="64"/>
      </patternFill>
    </fill>
    <fill>
      <patternFill patternType="solid">
        <fgColor rgb="FFCD5360"/>
        <bgColor indexed="64"/>
      </patternFill>
    </fill>
    <fill>
      <patternFill patternType="solid">
        <fgColor rgb="FF5F426F"/>
        <bgColor indexed="64"/>
      </patternFill>
    </fill>
    <fill>
      <patternFill patternType="solid">
        <fgColor rgb="FFA3C146"/>
        <bgColor indexed="64"/>
      </patternFill>
    </fill>
    <fill>
      <patternFill patternType="solid">
        <fgColor rgb="FFE39E1A"/>
        <bgColor indexed="64"/>
      </patternFill>
    </fill>
    <fill>
      <patternFill patternType="solid">
        <fgColor rgb="FF22448F"/>
        <bgColor indexed="64"/>
      </patternFill>
    </fill>
    <fill>
      <patternFill patternType="solid">
        <fgColor rgb="FF49944F"/>
        <bgColor indexed="64"/>
      </patternFill>
    </fill>
    <fill>
      <patternFill patternType="solid">
        <fgColor rgb="FFB6333A"/>
        <bgColor indexed="64"/>
      </patternFill>
    </fill>
    <fill>
      <patternFill patternType="solid">
        <fgColor rgb="FFC15294"/>
        <bgColor indexed="64"/>
      </patternFill>
    </fill>
    <fill>
      <patternFill patternType="solid">
        <fgColor rgb="FF0084A4"/>
        <bgColor indexed="64"/>
      </patternFill>
    </fill>
    <fill>
      <patternFill patternType="solid">
        <fgColor rgb="FFF3F5F4"/>
        <bgColor indexed="64"/>
      </patternFill>
    </fill>
    <fill>
      <patternFill patternType="solid">
        <fgColor rgb="FFBBCED6"/>
        <bgColor indexed="64"/>
      </patternFill>
    </fill>
    <fill>
      <patternFill patternType="solid">
        <fgColor rgb="FF8EA4AB"/>
        <bgColor indexed="64"/>
      </patternFill>
    </fill>
    <fill>
      <patternFill patternType="solid">
        <fgColor rgb="FF677B81"/>
        <bgColor indexed="64"/>
      </patternFill>
    </fill>
    <fill>
      <patternFill patternType="solid">
        <fgColor rgb="FF44575D"/>
        <bgColor indexed="64"/>
      </patternFill>
    </fill>
    <fill>
      <patternFill patternType="solid">
        <fgColor rgb="FF2D3B3F"/>
        <bgColor indexed="64"/>
      </patternFill>
    </fill>
    <fill>
      <patternFill patternType="solid">
        <fgColor rgb="FF6D4E43"/>
        <bgColor indexed="64"/>
      </patternFill>
    </fill>
    <fill>
      <patternFill patternType="solid">
        <fgColor rgb="FF6F4F42"/>
        <bgColor indexed="64"/>
      </patternFill>
    </fill>
    <fill>
      <patternFill patternType="solid">
        <fgColor rgb="FF325B72"/>
        <bgColor indexed="64"/>
      </patternFill>
    </fill>
    <fill>
      <patternFill patternType="solid">
        <fgColor rgb="FF4F6B45"/>
        <bgColor indexed="64"/>
      </patternFill>
    </fill>
    <fill>
      <patternFill patternType="solid">
        <fgColor rgb="FF3E526F"/>
        <bgColor indexed="64"/>
      </patternFill>
    </fill>
    <fill>
      <patternFill patternType="solid">
        <fgColor rgb="FF2F725E"/>
        <bgColor indexed="64"/>
      </patternFill>
    </fill>
    <fill>
      <patternFill patternType="solid">
        <fgColor rgb="FF964128"/>
        <bgColor indexed="64"/>
      </patternFill>
    </fill>
    <fill>
      <patternFill patternType="solid">
        <fgColor rgb="FF234C90"/>
        <bgColor indexed="64"/>
      </patternFill>
    </fill>
    <fill>
      <patternFill patternType="solid">
        <fgColor rgb="FF923439"/>
        <bgColor indexed="64"/>
      </patternFill>
    </fill>
    <fill>
      <patternFill patternType="solid">
        <fgColor rgb="FF4C456E"/>
        <bgColor indexed="64"/>
      </patternFill>
    </fill>
    <fill>
      <patternFill patternType="solid">
        <fgColor rgb="FF577434"/>
        <bgColor indexed="64"/>
      </patternFill>
    </fill>
    <fill>
      <patternFill patternType="solid">
        <fgColor rgb="FF855228"/>
        <bgColor indexed="64"/>
      </patternFill>
    </fill>
    <fill>
      <patternFill patternType="solid">
        <fgColor rgb="FF1B499B"/>
        <bgColor indexed="64"/>
      </patternFill>
    </fill>
    <fill>
      <patternFill patternType="solid">
        <fgColor rgb="FF3A8144"/>
        <bgColor indexed="64"/>
      </patternFill>
    </fill>
    <fill>
      <patternFill patternType="solid">
        <fgColor rgb="FFA72A2D"/>
        <bgColor indexed="64"/>
      </patternFill>
    </fill>
    <fill>
      <patternFill patternType="solid">
        <fgColor rgb="FF785F28"/>
        <bgColor indexed="64"/>
      </patternFill>
    </fill>
    <fill>
      <patternFill patternType="solid">
        <fgColor rgb="FF743556"/>
        <bgColor indexed="64"/>
      </patternFill>
    </fill>
    <fill>
      <patternFill patternType="solid">
        <fgColor rgb="FF1B657E"/>
        <bgColor indexed="64"/>
      </patternFill>
    </fill>
    <fill>
      <patternFill patternType="solid">
        <fgColor rgb="FF4C5B57"/>
        <bgColor indexed="64"/>
      </patternFill>
    </fill>
    <fill>
      <patternFill patternType="solid">
        <fgColor rgb="FF4A5B59"/>
        <bgColor indexed="64"/>
      </patternFill>
    </fill>
    <fill>
      <patternFill patternType="solid">
        <fgColor rgb="FF495B5A"/>
        <bgColor indexed="64"/>
      </patternFill>
    </fill>
    <fill>
      <patternFill patternType="solid">
        <fgColor rgb="FF4A5A5B"/>
        <bgColor indexed="64"/>
      </patternFill>
    </fill>
    <fill>
      <patternFill patternType="solid">
        <fgColor rgb="FF485A5D"/>
        <bgColor indexed="64"/>
      </patternFill>
    </fill>
    <fill>
      <patternFill patternType="solid">
        <fgColor rgb="FFF6B037"/>
        <bgColor indexed="64"/>
      </patternFill>
    </fill>
    <fill>
      <patternFill patternType="solid">
        <fgColor rgb="FF478AFB"/>
        <bgColor indexed="64"/>
      </patternFill>
    </fill>
    <fill>
      <patternFill patternType="solid">
        <fgColor rgb="FFFF9182"/>
        <bgColor indexed="64"/>
      </patternFill>
    </fill>
    <fill>
      <patternFill patternType="solid">
        <fgColor rgb="FF8848AC"/>
        <bgColor indexed="64"/>
      </patternFill>
    </fill>
    <fill>
      <patternFill patternType="solid">
        <fgColor rgb="FFCCF101"/>
        <bgColor indexed="64"/>
      </patternFill>
    </fill>
    <fill>
      <patternFill patternType="solid">
        <fgColor rgb="FFF3D121"/>
        <bgColor indexed="64"/>
      </patternFill>
    </fill>
    <fill>
      <patternFill patternType="solid">
        <fgColor rgb="FF073ACC"/>
        <bgColor indexed="64"/>
      </patternFill>
    </fill>
    <fill>
      <patternFill patternType="solid">
        <fgColor rgb="FF24B543"/>
        <bgColor indexed="64"/>
      </patternFill>
    </fill>
    <fill>
      <patternFill patternType="solid">
        <fgColor rgb="FFE8462B"/>
        <bgColor indexed="64"/>
      </patternFill>
    </fill>
    <fill>
      <patternFill patternType="solid">
        <fgColor rgb="FFFFEB00"/>
        <bgColor indexed="64"/>
      </patternFill>
    </fill>
    <fill>
      <patternFill patternType="solid">
        <fgColor rgb="FFF47DDC"/>
        <bgColor indexed="64"/>
      </patternFill>
    </fill>
    <fill>
      <patternFill patternType="solid">
        <fgColor rgb="FF5ABDCD"/>
        <bgColor indexed="64"/>
      </patternFill>
    </fill>
    <fill>
      <patternFill patternType="solid">
        <fgColor rgb="FFD9FFD8"/>
        <bgColor indexed="64"/>
      </patternFill>
    </fill>
    <fill>
      <patternFill patternType="solid">
        <fgColor rgb="FFCFCBC9"/>
        <bgColor indexed="64"/>
      </patternFill>
    </fill>
    <fill>
      <patternFill patternType="solid">
        <fgColor rgb="FFBCB8B2"/>
        <bgColor indexed="64"/>
      </patternFill>
    </fill>
    <fill>
      <patternFill patternType="solid">
        <fgColor rgb="FFAAA2A4"/>
        <bgColor indexed="64"/>
      </patternFill>
    </fill>
    <fill>
      <patternFill patternType="solid">
        <fgColor rgb="FF8A858D"/>
        <bgColor indexed="64"/>
      </patternFill>
    </fill>
    <fill>
      <patternFill patternType="solid">
        <fgColor rgb="FF6A5A6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97B5E"/>
        <bgColor indexed="64"/>
      </patternFill>
    </fill>
    <fill>
      <patternFill patternType="solid">
        <fgColor rgb="FFAB7C5C"/>
        <bgColor indexed="64"/>
      </patternFill>
    </fill>
    <fill>
      <patternFill patternType="solid">
        <fgColor rgb="FF557998"/>
        <bgColor indexed="64"/>
      </patternFill>
    </fill>
    <fill>
      <patternFill patternType="solid">
        <fgColor rgb="FF8AA761"/>
        <bgColor indexed="64"/>
      </patternFill>
    </fill>
    <fill>
      <patternFill patternType="solid">
        <fgColor rgb="FF646D93"/>
        <bgColor indexed="64"/>
      </patternFill>
    </fill>
    <fill>
      <patternFill patternType="solid">
        <fgColor rgb="FF5CA681"/>
        <bgColor indexed="64"/>
      </patternFill>
    </fill>
    <fill>
      <patternFill patternType="solid">
        <fgColor rgb="FFE0743B"/>
        <bgColor indexed="64"/>
      </patternFill>
    </fill>
    <fill>
      <patternFill patternType="solid">
        <fgColor rgb="FF3754BC"/>
        <bgColor indexed="64"/>
      </patternFill>
    </fill>
    <fill>
      <patternFill patternType="solid">
        <fgColor rgb="FFD35750"/>
        <bgColor indexed="64"/>
      </patternFill>
    </fill>
    <fill>
      <patternFill patternType="solid">
        <fgColor rgb="FF715992"/>
        <bgColor indexed="64"/>
      </patternFill>
    </fill>
    <fill>
      <patternFill patternType="solid">
        <fgColor rgb="FF9ABC4E"/>
        <bgColor indexed="64"/>
      </patternFill>
    </fill>
    <fill>
      <patternFill patternType="solid">
        <fgColor rgb="FFCF8D3D"/>
        <bgColor indexed="64"/>
      </patternFill>
    </fill>
    <fill>
      <patternFill patternType="solid">
        <fgColor rgb="FF294BC9"/>
        <bgColor indexed="64"/>
      </patternFill>
    </fill>
    <fill>
      <patternFill patternType="solid">
        <fgColor rgb="FF74C962"/>
        <bgColor indexed="64"/>
      </patternFill>
    </fill>
    <fill>
      <patternFill patternType="solid">
        <fgColor rgb="FFEF4E41"/>
        <bgColor indexed="64"/>
      </patternFill>
    </fill>
    <fill>
      <patternFill patternType="solid">
        <fgColor rgb="FFC1A23E"/>
        <bgColor indexed="64"/>
      </patternFill>
    </fill>
    <fill>
      <patternFill patternType="solid">
        <fgColor rgb="FFA64C74"/>
        <bgColor indexed="64"/>
      </patternFill>
    </fill>
    <fill>
      <patternFill patternType="solid">
        <fgColor rgb="FF3883A7"/>
        <bgColor indexed="64"/>
      </patternFill>
    </fill>
    <fill>
      <patternFill patternType="solid">
        <fgColor rgb="FF7D8677"/>
        <bgColor indexed="64"/>
      </patternFill>
    </fill>
    <fill>
      <patternFill patternType="solid">
        <fgColor rgb="FF79847B"/>
        <bgColor indexed="64"/>
      </patternFill>
    </fill>
    <fill>
      <patternFill patternType="solid">
        <fgColor rgb="FF79837B"/>
        <bgColor indexed="64"/>
      </patternFill>
    </fill>
    <fill>
      <patternFill patternType="solid">
        <fgColor rgb="FF76817E"/>
        <bgColor indexed="64"/>
      </patternFill>
    </fill>
    <fill>
      <patternFill patternType="solid">
        <fgColor rgb="FF787F80"/>
        <bgColor indexed="64"/>
      </patternFill>
    </fill>
    <fill>
      <patternFill patternType="solid">
        <fgColor rgb="FFB58971"/>
        <bgColor indexed="64"/>
      </patternFill>
    </fill>
    <fill>
      <patternFill patternType="solid">
        <fgColor rgb="FFB68A6F"/>
        <bgColor indexed="64"/>
      </patternFill>
    </fill>
    <fill>
      <patternFill patternType="solid">
        <fgColor rgb="FF66869E"/>
        <bgColor indexed="64"/>
      </patternFill>
    </fill>
    <fill>
      <patternFill patternType="solid">
        <fgColor rgb="FF9EAB78"/>
        <bgColor indexed="64"/>
      </patternFill>
    </fill>
    <fill>
      <patternFill patternType="solid">
        <fgColor rgb="FF787A9A"/>
        <bgColor indexed="64"/>
      </patternFill>
    </fill>
    <fill>
      <patternFill patternType="solid">
        <fgColor rgb="FF6FAA92"/>
        <bgColor indexed="64"/>
      </patternFill>
    </fill>
    <fill>
      <patternFill patternType="solid">
        <fgColor rgb="FFD78443"/>
        <bgColor indexed="64"/>
      </patternFill>
    </fill>
    <fill>
      <patternFill patternType="solid">
        <fgColor rgb="FF1F59B1"/>
        <bgColor indexed="64"/>
      </patternFill>
    </fill>
    <fill>
      <patternFill patternType="solid">
        <fgColor rgb="FFCF625D"/>
        <bgColor indexed="64"/>
      </patternFill>
    </fill>
    <fill>
      <patternFill patternType="solid">
        <fgColor rgb="FF876298"/>
        <bgColor indexed="64"/>
      </patternFill>
    </fill>
    <fill>
      <patternFill patternType="solid">
        <fgColor rgb="FFAAB967"/>
        <bgColor indexed="64"/>
      </patternFill>
    </fill>
    <fill>
      <patternFill patternType="solid">
        <fgColor rgb="FFCD994A"/>
        <bgColor indexed="64"/>
      </patternFill>
    </fill>
    <fill>
      <patternFill patternType="solid">
        <fgColor rgb="FF004BB8"/>
        <bgColor indexed="64"/>
      </patternFill>
    </fill>
    <fill>
      <patternFill patternType="solid">
        <fgColor rgb="FF8BC07C"/>
        <bgColor indexed="64"/>
      </patternFill>
    </fill>
    <fill>
      <patternFill patternType="solid">
        <fgColor rgb="FFDE5546"/>
        <bgColor indexed="64"/>
      </patternFill>
    </fill>
    <fill>
      <patternFill patternType="solid">
        <fgColor rgb="FFC5A84F"/>
        <bgColor indexed="64"/>
      </patternFill>
    </fill>
    <fill>
      <patternFill patternType="solid">
        <fgColor rgb="FFB24F80"/>
        <bgColor indexed="64"/>
      </patternFill>
    </fill>
    <fill>
      <patternFill patternType="solid">
        <fgColor rgb="FF268FA8"/>
        <bgColor indexed="64"/>
      </patternFill>
    </fill>
    <fill>
      <patternFill patternType="solid">
        <fgColor rgb="FF939288"/>
        <bgColor indexed="64"/>
      </patternFill>
    </fill>
    <fill>
      <patternFill patternType="solid">
        <fgColor rgb="FF868B8A"/>
        <bgColor indexed="64"/>
      </patternFill>
    </fill>
    <fill>
      <patternFill patternType="solid">
        <fgColor rgb="FF848A8B"/>
        <bgColor indexed="64"/>
      </patternFill>
    </fill>
    <fill>
      <patternFill patternType="solid">
        <fgColor rgb="FF82888D"/>
        <bgColor indexed="64"/>
      </patternFill>
    </fill>
    <fill>
      <patternFill patternType="solid">
        <fgColor rgb="FF82878C"/>
        <bgColor indexed="64"/>
      </patternFill>
    </fill>
    <fill>
      <patternFill patternType="solid">
        <fgColor rgb="FFA37362"/>
        <bgColor indexed="64"/>
      </patternFill>
    </fill>
    <fill>
      <patternFill patternType="solid">
        <fgColor rgb="FFE6B89F"/>
        <bgColor indexed="64"/>
      </patternFill>
    </fill>
    <fill>
      <patternFill patternType="solid">
        <fgColor rgb="FF7EC6EB"/>
        <bgColor indexed="64"/>
      </patternFill>
    </fill>
    <fill>
      <patternFill patternType="solid">
        <fgColor rgb="FF81A046"/>
        <bgColor indexed="64"/>
      </patternFill>
    </fill>
    <fill>
      <patternFill patternType="solid">
        <fgColor rgb="FFB8BDE2"/>
        <bgColor indexed="64"/>
      </patternFill>
    </fill>
    <fill>
      <patternFill patternType="solid">
        <fgColor rgb="FF21F6D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5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/>
      <top style="medium">
        <color rgb="FFA2A9B1"/>
      </top>
      <bottom style="medium">
        <color rgb="FFA2A9B1"/>
      </bottom>
      <diagonal/>
    </border>
    <border>
      <left/>
      <right/>
      <top style="medium">
        <color rgb="FFA2A9B1"/>
      </top>
      <bottom style="medium">
        <color rgb="FFA2A9B1"/>
      </bottom>
      <diagonal/>
    </border>
    <border>
      <left/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/>
      <right/>
      <top/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 style="medium">
        <color rgb="FFA2A9B1"/>
      </left>
      <right/>
      <top/>
      <bottom/>
      <diagonal/>
    </border>
    <border>
      <left style="medium">
        <color rgb="FFA2A9B1"/>
      </left>
      <right/>
      <top style="medium">
        <color rgb="FFA2A9B1"/>
      </top>
      <bottom/>
      <diagonal/>
    </border>
    <border>
      <left/>
      <right/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/>
      <right style="medium">
        <color rgb="FFA2A9B1"/>
      </right>
      <top style="medium">
        <color rgb="FFA2A9B1"/>
      </top>
      <bottom/>
      <diagonal/>
    </border>
    <border>
      <left/>
      <right style="medium">
        <color rgb="FFA2A9B1"/>
      </right>
      <top/>
      <bottom/>
      <diagonal/>
    </border>
    <border>
      <left style="medium">
        <color rgb="FFA2A9B1"/>
      </left>
      <right/>
      <top/>
      <bottom style="medium">
        <color rgb="FFA2A9B1"/>
      </bottom>
      <diagonal/>
    </border>
    <border>
      <left/>
      <right style="medium">
        <color rgb="FFA2A9B1"/>
      </right>
      <top/>
      <bottom style="medium">
        <color rgb="FFA2A9B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/>
      </left>
      <right style="medium">
        <color rgb="FFA2A9B1"/>
      </right>
      <top style="medium">
        <color rgb="FFA2A9B1"/>
      </top>
      <bottom/>
      <diagonal/>
    </border>
    <border>
      <left style="thin">
        <color theme="0"/>
      </left>
      <right style="medium">
        <color rgb="FFA2A9B1"/>
      </right>
      <top/>
      <bottom style="thin">
        <color theme="0"/>
      </bottom>
      <diagonal/>
    </border>
    <border>
      <left/>
      <right/>
      <top/>
      <bottom style="medium">
        <color rgb="FFF5F5F5"/>
      </bottom>
      <diagonal/>
    </border>
    <border>
      <left/>
      <right/>
      <top style="medium">
        <color rgb="FFF5F5F5"/>
      </top>
      <bottom style="medium">
        <color rgb="FFF5F5F5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46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0" borderId="0" xfId="0" applyFont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5" borderId="0" xfId="0" applyFill="1"/>
    <xf numFmtId="0" fontId="0" fillId="5" borderId="0" xfId="0" applyFill="1" applyAlignment="1">
      <alignment horizontal="left"/>
    </xf>
    <xf numFmtId="0" fontId="3" fillId="5" borderId="0" xfId="1" applyFill="1"/>
    <xf numFmtId="0" fontId="0" fillId="6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7" borderId="0" xfId="0" applyFill="1"/>
    <xf numFmtId="0" fontId="0" fillId="7" borderId="0" xfId="0" quotePrefix="1" applyFill="1" applyAlignment="1">
      <alignment horizontal="left"/>
    </xf>
    <xf numFmtId="0" fontId="0" fillId="8" borderId="0" xfId="0" applyFill="1"/>
    <xf numFmtId="0" fontId="0" fillId="7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/>
    </xf>
    <xf numFmtId="0" fontId="0" fillId="9" borderId="0" xfId="0" applyFont="1" applyFill="1"/>
    <xf numFmtId="0" fontId="0" fillId="9" borderId="0" xfId="0" applyFill="1"/>
    <xf numFmtId="0" fontId="0" fillId="7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/>
    </xf>
    <xf numFmtId="0" fontId="0" fillId="10" borderId="0" xfId="0" applyFill="1"/>
    <xf numFmtId="0" fontId="0" fillId="0" borderId="0" xfId="0" applyAlignment="1">
      <alignment horizontal="center" vertical="top" wrapText="1"/>
    </xf>
    <xf numFmtId="164" fontId="0" fillId="0" borderId="0" xfId="0" applyNumberFormat="1"/>
    <xf numFmtId="164" fontId="0" fillId="10" borderId="0" xfId="0" applyNumberFormat="1" applyFill="1"/>
    <xf numFmtId="164" fontId="0" fillId="0" borderId="0" xfId="0" applyNumberForma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center"/>
    </xf>
    <xf numFmtId="166" fontId="0" fillId="0" borderId="0" xfId="0" applyNumberFormat="1"/>
    <xf numFmtId="166" fontId="0" fillId="4" borderId="0" xfId="0" applyNumberFormat="1" applyFill="1"/>
    <xf numFmtId="166" fontId="0" fillId="9" borderId="0" xfId="0" applyNumberFormat="1" applyFill="1"/>
    <xf numFmtId="1" fontId="0" fillId="9" borderId="0" xfId="0" applyNumberFormat="1" applyFill="1"/>
    <xf numFmtId="0" fontId="0" fillId="11" borderId="0" xfId="0" applyFill="1" applyAlignment="1">
      <alignment horizontal="center" vertical="top" wrapText="1"/>
    </xf>
    <xf numFmtId="0" fontId="0" fillId="11" borderId="0" xfId="0" applyFill="1" applyAlignment="1">
      <alignment horizontal="center" vertical="top"/>
    </xf>
    <xf numFmtId="0" fontId="0" fillId="6" borderId="0" xfId="0" applyFill="1" applyAlignment="1">
      <alignment horizontal="center" vertical="top" wrapText="1"/>
    </xf>
    <xf numFmtId="165" fontId="0" fillId="4" borderId="0" xfId="0" applyNumberFormat="1" applyFill="1"/>
    <xf numFmtId="165" fontId="0" fillId="12" borderId="0" xfId="0" applyNumberFormat="1" applyFill="1" applyAlignment="1">
      <alignment horizontal="center" vertical="top"/>
    </xf>
    <xf numFmtId="0" fontId="0" fillId="6" borderId="0" xfId="0" applyFill="1" applyAlignment="1">
      <alignment horizontal="center" vertical="top"/>
    </xf>
    <xf numFmtId="0" fontId="2" fillId="0" borderId="0" xfId="0" applyFont="1" applyAlignment="1">
      <alignment vertical="center"/>
    </xf>
    <xf numFmtId="0" fontId="2" fillId="10" borderId="0" xfId="0" applyFont="1" applyFill="1" applyAlignment="1">
      <alignment vertical="center"/>
    </xf>
    <xf numFmtId="0" fontId="0" fillId="0" borderId="0" xfId="0" applyFont="1" applyFill="1"/>
    <xf numFmtId="165" fontId="0" fillId="0" borderId="0" xfId="0" applyNumberFormat="1" applyFill="1"/>
    <xf numFmtId="166" fontId="0" fillId="11" borderId="0" xfId="0" applyNumberFormat="1" applyFill="1" applyAlignment="1">
      <alignment vertical="top"/>
    </xf>
    <xf numFmtId="166" fontId="0" fillId="11" borderId="0" xfId="0" applyNumberFormat="1" applyFill="1" applyAlignment="1">
      <alignment vertical="top" wrapText="1"/>
    </xf>
    <xf numFmtId="0" fontId="4" fillId="0" borderId="0" xfId="0" applyFont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3" fillId="0" borderId="0" xfId="1"/>
    <xf numFmtId="0" fontId="3" fillId="0" borderId="0" xfId="1" applyAlignment="1">
      <alignment vertical="center"/>
    </xf>
    <xf numFmtId="0" fontId="3" fillId="4" borderId="0" xfId="1" applyFill="1" applyAlignment="1">
      <alignment vertical="center"/>
    </xf>
    <xf numFmtId="0" fontId="0" fillId="4" borderId="0" xfId="0" applyFill="1" applyAlignment="1">
      <alignment vertical="center"/>
    </xf>
    <xf numFmtId="0" fontId="0" fillId="0" borderId="0" xfId="0" applyAlignment="1">
      <alignment horizontal="center"/>
    </xf>
    <xf numFmtId="0" fontId="7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166" fontId="0" fillId="0" borderId="0" xfId="0" applyNumberFormat="1" applyAlignment="1">
      <alignment horizontal="right" vertical="center"/>
    </xf>
    <xf numFmtId="0" fontId="0" fillId="0" borderId="0" xfId="0" applyAlignment="1"/>
    <xf numFmtId="167" fontId="9" fillId="0" borderId="1" xfId="0" applyNumberFormat="1" applyFont="1" applyFill="1" applyBorder="1" applyAlignment="1">
      <alignment vertical="center" wrapText="1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right" vertic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1" fontId="8" fillId="7" borderId="1" xfId="0" applyNumberFormat="1" applyFont="1" applyFill="1" applyBorder="1" applyAlignment="1">
      <alignment horizontal="center" vertical="center" wrapText="1"/>
    </xf>
    <xf numFmtId="1" fontId="8" fillId="7" borderId="4" xfId="0" applyNumberFormat="1" applyFont="1" applyFill="1" applyBorder="1" applyAlignment="1">
      <alignment horizontal="center" vertical="center" wrapText="1"/>
    </xf>
    <xf numFmtId="1" fontId="0" fillId="0" borderId="0" xfId="0" applyNumberFormat="1" applyAlignment="1"/>
    <xf numFmtId="1" fontId="0" fillId="0" borderId="0" xfId="0" applyNumberFormat="1" applyAlignment="1">
      <alignment horizontal="center" vertical="center"/>
    </xf>
    <xf numFmtId="167" fontId="0" fillId="0" borderId="0" xfId="0" applyNumberFormat="1"/>
    <xf numFmtId="167" fontId="9" fillId="7" borderId="10" xfId="0" applyNumberFormat="1" applyFont="1" applyFill="1" applyBorder="1" applyAlignment="1">
      <alignment horizontal="right" vertical="center" wrapText="1"/>
    </xf>
    <xf numFmtId="167" fontId="9" fillId="12" borderId="10" xfId="0" applyNumberFormat="1" applyFont="1" applyFill="1" applyBorder="1" applyAlignment="1">
      <alignment horizontal="right" vertical="center" wrapText="1"/>
    </xf>
    <xf numFmtId="167" fontId="9" fillId="7" borderId="6" xfId="0" applyNumberFormat="1" applyFont="1" applyFill="1" applyBorder="1" applyAlignment="1">
      <alignment horizontal="right" vertical="center" wrapText="1"/>
    </xf>
    <xf numFmtId="167" fontId="9" fillId="12" borderId="6" xfId="0" applyNumberFormat="1" applyFont="1" applyFill="1" applyBorder="1" applyAlignment="1">
      <alignment horizontal="right" vertical="center" wrapText="1"/>
    </xf>
    <xf numFmtId="167" fontId="9" fillId="7" borderId="11" xfId="0" applyNumberFormat="1" applyFont="1" applyFill="1" applyBorder="1" applyAlignment="1">
      <alignment horizontal="right" vertical="center" wrapText="1"/>
    </xf>
    <xf numFmtId="167" fontId="9" fillId="12" borderId="11" xfId="0" applyNumberFormat="1" applyFont="1" applyFill="1" applyBorder="1" applyAlignment="1">
      <alignment horizontal="right" vertical="center" wrapText="1"/>
    </xf>
    <xf numFmtId="168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0" fontId="0" fillId="0" borderId="0" xfId="0" applyBorder="1" applyAlignment="1"/>
    <xf numFmtId="0" fontId="12" fillId="12" borderId="1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4" fillId="7" borderId="10" xfId="0" applyFont="1" applyFill="1" applyBorder="1" applyAlignment="1">
      <alignment horizontal="left" vertical="center" wrapText="1"/>
    </xf>
    <xf numFmtId="0" fontId="12" fillId="7" borderId="6" xfId="0" applyFont="1" applyFill="1" applyBorder="1" applyAlignment="1">
      <alignment horizontal="center" vertical="center" wrapText="1"/>
    </xf>
    <xf numFmtId="0" fontId="14" fillId="7" borderId="6" xfId="0" applyFont="1" applyFill="1" applyBorder="1" applyAlignment="1">
      <alignment horizontal="left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4" fillId="7" borderId="11" xfId="0" applyFont="1" applyFill="1" applyBorder="1" applyAlignment="1">
      <alignment horizontal="left" vertical="center" wrapText="1"/>
    </xf>
    <xf numFmtId="1" fontId="8" fillId="12" borderId="10" xfId="0" applyNumberFormat="1" applyFont="1" applyFill="1" applyBorder="1" applyAlignment="1">
      <alignment vertical="center" wrapText="1"/>
    </xf>
    <xf numFmtId="1" fontId="8" fillId="12" borderId="6" xfId="0" applyNumberFormat="1" applyFont="1" applyFill="1" applyBorder="1" applyAlignment="1">
      <alignment vertical="center" wrapText="1"/>
    </xf>
    <xf numFmtId="1" fontId="8" fillId="12" borderId="11" xfId="0" applyNumberFormat="1" applyFont="1" applyFill="1" applyBorder="1" applyAlignment="1">
      <alignment vertical="center" wrapText="1"/>
    </xf>
    <xf numFmtId="0" fontId="0" fillId="0" borderId="0" xfId="0" applyBorder="1"/>
    <xf numFmtId="0" fontId="0" fillId="0" borderId="16" xfId="0" applyBorder="1" applyAlignment="1"/>
    <xf numFmtId="0" fontId="0" fillId="0" borderId="16" xfId="0" applyBorder="1" applyAlignment="1">
      <alignment horizontal="center" vertical="center"/>
    </xf>
    <xf numFmtId="0" fontId="0" fillId="0" borderId="16" xfId="0" applyBorder="1"/>
    <xf numFmtId="1" fontId="0" fillId="0" borderId="16" xfId="0" applyNumberFormat="1" applyBorder="1" applyAlignment="1">
      <alignment horizontal="center" vertical="center"/>
    </xf>
    <xf numFmtId="1" fontId="0" fillId="63" borderId="16" xfId="0" applyNumberFormat="1" applyFill="1" applyBorder="1" applyAlignment="1">
      <alignment horizontal="center" vertical="center"/>
    </xf>
    <xf numFmtId="1" fontId="0" fillId="65" borderId="16" xfId="0" applyNumberFormat="1" applyFill="1" applyBorder="1" applyAlignment="1">
      <alignment horizontal="center" vertical="center"/>
    </xf>
    <xf numFmtId="1" fontId="0" fillId="67" borderId="16" xfId="0" applyNumberFormat="1" applyFill="1" applyBorder="1" applyAlignment="1">
      <alignment horizontal="center" vertical="center"/>
    </xf>
    <xf numFmtId="1" fontId="0" fillId="69" borderId="16" xfId="0" applyNumberFormat="1" applyFill="1" applyBorder="1" applyAlignment="1">
      <alignment horizontal="center" vertical="center"/>
    </xf>
    <xf numFmtId="1" fontId="0" fillId="71" borderId="16" xfId="0" applyNumberFormat="1" applyFill="1" applyBorder="1" applyAlignment="1">
      <alignment horizontal="center" vertical="center"/>
    </xf>
    <xf numFmtId="1" fontId="0" fillId="73" borderId="16" xfId="0" applyNumberFormat="1" applyFill="1" applyBorder="1" applyAlignment="1">
      <alignment horizontal="center" vertical="center"/>
    </xf>
    <xf numFmtId="1" fontId="0" fillId="75" borderId="16" xfId="0" applyNumberFormat="1" applyFill="1" applyBorder="1" applyAlignment="1">
      <alignment horizontal="center" vertical="center"/>
    </xf>
    <xf numFmtId="1" fontId="0" fillId="77" borderId="16" xfId="0" applyNumberFormat="1" applyFill="1" applyBorder="1" applyAlignment="1">
      <alignment horizontal="center" vertical="center"/>
    </xf>
    <xf numFmtId="1" fontId="0" fillId="79" borderId="16" xfId="0" applyNumberFormat="1" applyFill="1" applyBorder="1" applyAlignment="1">
      <alignment horizontal="center" vertical="center"/>
    </xf>
    <xf numFmtId="1" fontId="0" fillId="81" borderId="16" xfId="0" applyNumberFormat="1" applyFill="1" applyBorder="1" applyAlignment="1">
      <alignment horizontal="center" vertical="center"/>
    </xf>
    <xf numFmtId="1" fontId="0" fillId="83" borderId="16" xfId="0" applyNumberFormat="1" applyFill="1" applyBorder="1" applyAlignment="1">
      <alignment horizontal="center" vertical="center"/>
    </xf>
    <xf numFmtId="1" fontId="0" fillId="85" borderId="16" xfId="0" applyNumberFormat="1" applyFill="1" applyBorder="1" applyAlignment="1">
      <alignment horizontal="center" vertical="center"/>
    </xf>
    <xf numFmtId="1" fontId="0" fillId="43" borderId="16" xfId="0" applyNumberFormat="1" applyFill="1" applyBorder="1" applyAlignment="1">
      <alignment horizontal="center" vertical="center"/>
    </xf>
    <xf numFmtId="1" fontId="0" fillId="45" borderId="16" xfId="0" applyNumberFormat="1" applyFill="1" applyBorder="1" applyAlignment="1">
      <alignment horizontal="center" vertical="center"/>
    </xf>
    <xf numFmtId="1" fontId="0" fillId="47" borderId="16" xfId="0" applyNumberFormat="1" applyFill="1" applyBorder="1" applyAlignment="1">
      <alignment horizontal="center" vertical="center"/>
    </xf>
    <xf numFmtId="1" fontId="0" fillId="48" borderId="16" xfId="0" applyNumberFormat="1" applyFill="1" applyBorder="1" applyAlignment="1">
      <alignment horizontal="center" vertical="center"/>
    </xf>
    <xf numFmtId="1" fontId="0" fillId="50" borderId="16" xfId="0" applyNumberFormat="1" applyFill="1" applyBorder="1" applyAlignment="1">
      <alignment horizontal="center" vertical="center"/>
    </xf>
    <xf numFmtId="1" fontId="0" fillId="52" borderId="16" xfId="0" applyNumberFormat="1" applyFill="1" applyBorder="1" applyAlignment="1">
      <alignment horizontal="center" vertical="center"/>
    </xf>
    <xf numFmtId="1" fontId="0" fillId="54" borderId="16" xfId="0" applyNumberFormat="1" applyFill="1" applyBorder="1" applyAlignment="1">
      <alignment horizontal="center" vertical="center"/>
    </xf>
    <xf numFmtId="1" fontId="0" fillId="55" borderId="16" xfId="0" applyNumberFormat="1" applyFill="1" applyBorder="1" applyAlignment="1">
      <alignment horizontal="center" vertical="center"/>
    </xf>
    <xf numFmtId="1" fontId="0" fillId="57" borderId="16" xfId="0" applyNumberFormat="1" applyFill="1" applyBorder="1" applyAlignment="1">
      <alignment horizontal="center" vertical="center"/>
    </xf>
    <xf numFmtId="1" fontId="0" fillId="59" borderId="16" xfId="0" applyNumberFormat="1" applyFill="1" applyBorder="1" applyAlignment="1">
      <alignment horizontal="center" vertical="center"/>
    </xf>
    <xf numFmtId="1" fontId="0" fillId="61" borderId="16" xfId="0" applyNumberFormat="1" applyFill="1" applyBorder="1" applyAlignment="1">
      <alignment horizontal="center" vertical="center"/>
    </xf>
    <xf numFmtId="1" fontId="4" fillId="62" borderId="16" xfId="0" applyNumberFormat="1" applyFont="1" applyFill="1" applyBorder="1" applyAlignment="1">
      <alignment horizontal="center" vertical="center"/>
    </xf>
    <xf numFmtId="1" fontId="4" fillId="64" borderId="16" xfId="0" applyNumberFormat="1" applyFont="1" applyFill="1" applyBorder="1" applyAlignment="1">
      <alignment horizontal="center" vertical="center"/>
    </xf>
    <xf numFmtId="1" fontId="4" fillId="66" borderId="16" xfId="0" applyNumberFormat="1" applyFont="1" applyFill="1" applyBorder="1" applyAlignment="1">
      <alignment horizontal="center" vertical="center"/>
    </xf>
    <xf numFmtId="1" fontId="4" fillId="68" borderId="16" xfId="0" applyNumberFormat="1" applyFont="1" applyFill="1" applyBorder="1" applyAlignment="1">
      <alignment horizontal="center" vertical="center"/>
    </xf>
    <xf numFmtId="1" fontId="4" fillId="70" borderId="16" xfId="0" applyNumberFormat="1" applyFont="1" applyFill="1" applyBorder="1" applyAlignment="1">
      <alignment horizontal="center" vertical="center"/>
    </xf>
    <xf numFmtId="1" fontId="4" fillId="72" borderId="16" xfId="0" applyNumberFormat="1" applyFont="1" applyFill="1" applyBorder="1" applyAlignment="1">
      <alignment horizontal="center" vertical="center"/>
    </xf>
    <xf numFmtId="1" fontId="4" fillId="74" borderId="16" xfId="0" applyNumberFormat="1" applyFont="1" applyFill="1" applyBorder="1" applyAlignment="1">
      <alignment horizontal="center" vertical="center"/>
    </xf>
    <xf numFmtId="1" fontId="4" fillId="76" borderId="16" xfId="0" applyNumberFormat="1" applyFont="1" applyFill="1" applyBorder="1" applyAlignment="1">
      <alignment horizontal="center" vertical="center"/>
    </xf>
    <xf numFmtId="1" fontId="4" fillId="78" borderId="16" xfId="0" applyNumberFormat="1" applyFont="1" applyFill="1" applyBorder="1" applyAlignment="1">
      <alignment horizontal="center" vertical="center"/>
    </xf>
    <xf numFmtId="1" fontId="4" fillId="80" borderId="16" xfId="0" applyNumberFormat="1" applyFont="1" applyFill="1" applyBorder="1" applyAlignment="1">
      <alignment horizontal="center" vertical="center"/>
    </xf>
    <xf numFmtId="1" fontId="4" fillId="82" borderId="16" xfId="0" applyNumberFormat="1" applyFont="1" applyFill="1" applyBorder="1" applyAlignment="1">
      <alignment horizontal="center" vertical="center"/>
    </xf>
    <xf numFmtId="1" fontId="4" fillId="84" borderId="16" xfId="0" applyNumberFormat="1" applyFont="1" applyFill="1" applyBorder="1" applyAlignment="1">
      <alignment horizontal="center" vertical="center"/>
    </xf>
    <xf numFmtId="1" fontId="0" fillId="42" borderId="16" xfId="0" applyNumberFormat="1" applyFill="1" applyBorder="1" applyAlignment="1">
      <alignment horizontal="center" vertical="center" wrapText="1"/>
    </xf>
    <xf numFmtId="1" fontId="0" fillId="44" borderId="16" xfId="0" applyNumberFormat="1" applyFill="1" applyBorder="1" applyAlignment="1">
      <alignment horizontal="center" vertical="center" wrapText="1"/>
    </xf>
    <xf numFmtId="1" fontId="0" fillId="46" borderId="16" xfId="0" applyNumberFormat="1" applyFill="1" applyBorder="1" applyAlignment="1">
      <alignment horizontal="center" vertical="center" wrapText="1"/>
    </xf>
    <xf numFmtId="1" fontId="0" fillId="41" borderId="16" xfId="0" applyNumberFormat="1" applyFill="1" applyBorder="1" applyAlignment="1">
      <alignment horizontal="center" vertical="center" wrapText="1"/>
    </xf>
    <xf numFmtId="1" fontId="0" fillId="49" borderId="16" xfId="0" applyNumberFormat="1" applyFill="1" applyBorder="1" applyAlignment="1">
      <alignment horizontal="center" vertical="center" wrapText="1"/>
    </xf>
    <xf numFmtId="1" fontId="0" fillId="51" borderId="16" xfId="0" applyNumberFormat="1" applyFill="1" applyBorder="1" applyAlignment="1">
      <alignment horizontal="center" vertical="center" wrapText="1"/>
    </xf>
    <xf numFmtId="1" fontId="4" fillId="53" borderId="16" xfId="0" applyNumberFormat="1" applyFont="1" applyFill="1" applyBorder="1" applyAlignment="1">
      <alignment horizontal="center" vertical="center"/>
    </xf>
    <xf numFmtId="1" fontId="4" fillId="56" borderId="16" xfId="0" applyNumberFormat="1" applyFont="1" applyFill="1" applyBorder="1" applyAlignment="1">
      <alignment horizontal="center" vertical="center"/>
    </xf>
    <xf numFmtId="1" fontId="4" fillId="58" borderId="16" xfId="0" applyNumberFormat="1" applyFont="1" applyFill="1" applyBorder="1" applyAlignment="1">
      <alignment horizontal="center" vertical="center"/>
    </xf>
    <xf numFmtId="1" fontId="4" fillId="60" borderId="16" xfId="0" applyNumberFormat="1" applyFont="1" applyFill="1" applyBorder="1" applyAlignment="1">
      <alignment horizontal="center" vertical="center"/>
    </xf>
    <xf numFmtId="0" fontId="10" fillId="17" borderId="16" xfId="0" applyFont="1" applyFill="1" applyBorder="1" applyAlignment="1">
      <alignment horizontal="center" vertical="center" wrapText="1"/>
    </xf>
    <xf numFmtId="0" fontId="11" fillId="18" borderId="16" xfId="0" applyFont="1" applyFill="1" applyBorder="1" applyAlignment="1">
      <alignment horizontal="center" vertical="center" wrapText="1"/>
    </xf>
    <xf numFmtId="0" fontId="10" fillId="19" borderId="16" xfId="0" applyFont="1" applyFill="1" applyBorder="1" applyAlignment="1">
      <alignment horizontal="center" vertical="center" wrapText="1"/>
    </xf>
    <xf numFmtId="0" fontId="10" fillId="20" borderId="16" xfId="0" applyFont="1" applyFill="1" applyBorder="1" applyAlignment="1">
      <alignment horizontal="center" vertical="center" wrapText="1"/>
    </xf>
    <xf numFmtId="0" fontId="11" fillId="21" borderId="16" xfId="0" applyFont="1" applyFill="1" applyBorder="1" applyAlignment="1">
      <alignment horizontal="center" vertical="center" wrapText="1"/>
    </xf>
    <xf numFmtId="0" fontId="11" fillId="22" borderId="16" xfId="0" applyFont="1" applyFill="1" applyBorder="1" applyAlignment="1">
      <alignment horizontal="center" vertical="center" wrapText="1"/>
    </xf>
    <xf numFmtId="0" fontId="11" fillId="23" borderId="16" xfId="0" applyFont="1" applyFill="1" applyBorder="1" applyAlignment="1">
      <alignment horizontal="center" vertical="center" wrapText="1"/>
    </xf>
    <xf numFmtId="0" fontId="10" fillId="24" borderId="16" xfId="0" applyFont="1" applyFill="1" applyBorder="1" applyAlignment="1">
      <alignment horizontal="center" vertical="center" wrapText="1"/>
    </xf>
    <xf numFmtId="0" fontId="10" fillId="25" borderId="16" xfId="0" applyFont="1" applyFill="1" applyBorder="1" applyAlignment="1">
      <alignment horizontal="center" vertical="center" wrapText="1"/>
    </xf>
    <xf numFmtId="0" fontId="10" fillId="26" borderId="16" xfId="0" applyFont="1" applyFill="1" applyBorder="1" applyAlignment="1">
      <alignment horizontal="center" vertical="center" wrapText="1"/>
    </xf>
    <xf numFmtId="0" fontId="11" fillId="27" borderId="16" xfId="0" applyFont="1" applyFill="1" applyBorder="1" applyAlignment="1">
      <alignment horizontal="center" vertical="center" wrapText="1"/>
    </xf>
    <xf numFmtId="0" fontId="11" fillId="28" borderId="16" xfId="0" applyFont="1" applyFill="1" applyBorder="1" applyAlignment="1">
      <alignment horizontal="center" vertical="center" wrapText="1"/>
    </xf>
    <xf numFmtId="0" fontId="10" fillId="29" borderId="16" xfId="0" applyFont="1" applyFill="1" applyBorder="1" applyAlignment="1">
      <alignment horizontal="center" vertical="center" wrapText="1"/>
    </xf>
    <xf numFmtId="0" fontId="11" fillId="30" borderId="16" xfId="0" applyFont="1" applyFill="1" applyBorder="1" applyAlignment="1">
      <alignment horizontal="center" vertical="center" wrapText="1"/>
    </xf>
    <xf numFmtId="0" fontId="10" fillId="31" borderId="16" xfId="0" applyFont="1" applyFill="1" applyBorder="1" applyAlignment="1">
      <alignment horizontal="center" vertical="center" wrapText="1"/>
    </xf>
    <xf numFmtId="0" fontId="11" fillId="32" borderId="16" xfId="0" applyFont="1" applyFill="1" applyBorder="1" applyAlignment="1">
      <alignment horizontal="center" vertical="center" wrapText="1"/>
    </xf>
    <xf numFmtId="0" fontId="10" fillId="33" borderId="16" xfId="0" applyFont="1" applyFill="1" applyBorder="1" applyAlignment="1">
      <alignment horizontal="center" vertical="center" wrapText="1"/>
    </xf>
    <xf numFmtId="0" fontId="10" fillId="34" borderId="16" xfId="0" applyFont="1" applyFill="1" applyBorder="1" applyAlignment="1">
      <alignment horizontal="center" vertical="center" wrapText="1"/>
    </xf>
    <xf numFmtId="0" fontId="11" fillId="35" borderId="16" xfId="0" applyFont="1" applyFill="1" applyBorder="1" applyAlignment="1">
      <alignment horizontal="center" vertical="center" wrapText="1"/>
    </xf>
    <xf numFmtId="0" fontId="11" fillId="36" borderId="16" xfId="0" applyFont="1" applyFill="1" applyBorder="1" applyAlignment="1">
      <alignment horizontal="center" vertical="center" wrapText="1"/>
    </xf>
    <xf numFmtId="0" fontId="11" fillId="37" borderId="16" xfId="0" applyFont="1" applyFill="1" applyBorder="1" applyAlignment="1">
      <alignment horizontal="center" vertical="center" wrapText="1"/>
    </xf>
    <xf numFmtId="0" fontId="10" fillId="40" borderId="16" xfId="0" applyFont="1" applyFill="1" applyBorder="1" applyAlignment="1">
      <alignment horizontal="center" vertical="center" wrapText="1"/>
    </xf>
    <xf numFmtId="0" fontId="10" fillId="38" borderId="16" xfId="0" applyFont="1" applyFill="1" applyBorder="1" applyAlignment="1">
      <alignment horizontal="center" vertical="center" wrapText="1"/>
    </xf>
    <xf numFmtId="0" fontId="10" fillId="39" borderId="16" xfId="0" applyFont="1" applyFill="1" applyBorder="1" applyAlignment="1">
      <alignment horizontal="center" vertical="center" wrapText="1"/>
    </xf>
    <xf numFmtId="0" fontId="0" fillId="0" borderId="19" xfId="0" applyBorder="1"/>
    <xf numFmtId="166" fontId="9" fillId="7" borderId="10" xfId="0" applyNumberFormat="1" applyFont="1" applyFill="1" applyBorder="1" applyAlignment="1">
      <alignment horizontal="right" vertical="center" wrapText="1"/>
    </xf>
    <xf numFmtId="166" fontId="9" fillId="12" borderId="10" xfId="0" applyNumberFormat="1" applyFont="1" applyFill="1" applyBorder="1" applyAlignment="1">
      <alignment horizontal="right" vertical="center" wrapText="1"/>
    </xf>
    <xf numFmtId="166" fontId="9" fillId="7" borderId="6" xfId="0" applyNumberFormat="1" applyFont="1" applyFill="1" applyBorder="1" applyAlignment="1">
      <alignment horizontal="right" vertical="center" wrapText="1"/>
    </xf>
    <xf numFmtId="166" fontId="9" fillId="12" borderId="6" xfId="0" applyNumberFormat="1" applyFont="1" applyFill="1" applyBorder="1" applyAlignment="1">
      <alignment horizontal="right" vertical="center" wrapText="1"/>
    </xf>
    <xf numFmtId="166" fontId="9" fillId="7" borderId="11" xfId="0" applyNumberFormat="1" applyFont="1" applyFill="1" applyBorder="1" applyAlignment="1">
      <alignment horizontal="right" vertical="center" wrapText="1"/>
    </xf>
    <xf numFmtId="166" fontId="9" fillId="12" borderId="11" xfId="0" applyNumberFormat="1" applyFont="1" applyFill="1" applyBorder="1" applyAlignment="1">
      <alignment horizontal="right" vertical="center" wrapText="1"/>
    </xf>
    <xf numFmtId="166" fontId="12" fillId="12" borderId="1" xfId="0" applyNumberFormat="1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right"/>
    </xf>
    <xf numFmtId="1" fontId="12" fillId="11" borderId="3" xfId="0" applyNumberFormat="1" applyFont="1" applyFill="1" applyBorder="1" applyAlignment="1">
      <alignment vertical="center" wrapText="1"/>
    </xf>
    <xf numFmtId="1" fontId="12" fillId="11" borderId="4" xfId="0" applyNumberFormat="1" applyFont="1" applyFill="1" applyBorder="1" applyAlignment="1">
      <alignment vertical="center" wrapText="1"/>
    </xf>
    <xf numFmtId="0" fontId="17" fillId="0" borderId="16" xfId="0" applyFont="1" applyBorder="1" applyAlignment="1">
      <alignment horizontal="center" vertical="center"/>
    </xf>
    <xf numFmtId="1" fontId="6" fillId="86" borderId="16" xfId="0" applyNumberFormat="1" applyFont="1" applyFill="1" applyBorder="1" applyAlignment="1">
      <alignment horizontal="right"/>
    </xf>
    <xf numFmtId="1" fontId="6" fillId="87" borderId="16" xfId="0" applyNumberFormat="1" applyFont="1" applyFill="1" applyBorder="1" applyAlignment="1">
      <alignment horizontal="right"/>
    </xf>
    <xf numFmtId="1" fontId="6" fillId="88" borderId="16" xfId="0" applyNumberFormat="1" applyFont="1" applyFill="1" applyBorder="1" applyAlignment="1">
      <alignment horizontal="right"/>
    </xf>
    <xf numFmtId="1" fontId="6" fillId="89" borderId="16" xfId="0" applyNumberFormat="1" applyFont="1" applyFill="1" applyBorder="1" applyAlignment="1">
      <alignment horizontal="right"/>
    </xf>
    <xf numFmtId="1" fontId="6" fillId="90" borderId="16" xfId="0" applyNumberFormat="1" applyFont="1" applyFill="1" applyBorder="1" applyAlignment="1">
      <alignment horizontal="right"/>
    </xf>
    <xf numFmtId="1" fontId="6" fillId="91" borderId="16" xfId="0" applyNumberFormat="1" applyFont="1" applyFill="1" applyBorder="1" applyAlignment="1">
      <alignment horizontal="right"/>
    </xf>
    <xf numFmtId="1" fontId="6" fillId="92" borderId="16" xfId="0" applyNumberFormat="1" applyFont="1" applyFill="1" applyBorder="1" applyAlignment="1">
      <alignment horizontal="right"/>
    </xf>
    <xf numFmtId="1" fontId="6" fillId="93" borderId="16" xfId="0" applyNumberFormat="1" applyFont="1" applyFill="1" applyBorder="1" applyAlignment="1">
      <alignment horizontal="right"/>
    </xf>
    <xf numFmtId="1" fontId="6" fillId="94" borderId="16" xfId="0" applyNumberFormat="1" applyFont="1" applyFill="1" applyBorder="1" applyAlignment="1">
      <alignment horizontal="right"/>
    </xf>
    <xf numFmtId="1" fontId="6" fillId="95" borderId="16" xfId="0" applyNumberFormat="1" applyFont="1" applyFill="1" applyBorder="1" applyAlignment="1">
      <alignment horizontal="right"/>
    </xf>
    <xf numFmtId="1" fontId="6" fillId="96" borderId="16" xfId="0" applyNumberFormat="1" applyFont="1" applyFill="1" applyBorder="1" applyAlignment="1">
      <alignment horizontal="right"/>
    </xf>
    <xf numFmtId="1" fontId="6" fillId="97" borderId="16" xfId="0" applyNumberFormat="1" applyFont="1" applyFill="1" applyBorder="1" applyAlignment="1">
      <alignment horizontal="right"/>
    </xf>
    <xf numFmtId="1" fontId="6" fillId="98" borderId="16" xfId="0" applyNumberFormat="1" applyFont="1" applyFill="1" applyBorder="1" applyAlignment="1">
      <alignment horizontal="right"/>
    </xf>
    <xf numFmtId="1" fontId="6" fillId="99" borderId="16" xfId="0" applyNumberFormat="1" applyFont="1" applyFill="1" applyBorder="1" applyAlignment="1">
      <alignment horizontal="right"/>
    </xf>
    <xf numFmtId="1" fontId="6" fillId="100" borderId="16" xfId="0" applyNumberFormat="1" applyFont="1" applyFill="1" applyBorder="1" applyAlignment="1">
      <alignment horizontal="right"/>
    </xf>
    <xf numFmtId="1" fontId="6" fillId="101" borderId="16" xfId="0" applyNumberFormat="1" applyFont="1" applyFill="1" applyBorder="1" applyAlignment="1">
      <alignment horizontal="right"/>
    </xf>
    <xf numFmtId="1" fontId="6" fillId="102" borderId="16" xfId="0" applyNumberFormat="1" applyFont="1" applyFill="1" applyBorder="1" applyAlignment="1">
      <alignment horizontal="right"/>
    </xf>
    <xf numFmtId="1" fontId="6" fillId="103" borderId="16" xfId="0" applyNumberFormat="1" applyFont="1" applyFill="1" applyBorder="1" applyAlignment="1">
      <alignment horizontal="right"/>
    </xf>
    <xf numFmtId="1" fontId="6" fillId="104" borderId="16" xfId="0" applyNumberFormat="1" applyFont="1" applyFill="1" applyBorder="1" applyAlignment="1">
      <alignment horizontal="right"/>
    </xf>
    <xf numFmtId="1" fontId="6" fillId="105" borderId="16" xfId="0" applyNumberFormat="1" applyFont="1" applyFill="1" applyBorder="1" applyAlignment="1">
      <alignment horizontal="right"/>
    </xf>
    <xf numFmtId="1" fontId="6" fillId="106" borderId="16" xfId="0" applyNumberFormat="1" applyFont="1" applyFill="1" applyBorder="1" applyAlignment="1">
      <alignment horizontal="right"/>
    </xf>
    <xf numFmtId="1" fontId="6" fillId="107" borderId="16" xfId="0" applyNumberFormat="1" applyFont="1" applyFill="1" applyBorder="1" applyAlignment="1">
      <alignment horizontal="right"/>
    </xf>
    <xf numFmtId="0" fontId="0" fillId="0" borderId="17" xfId="0" applyBorder="1"/>
    <xf numFmtId="1" fontId="0" fillId="0" borderId="16" xfId="0" applyNumberFormat="1" applyBorder="1" applyAlignment="1">
      <alignment horizontal="right"/>
    </xf>
    <xf numFmtId="0" fontId="0" fillId="0" borderId="16" xfId="0" applyBorder="1" applyAlignment="1">
      <alignment vertical="top"/>
    </xf>
    <xf numFmtId="0" fontId="0" fillId="0" borderId="1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6" xfId="0" applyBorder="1" applyAlignment="1">
      <alignment horizontal="center"/>
    </xf>
    <xf numFmtId="1" fontId="6" fillId="62" borderId="16" xfId="0" applyNumberFormat="1" applyFont="1" applyFill="1" applyBorder="1" applyAlignment="1">
      <alignment horizontal="center"/>
    </xf>
    <xf numFmtId="0" fontId="6" fillId="17" borderId="16" xfId="0" applyFont="1" applyFill="1" applyBorder="1" applyAlignment="1">
      <alignment horizontal="center" vertical="center" wrapText="1"/>
    </xf>
    <xf numFmtId="166" fontId="6" fillId="86" borderId="16" xfId="0" applyNumberFormat="1" applyFont="1" applyFill="1" applyBorder="1" applyAlignment="1">
      <alignment horizontal="center"/>
    </xf>
    <xf numFmtId="1" fontId="6" fillId="63" borderId="16" xfId="0" applyNumberFormat="1" applyFont="1" applyFill="1" applyBorder="1" applyAlignment="1">
      <alignment horizontal="center"/>
    </xf>
    <xf numFmtId="1" fontId="6" fillId="64" borderId="16" xfId="0" applyNumberFormat="1" applyFont="1" applyFill="1" applyBorder="1" applyAlignment="1">
      <alignment horizontal="center"/>
    </xf>
    <xf numFmtId="0" fontId="6" fillId="18" borderId="16" xfId="0" applyFont="1" applyFill="1" applyBorder="1" applyAlignment="1">
      <alignment horizontal="center" vertical="center" wrapText="1"/>
    </xf>
    <xf numFmtId="166" fontId="6" fillId="87" borderId="16" xfId="0" applyNumberFormat="1" applyFont="1" applyFill="1" applyBorder="1" applyAlignment="1">
      <alignment horizontal="center"/>
    </xf>
    <xf numFmtId="1" fontId="6" fillId="65" borderId="16" xfId="0" applyNumberFormat="1" applyFont="1" applyFill="1" applyBorder="1" applyAlignment="1">
      <alignment horizontal="center"/>
    </xf>
    <xf numFmtId="1" fontId="6" fillId="66" borderId="16" xfId="0" applyNumberFormat="1" applyFont="1" applyFill="1" applyBorder="1" applyAlignment="1">
      <alignment horizontal="center"/>
    </xf>
    <xf numFmtId="0" fontId="6" fillId="19" borderId="16" xfId="0" applyFont="1" applyFill="1" applyBorder="1" applyAlignment="1">
      <alignment horizontal="center" vertical="center" wrapText="1"/>
    </xf>
    <xf numFmtId="166" fontId="6" fillId="88" borderId="16" xfId="0" applyNumberFormat="1" applyFont="1" applyFill="1" applyBorder="1" applyAlignment="1">
      <alignment horizontal="center"/>
    </xf>
    <xf numFmtId="1" fontId="6" fillId="67" borderId="16" xfId="0" applyNumberFormat="1" applyFont="1" applyFill="1" applyBorder="1" applyAlignment="1">
      <alignment horizontal="center"/>
    </xf>
    <xf numFmtId="1" fontId="6" fillId="68" borderId="16" xfId="0" applyNumberFormat="1" applyFont="1" applyFill="1" applyBorder="1" applyAlignment="1">
      <alignment horizontal="center"/>
    </xf>
    <xf numFmtId="0" fontId="6" fillId="20" borderId="16" xfId="0" applyFont="1" applyFill="1" applyBorder="1" applyAlignment="1">
      <alignment horizontal="center" vertical="center" wrapText="1"/>
    </xf>
    <xf numFmtId="166" fontId="6" fillId="89" borderId="16" xfId="0" applyNumberFormat="1" applyFont="1" applyFill="1" applyBorder="1" applyAlignment="1">
      <alignment horizontal="center"/>
    </xf>
    <xf numFmtId="1" fontId="6" fillId="69" borderId="16" xfId="0" applyNumberFormat="1" applyFont="1" applyFill="1" applyBorder="1" applyAlignment="1">
      <alignment horizontal="center"/>
    </xf>
    <xf numFmtId="1" fontId="6" fillId="70" borderId="16" xfId="0" applyNumberFormat="1" applyFont="1" applyFill="1" applyBorder="1" applyAlignment="1">
      <alignment horizontal="center"/>
    </xf>
    <xf numFmtId="0" fontId="6" fillId="21" borderId="16" xfId="0" applyFont="1" applyFill="1" applyBorder="1" applyAlignment="1">
      <alignment horizontal="center" vertical="center" wrapText="1"/>
    </xf>
    <xf numFmtId="166" fontId="6" fillId="90" borderId="16" xfId="0" applyNumberFormat="1" applyFont="1" applyFill="1" applyBorder="1" applyAlignment="1">
      <alignment horizontal="center"/>
    </xf>
    <xf numFmtId="1" fontId="6" fillId="71" borderId="16" xfId="0" applyNumberFormat="1" applyFont="1" applyFill="1" applyBorder="1" applyAlignment="1">
      <alignment horizontal="center"/>
    </xf>
    <xf numFmtId="1" fontId="6" fillId="72" borderId="16" xfId="0" applyNumberFormat="1" applyFont="1" applyFill="1" applyBorder="1" applyAlignment="1">
      <alignment horizontal="center"/>
    </xf>
    <xf numFmtId="0" fontId="6" fillId="22" borderId="16" xfId="0" applyFont="1" applyFill="1" applyBorder="1" applyAlignment="1">
      <alignment horizontal="center" vertical="center" wrapText="1"/>
    </xf>
    <xf numFmtId="166" fontId="6" fillId="91" borderId="16" xfId="0" applyNumberFormat="1" applyFont="1" applyFill="1" applyBorder="1" applyAlignment="1">
      <alignment horizontal="center"/>
    </xf>
    <xf numFmtId="1" fontId="6" fillId="73" borderId="16" xfId="0" applyNumberFormat="1" applyFont="1" applyFill="1" applyBorder="1" applyAlignment="1">
      <alignment horizontal="center"/>
    </xf>
    <xf numFmtId="1" fontId="6" fillId="74" borderId="16" xfId="0" applyNumberFormat="1" applyFont="1" applyFill="1" applyBorder="1" applyAlignment="1">
      <alignment horizontal="center"/>
    </xf>
    <xf numFmtId="0" fontId="6" fillId="23" borderId="16" xfId="0" applyFont="1" applyFill="1" applyBorder="1" applyAlignment="1">
      <alignment horizontal="center" vertical="center" wrapText="1"/>
    </xf>
    <xf numFmtId="166" fontId="6" fillId="92" borderId="16" xfId="0" applyNumberFormat="1" applyFont="1" applyFill="1" applyBorder="1" applyAlignment="1">
      <alignment horizontal="center"/>
    </xf>
    <xf numFmtId="1" fontId="6" fillId="75" borderId="16" xfId="0" applyNumberFormat="1" applyFont="1" applyFill="1" applyBorder="1" applyAlignment="1">
      <alignment horizontal="center"/>
    </xf>
    <xf numFmtId="1" fontId="6" fillId="76" borderId="16" xfId="0" applyNumberFormat="1" applyFont="1" applyFill="1" applyBorder="1" applyAlignment="1">
      <alignment horizontal="center"/>
    </xf>
    <xf numFmtId="0" fontId="6" fillId="24" borderId="16" xfId="0" applyFont="1" applyFill="1" applyBorder="1" applyAlignment="1">
      <alignment horizontal="center" vertical="center" wrapText="1"/>
    </xf>
    <xf numFmtId="166" fontId="6" fillId="93" borderId="16" xfId="0" applyNumberFormat="1" applyFont="1" applyFill="1" applyBorder="1" applyAlignment="1">
      <alignment horizontal="center"/>
    </xf>
    <xf numFmtId="1" fontId="6" fillId="77" borderId="16" xfId="0" applyNumberFormat="1" applyFont="1" applyFill="1" applyBorder="1" applyAlignment="1">
      <alignment horizontal="center"/>
    </xf>
    <xf numFmtId="1" fontId="6" fillId="78" borderId="16" xfId="0" applyNumberFormat="1" applyFont="1" applyFill="1" applyBorder="1" applyAlignment="1">
      <alignment horizontal="center"/>
    </xf>
    <xf numFmtId="0" fontId="6" fillId="25" borderId="16" xfId="0" applyFont="1" applyFill="1" applyBorder="1" applyAlignment="1">
      <alignment horizontal="center" vertical="center" wrapText="1"/>
    </xf>
    <xf numFmtId="166" fontId="6" fillId="94" borderId="16" xfId="0" applyNumberFormat="1" applyFont="1" applyFill="1" applyBorder="1" applyAlignment="1">
      <alignment horizontal="center"/>
    </xf>
    <xf numFmtId="1" fontId="6" fillId="79" borderId="16" xfId="0" applyNumberFormat="1" applyFont="1" applyFill="1" applyBorder="1" applyAlignment="1">
      <alignment horizontal="center"/>
    </xf>
    <xf numFmtId="1" fontId="6" fillId="80" borderId="16" xfId="0" applyNumberFormat="1" applyFont="1" applyFill="1" applyBorder="1" applyAlignment="1">
      <alignment horizontal="center"/>
    </xf>
    <xf numFmtId="0" fontId="6" fillId="26" borderId="16" xfId="0" applyFont="1" applyFill="1" applyBorder="1" applyAlignment="1">
      <alignment horizontal="center" vertical="center" wrapText="1"/>
    </xf>
    <xf numFmtId="166" fontId="6" fillId="95" borderId="16" xfId="0" applyNumberFormat="1" applyFont="1" applyFill="1" applyBorder="1" applyAlignment="1">
      <alignment horizontal="center"/>
    </xf>
    <xf numFmtId="1" fontId="6" fillId="81" borderId="16" xfId="0" applyNumberFormat="1" applyFont="1" applyFill="1" applyBorder="1" applyAlignment="1">
      <alignment horizontal="center"/>
    </xf>
    <xf numFmtId="1" fontId="6" fillId="82" borderId="16" xfId="0" applyNumberFormat="1" applyFont="1" applyFill="1" applyBorder="1" applyAlignment="1">
      <alignment horizontal="center"/>
    </xf>
    <xf numFmtId="0" fontId="6" fillId="27" borderId="16" xfId="0" applyFont="1" applyFill="1" applyBorder="1" applyAlignment="1">
      <alignment horizontal="center" vertical="center" wrapText="1"/>
    </xf>
    <xf numFmtId="166" fontId="6" fillId="96" borderId="16" xfId="0" applyNumberFormat="1" applyFont="1" applyFill="1" applyBorder="1" applyAlignment="1">
      <alignment horizontal="center"/>
    </xf>
    <xf numFmtId="1" fontId="6" fillId="83" borderId="16" xfId="0" applyNumberFormat="1" applyFont="1" applyFill="1" applyBorder="1" applyAlignment="1">
      <alignment horizontal="center"/>
    </xf>
    <xf numFmtId="1" fontId="6" fillId="84" borderId="16" xfId="0" applyNumberFormat="1" applyFont="1" applyFill="1" applyBorder="1" applyAlignment="1">
      <alignment horizontal="center"/>
    </xf>
    <xf numFmtId="0" fontId="6" fillId="28" borderId="16" xfId="0" applyFont="1" applyFill="1" applyBorder="1" applyAlignment="1">
      <alignment horizontal="center" vertical="center" wrapText="1"/>
    </xf>
    <xf numFmtId="166" fontId="6" fillId="97" borderId="16" xfId="0" applyNumberFormat="1" applyFont="1" applyFill="1" applyBorder="1" applyAlignment="1">
      <alignment horizontal="center"/>
    </xf>
    <xf numFmtId="1" fontId="6" fillId="85" borderId="16" xfId="0" applyNumberFormat="1" applyFont="1" applyFill="1" applyBorder="1" applyAlignment="1">
      <alignment horizontal="center"/>
    </xf>
    <xf numFmtId="1" fontId="6" fillId="42" borderId="16" xfId="0" applyNumberFormat="1" applyFont="1" applyFill="1" applyBorder="1" applyAlignment="1">
      <alignment horizontal="center" vertical="center" wrapText="1"/>
    </xf>
    <xf numFmtId="0" fontId="6" fillId="29" borderId="16" xfId="0" applyFont="1" applyFill="1" applyBorder="1" applyAlignment="1">
      <alignment horizontal="center" vertical="center" wrapText="1"/>
    </xf>
    <xf numFmtId="166" fontId="6" fillId="98" borderId="16" xfId="0" applyNumberFormat="1" applyFont="1" applyFill="1" applyBorder="1" applyAlignment="1">
      <alignment horizontal="center"/>
    </xf>
    <xf numFmtId="1" fontId="6" fillId="43" borderId="16" xfId="0" applyNumberFormat="1" applyFont="1" applyFill="1" applyBorder="1" applyAlignment="1">
      <alignment horizontal="center"/>
    </xf>
    <xf numFmtId="1" fontId="6" fillId="44" borderId="16" xfId="0" applyNumberFormat="1" applyFont="1" applyFill="1" applyBorder="1" applyAlignment="1">
      <alignment horizontal="center" vertical="center" wrapText="1"/>
    </xf>
    <xf numFmtId="0" fontId="6" fillId="30" borderId="16" xfId="0" applyFont="1" applyFill="1" applyBorder="1" applyAlignment="1">
      <alignment horizontal="center" vertical="center" wrapText="1"/>
    </xf>
    <xf numFmtId="166" fontId="6" fillId="99" borderId="16" xfId="0" applyNumberFormat="1" applyFont="1" applyFill="1" applyBorder="1" applyAlignment="1">
      <alignment horizontal="center"/>
    </xf>
    <xf numFmtId="1" fontId="6" fillId="45" borderId="16" xfId="0" applyNumberFormat="1" applyFont="1" applyFill="1" applyBorder="1" applyAlignment="1">
      <alignment horizontal="center"/>
    </xf>
    <xf numFmtId="1" fontId="6" fillId="46" borderId="16" xfId="0" applyNumberFormat="1" applyFont="1" applyFill="1" applyBorder="1" applyAlignment="1">
      <alignment horizontal="center" vertical="center" wrapText="1"/>
    </xf>
    <xf numFmtId="0" fontId="6" fillId="31" borderId="16" xfId="0" applyFont="1" applyFill="1" applyBorder="1" applyAlignment="1">
      <alignment horizontal="center" vertical="center" wrapText="1"/>
    </xf>
    <xf numFmtId="166" fontId="6" fillId="100" borderId="16" xfId="0" applyNumberFormat="1" applyFont="1" applyFill="1" applyBorder="1" applyAlignment="1">
      <alignment horizontal="center"/>
    </xf>
    <xf numFmtId="1" fontId="6" fillId="47" borderId="16" xfId="0" applyNumberFormat="1" applyFont="1" applyFill="1" applyBorder="1" applyAlignment="1">
      <alignment horizontal="center"/>
    </xf>
    <xf numFmtId="1" fontId="6" fillId="41" borderId="16" xfId="0" applyNumberFormat="1" applyFont="1" applyFill="1" applyBorder="1" applyAlignment="1">
      <alignment horizontal="center" vertical="center" wrapText="1"/>
    </xf>
    <xf numFmtId="0" fontId="6" fillId="32" borderId="16" xfId="0" applyFont="1" applyFill="1" applyBorder="1" applyAlignment="1">
      <alignment horizontal="center" vertical="center" wrapText="1"/>
    </xf>
    <xf numFmtId="166" fontId="6" fillId="101" borderId="16" xfId="0" applyNumberFormat="1" applyFont="1" applyFill="1" applyBorder="1" applyAlignment="1">
      <alignment horizontal="center"/>
    </xf>
    <xf numFmtId="1" fontId="6" fillId="48" borderId="16" xfId="0" applyNumberFormat="1" applyFont="1" applyFill="1" applyBorder="1" applyAlignment="1">
      <alignment horizontal="center"/>
    </xf>
    <xf numFmtId="1" fontId="6" fillId="49" borderId="16" xfId="0" applyNumberFormat="1" applyFont="1" applyFill="1" applyBorder="1" applyAlignment="1">
      <alignment horizontal="center" vertical="center" wrapText="1"/>
    </xf>
    <xf numFmtId="0" fontId="6" fillId="33" borderId="16" xfId="0" applyFont="1" applyFill="1" applyBorder="1" applyAlignment="1">
      <alignment horizontal="center" vertical="center" wrapText="1"/>
    </xf>
    <xf numFmtId="166" fontId="6" fillId="102" borderId="16" xfId="0" applyNumberFormat="1" applyFont="1" applyFill="1" applyBorder="1" applyAlignment="1">
      <alignment horizontal="center"/>
    </xf>
    <xf numFmtId="1" fontId="6" fillId="50" borderId="16" xfId="0" applyNumberFormat="1" applyFont="1" applyFill="1" applyBorder="1" applyAlignment="1">
      <alignment horizontal="center"/>
    </xf>
    <xf numFmtId="1" fontId="6" fillId="51" borderId="16" xfId="0" applyNumberFormat="1" applyFont="1" applyFill="1" applyBorder="1" applyAlignment="1">
      <alignment horizontal="center" vertical="center" wrapText="1"/>
    </xf>
    <xf numFmtId="0" fontId="6" fillId="34" borderId="16" xfId="0" applyFont="1" applyFill="1" applyBorder="1" applyAlignment="1">
      <alignment horizontal="center" vertical="center" wrapText="1"/>
    </xf>
    <xf numFmtId="166" fontId="6" fillId="103" borderId="16" xfId="0" applyNumberFormat="1" applyFont="1" applyFill="1" applyBorder="1" applyAlignment="1">
      <alignment horizontal="center"/>
    </xf>
    <xf numFmtId="1" fontId="6" fillId="52" borderId="16" xfId="0" applyNumberFormat="1" applyFont="1" applyFill="1" applyBorder="1" applyAlignment="1">
      <alignment horizontal="center"/>
    </xf>
    <xf numFmtId="1" fontId="6" fillId="53" borderId="16" xfId="0" applyNumberFormat="1" applyFont="1" applyFill="1" applyBorder="1" applyAlignment="1">
      <alignment horizontal="center"/>
    </xf>
    <xf numFmtId="0" fontId="13" fillId="35" borderId="16" xfId="0" applyFont="1" applyFill="1" applyBorder="1" applyAlignment="1">
      <alignment horizontal="center" vertical="center" wrapText="1"/>
    </xf>
    <xf numFmtId="166" fontId="6" fillId="104" borderId="16" xfId="0" applyNumberFormat="1" applyFont="1" applyFill="1" applyBorder="1" applyAlignment="1">
      <alignment horizontal="center"/>
    </xf>
    <xf numFmtId="1" fontId="6" fillId="54" borderId="16" xfId="0" applyNumberFormat="1" applyFont="1" applyFill="1" applyBorder="1" applyAlignment="1">
      <alignment horizontal="center"/>
    </xf>
    <xf numFmtId="0" fontId="6" fillId="36" borderId="16" xfId="0" applyFont="1" applyFill="1" applyBorder="1" applyAlignment="1">
      <alignment horizontal="center" vertical="center" wrapText="1"/>
    </xf>
    <xf numFmtId="1" fontId="6" fillId="55" borderId="16" xfId="0" applyNumberFormat="1" applyFont="1" applyFill="1" applyBorder="1" applyAlignment="1">
      <alignment horizontal="center"/>
    </xf>
    <xf numFmtId="1" fontId="6" fillId="56" borderId="16" xfId="0" applyNumberFormat="1" applyFont="1" applyFill="1" applyBorder="1" applyAlignment="1">
      <alignment horizontal="center"/>
    </xf>
    <xf numFmtId="0" fontId="6" fillId="37" borderId="16" xfId="0" applyFont="1" applyFill="1" applyBorder="1" applyAlignment="1">
      <alignment horizontal="center" vertical="center" wrapText="1"/>
    </xf>
    <xf numFmtId="166" fontId="6" fillId="105" borderId="16" xfId="0" applyNumberFormat="1" applyFont="1" applyFill="1" applyBorder="1" applyAlignment="1">
      <alignment horizontal="center"/>
    </xf>
    <xf numFmtId="1" fontId="6" fillId="57" borderId="16" xfId="0" applyNumberFormat="1" applyFont="1" applyFill="1" applyBorder="1" applyAlignment="1">
      <alignment horizontal="center"/>
    </xf>
    <xf numFmtId="0" fontId="6" fillId="40" borderId="16" xfId="0" applyFont="1" applyFill="1" applyBorder="1" applyAlignment="1">
      <alignment horizontal="center" vertical="center" wrapText="1"/>
    </xf>
    <xf numFmtId="1" fontId="6" fillId="58" borderId="16" xfId="0" applyNumberFormat="1" applyFont="1" applyFill="1" applyBorder="1" applyAlignment="1">
      <alignment horizontal="center"/>
    </xf>
    <xf numFmtId="0" fontId="6" fillId="38" borderId="16" xfId="0" applyFont="1" applyFill="1" applyBorder="1" applyAlignment="1">
      <alignment horizontal="center" vertical="center" wrapText="1"/>
    </xf>
    <xf numFmtId="166" fontId="6" fillId="106" borderId="16" xfId="0" applyNumberFormat="1" applyFont="1" applyFill="1" applyBorder="1" applyAlignment="1">
      <alignment horizontal="center"/>
    </xf>
    <xf numFmtId="1" fontId="6" fillId="59" borderId="16" xfId="0" applyNumberFormat="1" applyFont="1" applyFill="1" applyBorder="1" applyAlignment="1">
      <alignment horizontal="center"/>
    </xf>
    <xf numFmtId="1" fontId="6" fillId="60" borderId="16" xfId="0" applyNumberFormat="1" applyFont="1" applyFill="1" applyBorder="1" applyAlignment="1">
      <alignment horizontal="center"/>
    </xf>
    <xf numFmtId="0" fontId="6" fillId="39" borderId="16" xfId="0" applyFont="1" applyFill="1" applyBorder="1" applyAlignment="1">
      <alignment horizontal="center" vertical="center" wrapText="1"/>
    </xf>
    <xf numFmtId="166" fontId="6" fillId="107" borderId="16" xfId="0" applyNumberFormat="1" applyFont="1" applyFill="1" applyBorder="1" applyAlignment="1">
      <alignment horizontal="center"/>
    </xf>
    <xf numFmtId="1" fontId="6" fillId="61" borderId="16" xfId="0" applyNumberFormat="1" applyFont="1" applyFill="1" applyBorder="1" applyAlignment="1">
      <alignment horizontal="center"/>
    </xf>
    <xf numFmtId="0" fontId="0" fillId="0" borderId="16" xfId="0" applyFill="1" applyBorder="1"/>
    <xf numFmtId="0" fontId="0" fillId="0" borderId="16" xfId="0" applyFill="1" applyBorder="1" applyAlignment="1">
      <alignment horizontal="center"/>
    </xf>
    <xf numFmtId="1" fontId="0" fillId="4" borderId="0" xfId="0" applyNumberFormat="1" applyFill="1" applyAlignment="1">
      <alignment horizontal="right"/>
    </xf>
    <xf numFmtId="1" fontId="18" fillId="12" borderId="16" xfId="0" applyNumberFormat="1" applyFont="1" applyFill="1" applyBorder="1" applyAlignment="1">
      <alignment horizontal="left" vertical="center" wrapText="1"/>
    </xf>
    <xf numFmtId="1" fontId="18" fillId="12" borderId="16" xfId="0" applyNumberFormat="1" applyFont="1" applyFill="1" applyBorder="1" applyAlignment="1">
      <alignment horizontal="left" vertical="top" wrapText="1"/>
    </xf>
    <xf numFmtId="1" fontId="18" fillId="12" borderId="16" xfId="0" applyNumberFormat="1" applyFont="1" applyFill="1" applyBorder="1" applyAlignment="1">
      <alignment wrapText="1"/>
    </xf>
    <xf numFmtId="0" fontId="17" fillId="0" borderId="16" xfId="0" applyFont="1" applyBorder="1" applyAlignment="1"/>
    <xf numFmtId="0" fontId="0" fillId="0" borderId="16" xfId="0" applyBorder="1" applyAlignment="1">
      <alignment horizontal="center" vertical="top"/>
    </xf>
    <xf numFmtId="1" fontId="18" fillId="12" borderId="16" xfId="0" applyNumberFormat="1" applyFont="1" applyFill="1" applyBorder="1" applyAlignment="1">
      <alignment vertical="top" wrapText="1"/>
    </xf>
    <xf numFmtId="0" fontId="17" fillId="0" borderId="16" xfId="0" applyFont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5" fillId="0" borderId="16" xfId="0" applyFont="1" applyBorder="1" applyAlignment="1">
      <alignment horizontal="left" vertical="center"/>
    </xf>
    <xf numFmtId="0" fontId="22" fillId="0" borderId="0" xfId="0" applyFont="1" applyAlignment="1">
      <alignment vertical="center" wrapText="1"/>
    </xf>
    <xf numFmtId="165" fontId="9" fillId="0" borderId="1" xfId="0" applyNumberFormat="1" applyFont="1" applyFill="1" applyBorder="1" applyAlignment="1">
      <alignment vertical="center" wrapText="1"/>
    </xf>
    <xf numFmtId="169" fontId="0" fillId="0" borderId="0" xfId="0" applyNumberFormat="1" applyFont="1" applyAlignment="1">
      <alignment horizontal="left"/>
    </xf>
    <xf numFmtId="169" fontId="0" fillId="0" borderId="0" xfId="0" applyNumberFormat="1" applyAlignment="1">
      <alignment horizontal="right"/>
    </xf>
    <xf numFmtId="169" fontId="0" fillId="0" borderId="0" xfId="0" applyNumberFormat="1" applyFont="1" applyAlignment="1">
      <alignment horizontal="right"/>
    </xf>
    <xf numFmtId="169" fontId="2" fillId="0" borderId="0" xfId="0" applyNumberFormat="1" applyFont="1" applyAlignment="1">
      <alignment vertical="center"/>
    </xf>
    <xf numFmtId="169" fontId="0" fillId="0" borderId="0" xfId="0" applyNumberFormat="1" applyFont="1"/>
    <xf numFmtId="1" fontId="18" fillId="12" borderId="1" xfId="0" applyNumberFormat="1" applyFont="1" applyFill="1" applyBorder="1" applyAlignment="1">
      <alignment vertical="top" wrapText="1"/>
    </xf>
    <xf numFmtId="1" fontId="18" fillId="12" borderId="1" xfId="0" applyNumberFormat="1" applyFont="1" applyFill="1" applyBorder="1" applyAlignment="1">
      <alignment horizontal="left" vertical="top" wrapText="1"/>
    </xf>
    <xf numFmtId="167" fontId="9" fillId="0" borderId="10" xfId="0" applyNumberFormat="1" applyFont="1" applyFill="1" applyBorder="1" applyAlignment="1">
      <alignment vertical="center" wrapText="1"/>
    </xf>
    <xf numFmtId="167" fontId="9" fillId="0" borderId="6" xfId="0" applyNumberFormat="1" applyFont="1" applyFill="1" applyBorder="1" applyAlignment="1">
      <alignment vertical="center" wrapText="1"/>
    </xf>
    <xf numFmtId="167" fontId="9" fillId="0" borderId="11" xfId="0" applyNumberFormat="1" applyFont="1" applyFill="1" applyBorder="1" applyAlignment="1">
      <alignment vertical="center" wrapText="1"/>
    </xf>
    <xf numFmtId="166" fontId="12" fillId="11" borderId="3" xfId="0" applyNumberFormat="1" applyFont="1" applyFill="1" applyBorder="1" applyAlignment="1">
      <alignment vertical="center" wrapText="1"/>
    </xf>
    <xf numFmtId="167" fontId="0" fillId="0" borderId="0" xfId="0" applyNumberFormat="1" applyAlignment="1">
      <alignment horizontal="right"/>
    </xf>
    <xf numFmtId="169" fontId="2" fillId="0" borderId="0" xfId="0" applyNumberFormat="1" applyFont="1" applyAlignment="1">
      <alignment horizontal="left" vertical="center"/>
    </xf>
    <xf numFmtId="167" fontId="9" fillId="0" borderId="8" xfId="0" applyNumberFormat="1" applyFont="1" applyFill="1" applyBorder="1" applyAlignment="1">
      <alignment vertical="center" wrapText="1"/>
    </xf>
    <xf numFmtId="167" fontId="9" fillId="0" borderId="9" xfId="0" applyNumberFormat="1" applyFont="1" applyFill="1" applyBorder="1" applyAlignment="1">
      <alignment vertical="center" wrapText="1"/>
    </xf>
    <xf numFmtId="167" fontId="9" fillId="0" borderId="12" xfId="0" applyNumberFormat="1" applyFont="1" applyFill="1" applyBorder="1" applyAlignment="1">
      <alignment vertical="center" wrapText="1"/>
    </xf>
    <xf numFmtId="167" fontId="9" fillId="0" borderId="7" xfId="0" applyNumberFormat="1" applyFont="1" applyFill="1" applyBorder="1" applyAlignment="1">
      <alignment vertical="center" wrapText="1"/>
    </xf>
    <xf numFmtId="167" fontId="9" fillId="0" borderId="0" xfId="0" applyNumberFormat="1" applyFont="1" applyFill="1" applyBorder="1" applyAlignment="1">
      <alignment vertical="center" wrapText="1"/>
    </xf>
    <xf numFmtId="167" fontId="9" fillId="0" borderId="13" xfId="0" applyNumberFormat="1" applyFont="1" applyFill="1" applyBorder="1" applyAlignment="1">
      <alignment vertical="center" wrapText="1"/>
    </xf>
    <xf numFmtId="167" fontId="9" fillId="0" borderId="14" xfId="0" applyNumberFormat="1" applyFont="1" applyFill="1" applyBorder="1" applyAlignment="1">
      <alignment vertical="center" wrapText="1"/>
    </xf>
    <xf numFmtId="167" fontId="9" fillId="0" borderId="5" xfId="0" applyNumberFormat="1" applyFont="1" applyFill="1" applyBorder="1" applyAlignment="1">
      <alignment vertical="center" wrapText="1"/>
    </xf>
    <xf numFmtId="167" fontId="9" fillId="0" borderId="15" xfId="0" applyNumberFormat="1" applyFont="1" applyFill="1" applyBorder="1" applyAlignment="1">
      <alignment vertical="center" wrapText="1"/>
    </xf>
    <xf numFmtId="2" fontId="0" fillId="0" borderId="0" xfId="0" applyNumberFormat="1"/>
    <xf numFmtId="2" fontId="12" fillId="11" borderId="4" xfId="0" applyNumberFormat="1" applyFont="1" applyFill="1" applyBorder="1" applyAlignment="1">
      <alignment vertical="center" wrapText="1"/>
    </xf>
    <xf numFmtId="2" fontId="20" fillId="0" borderId="0" xfId="0" applyNumberFormat="1" applyFont="1"/>
    <xf numFmtId="1" fontId="5" fillId="0" borderId="0" xfId="0" applyNumberFormat="1" applyFont="1" applyAlignment="1">
      <alignment horizontal="left"/>
    </xf>
    <xf numFmtId="167" fontId="2" fillId="0" borderId="0" xfId="0" applyNumberFormat="1" applyFont="1" applyAlignment="1">
      <alignment vertical="center"/>
    </xf>
    <xf numFmtId="2" fontId="0" fillId="0" borderId="0" xfId="0" applyNumberFormat="1" applyAlignment="1">
      <alignment horizontal="right"/>
    </xf>
    <xf numFmtId="2" fontId="18" fillId="12" borderId="1" xfId="0" applyNumberFormat="1" applyFont="1" applyFill="1" applyBorder="1" applyAlignment="1">
      <alignment horizontal="left" vertical="top" wrapText="1"/>
    </xf>
    <xf numFmtId="2" fontId="12" fillId="11" borderId="3" xfId="0" applyNumberFormat="1" applyFont="1" applyFill="1" applyBorder="1" applyAlignment="1">
      <alignment vertical="center" wrapText="1"/>
    </xf>
    <xf numFmtId="167" fontId="23" fillId="0" borderId="0" xfId="0" applyNumberFormat="1" applyFont="1"/>
    <xf numFmtId="167" fontId="0" fillId="0" borderId="0" xfId="0" applyNumberFormat="1" applyFont="1" applyAlignment="1">
      <alignment horizontal="center"/>
    </xf>
    <xf numFmtId="0" fontId="24" fillId="0" borderId="23" xfId="0" applyFont="1" applyBorder="1" applyAlignment="1">
      <alignment horizontal="center" vertical="center" wrapText="1"/>
    </xf>
    <xf numFmtId="0" fontId="24" fillId="0" borderId="24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/>
    </xf>
    <xf numFmtId="0" fontId="19" fillId="2" borderId="2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167" fontId="0" fillId="0" borderId="0" xfId="0" applyNumberFormat="1" applyFont="1"/>
    <xf numFmtId="167" fontId="25" fillId="0" borderId="0" xfId="0" applyNumberFormat="1" applyFont="1" applyAlignment="1">
      <alignment vertical="center" wrapText="1"/>
    </xf>
    <xf numFmtId="167" fontId="25" fillId="0" borderId="23" xfId="0" applyNumberFormat="1" applyFont="1" applyBorder="1" applyAlignment="1">
      <alignment vertical="center" wrapText="1"/>
    </xf>
    <xf numFmtId="1" fontId="8" fillId="12" borderId="4" xfId="0" applyNumberFormat="1" applyFont="1" applyFill="1" applyBorder="1" applyAlignment="1">
      <alignment horizontal="center" vertical="center" wrapText="1"/>
    </xf>
    <xf numFmtId="169" fontId="2" fillId="0" borderId="0" xfId="0" applyNumberFormat="1" applyFont="1" applyAlignment="1">
      <alignment horizontal="left" vertical="center"/>
    </xf>
    <xf numFmtId="1" fontId="8" fillId="12" borderId="1" xfId="0" applyNumberFormat="1" applyFont="1" applyFill="1" applyBorder="1" applyAlignment="1">
      <alignment horizontal="center" vertical="center" wrapText="1"/>
    </xf>
    <xf numFmtId="1" fontId="3" fillId="4" borderId="0" xfId="1" applyNumberFormat="1" applyFill="1" applyAlignment="1">
      <alignment horizontal="left"/>
    </xf>
    <xf numFmtId="166" fontId="3" fillId="4" borderId="0" xfId="1" applyNumberFormat="1" applyFill="1"/>
    <xf numFmtId="167" fontId="12" fillId="11" borderId="3" xfId="0" applyNumberFormat="1" applyFont="1" applyFill="1" applyBorder="1" applyAlignment="1">
      <alignment vertical="center" wrapText="1"/>
    </xf>
    <xf numFmtId="167" fontId="12" fillId="12" borderId="2" xfId="0" applyNumberFormat="1" applyFont="1" applyFill="1" applyBorder="1" applyAlignment="1">
      <alignment horizontal="center" vertical="center" wrapText="1"/>
    </xf>
    <xf numFmtId="167" fontId="12" fillId="11" borderId="3" xfId="0" applyNumberFormat="1" applyFont="1" applyFill="1" applyBorder="1" applyAlignment="1">
      <alignment horizontal="center" vertical="center" wrapText="1"/>
    </xf>
    <xf numFmtId="167" fontId="14" fillId="7" borderId="8" xfId="0" applyNumberFormat="1" applyFont="1" applyFill="1" applyBorder="1" applyAlignment="1">
      <alignment horizontal="right" vertical="center" wrapText="1"/>
    </xf>
    <xf numFmtId="167" fontId="14" fillId="7" borderId="7" xfId="0" applyNumberFormat="1" applyFont="1" applyFill="1" applyBorder="1" applyAlignment="1">
      <alignment horizontal="right" vertical="center" wrapText="1"/>
    </xf>
    <xf numFmtId="167" fontId="14" fillId="7" borderId="14" xfId="0" applyNumberFormat="1" applyFont="1" applyFill="1" applyBorder="1" applyAlignment="1">
      <alignment horizontal="right" vertical="center" wrapText="1"/>
    </xf>
    <xf numFmtId="167" fontId="12" fillId="11" borderId="0" xfId="0" applyNumberFormat="1" applyFont="1" applyFill="1" applyBorder="1" applyAlignment="1">
      <alignment horizontal="right" vertical="center" wrapText="1"/>
    </xf>
    <xf numFmtId="167" fontId="12" fillId="12" borderId="1" xfId="0" applyNumberFormat="1" applyFont="1" applyFill="1" applyBorder="1" applyAlignment="1">
      <alignment vertical="center" wrapText="1"/>
    </xf>
    <xf numFmtId="167" fontId="12" fillId="12" borderId="1" xfId="0" applyNumberFormat="1" applyFont="1" applyFill="1" applyBorder="1" applyAlignment="1">
      <alignment horizontal="center" vertical="center" wrapText="1"/>
    </xf>
    <xf numFmtId="167" fontId="12" fillId="11" borderId="4" xfId="0" applyNumberFormat="1" applyFont="1" applyFill="1" applyBorder="1" applyAlignment="1">
      <alignment horizontal="center" vertical="center" wrapText="1"/>
    </xf>
    <xf numFmtId="167" fontId="12" fillId="11" borderId="0" xfId="0" applyNumberFormat="1" applyFont="1" applyFill="1" applyBorder="1" applyAlignment="1">
      <alignment vertical="center" wrapText="1"/>
    </xf>
    <xf numFmtId="167" fontId="12" fillId="11" borderId="4" xfId="0" applyNumberFormat="1" applyFont="1" applyFill="1" applyBorder="1" applyAlignment="1">
      <alignment vertical="center" wrapText="1"/>
    </xf>
    <xf numFmtId="167" fontId="21" fillId="2" borderId="0" xfId="0" applyNumberFormat="1" applyFont="1" applyFill="1" applyAlignment="1">
      <alignment horizontal="left" vertical="center"/>
    </xf>
    <xf numFmtId="167" fontId="20" fillId="0" borderId="0" xfId="0" applyNumberFormat="1" applyFont="1"/>
    <xf numFmtId="166" fontId="12" fillId="11" borderId="4" xfId="0" applyNumberFormat="1" applyFont="1" applyFill="1" applyBorder="1" applyAlignment="1">
      <alignment vertical="center" wrapText="1"/>
    </xf>
    <xf numFmtId="1" fontId="14" fillId="7" borderId="8" xfId="0" applyNumberFormat="1" applyFont="1" applyFill="1" applyBorder="1" applyAlignment="1">
      <alignment horizontal="right" vertical="center" wrapText="1"/>
    </xf>
    <xf numFmtId="1" fontId="14" fillId="7" borderId="7" xfId="0" applyNumberFormat="1" applyFont="1" applyFill="1" applyBorder="1" applyAlignment="1">
      <alignment horizontal="right" vertical="center" wrapText="1"/>
    </xf>
    <xf numFmtId="1" fontId="14" fillId="7" borderId="14" xfId="0" applyNumberFormat="1" applyFont="1" applyFill="1" applyBorder="1" applyAlignment="1">
      <alignment horizontal="right" vertical="center" wrapText="1"/>
    </xf>
    <xf numFmtId="1" fontId="6" fillId="0" borderId="0" xfId="0" applyNumberFormat="1" applyFont="1"/>
    <xf numFmtId="1" fontId="6" fillId="0" borderId="0" xfId="0" applyNumberFormat="1" applyFont="1" applyAlignment="1">
      <alignment horizontal="right"/>
    </xf>
    <xf numFmtId="166" fontId="18" fillId="12" borderId="1" xfId="0" applyNumberFormat="1" applyFont="1" applyFill="1" applyBorder="1" applyAlignment="1">
      <alignment vertical="top" wrapText="1"/>
    </xf>
    <xf numFmtId="166" fontId="18" fillId="12" borderId="1" xfId="0" applyNumberFormat="1" applyFont="1" applyFill="1" applyBorder="1" applyAlignment="1">
      <alignment horizontal="left" vertical="top" wrapText="1"/>
    </xf>
    <xf numFmtId="166" fontId="6" fillId="133" borderId="9" xfId="0" applyNumberFormat="1" applyFont="1" applyFill="1" applyBorder="1"/>
    <xf numFmtId="166" fontId="6" fillId="133" borderId="0" xfId="0" applyNumberFormat="1" applyFont="1" applyFill="1" applyBorder="1"/>
    <xf numFmtId="166" fontId="6" fillId="134" borderId="0" xfId="0" applyNumberFormat="1" applyFont="1" applyFill="1" applyBorder="1"/>
    <xf numFmtId="166" fontId="6" fillId="135" borderId="0" xfId="0" applyNumberFormat="1" applyFont="1" applyFill="1" applyBorder="1"/>
    <xf numFmtId="166" fontId="6" fillId="136" borderId="0" xfId="0" applyNumberFormat="1" applyFont="1" applyFill="1" applyBorder="1"/>
    <xf numFmtId="166" fontId="6" fillId="137" borderId="0" xfId="0" applyNumberFormat="1" applyFont="1" applyFill="1" applyBorder="1"/>
    <xf numFmtId="166" fontId="6" fillId="138" borderId="0" xfId="0" applyNumberFormat="1" applyFont="1" applyFill="1" applyBorder="1"/>
    <xf numFmtId="166" fontId="6" fillId="139" borderId="0" xfId="0" applyNumberFormat="1" applyFont="1" applyFill="1" applyBorder="1"/>
    <xf numFmtId="166" fontId="6" fillId="140" borderId="0" xfId="0" applyNumberFormat="1" applyFont="1" applyFill="1" applyBorder="1"/>
    <xf numFmtId="166" fontId="6" fillId="141" borderId="0" xfId="0" applyNumberFormat="1" applyFont="1" applyFill="1" applyBorder="1"/>
    <xf numFmtId="166" fontId="6" fillId="142" borderId="0" xfId="0" applyNumberFormat="1" applyFont="1" applyFill="1" applyBorder="1"/>
    <xf numFmtId="166" fontId="6" fillId="143" borderId="0" xfId="0" applyNumberFormat="1" applyFont="1" applyFill="1" applyBorder="1"/>
    <xf numFmtId="166" fontId="6" fillId="144" borderId="0" xfId="0" applyNumberFormat="1" applyFont="1" applyFill="1" applyBorder="1"/>
    <xf numFmtId="166" fontId="6" fillId="145" borderId="0" xfId="0" applyNumberFormat="1" applyFont="1" applyFill="1" applyBorder="1" applyAlignment="1">
      <alignment horizontal="right" vertical="center" wrapText="1"/>
    </xf>
    <xf numFmtId="166" fontId="6" fillId="145" borderId="0" xfId="0" applyNumberFormat="1" applyFont="1" applyFill="1" applyBorder="1" applyAlignment="1">
      <alignment horizontal="right" vertical="center"/>
    </xf>
    <xf numFmtId="166" fontId="6" fillId="146" borderId="0" xfId="0" applyNumberFormat="1" applyFont="1" applyFill="1" applyBorder="1" applyAlignment="1">
      <alignment horizontal="right" vertical="center" wrapText="1"/>
    </xf>
    <xf numFmtId="166" fontId="6" fillId="146" borderId="0" xfId="0" applyNumberFormat="1" applyFont="1" applyFill="1" applyBorder="1" applyAlignment="1">
      <alignment horizontal="right" vertical="center"/>
    </xf>
    <xf numFmtId="166" fontId="6" fillId="147" borderId="0" xfId="0" applyNumberFormat="1" applyFont="1" applyFill="1" applyBorder="1" applyAlignment="1">
      <alignment horizontal="right" vertical="center" wrapText="1"/>
    </xf>
    <xf numFmtId="166" fontId="6" fillId="147" borderId="0" xfId="0" applyNumberFormat="1" applyFont="1" applyFill="1" applyBorder="1" applyAlignment="1">
      <alignment horizontal="right" vertical="center"/>
    </xf>
    <xf numFmtId="166" fontId="6" fillId="148" borderId="0" xfId="0" applyNumberFormat="1" applyFont="1" applyFill="1" applyBorder="1" applyAlignment="1">
      <alignment horizontal="right" vertical="center" wrapText="1"/>
    </xf>
    <xf numFmtId="166" fontId="6" fillId="149" borderId="0" xfId="0" applyNumberFormat="1" applyFont="1" applyFill="1" applyBorder="1" applyAlignment="1">
      <alignment horizontal="right" vertical="center" wrapText="1"/>
    </xf>
    <xf numFmtId="166" fontId="6" fillId="150" borderId="0" xfId="0" applyNumberFormat="1" applyFont="1" applyFill="1" applyBorder="1" applyAlignment="1">
      <alignment horizontal="right" vertical="center" wrapText="1"/>
    </xf>
    <xf numFmtId="166" fontId="6" fillId="151" borderId="0" xfId="0" applyNumberFormat="1" applyFont="1" applyFill="1" applyBorder="1"/>
    <xf numFmtId="166" fontId="6" fillId="152" borderId="0" xfId="0" applyNumberFormat="1" applyFont="1" applyFill="1" applyBorder="1"/>
    <xf numFmtId="166" fontId="6" fillId="153" borderId="0" xfId="0" applyNumberFormat="1" applyFont="1" applyFill="1" applyBorder="1"/>
    <xf numFmtId="166" fontId="6" fillId="154" borderId="0" xfId="0" applyNumberFormat="1" applyFont="1" applyFill="1" applyBorder="1"/>
    <xf numFmtId="166" fontId="6" fillId="155" borderId="0" xfId="0" applyNumberFormat="1" applyFont="1" applyFill="1" applyBorder="1"/>
    <xf numFmtId="166" fontId="6" fillId="156" borderId="0" xfId="0" applyNumberFormat="1" applyFont="1" applyFill="1" applyBorder="1"/>
    <xf numFmtId="166" fontId="6" fillId="156" borderId="5" xfId="0" applyNumberFormat="1" applyFont="1" applyFill="1" applyBorder="1"/>
    <xf numFmtId="1" fontId="27" fillId="12" borderId="1" xfId="0" applyNumberFormat="1" applyFont="1" applyFill="1" applyBorder="1" applyAlignment="1">
      <alignment vertical="top" wrapText="1"/>
    </xf>
    <xf numFmtId="1" fontId="26" fillId="11" borderId="3" xfId="0" applyNumberFormat="1" applyFont="1" applyFill="1" applyBorder="1" applyAlignment="1">
      <alignment vertical="center" wrapText="1"/>
    </xf>
    <xf numFmtId="1" fontId="6" fillId="109" borderId="9" xfId="0" applyNumberFormat="1" applyFont="1" applyFill="1" applyBorder="1" applyAlignment="1">
      <alignment vertical="center" wrapText="1"/>
    </xf>
    <xf numFmtId="1" fontId="6" fillId="109" borderId="0" xfId="0" applyNumberFormat="1" applyFont="1" applyFill="1" applyBorder="1" applyAlignment="1">
      <alignment vertical="center" wrapText="1"/>
    </xf>
    <xf numFmtId="1" fontId="6" fillId="110" borderId="0" xfId="0" applyNumberFormat="1" applyFont="1" applyFill="1" applyBorder="1" applyAlignment="1">
      <alignment vertical="center" wrapText="1"/>
    </xf>
    <xf numFmtId="1" fontId="6" fillId="111" borderId="0" xfId="0" applyNumberFormat="1" applyFont="1" applyFill="1" applyBorder="1" applyAlignment="1">
      <alignment vertical="center" wrapText="1"/>
    </xf>
    <xf numFmtId="1" fontId="6" fillId="112" borderId="0" xfId="0" applyNumberFormat="1" applyFont="1" applyFill="1" applyBorder="1" applyAlignment="1">
      <alignment vertical="center" wrapText="1"/>
    </xf>
    <xf numFmtId="1" fontId="6" fillId="113" borderId="0" xfId="0" applyNumberFormat="1" applyFont="1" applyFill="1" applyBorder="1" applyAlignment="1">
      <alignment vertical="center" wrapText="1"/>
    </xf>
    <xf numFmtId="1" fontId="6" fillId="114" borderId="0" xfId="0" applyNumberFormat="1" applyFont="1" applyFill="1" applyBorder="1" applyAlignment="1">
      <alignment vertical="center" wrapText="1"/>
    </xf>
    <xf numFmtId="1" fontId="6" fillId="114" borderId="5" xfId="0" applyNumberFormat="1" applyFont="1" applyFill="1" applyBorder="1" applyAlignment="1">
      <alignment vertical="center" wrapText="1"/>
    </xf>
    <xf numFmtId="1" fontId="6" fillId="115" borderId="9" xfId="0" applyNumberFormat="1" applyFont="1" applyFill="1" applyBorder="1" applyAlignment="1">
      <alignment vertical="center" wrapText="1"/>
    </xf>
    <xf numFmtId="1" fontId="6" fillId="115" borderId="0" xfId="0" applyNumberFormat="1" applyFont="1" applyFill="1" applyBorder="1" applyAlignment="1">
      <alignment vertical="center" wrapText="1"/>
    </xf>
    <xf numFmtId="1" fontId="6" fillId="116" borderId="0" xfId="0" applyNumberFormat="1" applyFont="1" applyFill="1" applyBorder="1" applyAlignment="1">
      <alignment vertical="center" wrapText="1"/>
    </xf>
    <xf numFmtId="1" fontId="6" fillId="117" borderId="0" xfId="0" applyNumberFormat="1" applyFont="1" applyFill="1" applyBorder="1" applyAlignment="1">
      <alignment vertical="center" wrapText="1"/>
    </xf>
    <xf numFmtId="1" fontId="6" fillId="118" borderId="0" xfId="0" applyNumberFormat="1" applyFont="1" applyFill="1" applyBorder="1" applyAlignment="1">
      <alignment vertical="center" wrapText="1"/>
    </xf>
    <xf numFmtId="1" fontId="6" fillId="119" borderId="0" xfId="0" applyNumberFormat="1" applyFont="1" applyFill="1" applyBorder="1" applyAlignment="1">
      <alignment vertical="center" wrapText="1"/>
    </xf>
    <xf numFmtId="1" fontId="6" fillId="120" borderId="0" xfId="0" applyNumberFormat="1" applyFont="1" applyFill="1" applyBorder="1" applyAlignment="1">
      <alignment vertical="center" wrapText="1"/>
    </xf>
    <xf numFmtId="1" fontId="6" fillId="120" borderId="5" xfId="0" applyNumberFormat="1" applyFont="1" applyFill="1" applyBorder="1" applyAlignment="1">
      <alignment vertical="center" wrapText="1"/>
    </xf>
    <xf numFmtId="1" fontId="6" fillId="121" borderId="9" xfId="0" applyNumberFormat="1" applyFont="1" applyFill="1" applyBorder="1" applyAlignment="1">
      <alignment vertical="center" wrapText="1"/>
    </xf>
    <xf numFmtId="1" fontId="6" fillId="121" borderId="0" xfId="0" applyNumberFormat="1" applyFont="1" applyFill="1" applyBorder="1" applyAlignment="1">
      <alignment vertical="center" wrapText="1"/>
    </xf>
    <xf numFmtId="1" fontId="6" fillId="122" borderId="0" xfId="0" applyNumberFormat="1" applyFont="1" applyFill="1" applyBorder="1" applyAlignment="1">
      <alignment vertical="center" wrapText="1"/>
    </xf>
    <xf numFmtId="1" fontId="6" fillId="123" borderId="0" xfId="0" applyNumberFormat="1" applyFont="1" applyFill="1" applyBorder="1" applyAlignment="1">
      <alignment vertical="center" wrapText="1"/>
    </xf>
    <xf numFmtId="1" fontId="6" fillId="124" borderId="0" xfId="0" applyNumberFormat="1" applyFont="1" applyFill="1" applyBorder="1" applyAlignment="1">
      <alignment vertical="center" wrapText="1"/>
    </xf>
    <xf numFmtId="1" fontId="6" fillId="125" borderId="0" xfId="0" applyNumberFormat="1" applyFont="1" applyFill="1" applyBorder="1" applyAlignment="1">
      <alignment vertical="center" wrapText="1"/>
    </xf>
    <xf numFmtId="1" fontId="6" fillId="126" borderId="0" xfId="0" applyNumberFormat="1" applyFont="1" applyFill="1" applyBorder="1" applyAlignment="1">
      <alignment vertical="center" wrapText="1"/>
    </xf>
    <xf numFmtId="1" fontId="6" fillId="126" borderId="5" xfId="0" applyNumberFormat="1" applyFont="1" applyFill="1" applyBorder="1" applyAlignment="1">
      <alignment vertical="center" wrapText="1"/>
    </xf>
    <xf numFmtId="1" fontId="13" fillId="127" borderId="9" xfId="0" applyNumberFormat="1" applyFont="1" applyFill="1" applyBorder="1" applyAlignment="1">
      <alignment vertical="center" wrapText="1"/>
    </xf>
    <xf numFmtId="1" fontId="13" fillId="127" borderId="0" xfId="0" applyNumberFormat="1" applyFont="1" applyFill="1" applyBorder="1" applyAlignment="1">
      <alignment vertical="center" wrapText="1"/>
    </xf>
    <xf numFmtId="1" fontId="6" fillId="128" borderId="0" xfId="0" applyNumberFormat="1" applyFont="1" applyFill="1" applyBorder="1" applyAlignment="1">
      <alignment vertical="center" wrapText="1"/>
    </xf>
    <xf numFmtId="1" fontId="6" fillId="129" borderId="0" xfId="0" applyNumberFormat="1" applyFont="1" applyFill="1" applyBorder="1" applyAlignment="1">
      <alignment vertical="center" wrapText="1"/>
    </xf>
    <xf numFmtId="1" fontId="6" fillId="130" borderId="0" xfId="0" applyNumberFormat="1" applyFont="1" applyFill="1" applyBorder="1" applyAlignment="1">
      <alignment vertical="center" wrapText="1"/>
    </xf>
    <xf numFmtId="1" fontId="6" fillId="131" borderId="0" xfId="0" applyNumberFormat="1" applyFont="1" applyFill="1" applyBorder="1" applyAlignment="1">
      <alignment vertical="center" wrapText="1"/>
    </xf>
    <xf numFmtId="1" fontId="6" fillId="132" borderId="0" xfId="0" applyNumberFormat="1" applyFont="1" applyFill="1" applyBorder="1" applyAlignment="1">
      <alignment vertical="center" wrapText="1"/>
    </xf>
    <xf numFmtId="1" fontId="6" fillId="132" borderId="5" xfId="0" applyNumberFormat="1" applyFont="1" applyFill="1" applyBorder="1" applyAlignment="1">
      <alignment vertical="center" wrapText="1"/>
    </xf>
    <xf numFmtId="1" fontId="6" fillId="157" borderId="0" xfId="0" applyNumberFormat="1" applyFont="1" applyFill="1" applyBorder="1" applyAlignment="1">
      <alignment horizontal="right"/>
    </xf>
    <xf numFmtId="166" fontId="6" fillId="157" borderId="0" xfId="0" applyNumberFormat="1" applyFont="1" applyFill="1" applyBorder="1" applyAlignment="1">
      <alignment horizontal="right"/>
    </xf>
    <xf numFmtId="166" fontId="6" fillId="157" borderId="13" xfId="0" applyNumberFormat="1" applyFont="1" applyFill="1" applyBorder="1" applyAlignment="1">
      <alignment horizontal="right"/>
    </xf>
    <xf numFmtId="1" fontId="13" fillId="2" borderId="0" xfId="0" applyNumberFormat="1" applyFont="1" applyFill="1" applyBorder="1" applyAlignment="1">
      <alignment horizontal="right"/>
    </xf>
    <xf numFmtId="166" fontId="13" fillId="2" borderId="0" xfId="0" applyNumberFormat="1" applyFont="1" applyFill="1" applyBorder="1" applyAlignment="1">
      <alignment horizontal="right"/>
    </xf>
    <xf numFmtId="166" fontId="13" fillId="2" borderId="13" xfId="0" applyNumberFormat="1" applyFont="1" applyFill="1" applyBorder="1" applyAlignment="1">
      <alignment horizontal="right"/>
    </xf>
    <xf numFmtId="1" fontId="6" fillId="158" borderId="9" xfId="0" applyNumberFormat="1" applyFont="1" applyFill="1" applyBorder="1" applyAlignment="1">
      <alignment horizontal="right"/>
    </xf>
    <xf numFmtId="166" fontId="6" fillId="158" borderId="9" xfId="0" applyNumberFormat="1" applyFont="1" applyFill="1" applyBorder="1" applyAlignment="1">
      <alignment horizontal="right"/>
    </xf>
    <xf numFmtId="166" fontId="6" fillId="158" borderId="12" xfId="0" applyNumberFormat="1" applyFont="1" applyFill="1" applyBorder="1" applyAlignment="1">
      <alignment horizontal="right"/>
    </xf>
    <xf numFmtId="1" fontId="6" fillId="158" borderId="0" xfId="0" applyNumberFormat="1" applyFont="1" applyFill="1" applyBorder="1" applyAlignment="1">
      <alignment horizontal="right"/>
    </xf>
    <xf numFmtId="166" fontId="6" fillId="158" borderId="0" xfId="0" applyNumberFormat="1" applyFont="1" applyFill="1" applyBorder="1" applyAlignment="1">
      <alignment horizontal="right"/>
    </xf>
    <xf numFmtId="166" fontId="6" fillId="158" borderId="13" xfId="0" applyNumberFormat="1" applyFont="1" applyFill="1" applyBorder="1" applyAlignment="1">
      <alignment horizontal="right"/>
    </xf>
    <xf numFmtId="1" fontId="6" fillId="159" borderId="0" xfId="0" applyNumberFormat="1" applyFont="1" applyFill="1" applyBorder="1" applyAlignment="1">
      <alignment horizontal="right"/>
    </xf>
    <xf numFmtId="166" fontId="6" fillId="159" borderId="0" xfId="0" applyNumberFormat="1" applyFont="1" applyFill="1" applyBorder="1" applyAlignment="1">
      <alignment horizontal="right"/>
    </xf>
    <xf numFmtId="166" fontId="6" fillId="159" borderId="13" xfId="0" applyNumberFormat="1" applyFont="1" applyFill="1" applyBorder="1" applyAlignment="1">
      <alignment horizontal="right"/>
    </xf>
    <xf numFmtId="1" fontId="6" fillId="160" borderId="0" xfId="0" applyNumberFormat="1" applyFont="1" applyFill="1" applyBorder="1" applyAlignment="1">
      <alignment horizontal="right"/>
    </xf>
    <xf numFmtId="166" fontId="6" fillId="160" borderId="0" xfId="0" applyNumberFormat="1" applyFont="1" applyFill="1" applyBorder="1" applyAlignment="1">
      <alignment horizontal="right"/>
    </xf>
    <xf numFmtId="166" fontId="6" fillId="160" borderId="13" xfId="0" applyNumberFormat="1" applyFont="1" applyFill="1" applyBorder="1" applyAlignment="1">
      <alignment horizontal="right"/>
    </xf>
    <xf numFmtId="1" fontId="6" fillId="161" borderId="0" xfId="0" applyNumberFormat="1" applyFont="1" applyFill="1" applyBorder="1" applyAlignment="1">
      <alignment horizontal="right"/>
    </xf>
    <xf numFmtId="166" fontId="6" fillId="161" borderId="0" xfId="0" applyNumberFormat="1" applyFont="1" applyFill="1" applyBorder="1" applyAlignment="1">
      <alignment horizontal="right"/>
    </xf>
    <xf numFmtId="166" fontId="6" fillId="161" borderId="13" xfId="0" applyNumberFormat="1" applyFont="1" applyFill="1" applyBorder="1" applyAlignment="1">
      <alignment horizontal="right"/>
    </xf>
    <xf numFmtId="1" fontId="6" fillId="162" borderId="0" xfId="0" applyNumberFormat="1" applyFont="1" applyFill="1" applyBorder="1" applyAlignment="1">
      <alignment horizontal="right"/>
    </xf>
    <xf numFmtId="166" fontId="6" fillId="162" borderId="0" xfId="0" applyNumberFormat="1" applyFont="1" applyFill="1" applyBorder="1" applyAlignment="1">
      <alignment horizontal="right"/>
    </xf>
    <xf numFmtId="166" fontId="6" fillId="162" borderId="13" xfId="0" applyNumberFormat="1" applyFont="1" applyFill="1" applyBorder="1" applyAlignment="1">
      <alignment horizontal="right"/>
    </xf>
    <xf numFmtId="1" fontId="6" fillId="163" borderId="0" xfId="0" applyNumberFormat="1" applyFont="1" applyFill="1" applyBorder="1" applyAlignment="1">
      <alignment horizontal="right"/>
    </xf>
    <xf numFmtId="166" fontId="6" fillId="163" borderId="0" xfId="0" applyNumberFormat="1" applyFont="1" applyFill="1" applyBorder="1" applyAlignment="1">
      <alignment horizontal="right"/>
    </xf>
    <xf numFmtId="166" fontId="6" fillId="163" borderId="13" xfId="0" applyNumberFormat="1" applyFont="1" applyFill="1" applyBorder="1" applyAlignment="1">
      <alignment horizontal="right"/>
    </xf>
    <xf numFmtId="1" fontId="6" fillId="164" borderId="0" xfId="0" applyNumberFormat="1" applyFont="1" applyFill="1" applyBorder="1" applyAlignment="1">
      <alignment horizontal="right"/>
    </xf>
    <xf numFmtId="166" fontId="6" fillId="164" borderId="0" xfId="0" applyNumberFormat="1" applyFont="1" applyFill="1" applyBorder="1" applyAlignment="1">
      <alignment horizontal="right"/>
    </xf>
    <xf numFmtId="166" fontId="6" fillId="164" borderId="13" xfId="0" applyNumberFormat="1" applyFont="1" applyFill="1" applyBorder="1" applyAlignment="1">
      <alignment horizontal="right"/>
    </xf>
    <xf numFmtId="1" fontId="6" fillId="165" borderId="0" xfId="0" applyNumberFormat="1" applyFont="1" applyFill="1" applyBorder="1" applyAlignment="1">
      <alignment horizontal="right"/>
    </xf>
    <xf numFmtId="166" fontId="6" fillId="165" borderId="0" xfId="0" applyNumberFormat="1" applyFont="1" applyFill="1" applyBorder="1" applyAlignment="1">
      <alignment horizontal="right"/>
    </xf>
    <xf numFmtId="166" fontId="6" fillId="165" borderId="13" xfId="0" applyNumberFormat="1" applyFont="1" applyFill="1" applyBorder="1" applyAlignment="1">
      <alignment horizontal="right"/>
    </xf>
    <xf numFmtId="1" fontId="6" fillId="166" borderId="0" xfId="0" applyNumberFormat="1" applyFont="1" applyFill="1" applyBorder="1" applyAlignment="1">
      <alignment horizontal="right"/>
    </xf>
    <xf numFmtId="166" fontId="6" fillId="166" borderId="0" xfId="0" applyNumberFormat="1" applyFont="1" applyFill="1" applyBorder="1" applyAlignment="1">
      <alignment horizontal="right"/>
    </xf>
    <xf numFmtId="166" fontId="6" fillId="166" borderId="13" xfId="0" applyNumberFormat="1" applyFont="1" applyFill="1" applyBorder="1" applyAlignment="1">
      <alignment horizontal="right"/>
    </xf>
    <xf numFmtId="1" fontId="6" fillId="167" borderId="0" xfId="0" applyNumberFormat="1" applyFont="1" applyFill="1" applyBorder="1" applyAlignment="1">
      <alignment horizontal="right"/>
    </xf>
    <xf numFmtId="166" fontId="6" fillId="167" borderId="0" xfId="0" applyNumberFormat="1" applyFont="1" applyFill="1" applyBorder="1" applyAlignment="1">
      <alignment horizontal="right"/>
    </xf>
    <xf numFmtId="166" fontId="6" fillId="167" borderId="13" xfId="0" applyNumberFormat="1" applyFont="1" applyFill="1" applyBorder="1" applyAlignment="1">
      <alignment horizontal="right"/>
    </xf>
    <xf numFmtId="1" fontId="6" fillId="168" borderId="0" xfId="0" applyNumberFormat="1" applyFont="1" applyFill="1" applyBorder="1" applyAlignment="1">
      <alignment horizontal="right"/>
    </xf>
    <xf numFmtId="166" fontId="6" fillId="168" borderId="0" xfId="0" applyNumberFormat="1" applyFont="1" applyFill="1" applyBorder="1" applyAlignment="1">
      <alignment horizontal="right"/>
    </xf>
    <xf numFmtId="166" fontId="6" fillId="168" borderId="13" xfId="0" applyNumberFormat="1" applyFont="1" applyFill="1" applyBorder="1" applyAlignment="1">
      <alignment horizontal="right"/>
    </xf>
    <xf numFmtId="1" fontId="6" fillId="169" borderId="0" xfId="0" applyNumberFormat="1" applyFont="1" applyFill="1" applyBorder="1" applyAlignment="1">
      <alignment horizontal="right"/>
    </xf>
    <xf numFmtId="166" fontId="6" fillId="169" borderId="0" xfId="0" applyNumberFormat="1" applyFont="1" applyFill="1" applyBorder="1" applyAlignment="1">
      <alignment horizontal="right"/>
    </xf>
    <xf numFmtId="166" fontId="6" fillId="169" borderId="13" xfId="0" applyNumberFormat="1" applyFont="1" applyFill="1" applyBorder="1" applyAlignment="1">
      <alignment horizontal="right"/>
    </xf>
    <xf numFmtId="166" fontId="6" fillId="170" borderId="0" xfId="0" applyNumberFormat="1" applyFont="1" applyFill="1" applyBorder="1" applyAlignment="1">
      <alignment horizontal="right"/>
    </xf>
    <xf numFmtId="166" fontId="6" fillId="170" borderId="13" xfId="0" applyNumberFormat="1" applyFont="1" applyFill="1" applyBorder="1" applyAlignment="1">
      <alignment horizontal="right"/>
    </xf>
    <xf numFmtId="166" fontId="6" fillId="170" borderId="0" xfId="0" applyNumberFormat="1" applyFont="1" applyFill="1" applyBorder="1" applyAlignment="1">
      <alignment horizontal="right" vertical="center"/>
    </xf>
    <xf numFmtId="166" fontId="6" fillId="170" borderId="13" xfId="0" applyNumberFormat="1" applyFont="1" applyFill="1" applyBorder="1" applyAlignment="1">
      <alignment horizontal="right" vertical="center"/>
    </xf>
    <xf numFmtId="1" fontId="6" fillId="171" borderId="0" xfId="0" applyNumberFormat="1" applyFont="1" applyFill="1" applyBorder="1" applyAlignment="1">
      <alignment horizontal="right"/>
    </xf>
    <xf numFmtId="166" fontId="6" fillId="171" borderId="0" xfId="0" applyNumberFormat="1" applyFont="1" applyFill="1" applyBorder="1" applyAlignment="1">
      <alignment horizontal="right"/>
    </xf>
    <xf numFmtId="166" fontId="6" fillId="171" borderId="13" xfId="0" applyNumberFormat="1" applyFont="1" applyFill="1" applyBorder="1" applyAlignment="1">
      <alignment horizontal="right"/>
    </xf>
    <xf numFmtId="1" fontId="6" fillId="172" borderId="0" xfId="0" applyNumberFormat="1" applyFont="1" applyFill="1" applyBorder="1" applyAlignment="1">
      <alignment horizontal="right"/>
    </xf>
    <xf numFmtId="166" fontId="6" fillId="172" borderId="0" xfId="0" applyNumberFormat="1" applyFont="1" applyFill="1" applyBorder="1" applyAlignment="1">
      <alignment horizontal="right"/>
    </xf>
    <xf numFmtId="166" fontId="6" fillId="172" borderId="13" xfId="0" applyNumberFormat="1" applyFont="1" applyFill="1" applyBorder="1" applyAlignment="1">
      <alignment horizontal="right"/>
    </xf>
    <xf numFmtId="1" fontId="6" fillId="172" borderId="0" xfId="0" applyNumberFormat="1" applyFont="1" applyFill="1" applyBorder="1" applyAlignment="1">
      <alignment horizontal="right" vertical="center"/>
    </xf>
    <xf numFmtId="166" fontId="6" fillId="172" borderId="0" xfId="0" applyNumberFormat="1" applyFont="1" applyFill="1" applyBorder="1" applyAlignment="1">
      <alignment horizontal="right" vertical="center"/>
    </xf>
    <xf numFmtId="166" fontId="6" fillId="172" borderId="13" xfId="0" applyNumberFormat="1" applyFont="1" applyFill="1" applyBorder="1" applyAlignment="1">
      <alignment horizontal="right" vertical="center"/>
    </xf>
    <xf numFmtId="1" fontId="6" fillId="173" borderId="0" xfId="0" applyNumberFormat="1" applyFont="1" applyFill="1" applyBorder="1" applyAlignment="1">
      <alignment horizontal="right"/>
    </xf>
    <xf numFmtId="166" fontId="6" fillId="173" borderId="0" xfId="0" applyNumberFormat="1" applyFont="1" applyFill="1" applyBorder="1" applyAlignment="1">
      <alignment horizontal="right"/>
    </xf>
    <xf numFmtId="166" fontId="6" fillId="173" borderId="13" xfId="0" applyNumberFormat="1" applyFont="1" applyFill="1" applyBorder="1" applyAlignment="1">
      <alignment horizontal="right"/>
    </xf>
    <xf numFmtId="1" fontId="6" fillId="174" borderId="0" xfId="0" applyNumberFormat="1" applyFont="1" applyFill="1" applyBorder="1" applyAlignment="1">
      <alignment horizontal="right"/>
    </xf>
    <xf numFmtId="166" fontId="6" fillId="174" borderId="0" xfId="0" applyNumberFormat="1" applyFont="1" applyFill="1" applyBorder="1" applyAlignment="1">
      <alignment horizontal="right"/>
    </xf>
    <xf numFmtId="166" fontId="6" fillId="174" borderId="13" xfId="0" applyNumberFormat="1" applyFont="1" applyFill="1" applyBorder="1" applyAlignment="1">
      <alignment horizontal="right"/>
    </xf>
    <xf numFmtId="1" fontId="6" fillId="175" borderId="0" xfId="0" applyNumberFormat="1" applyFont="1" applyFill="1" applyBorder="1" applyAlignment="1">
      <alignment horizontal="right"/>
    </xf>
    <xf numFmtId="166" fontId="6" fillId="175" borderId="0" xfId="0" applyNumberFormat="1" applyFont="1" applyFill="1" applyBorder="1" applyAlignment="1">
      <alignment horizontal="right"/>
    </xf>
    <xf numFmtId="166" fontId="6" fillId="175" borderId="13" xfId="0" applyNumberFormat="1" applyFont="1" applyFill="1" applyBorder="1" applyAlignment="1">
      <alignment horizontal="right"/>
    </xf>
    <xf numFmtId="1" fontId="13" fillId="176" borderId="0" xfId="0" applyNumberFormat="1" applyFont="1" applyFill="1" applyBorder="1" applyAlignment="1">
      <alignment horizontal="right"/>
    </xf>
    <xf numFmtId="166" fontId="13" fillId="176" borderId="0" xfId="0" applyNumberFormat="1" applyFont="1" applyFill="1" applyBorder="1" applyAlignment="1">
      <alignment horizontal="right"/>
    </xf>
    <xf numFmtId="166" fontId="13" fillId="176" borderId="13" xfId="0" applyNumberFormat="1" applyFont="1" applyFill="1" applyBorder="1" applyAlignment="1">
      <alignment horizontal="right"/>
    </xf>
    <xf numFmtId="1" fontId="6" fillId="177" borderId="0" xfId="0" applyNumberFormat="1" applyFont="1" applyFill="1" applyBorder="1" applyAlignment="1">
      <alignment horizontal="right"/>
    </xf>
    <xf numFmtId="166" fontId="6" fillId="177" borderId="0" xfId="0" applyNumberFormat="1" applyFont="1" applyFill="1" applyBorder="1" applyAlignment="1">
      <alignment horizontal="right"/>
    </xf>
    <xf numFmtId="166" fontId="6" fillId="177" borderId="13" xfId="0" applyNumberFormat="1" applyFont="1" applyFill="1" applyBorder="1" applyAlignment="1">
      <alignment horizontal="right"/>
    </xf>
    <xf numFmtId="1" fontId="6" fillId="178" borderId="0" xfId="0" applyNumberFormat="1" applyFont="1" applyFill="1" applyBorder="1" applyAlignment="1">
      <alignment horizontal="right"/>
    </xf>
    <xf numFmtId="166" fontId="6" fillId="178" borderId="0" xfId="0" applyNumberFormat="1" applyFont="1" applyFill="1" applyBorder="1" applyAlignment="1">
      <alignment horizontal="right"/>
    </xf>
    <xf numFmtId="166" fontId="6" fillId="178" borderId="13" xfId="0" applyNumberFormat="1" applyFont="1" applyFill="1" applyBorder="1" applyAlignment="1">
      <alignment horizontal="right"/>
    </xf>
    <xf numFmtId="1" fontId="6" fillId="179" borderId="0" xfId="0" applyNumberFormat="1" applyFont="1" applyFill="1" applyBorder="1" applyAlignment="1">
      <alignment horizontal="right"/>
    </xf>
    <xf numFmtId="166" fontId="6" fillId="179" borderId="0" xfId="0" applyNumberFormat="1" applyFont="1" applyFill="1" applyBorder="1" applyAlignment="1">
      <alignment horizontal="right"/>
    </xf>
    <xf numFmtId="166" fontId="6" fillId="179" borderId="13" xfId="0" applyNumberFormat="1" applyFont="1" applyFill="1" applyBorder="1" applyAlignment="1">
      <alignment horizontal="right"/>
    </xf>
    <xf numFmtId="1" fontId="6" fillId="180" borderId="0" xfId="0" applyNumberFormat="1" applyFont="1" applyFill="1" applyBorder="1" applyAlignment="1">
      <alignment horizontal="right"/>
    </xf>
    <xf numFmtId="166" fontId="6" fillId="180" borderId="0" xfId="0" applyNumberFormat="1" applyFont="1" applyFill="1" applyBorder="1" applyAlignment="1">
      <alignment horizontal="right"/>
    </xf>
    <xf numFmtId="166" fontId="6" fillId="180" borderId="13" xfId="0" applyNumberFormat="1" applyFont="1" applyFill="1" applyBorder="1" applyAlignment="1">
      <alignment horizontal="right"/>
    </xf>
    <xf numFmtId="1" fontId="6" fillId="180" borderId="5" xfId="0" applyNumberFormat="1" applyFont="1" applyFill="1" applyBorder="1" applyAlignment="1">
      <alignment horizontal="right"/>
    </xf>
    <xf numFmtId="166" fontId="6" fillId="180" borderId="5" xfId="0" applyNumberFormat="1" applyFont="1" applyFill="1" applyBorder="1" applyAlignment="1">
      <alignment horizontal="right"/>
    </xf>
    <xf numFmtId="166" fontId="6" fillId="180" borderId="15" xfId="0" applyNumberFormat="1" applyFont="1" applyFill="1" applyBorder="1" applyAlignment="1">
      <alignment horizontal="right"/>
    </xf>
    <xf numFmtId="0" fontId="0" fillId="0" borderId="17" xfId="0" applyBorder="1" applyAlignment="1">
      <alignment horizontal="center" vertical="center"/>
    </xf>
    <xf numFmtId="166" fontId="6" fillId="158" borderId="16" xfId="0" applyNumberFormat="1" applyFont="1" applyFill="1" applyBorder="1" applyAlignment="1">
      <alignment horizontal="right"/>
    </xf>
    <xf numFmtId="0" fontId="0" fillId="0" borderId="18" xfId="0" applyBorder="1" applyAlignment="1">
      <alignment horizontal="center"/>
    </xf>
    <xf numFmtId="0" fontId="0" fillId="0" borderId="17" xfId="0" applyFill="1" applyBorder="1" applyAlignment="1">
      <alignment horizontal="center" vertical="center"/>
    </xf>
    <xf numFmtId="166" fontId="6" fillId="169" borderId="16" xfId="0" applyNumberFormat="1" applyFont="1" applyFill="1" applyBorder="1" applyAlignment="1">
      <alignment horizontal="right"/>
    </xf>
    <xf numFmtId="166" fontId="6" fillId="164" borderId="16" xfId="0" applyNumberFormat="1" applyFont="1" applyFill="1" applyBorder="1" applyAlignment="1">
      <alignment horizontal="right"/>
    </xf>
    <xf numFmtId="166" fontId="6" fillId="159" borderId="16" xfId="0" applyNumberFormat="1" applyFont="1" applyFill="1" applyBorder="1" applyAlignment="1">
      <alignment horizontal="right"/>
    </xf>
    <xf numFmtId="166" fontId="6" fillId="166" borderId="16" xfId="0" applyNumberFormat="1" applyFont="1" applyFill="1" applyBorder="1" applyAlignment="1">
      <alignment horizontal="right"/>
    </xf>
    <xf numFmtId="166" fontId="6" fillId="172" borderId="16" xfId="0" applyNumberFormat="1" applyFont="1" applyFill="1" applyBorder="1" applyAlignment="1">
      <alignment horizontal="right"/>
    </xf>
    <xf numFmtId="166" fontId="13" fillId="2" borderId="16" xfId="0" applyNumberFormat="1" applyFont="1" applyFill="1" applyBorder="1" applyAlignment="1">
      <alignment horizontal="right"/>
    </xf>
    <xf numFmtId="166" fontId="13" fillId="176" borderId="16" xfId="0" applyNumberFormat="1" applyFont="1" applyFill="1" applyBorder="1" applyAlignment="1">
      <alignment horizontal="right"/>
    </xf>
    <xf numFmtId="166" fontId="6" fillId="177" borderId="16" xfId="0" applyNumberFormat="1" applyFont="1" applyFill="1" applyBorder="1" applyAlignment="1">
      <alignment horizontal="right"/>
    </xf>
    <xf numFmtId="166" fontId="6" fillId="178" borderId="16" xfId="0" applyNumberFormat="1" applyFont="1" applyFill="1" applyBorder="1" applyAlignment="1">
      <alignment horizontal="right"/>
    </xf>
    <xf numFmtId="166" fontId="6" fillId="179" borderId="16" xfId="0" applyNumberFormat="1" applyFont="1" applyFill="1" applyBorder="1" applyAlignment="1">
      <alignment horizontal="right"/>
    </xf>
    <xf numFmtId="166" fontId="6" fillId="180" borderId="16" xfId="0" applyNumberFormat="1" applyFont="1" applyFill="1" applyBorder="1" applyAlignment="1">
      <alignment horizontal="right"/>
    </xf>
    <xf numFmtId="166" fontId="6" fillId="175" borderId="16" xfId="0" applyNumberFormat="1" applyFont="1" applyFill="1" applyBorder="1" applyAlignment="1">
      <alignment horizontal="right"/>
    </xf>
    <xf numFmtId="166" fontId="6" fillId="163" borderId="16" xfId="0" applyNumberFormat="1" applyFont="1" applyFill="1" applyBorder="1" applyAlignment="1">
      <alignment horizontal="right"/>
    </xf>
    <xf numFmtId="166" fontId="6" fillId="161" borderId="16" xfId="0" applyNumberFormat="1" applyFont="1" applyFill="1" applyBorder="1" applyAlignment="1">
      <alignment horizontal="right"/>
    </xf>
    <xf numFmtId="166" fontId="6" fillId="171" borderId="16" xfId="0" applyNumberFormat="1" applyFont="1" applyFill="1" applyBorder="1" applyAlignment="1">
      <alignment horizontal="right"/>
    </xf>
    <xf numFmtId="166" fontId="6" fillId="168" borderId="16" xfId="0" applyNumberFormat="1" applyFont="1" applyFill="1" applyBorder="1" applyAlignment="1">
      <alignment horizontal="right"/>
    </xf>
    <xf numFmtId="166" fontId="6" fillId="173" borderId="16" xfId="0" applyNumberFormat="1" applyFont="1" applyFill="1" applyBorder="1" applyAlignment="1">
      <alignment horizontal="right"/>
    </xf>
    <xf numFmtId="166" fontId="6" fillId="174" borderId="16" xfId="0" applyNumberFormat="1" applyFont="1" applyFill="1" applyBorder="1" applyAlignment="1">
      <alignment horizontal="right"/>
    </xf>
    <xf numFmtId="166" fontId="6" fillId="167" borderId="16" xfId="0" applyNumberFormat="1" applyFont="1" applyFill="1" applyBorder="1" applyAlignment="1">
      <alignment horizontal="right"/>
    </xf>
    <xf numFmtId="166" fontId="6" fillId="162" borderId="16" xfId="0" applyNumberFormat="1" applyFont="1" applyFill="1" applyBorder="1" applyAlignment="1">
      <alignment horizontal="right"/>
    </xf>
    <xf numFmtId="166" fontId="6" fillId="165" borderId="16" xfId="0" applyNumberFormat="1" applyFont="1" applyFill="1" applyBorder="1" applyAlignment="1">
      <alignment horizontal="right"/>
    </xf>
    <xf numFmtId="166" fontId="6" fillId="160" borderId="16" xfId="0" applyNumberFormat="1" applyFont="1" applyFill="1" applyBorder="1" applyAlignment="1">
      <alignment horizontal="right"/>
    </xf>
    <xf numFmtId="1" fontId="6" fillId="181" borderId="0" xfId="0" applyNumberFormat="1" applyFont="1" applyFill="1" applyBorder="1" applyAlignment="1">
      <alignment horizontal="right"/>
    </xf>
    <xf numFmtId="1" fontId="6" fillId="181" borderId="0" xfId="0" applyNumberFormat="1" applyFont="1" applyFill="1" applyBorder="1" applyAlignment="1">
      <alignment horizontal="right" vertical="center"/>
    </xf>
    <xf numFmtId="166" fontId="6" fillId="181" borderId="16" xfId="0" applyNumberFormat="1" applyFont="1" applyFill="1" applyBorder="1" applyAlignment="1">
      <alignment horizontal="right"/>
    </xf>
    <xf numFmtId="166" fontId="6" fillId="182" borderId="9" xfId="0" applyNumberFormat="1" applyFont="1" applyFill="1" applyBorder="1" applyAlignment="1">
      <alignment horizontal="right"/>
    </xf>
    <xf numFmtId="1" fontId="6" fillId="182" borderId="9" xfId="0" applyNumberFormat="1" applyFont="1" applyFill="1" applyBorder="1" applyAlignment="1">
      <alignment horizontal="right"/>
    </xf>
    <xf numFmtId="2" fontId="6" fillId="182" borderId="12" xfId="0" applyNumberFormat="1" applyFont="1" applyFill="1" applyBorder="1" applyAlignment="1">
      <alignment horizontal="right"/>
    </xf>
    <xf numFmtId="166" fontId="6" fillId="182" borderId="0" xfId="0" applyNumberFormat="1" applyFont="1" applyFill="1" applyBorder="1" applyAlignment="1">
      <alignment horizontal="right"/>
    </xf>
    <xf numFmtId="1" fontId="6" fillId="182" borderId="0" xfId="0" applyNumberFormat="1" applyFont="1" applyFill="1" applyBorder="1" applyAlignment="1">
      <alignment horizontal="right"/>
    </xf>
    <xf numFmtId="2" fontId="6" fillId="182" borderId="13" xfId="0" applyNumberFormat="1" applyFont="1" applyFill="1" applyBorder="1" applyAlignment="1">
      <alignment horizontal="right"/>
    </xf>
    <xf numFmtId="166" fontId="6" fillId="183" borderId="0" xfId="0" applyNumberFormat="1" applyFont="1" applyFill="1" applyBorder="1" applyAlignment="1">
      <alignment horizontal="right"/>
    </xf>
    <xf numFmtId="1" fontId="6" fillId="183" borderId="0" xfId="0" applyNumberFormat="1" applyFont="1" applyFill="1" applyBorder="1" applyAlignment="1">
      <alignment horizontal="right"/>
    </xf>
    <xf numFmtId="2" fontId="6" fillId="183" borderId="13" xfId="0" applyNumberFormat="1" applyFont="1" applyFill="1" applyBorder="1" applyAlignment="1">
      <alignment horizontal="right"/>
    </xf>
    <xf numFmtId="166" fontId="6" fillId="184" borderId="0" xfId="0" applyNumberFormat="1" applyFont="1" applyFill="1" applyBorder="1" applyAlignment="1">
      <alignment horizontal="right"/>
    </xf>
    <xf numFmtId="1" fontId="6" fillId="184" borderId="0" xfId="0" applyNumberFormat="1" applyFont="1" applyFill="1" applyBorder="1" applyAlignment="1">
      <alignment horizontal="right"/>
    </xf>
    <xf numFmtId="2" fontId="6" fillId="184" borderId="13" xfId="0" applyNumberFormat="1" applyFont="1" applyFill="1" applyBorder="1" applyAlignment="1">
      <alignment horizontal="right"/>
    </xf>
    <xf numFmtId="166" fontId="6" fillId="185" borderId="0" xfId="0" applyNumberFormat="1" applyFont="1" applyFill="1" applyBorder="1" applyAlignment="1">
      <alignment horizontal="right"/>
    </xf>
    <xf numFmtId="1" fontId="6" fillId="185" borderId="0" xfId="0" applyNumberFormat="1" applyFont="1" applyFill="1" applyBorder="1" applyAlignment="1">
      <alignment horizontal="right"/>
    </xf>
    <xf numFmtId="2" fontId="6" fillId="185" borderId="13" xfId="0" applyNumberFormat="1" applyFont="1" applyFill="1" applyBorder="1" applyAlignment="1">
      <alignment horizontal="right"/>
    </xf>
    <xf numFmtId="166" fontId="6" fillId="186" borderId="0" xfId="0" applyNumberFormat="1" applyFont="1" applyFill="1" applyBorder="1" applyAlignment="1">
      <alignment horizontal="right"/>
    </xf>
    <xf numFmtId="1" fontId="6" fillId="186" borderId="0" xfId="0" applyNumberFormat="1" applyFont="1" applyFill="1" applyBorder="1" applyAlignment="1">
      <alignment horizontal="right"/>
    </xf>
    <xf numFmtId="2" fontId="6" fillId="186" borderId="13" xfId="0" applyNumberFormat="1" applyFont="1" applyFill="1" applyBorder="1" applyAlignment="1">
      <alignment horizontal="right"/>
    </xf>
    <xf numFmtId="166" fontId="6" fillId="187" borderId="0" xfId="0" applyNumberFormat="1" applyFont="1" applyFill="1" applyBorder="1" applyAlignment="1">
      <alignment horizontal="right"/>
    </xf>
    <xf numFmtId="1" fontId="6" fillId="187" borderId="0" xfId="0" applyNumberFormat="1" applyFont="1" applyFill="1" applyBorder="1" applyAlignment="1">
      <alignment horizontal="right"/>
    </xf>
    <xf numFmtId="2" fontId="6" fillId="187" borderId="13" xfId="0" applyNumberFormat="1" applyFont="1" applyFill="1" applyBorder="1" applyAlignment="1">
      <alignment horizontal="right"/>
    </xf>
    <xf numFmtId="166" fontId="6" fillId="187" borderId="5" xfId="0" applyNumberFormat="1" applyFont="1" applyFill="1" applyBorder="1" applyAlignment="1">
      <alignment horizontal="right"/>
    </xf>
    <xf numFmtId="1" fontId="6" fillId="187" borderId="5" xfId="0" applyNumberFormat="1" applyFont="1" applyFill="1" applyBorder="1" applyAlignment="1">
      <alignment horizontal="right"/>
    </xf>
    <xf numFmtId="166" fontId="6" fillId="188" borderId="0" xfId="0" applyNumberFormat="1" applyFont="1" applyFill="1" applyBorder="1" applyAlignment="1">
      <alignment horizontal="right"/>
    </xf>
    <xf numFmtId="1" fontId="6" fillId="188" borderId="0" xfId="0" applyNumberFormat="1" applyFont="1" applyFill="1" applyBorder="1" applyAlignment="1">
      <alignment horizontal="right"/>
    </xf>
    <xf numFmtId="2" fontId="6" fillId="188" borderId="13" xfId="0" applyNumberFormat="1" applyFont="1" applyFill="1" applyBorder="1" applyAlignment="1">
      <alignment horizontal="right"/>
    </xf>
    <xf numFmtId="166" fontId="6" fillId="189" borderId="9" xfId="0" applyNumberFormat="1" applyFont="1" applyFill="1" applyBorder="1" applyAlignment="1">
      <alignment horizontal="right"/>
    </xf>
    <xf numFmtId="1" fontId="6" fillId="189" borderId="9" xfId="0" applyNumberFormat="1" applyFont="1" applyFill="1" applyBorder="1" applyAlignment="1">
      <alignment horizontal="right"/>
    </xf>
    <xf numFmtId="2" fontId="6" fillId="189" borderId="13" xfId="0" applyNumberFormat="1" applyFont="1" applyFill="1" applyBorder="1" applyAlignment="1">
      <alignment horizontal="right"/>
    </xf>
    <xf numFmtId="166" fontId="6" fillId="189" borderId="0" xfId="0" applyNumberFormat="1" applyFont="1" applyFill="1" applyBorder="1" applyAlignment="1">
      <alignment horizontal="right"/>
    </xf>
    <xf numFmtId="1" fontId="6" fillId="189" borderId="0" xfId="0" applyNumberFormat="1" applyFont="1" applyFill="1" applyBorder="1" applyAlignment="1">
      <alignment horizontal="right"/>
    </xf>
    <xf numFmtId="166" fontId="6" fillId="190" borderId="0" xfId="0" applyNumberFormat="1" applyFont="1" applyFill="1" applyBorder="1" applyAlignment="1">
      <alignment horizontal="right"/>
    </xf>
    <xf numFmtId="1" fontId="6" fillId="190" borderId="0" xfId="0" applyNumberFormat="1" applyFont="1" applyFill="1" applyBorder="1" applyAlignment="1">
      <alignment horizontal="right"/>
    </xf>
    <xf numFmtId="2" fontId="6" fillId="190" borderId="13" xfId="0" applyNumberFormat="1" applyFont="1" applyFill="1" applyBorder="1" applyAlignment="1">
      <alignment horizontal="right"/>
    </xf>
    <xf numFmtId="166" fontId="6" fillId="191" borderId="0" xfId="0" applyNumberFormat="1" applyFont="1" applyFill="1" applyBorder="1" applyAlignment="1">
      <alignment horizontal="right"/>
    </xf>
    <xf numFmtId="1" fontId="6" fillId="191" borderId="0" xfId="0" applyNumberFormat="1" applyFont="1" applyFill="1" applyBorder="1" applyAlignment="1">
      <alignment horizontal="right"/>
    </xf>
    <xf numFmtId="2" fontId="6" fillId="191" borderId="13" xfId="0" applyNumberFormat="1" applyFont="1" applyFill="1" applyBorder="1" applyAlignment="1">
      <alignment horizontal="right"/>
    </xf>
    <xf numFmtId="166" fontId="6" fillId="192" borderId="0" xfId="0" applyNumberFormat="1" applyFont="1" applyFill="1" applyBorder="1" applyAlignment="1">
      <alignment horizontal="right"/>
    </xf>
    <xf numFmtId="1" fontId="6" fillId="192" borderId="0" xfId="0" applyNumberFormat="1" applyFont="1" applyFill="1" applyBorder="1" applyAlignment="1">
      <alignment horizontal="right"/>
    </xf>
    <xf numFmtId="2" fontId="6" fillId="192" borderId="13" xfId="0" applyNumberFormat="1" applyFont="1" applyFill="1" applyBorder="1" applyAlignment="1">
      <alignment horizontal="right"/>
    </xf>
    <xf numFmtId="166" fontId="6" fillId="193" borderId="0" xfId="0" applyNumberFormat="1" applyFont="1" applyFill="1" applyBorder="1" applyAlignment="1">
      <alignment horizontal="right"/>
    </xf>
    <xf numFmtId="1" fontId="6" fillId="193" borderId="0" xfId="0" applyNumberFormat="1" applyFont="1" applyFill="1" applyBorder="1" applyAlignment="1">
      <alignment horizontal="right"/>
    </xf>
    <xf numFmtId="2" fontId="6" fillId="193" borderId="13" xfId="0" applyNumberFormat="1" applyFont="1" applyFill="1" applyBorder="1" applyAlignment="1">
      <alignment horizontal="right"/>
    </xf>
    <xf numFmtId="166" fontId="6" fillId="194" borderId="0" xfId="0" applyNumberFormat="1" applyFont="1" applyFill="1" applyBorder="1" applyAlignment="1">
      <alignment horizontal="right"/>
    </xf>
    <xf numFmtId="1" fontId="6" fillId="194" borderId="0" xfId="0" applyNumberFormat="1" applyFont="1" applyFill="1" applyBorder="1" applyAlignment="1">
      <alignment horizontal="right"/>
    </xf>
    <xf numFmtId="2" fontId="6" fillId="194" borderId="13" xfId="0" applyNumberFormat="1" applyFont="1" applyFill="1" applyBorder="1" applyAlignment="1">
      <alignment horizontal="right"/>
    </xf>
    <xf numFmtId="166" fontId="6" fillId="194" borderId="5" xfId="0" applyNumberFormat="1" applyFont="1" applyFill="1" applyBorder="1" applyAlignment="1">
      <alignment horizontal="right"/>
    </xf>
    <xf numFmtId="1" fontId="6" fillId="194" borderId="5" xfId="0" applyNumberFormat="1" applyFont="1" applyFill="1" applyBorder="1" applyAlignment="1">
      <alignment horizontal="right"/>
    </xf>
    <xf numFmtId="166" fontId="6" fillId="195" borderId="9" xfId="0" applyNumberFormat="1" applyFont="1" applyFill="1" applyBorder="1" applyAlignment="1">
      <alignment horizontal="right"/>
    </xf>
    <xf numFmtId="1" fontId="6" fillId="195" borderId="9" xfId="0" applyNumberFormat="1" applyFont="1" applyFill="1" applyBorder="1" applyAlignment="1">
      <alignment horizontal="right"/>
    </xf>
    <xf numFmtId="2" fontId="6" fillId="195" borderId="13" xfId="0" applyNumberFormat="1" applyFont="1" applyFill="1" applyBorder="1" applyAlignment="1">
      <alignment horizontal="right"/>
    </xf>
    <xf numFmtId="166" fontId="6" fillId="195" borderId="0" xfId="0" applyNumberFormat="1" applyFont="1" applyFill="1" applyBorder="1" applyAlignment="1">
      <alignment horizontal="right" vertical="center"/>
    </xf>
    <xf numFmtId="1" fontId="6" fillId="195" borderId="0" xfId="0" applyNumberFormat="1" applyFont="1" applyFill="1" applyBorder="1" applyAlignment="1">
      <alignment horizontal="right"/>
    </xf>
    <xf numFmtId="166" fontId="6" fillId="196" borderId="0" xfId="0" applyNumberFormat="1" applyFont="1" applyFill="1" applyBorder="1" applyAlignment="1">
      <alignment horizontal="right"/>
    </xf>
    <xf numFmtId="1" fontId="6" fillId="196" borderId="0" xfId="0" applyNumberFormat="1" applyFont="1" applyFill="1" applyBorder="1" applyAlignment="1">
      <alignment horizontal="right"/>
    </xf>
    <xf numFmtId="2" fontId="6" fillId="196" borderId="13" xfId="0" applyNumberFormat="1" applyFont="1" applyFill="1" applyBorder="1" applyAlignment="1">
      <alignment horizontal="right"/>
    </xf>
    <xf numFmtId="166" fontId="6" fillId="197" borderId="0" xfId="0" applyNumberFormat="1" applyFont="1" applyFill="1" applyBorder="1" applyAlignment="1">
      <alignment horizontal="right"/>
    </xf>
    <xf numFmtId="1" fontId="6" fillId="197" borderId="0" xfId="0" applyNumberFormat="1" applyFont="1" applyFill="1" applyBorder="1" applyAlignment="1">
      <alignment horizontal="right"/>
    </xf>
    <xf numFmtId="2" fontId="6" fillId="197" borderId="13" xfId="0" applyNumberFormat="1" applyFont="1" applyFill="1" applyBorder="1" applyAlignment="1">
      <alignment horizontal="right"/>
    </xf>
    <xf numFmtId="166" fontId="6" fillId="197" borderId="0" xfId="0" applyNumberFormat="1" applyFont="1" applyFill="1" applyBorder="1" applyAlignment="1">
      <alignment horizontal="right" vertical="center"/>
    </xf>
    <xf numFmtId="166" fontId="6" fillId="198" borderId="0" xfId="0" applyNumberFormat="1" applyFont="1" applyFill="1" applyBorder="1" applyAlignment="1">
      <alignment horizontal="right"/>
    </xf>
    <xf numFmtId="1" fontId="6" fillId="198" borderId="0" xfId="0" applyNumberFormat="1" applyFont="1" applyFill="1" applyBorder="1" applyAlignment="1">
      <alignment horizontal="right"/>
    </xf>
    <xf numFmtId="2" fontId="6" fillId="198" borderId="13" xfId="0" applyNumberFormat="1" applyFont="1" applyFill="1" applyBorder="1" applyAlignment="1">
      <alignment horizontal="right"/>
    </xf>
    <xf numFmtId="166" fontId="6" fillId="199" borderId="0" xfId="0" applyNumberFormat="1" applyFont="1" applyFill="1" applyBorder="1" applyAlignment="1">
      <alignment horizontal="right"/>
    </xf>
    <xf numFmtId="1" fontId="6" fillId="199" borderId="0" xfId="0" applyNumberFormat="1" applyFont="1" applyFill="1" applyBorder="1" applyAlignment="1">
      <alignment horizontal="right"/>
    </xf>
    <xf numFmtId="2" fontId="6" fillId="199" borderId="13" xfId="0" applyNumberFormat="1" applyFont="1" applyFill="1" applyBorder="1" applyAlignment="1">
      <alignment horizontal="right"/>
    </xf>
    <xf numFmtId="166" fontId="13" fillId="200" borderId="0" xfId="0" applyNumberFormat="1" applyFont="1" applyFill="1" applyBorder="1" applyAlignment="1">
      <alignment horizontal="right"/>
    </xf>
    <xf numFmtId="1" fontId="13" fillId="200" borderId="0" xfId="0" applyNumberFormat="1" applyFont="1" applyFill="1" applyBorder="1" applyAlignment="1">
      <alignment horizontal="right"/>
    </xf>
    <xf numFmtId="2" fontId="13" fillId="200" borderId="13" xfId="0" applyNumberFormat="1" applyFont="1" applyFill="1" applyBorder="1" applyAlignment="1">
      <alignment horizontal="right"/>
    </xf>
    <xf numFmtId="166" fontId="6" fillId="201" borderId="0" xfId="0" applyNumberFormat="1" applyFont="1" applyFill="1" applyBorder="1" applyAlignment="1">
      <alignment horizontal="right"/>
    </xf>
    <xf numFmtId="1" fontId="6" fillId="201" borderId="0" xfId="0" applyNumberFormat="1" applyFont="1" applyFill="1" applyBorder="1" applyAlignment="1">
      <alignment horizontal="right"/>
    </xf>
    <xf numFmtId="2" fontId="6" fillId="201" borderId="13" xfId="0" applyNumberFormat="1" applyFont="1" applyFill="1" applyBorder="1" applyAlignment="1">
      <alignment horizontal="right"/>
    </xf>
    <xf numFmtId="166" fontId="6" fillId="202" borderId="0" xfId="0" applyNumberFormat="1" applyFont="1" applyFill="1" applyBorder="1" applyAlignment="1">
      <alignment horizontal="right"/>
    </xf>
    <xf numFmtId="1" fontId="6" fillId="202" borderId="0" xfId="0" applyNumberFormat="1" applyFont="1" applyFill="1" applyBorder="1" applyAlignment="1">
      <alignment horizontal="right"/>
    </xf>
    <xf numFmtId="2" fontId="6" fillId="202" borderId="13" xfId="0" applyNumberFormat="1" applyFont="1" applyFill="1" applyBorder="1" applyAlignment="1">
      <alignment horizontal="right"/>
    </xf>
    <xf numFmtId="166" fontId="6" fillId="203" borderId="0" xfId="0" applyNumberFormat="1" applyFont="1" applyFill="1" applyBorder="1" applyAlignment="1">
      <alignment horizontal="right"/>
    </xf>
    <xf numFmtId="1" fontId="6" fillId="203" borderId="0" xfId="0" applyNumberFormat="1" applyFont="1" applyFill="1" applyBorder="1" applyAlignment="1">
      <alignment horizontal="right"/>
    </xf>
    <xf numFmtId="2" fontId="6" fillId="203" borderId="13" xfId="0" applyNumberFormat="1" applyFont="1" applyFill="1" applyBorder="1" applyAlignment="1">
      <alignment horizontal="right"/>
    </xf>
    <xf numFmtId="166" fontId="6" fillId="204" borderId="0" xfId="0" applyNumberFormat="1" applyFont="1" applyFill="1" applyBorder="1" applyAlignment="1">
      <alignment horizontal="right"/>
    </xf>
    <xf numFmtId="1" fontId="6" fillId="204" borderId="0" xfId="0" applyNumberFormat="1" applyFont="1" applyFill="1" applyBorder="1" applyAlignment="1">
      <alignment horizontal="right"/>
    </xf>
    <xf numFmtId="2" fontId="6" fillId="204" borderId="13" xfId="0" applyNumberFormat="1" applyFont="1" applyFill="1" applyBorder="1" applyAlignment="1">
      <alignment horizontal="right"/>
    </xf>
    <xf numFmtId="166" fontId="6" fillId="205" borderId="0" xfId="0" applyNumberFormat="1" applyFont="1" applyFill="1" applyBorder="1" applyAlignment="1">
      <alignment horizontal="right"/>
    </xf>
    <xf numFmtId="1" fontId="6" fillId="205" borderId="0" xfId="0" applyNumberFormat="1" applyFont="1" applyFill="1" applyBorder="1" applyAlignment="1">
      <alignment horizontal="right"/>
    </xf>
    <xf numFmtId="2" fontId="6" fillId="205" borderId="13" xfId="0" applyNumberFormat="1" applyFont="1" applyFill="1" applyBorder="1" applyAlignment="1">
      <alignment horizontal="right"/>
    </xf>
    <xf numFmtId="166" fontId="6" fillId="205" borderId="5" xfId="0" applyNumberFormat="1" applyFont="1" applyFill="1" applyBorder="1" applyAlignment="1">
      <alignment horizontal="right"/>
    </xf>
    <xf numFmtId="1" fontId="6" fillId="205" borderId="5" xfId="0" applyNumberFormat="1" applyFont="1" applyFill="1" applyBorder="1" applyAlignment="1">
      <alignment horizontal="right"/>
    </xf>
    <xf numFmtId="2" fontId="6" fillId="205" borderId="15" xfId="0" applyNumberFormat="1" applyFont="1" applyFill="1" applyBorder="1" applyAlignment="1">
      <alignment horizontal="right"/>
    </xf>
    <xf numFmtId="1" fontId="13" fillId="0" borderId="0" xfId="0" applyNumberFormat="1" applyFont="1" applyAlignment="1">
      <alignment horizontal="right"/>
    </xf>
    <xf numFmtId="164" fontId="27" fillId="12" borderId="1" xfId="0" applyNumberFormat="1" applyFont="1" applyFill="1" applyBorder="1" applyAlignment="1">
      <alignment vertical="top" wrapText="1"/>
    </xf>
    <xf numFmtId="164" fontId="14" fillId="7" borderId="10" xfId="0" applyNumberFormat="1" applyFont="1" applyFill="1" applyBorder="1" applyAlignment="1">
      <alignment horizontal="right" vertical="center" wrapText="1"/>
    </xf>
    <xf numFmtId="164" fontId="14" fillId="7" borderId="6" xfId="0" applyNumberFormat="1" applyFont="1" applyFill="1" applyBorder="1" applyAlignment="1">
      <alignment horizontal="right" vertical="center" wrapText="1"/>
    </xf>
    <xf numFmtId="164" fontId="14" fillId="7" borderId="11" xfId="0" applyNumberFormat="1" applyFont="1" applyFill="1" applyBorder="1" applyAlignment="1">
      <alignment horizontal="right" vertical="center" wrapText="1"/>
    </xf>
    <xf numFmtId="1" fontId="26" fillId="11" borderId="2" xfId="0" applyNumberFormat="1" applyFont="1" applyFill="1" applyBorder="1" applyAlignment="1">
      <alignment vertical="center" wrapText="1"/>
    </xf>
    <xf numFmtId="1" fontId="5" fillId="0" borderId="0" xfId="0" applyNumberFormat="1" applyFont="1" applyAlignment="1">
      <alignment horizontal="right"/>
    </xf>
    <xf numFmtId="2" fontId="5" fillId="4" borderId="0" xfId="0" applyNumberFormat="1" applyFont="1" applyFill="1"/>
    <xf numFmtId="0" fontId="0" fillId="0" borderId="0" xfId="0" applyFont="1" applyAlignment="1">
      <alignment horizontal="right"/>
    </xf>
    <xf numFmtId="1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right"/>
    </xf>
    <xf numFmtId="1" fontId="0" fillId="0" borderId="0" xfId="0" applyNumberFormat="1" applyFont="1"/>
    <xf numFmtId="166" fontId="0" fillId="0" borderId="0" xfId="0" applyNumberFormat="1" applyFont="1"/>
    <xf numFmtId="166" fontId="14" fillId="7" borderId="10" xfId="0" applyNumberFormat="1" applyFont="1" applyFill="1" applyBorder="1" applyAlignment="1">
      <alignment horizontal="right" vertical="center" wrapText="1"/>
    </xf>
    <xf numFmtId="166" fontId="14" fillId="12" borderId="10" xfId="0" applyNumberFormat="1" applyFont="1" applyFill="1" applyBorder="1" applyAlignment="1">
      <alignment horizontal="right" vertical="center" wrapText="1"/>
    </xf>
    <xf numFmtId="166" fontId="14" fillId="7" borderId="6" xfId="0" applyNumberFormat="1" applyFont="1" applyFill="1" applyBorder="1" applyAlignment="1">
      <alignment horizontal="right" vertical="center" wrapText="1"/>
    </xf>
    <xf numFmtId="166" fontId="14" fillId="12" borderId="6" xfId="0" applyNumberFormat="1" applyFont="1" applyFill="1" applyBorder="1" applyAlignment="1">
      <alignment horizontal="right" vertical="center" wrapText="1"/>
    </xf>
    <xf numFmtId="166" fontId="14" fillId="7" borderId="11" xfId="0" applyNumberFormat="1" applyFont="1" applyFill="1" applyBorder="1" applyAlignment="1">
      <alignment horizontal="right" vertical="center" wrapText="1"/>
    </xf>
    <xf numFmtId="166" fontId="14" fillId="12" borderId="11" xfId="0" applyNumberFormat="1" applyFont="1" applyFill="1" applyBorder="1" applyAlignment="1">
      <alignment horizontal="right" vertical="center" wrapText="1"/>
    </xf>
    <xf numFmtId="1" fontId="0" fillId="0" borderId="0" xfId="0" applyNumberFormat="1" applyFont="1" applyAlignment="1"/>
    <xf numFmtId="1" fontId="12" fillId="12" borderId="10" xfId="0" applyNumberFormat="1" applyFont="1" applyFill="1" applyBorder="1" applyAlignment="1">
      <alignment vertical="center" wrapText="1"/>
    </xf>
    <xf numFmtId="167" fontId="14" fillId="0" borderId="10" xfId="0" applyNumberFormat="1" applyFont="1" applyFill="1" applyBorder="1" applyAlignment="1">
      <alignment vertical="center" wrapText="1"/>
    </xf>
    <xf numFmtId="166" fontId="0" fillId="0" borderId="0" xfId="0" applyNumberFormat="1" applyFont="1" applyAlignment="1">
      <alignment horizontal="right"/>
    </xf>
    <xf numFmtId="1" fontId="12" fillId="12" borderId="6" xfId="0" applyNumberFormat="1" applyFont="1" applyFill="1" applyBorder="1" applyAlignment="1">
      <alignment vertical="center" wrapText="1"/>
    </xf>
    <xf numFmtId="167" fontId="14" fillId="0" borderId="6" xfId="0" applyNumberFormat="1" applyFont="1" applyFill="1" applyBorder="1" applyAlignment="1">
      <alignment vertical="center" wrapText="1"/>
    </xf>
    <xf numFmtId="167" fontId="14" fillId="0" borderId="11" xfId="0" applyNumberFormat="1" applyFont="1" applyFill="1" applyBorder="1" applyAlignment="1">
      <alignment vertical="center" wrapText="1"/>
    </xf>
    <xf numFmtId="1" fontId="12" fillId="12" borderId="11" xfId="0" applyNumberFormat="1" applyFont="1" applyFill="1" applyBorder="1" applyAlignment="1">
      <alignment vertical="center" wrapText="1"/>
    </xf>
    <xf numFmtId="166" fontId="0" fillId="4" borderId="0" xfId="0" applyNumberFormat="1" applyFont="1" applyFill="1"/>
    <xf numFmtId="1" fontId="0" fillId="4" borderId="0" xfId="0" applyNumberFormat="1" applyFont="1" applyFill="1" applyAlignment="1">
      <alignment horizontal="right"/>
    </xf>
    <xf numFmtId="166" fontId="0" fillId="0" borderId="0" xfId="0" applyNumberFormat="1" applyFont="1" applyAlignment="1">
      <alignment horizontal="right" vertical="center"/>
    </xf>
    <xf numFmtId="1" fontId="0" fillId="0" borderId="0" xfId="0" applyNumberFormat="1" applyFont="1" applyAlignment="1">
      <alignment horizontal="right" vertical="center"/>
    </xf>
    <xf numFmtId="165" fontId="14" fillId="0" borderId="1" xfId="0" applyNumberFormat="1" applyFont="1" applyFill="1" applyBorder="1" applyAlignment="1">
      <alignment vertical="center" wrapText="1"/>
    </xf>
    <xf numFmtId="1" fontId="0" fillId="0" borderId="0" xfId="0" applyNumberFormat="1" applyFont="1" applyAlignment="1">
      <alignment horizontal="left"/>
    </xf>
    <xf numFmtId="167" fontId="14" fillId="0" borderId="8" xfId="0" applyNumberFormat="1" applyFont="1" applyFill="1" applyBorder="1" applyAlignment="1">
      <alignment vertical="center" wrapText="1"/>
    </xf>
    <xf numFmtId="167" fontId="14" fillId="0" borderId="9" xfId="0" applyNumberFormat="1" applyFont="1" applyFill="1" applyBorder="1" applyAlignment="1">
      <alignment vertical="center" wrapText="1"/>
    </xf>
    <xf numFmtId="167" fontId="14" fillId="0" borderId="12" xfId="0" applyNumberFormat="1" applyFont="1" applyFill="1" applyBorder="1" applyAlignment="1">
      <alignment vertical="center" wrapText="1"/>
    </xf>
    <xf numFmtId="167" fontId="14" fillId="0" borderId="7" xfId="0" applyNumberFormat="1" applyFont="1" applyFill="1" applyBorder="1" applyAlignment="1">
      <alignment vertical="center" wrapText="1"/>
    </xf>
    <xf numFmtId="167" fontId="14" fillId="0" borderId="0" xfId="0" applyNumberFormat="1" applyFont="1" applyFill="1" applyBorder="1" applyAlignment="1">
      <alignment vertical="center" wrapText="1"/>
    </xf>
    <xf numFmtId="167" fontId="14" fillId="0" borderId="13" xfId="0" applyNumberFormat="1" applyFont="1" applyFill="1" applyBorder="1" applyAlignment="1">
      <alignment vertical="center" wrapText="1"/>
    </xf>
    <xf numFmtId="167" fontId="14" fillId="0" borderId="14" xfId="0" applyNumberFormat="1" applyFont="1" applyFill="1" applyBorder="1" applyAlignment="1">
      <alignment vertical="center" wrapText="1"/>
    </xf>
    <xf numFmtId="167" fontId="14" fillId="0" borderId="5" xfId="0" applyNumberFormat="1" applyFont="1" applyFill="1" applyBorder="1" applyAlignment="1">
      <alignment vertical="center" wrapText="1"/>
    </xf>
    <xf numFmtId="167" fontId="14" fillId="0" borderId="15" xfId="0" applyNumberFormat="1" applyFont="1" applyFill="1" applyBorder="1" applyAlignment="1">
      <alignment vertical="center" wrapText="1"/>
    </xf>
    <xf numFmtId="1" fontId="3" fillId="4" borderId="0" xfId="1" applyNumberFormat="1" applyFont="1" applyFill="1" applyAlignment="1">
      <alignment horizontal="left"/>
    </xf>
    <xf numFmtId="168" fontId="0" fillId="0" borderId="0" xfId="0" applyNumberFormat="1" applyFont="1" applyAlignment="1">
      <alignment horizontal="right"/>
    </xf>
    <xf numFmtId="2" fontId="0" fillId="0" borderId="0" xfId="0" applyNumberFormat="1" applyFont="1"/>
    <xf numFmtId="0" fontId="29" fillId="0" borderId="0" xfId="0" applyFont="1" applyAlignment="1">
      <alignment vertical="center" wrapText="1"/>
    </xf>
    <xf numFmtId="169" fontId="16" fillId="0" borderId="0" xfId="0" applyNumberFormat="1" applyFont="1" applyAlignment="1">
      <alignment vertical="center"/>
    </xf>
    <xf numFmtId="169" fontId="16" fillId="0" borderId="0" xfId="0" applyNumberFormat="1" applyFont="1" applyAlignment="1">
      <alignment horizontal="left" vertical="center"/>
    </xf>
    <xf numFmtId="167" fontId="30" fillId="2" borderId="0" xfId="0" applyNumberFormat="1" applyFont="1" applyFill="1" applyAlignment="1">
      <alignment horizontal="left" vertical="center"/>
    </xf>
    <xf numFmtId="167" fontId="31" fillId="0" borderId="0" xfId="0" applyNumberFormat="1" applyFont="1"/>
    <xf numFmtId="2" fontId="31" fillId="0" borderId="0" xfId="0" applyNumberFormat="1" applyFont="1"/>
    <xf numFmtId="1" fontId="6" fillId="206" borderId="8" xfId="0" applyNumberFormat="1" applyFont="1" applyFill="1" applyBorder="1" applyAlignment="1">
      <alignment horizontal="right" vertical="center" wrapText="1"/>
    </xf>
    <xf numFmtId="1" fontId="6" fillId="206" borderId="7" xfId="0" applyNumberFormat="1" applyFont="1" applyFill="1" applyBorder="1" applyAlignment="1">
      <alignment horizontal="right" vertical="center" wrapText="1"/>
    </xf>
    <xf numFmtId="1" fontId="6" fillId="207" borderId="7" xfId="0" applyNumberFormat="1" applyFont="1" applyFill="1" applyBorder="1" applyAlignment="1">
      <alignment horizontal="right" vertical="center" wrapText="1"/>
    </xf>
    <xf numFmtId="1" fontId="6" fillId="208" borderId="7" xfId="0" applyNumberFormat="1" applyFont="1" applyFill="1" applyBorder="1" applyAlignment="1">
      <alignment horizontal="right" vertical="center" wrapText="1"/>
    </xf>
    <xf numFmtId="1" fontId="6" fillId="209" borderId="7" xfId="0" applyNumberFormat="1" applyFont="1" applyFill="1" applyBorder="1" applyAlignment="1">
      <alignment horizontal="right" vertical="center" wrapText="1"/>
    </xf>
    <xf numFmtId="1" fontId="6" fillId="210" borderId="7" xfId="0" applyNumberFormat="1" applyFont="1" applyFill="1" applyBorder="1" applyAlignment="1">
      <alignment horizontal="right" vertical="center" wrapText="1"/>
    </xf>
    <xf numFmtId="1" fontId="6" fillId="211" borderId="7" xfId="0" applyNumberFormat="1" applyFont="1" applyFill="1" applyBorder="1" applyAlignment="1">
      <alignment horizontal="right" vertical="center" wrapText="1"/>
    </xf>
    <xf numFmtId="1" fontId="6" fillId="211" borderId="14" xfId="0" applyNumberFormat="1" applyFont="1" applyFill="1" applyBorder="1" applyAlignment="1">
      <alignment horizontal="right" vertical="center" wrapText="1"/>
    </xf>
    <xf numFmtId="1" fontId="6" fillId="212" borderId="8" xfId="0" applyNumberFormat="1" applyFont="1" applyFill="1" applyBorder="1" applyAlignment="1">
      <alignment horizontal="right" vertical="center" wrapText="1"/>
    </xf>
    <xf numFmtId="1" fontId="6" fillId="212" borderId="7" xfId="0" applyNumberFormat="1" applyFont="1" applyFill="1" applyBorder="1" applyAlignment="1">
      <alignment horizontal="right" vertical="center" wrapText="1"/>
    </xf>
    <xf numFmtId="1" fontId="6" fillId="213" borderId="7" xfId="0" applyNumberFormat="1" applyFont="1" applyFill="1" applyBorder="1" applyAlignment="1">
      <alignment horizontal="right" vertical="center" wrapText="1"/>
    </xf>
    <xf numFmtId="1" fontId="6" fillId="214" borderId="7" xfId="0" applyNumberFormat="1" applyFont="1" applyFill="1" applyBorder="1" applyAlignment="1">
      <alignment horizontal="right" vertical="center" wrapText="1"/>
    </xf>
    <xf numFmtId="1" fontId="6" fillId="215" borderId="7" xfId="0" applyNumberFormat="1" applyFont="1" applyFill="1" applyBorder="1" applyAlignment="1">
      <alignment horizontal="right" vertical="center" wrapText="1"/>
    </xf>
    <xf numFmtId="1" fontId="6" fillId="216" borderId="7" xfId="0" applyNumberFormat="1" applyFont="1" applyFill="1" applyBorder="1" applyAlignment="1">
      <alignment horizontal="right" vertical="center" wrapText="1"/>
    </xf>
    <xf numFmtId="1" fontId="6" fillId="217" borderId="7" xfId="0" applyNumberFormat="1" applyFont="1" applyFill="1" applyBorder="1" applyAlignment="1">
      <alignment horizontal="right" vertical="center" wrapText="1"/>
    </xf>
    <xf numFmtId="1" fontId="6" fillId="217" borderId="14" xfId="0" applyNumberFormat="1" applyFont="1" applyFill="1" applyBorder="1" applyAlignment="1">
      <alignment horizontal="right" vertical="center" wrapText="1"/>
    </xf>
    <xf numFmtId="1" fontId="6" fillId="218" borderId="8" xfId="0" applyNumberFormat="1" applyFont="1" applyFill="1" applyBorder="1" applyAlignment="1">
      <alignment horizontal="right" vertical="center" wrapText="1"/>
    </xf>
    <xf numFmtId="1" fontId="6" fillId="218" borderId="7" xfId="0" applyNumberFormat="1" applyFont="1" applyFill="1" applyBorder="1" applyAlignment="1">
      <alignment horizontal="right" vertical="center" wrapText="1"/>
    </xf>
    <xf numFmtId="1" fontId="6" fillId="219" borderId="7" xfId="0" applyNumberFormat="1" applyFont="1" applyFill="1" applyBorder="1" applyAlignment="1">
      <alignment horizontal="right" vertical="center" wrapText="1"/>
    </xf>
    <xf numFmtId="1" fontId="6" fillId="220" borderId="7" xfId="0" applyNumberFormat="1" applyFont="1" applyFill="1" applyBorder="1" applyAlignment="1">
      <alignment horizontal="right" vertical="center" wrapText="1"/>
    </xf>
    <xf numFmtId="1" fontId="6" fillId="221" borderId="7" xfId="0" applyNumberFormat="1" applyFont="1" applyFill="1" applyBorder="1" applyAlignment="1">
      <alignment horizontal="right" vertical="center" wrapText="1"/>
    </xf>
    <xf numFmtId="1" fontId="6" fillId="222" borderId="7" xfId="0" applyNumberFormat="1" applyFont="1" applyFill="1" applyBorder="1" applyAlignment="1">
      <alignment horizontal="right" vertical="center" wrapText="1"/>
    </xf>
    <xf numFmtId="1" fontId="6" fillId="223" borderId="7" xfId="0" applyNumberFormat="1" applyFont="1" applyFill="1" applyBorder="1" applyAlignment="1">
      <alignment horizontal="right" vertical="center" wrapText="1"/>
    </xf>
    <xf numFmtId="1" fontId="6" fillId="223" borderId="14" xfId="0" applyNumberFormat="1" applyFont="1" applyFill="1" applyBorder="1" applyAlignment="1">
      <alignment horizontal="right" vertical="center" wrapText="1"/>
    </xf>
    <xf numFmtId="1" fontId="6" fillId="224" borderId="8" xfId="0" applyNumberFormat="1" applyFont="1" applyFill="1" applyBorder="1" applyAlignment="1">
      <alignment horizontal="right" vertical="center" wrapText="1"/>
    </xf>
    <xf numFmtId="1" fontId="6" fillId="224" borderId="7" xfId="0" applyNumberFormat="1" applyFont="1" applyFill="1" applyBorder="1" applyAlignment="1">
      <alignment horizontal="right" vertical="center" wrapText="1"/>
    </xf>
    <xf numFmtId="1" fontId="6" fillId="225" borderId="7" xfId="0" applyNumberFormat="1" applyFont="1" applyFill="1" applyBorder="1" applyAlignment="1">
      <alignment horizontal="right" vertical="center" wrapText="1"/>
    </xf>
    <xf numFmtId="1" fontId="6" fillId="226" borderId="7" xfId="0" applyNumberFormat="1" applyFont="1" applyFill="1" applyBorder="1" applyAlignment="1">
      <alignment horizontal="right" vertical="center" wrapText="1"/>
    </xf>
    <xf numFmtId="1" fontId="6" fillId="227" borderId="7" xfId="0" applyNumberFormat="1" applyFont="1" applyFill="1" applyBorder="1" applyAlignment="1">
      <alignment horizontal="right" vertical="center" wrapText="1"/>
    </xf>
    <xf numFmtId="1" fontId="6" fillId="228" borderId="7" xfId="0" applyNumberFormat="1" applyFont="1" applyFill="1" applyBorder="1" applyAlignment="1">
      <alignment horizontal="right" vertical="center" wrapText="1"/>
    </xf>
    <xf numFmtId="1" fontId="6" fillId="156" borderId="7" xfId="0" applyNumberFormat="1" applyFont="1" applyFill="1" applyBorder="1" applyAlignment="1">
      <alignment horizontal="right" vertical="center" wrapText="1"/>
    </xf>
    <xf numFmtId="1" fontId="6" fillId="156" borderId="14" xfId="0" applyNumberFormat="1" applyFont="1" applyFill="1" applyBorder="1" applyAlignment="1">
      <alignment horizontal="right" vertical="center" wrapText="1"/>
    </xf>
    <xf numFmtId="2" fontId="6" fillId="182" borderId="0" xfId="0" applyNumberFormat="1" applyFont="1" applyFill="1" applyBorder="1" applyAlignment="1">
      <alignment horizontal="right"/>
    </xf>
    <xf numFmtId="2" fontId="6" fillId="183" borderId="0" xfId="0" applyNumberFormat="1" applyFont="1" applyFill="1" applyBorder="1" applyAlignment="1">
      <alignment horizontal="right"/>
    </xf>
    <xf numFmtId="2" fontId="6" fillId="184" borderId="0" xfId="0" applyNumberFormat="1" applyFont="1" applyFill="1" applyBorder="1" applyAlignment="1">
      <alignment horizontal="right"/>
    </xf>
    <xf numFmtId="2" fontId="6" fillId="185" borderId="0" xfId="0" applyNumberFormat="1" applyFont="1" applyFill="1" applyBorder="1" applyAlignment="1">
      <alignment horizontal="right"/>
    </xf>
    <xf numFmtId="2" fontId="6" fillId="186" borderId="0" xfId="0" applyNumberFormat="1" applyFont="1" applyFill="1" applyBorder="1" applyAlignment="1">
      <alignment horizontal="right"/>
    </xf>
    <xf numFmtId="2" fontId="6" fillId="187" borderId="0" xfId="0" applyNumberFormat="1" applyFont="1" applyFill="1" applyBorder="1" applyAlignment="1">
      <alignment horizontal="right"/>
    </xf>
    <xf numFmtId="2" fontId="6" fillId="189" borderId="0" xfId="0" applyNumberFormat="1" applyFont="1" applyFill="1" applyBorder="1" applyAlignment="1">
      <alignment horizontal="right"/>
    </xf>
    <xf numFmtId="2" fontId="6" fillId="190" borderId="0" xfId="0" applyNumberFormat="1" applyFont="1" applyFill="1" applyBorder="1" applyAlignment="1">
      <alignment horizontal="right"/>
    </xf>
    <xf numFmtId="2" fontId="6" fillId="191" borderId="0" xfId="0" applyNumberFormat="1" applyFont="1" applyFill="1" applyBorder="1" applyAlignment="1">
      <alignment horizontal="right"/>
    </xf>
    <xf numFmtId="2" fontId="6" fillId="192" borderId="0" xfId="0" applyNumberFormat="1" applyFont="1" applyFill="1" applyBorder="1" applyAlignment="1">
      <alignment horizontal="right"/>
    </xf>
    <xf numFmtId="2" fontId="6" fillId="193" borderId="0" xfId="0" applyNumberFormat="1" applyFont="1" applyFill="1" applyBorder="1" applyAlignment="1">
      <alignment horizontal="right"/>
    </xf>
    <xf numFmtId="2" fontId="6" fillId="194" borderId="0" xfId="0" applyNumberFormat="1" applyFont="1" applyFill="1" applyBorder="1" applyAlignment="1">
      <alignment horizontal="right"/>
    </xf>
    <xf numFmtId="2" fontId="6" fillId="195" borderId="0" xfId="0" applyNumberFormat="1" applyFont="1" applyFill="1" applyBorder="1" applyAlignment="1">
      <alignment horizontal="right"/>
    </xf>
    <xf numFmtId="2" fontId="6" fillId="196" borderId="0" xfId="0" applyNumberFormat="1" applyFont="1" applyFill="1" applyBorder="1" applyAlignment="1">
      <alignment horizontal="right"/>
    </xf>
    <xf numFmtId="2" fontId="6" fillId="197" borderId="0" xfId="0" applyNumberFormat="1" applyFont="1" applyFill="1" applyBorder="1" applyAlignment="1">
      <alignment horizontal="right"/>
    </xf>
    <xf numFmtId="2" fontId="6" fillId="188" borderId="0" xfId="0" applyNumberFormat="1" applyFont="1" applyFill="1" applyBorder="1" applyAlignment="1">
      <alignment horizontal="right"/>
    </xf>
    <xf numFmtId="2" fontId="6" fillId="198" borderId="0" xfId="0" applyNumberFormat="1" applyFont="1" applyFill="1" applyBorder="1" applyAlignment="1">
      <alignment horizontal="right"/>
    </xf>
    <xf numFmtId="2" fontId="6" fillId="199" borderId="0" xfId="0" applyNumberFormat="1" applyFont="1" applyFill="1" applyBorder="1" applyAlignment="1">
      <alignment horizontal="right"/>
    </xf>
    <xf numFmtId="2" fontId="13" fillId="200" borderId="0" xfId="0" applyNumberFormat="1" applyFont="1" applyFill="1" applyBorder="1" applyAlignment="1">
      <alignment horizontal="right"/>
    </xf>
    <xf numFmtId="2" fontId="6" fillId="201" borderId="0" xfId="0" applyNumberFormat="1" applyFont="1" applyFill="1" applyBorder="1" applyAlignment="1">
      <alignment horizontal="right"/>
    </xf>
    <xf numFmtId="2" fontId="6" fillId="202" borderId="0" xfId="0" applyNumberFormat="1" applyFont="1" applyFill="1" applyBorder="1" applyAlignment="1">
      <alignment horizontal="right"/>
    </xf>
    <xf numFmtId="2" fontId="6" fillId="203" borderId="0" xfId="0" applyNumberFormat="1" applyFont="1" applyFill="1" applyBorder="1" applyAlignment="1">
      <alignment horizontal="right"/>
    </xf>
    <xf numFmtId="2" fontId="6" fillId="204" borderId="0" xfId="0" applyNumberFormat="1" applyFont="1" applyFill="1" applyBorder="1" applyAlignment="1">
      <alignment horizontal="right"/>
    </xf>
    <xf numFmtId="2" fontId="6" fillId="205" borderId="0" xfId="0" applyNumberFormat="1" applyFont="1" applyFill="1" applyBorder="1" applyAlignment="1">
      <alignment horizontal="right"/>
    </xf>
    <xf numFmtId="2" fontId="6" fillId="205" borderId="5" xfId="0" applyNumberFormat="1" applyFont="1" applyFill="1" applyBorder="1" applyAlignment="1">
      <alignment horizontal="right"/>
    </xf>
    <xf numFmtId="1" fontId="13" fillId="127" borderId="12" xfId="0" applyNumberFormat="1" applyFont="1" applyFill="1" applyBorder="1" applyAlignment="1">
      <alignment vertical="center" wrapText="1"/>
    </xf>
    <xf numFmtId="1" fontId="13" fillId="127" borderId="13" xfId="0" applyNumberFormat="1" applyFont="1" applyFill="1" applyBorder="1" applyAlignment="1">
      <alignment vertical="center" wrapText="1"/>
    </xf>
    <xf numFmtId="1" fontId="6" fillId="128" borderId="13" xfId="0" applyNumberFormat="1" applyFont="1" applyFill="1" applyBorder="1" applyAlignment="1">
      <alignment vertical="center" wrapText="1"/>
    </xf>
    <xf numFmtId="1" fontId="6" fillId="129" borderId="13" xfId="0" applyNumberFormat="1" applyFont="1" applyFill="1" applyBorder="1" applyAlignment="1">
      <alignment vertical="center" wrapText="1"/>
    </xf>
    <xf numFmtId="1" fontId="6" fillId="130" borderId="13" xfId="0" applyNumberFormat="1" applyFont="1" applyFill="1" applyBorder="1" applyAlignment="1">
      <alignment vertical="center" wrapText="1"/>
    </xf>
    <xf numFmtId="1" fontId="6" fillId="131" borderId="13" xfId="0" applyNumberFormat="1" applyFont="1" applyFill="1" applyBorder="1" applyAlignment="1">
      <alignment vertical="center" wrapText="1"/>
    </xf>
    <xf numFmtId="1" fontId="6" fillId="132" borderId="13" xfId="0" applyNumberFormat="1" applyFont="1" applyFill="1" applyBorder="1" applyAlignment="1">
      <alignment vertical="center" wrapText="1"/>
    </xf>
    <xf numFmtId="1" fontId="6" fillId="132" borderId="15" xfId="0" applyNumberFormat="1" applyFont="1" applyFill="1" applyBorder="1" applyAlignment="1">
      <alignment vertical="center" wrapText="1"/>
    </xf>
    <xf numFmtId="1" fontId="6" fillId="121" borderId="12" xfId="0" applyNumberFormat="1" applyFont="1" applyFill="1" applyBorder="1" applyAlignment="1">
      <alignment vertical="center" wrapText="1"/>
    </xf>
    <xf numFmtId="1" fontId="6" fillId="121" borderId="13" xfId="0" applyNumberFormat="1" applyFont="1" applyFill="1" applyBorder="1" applyAlignment="1">
      <alignment vertical="center" wrapText="1"/>
    </xf>
    <xf numFmtId="1" fontId="6" fillId="122" borderId="13" xfId="0" applyNumberFormat="1" applyFont="1" applyFill="1" applyBorder="1" applyAlignment="1">
      <alignment vertical="center" wrapText="1"/>
    </xf>
    <xf numFmtId="1" fontId="6" fillId="123" borderId="13" xfId="0" applyNumberFormat="1" applyFont="1" applyFill="1" applyBorder="1" applyAlignment="1">
      <alignment vertical="center" wrapText="1"/>
    </xf>
    <xf numFmtId="1" fontId="6" fillId="124" borderId="13" xfId="0" applyNumberFormat="1" applyFont="1" applyFill="1" applyBorder="1" applyAlignment="1">
      <alignment vertical="center" wrapText="1"/>
    </xf>
    <xf numFmtId="1" fontId="6" fillId="125" borderId="13" xfId="0" applyNumberFormat="1" applyFont="1" applyFill="1" applyBorder="1" applyAlignment="1">
      <alignment vertical="center" wrapText="1"/>
    </xf>
    <xf numFmtId="1" fontId="6" fillId="126" borderId="13" xfId="0" applyNumberFormat="1" applyFont="1" applyFill="1" applyBorder="1" applyAlignment="1">
      <alignment vertical="center" wrapText="1"/>
    </xf>
    <xf numFmtId="1" fontId="6" fillId="126" borderId="15" xfId="0" applyNumberFormat="1" applyFont="1" applyFill="1" applyBorder="1" applyAlignment="1">
      <alignment vertical="center" wrapText="1"/>
    </xf>
    <xf numFmtId="1" fontId="6" fillId="115" borderId="12" xfId="0" applyNumberFormat="1" applyFont="1" applyFill="1" applyBorder="1" applyAlignment="1">
      <alignment vertical="center" wrapText="1"/>
    </xf>
    <xf numFmtId="1" fontId="6" fillId="115" borderId="13" xfId="0" applyNumberFormat="1" applyFont="1" applyFill="1" applyBorder="1" applyAlignment="1">
      <alignment vertical="center" wrapText="1"/>
    </xf>
    <xf numFmtId="1" fontId="6" fillId="116" borderId="13" xfId="0" applyNumberFormat="1" applyFont="1" applyFill="1" applyBorder="1" applyAlignment="1">
      <alignment vertical="center" wrapText="1"/>
    </xf>
    <xf numFmtId="1" fontId="6" fillId="117" borderId="13" xfId="0" applyNumberFormat="1" applyFont="1" applyFill="1" applyBorder="1" applyAlignment="1">
      <alignment vertical="center" wrapText="1"/>
    </xf>
    <xf numFmtId="1" fontId="6" fillId="118" borderId="13" xfId="0" applyNumberFormat="1" applyFont="1" applyFill="1" applyBorder="1" applyAlignment="1">
      <alignment vertical="center" wrapText="1"/>
    </xf>
    <xf numFmtId="1" fontId="6" fillId="119" borderId="13" xfId="0" applyNumberFormat="1" applyFont="1" applyFill="1" applyBorder="1" applyAlignment="1">
      <alignment vertical="center" wrapText="1"/>
    </xf>
    <xf numFmtId="1" fontId="6" fillId="120" borderId="13" xfId="0" applyNumberFormat="1" applyFont="1" applyFill="1" applyBorder="1" applyAlignment="1">
      <alignment vertical="center" wrapText="1"/>
    </xf>
    <xf numFmtId="1" fontId="6" fillId="120" borderId="15" xfId="0" applyNumberFormat="1" applyFont="1" applyFill="1" applyBorder="1" applyAlignment="1">
      <alignment vertical="center" wrapText="1"/>
    </xf>
    <xf numFmtId="2" fontId="6" fillId="182" borderId="9" xfId="0" applyNumberFormat="1" applyFont="1" applyFill="1" applyBorder="1" applyAlignment="1">
      <alignment horizontal="right"/>
    </xf>
    <xf numFmtId="1" fontId="6" fillId="109" borderId="12" xfId="0" applyNumberFormat="1" applyFont="1" applyFill="1" applyBorder="1" applyAlignment="1">
      <alignment vertical="center" wrapText="1"/>
    </xf>
    <xf numFmtId="1" fontId="6" fillId="109" borderId="13" xfId="0" applyNumberFormat="1" applyFont="1" applyFill="1" applyBorder="1" applyAlignment="1">
      <alignment vertical="center" wrapText="1"/>
    </xf>
    <xf numFmtId="1" fontId="6" fillId="110" borderId="13" xfId="0" applyNumberFormat="1" applyFont="1" applyFill="1" applyBorder="1" applyAlignment="1">
      <alignment vertical="center" wrapText="1"/>
    </xf>
    <xf numFmtId="1" fontId="6" fillId="111" borderId="13" xfId="0" applyNumberFormat="1" applyFont="1" applyFill="1" applyBorder="1" applyAlignment="1">
      <alignment vertical="center" wrapText="1"/>
    </xf>
    <xf numFmtId="1" fontId="6" fillId="112" borderId="13" xfId="0" applyNumberFormat="1" applyFont="1" applyFill="1" applyBorder="1" applyAlignment="1">
      <alignment vertical="center" wrapText="1"/>
    </xf>
    <xf numFmtId="1" fontId="6" fillId="113" borderId="13" xfId="0" applyNumberFormat="1" applyFont="1" applyFill="1" applyBorder="1" applyAlignment="1">
      <alignment vertical="center" wrapText="1"/>
    </xf>
    <xf numFmtId="1" fontId="6" fillId="114" borderId="13" xfId="0" applyNumberFormat="1" applyFont="1" applyFill="1" applyBorder="1" applyAlignment="1">
      <alignment vertical="center" wrapText="1"/>
    </xf>
    <xf numFmtId="1" fontId="6" fillId="114" borderId="15" xfId="0" applyNumberFormat="1" applyFont="1" applyFill="1" applyBorder="1" applyAlignment="1">
      <alignment vertical="center" wrapText="1"/>
    </xf>
    <xf numFmtId="166" fontId="5" fillId="247" borderId="0" xfId="0" applyNumberFormat="1" applyFont="1" applyFill="1" applyAlignment="1">
      <alignment horizontal="right"/>
    </xf>
    <xf numFmtId="170" fontId="0" fillId="0" borderId="0" xfId="0" applyNumberFormat="1" applyAlignment="1">
      <alignment horizontal="right"/>
    </xf>
    <xf numFmtId="170" fontId="12" fillId="11" borderId="3" xfId="0" applyNumberFormat="1" applyFont="1" applyFill="1" applyBorder="1" applyAlignment="1">
      <alignment vertical="center" wrapText="1"/>
    </xf>
    <xf numFmtId="170" fontId="26" fillId="11" borderId="3" xfId="0" applyNumberFormat="1" applyFont="1" applyFill="1" applyBorder="1" applyAlignment="1">
      <alignment vertical="center" wrapText="1"/>
    </xf>
    <xf numFmtId="4" fontId="0" fillId="0" borderId="0" xfId="0" applyNumberFormat="1" applyAlignment="1">
      <alignment horizontal="right"/>
    </xf>
    <xf numFmtId="4" fontId="12" fillId="11" borderId="3" xfId="0" applyNumberFormat="1" applyFont="1" applyFill="1" applyBorder="1" applyAlignment="1">
      <alignment vertical="center" wrapText="1"/>
    </xf>
    <xf numFmtId="4" fontId="26" fillId="11" borderId="3" xfId="0" applyNumberFormat="1" applyFont="1" applyFill="1" applyBorder="1" applyAlignment="1">
      <alignment vertical="center" wrapText="1"/>
    </xf>
    <xf numFmtId="170" fontId="6" fillId="206" borderId="9" xfId="0" applyNumberFormat="1" applyFont="1" applyFill="1" applyBorder="1" applyAlignment="1">
      <alignment horizontal="right" vertical="center" wrapText="1"/>
    </xf>
    <xf numFmtId="170" fontId="6" fillId="206" borderId="0" xfId="0" applyNumberFormat="1" applyFont="1" applyFill="1" applyBorder="1" applyAlignment="1">
      <alignment horizontal="right" vertical="center" wrapText="1"/>
    </xf>
    <xf numFmtId="170" fontId="6" fillId="207" borderId="0" xfId="0" applyNumberFormat="1" applyFont="1" applyFill="1" applyBorder="1" applyAlignment="1">
      <alignment horizontal="right" vertical="center" wrapText="1"/>
    </xf>
    <xf numFmtId="170" fontId="6" fillId="208" borderId="0" xfId="0" applyNumberFormat="1" applyFont="1" applyFill="1" applyBorder="1" applyAlignment="1">
      <alignment horizontal="right" vertical="center" wrapText="1"/>
    </xf>
    <xf numFmtId="170" fontId="6" fillId="209" borderId="0" xfId="0" applyNumberFormat="1" applyFont="1" applyFill="1" applyBorder="1" applyAlignment="1">
      <alignment horizontal="right" vertical="center" wrapText="1"/>
    </xf>
    <xf numFmtId="170" fontId="6" fillId="210" borderId="0" xfId="0" applyNumberFormat="1" applyFont="1" applyFill="1" applyBorder="1" applyAlignment="1">
      <alignment horizontal="right" vertical="center" wrapText="1"/>
    </xf>
    <xf numFmtId="170" fontId="6" fillId="211" borderId="0" xfId="0" applyNumberFormat="1" applyFont="1" applyFill="1" applyBorder="1" applyAlignment="1">
      <alignment horizontal="right" vertical="center" wrapText="1"/>
    </xf>
    <xf numFmtId="170" fontId="6" fillId="211" borderId="5" xfId="0" applyNumberFormat="1" applyFont="1" applyFill="1" applyBorder="1" applyAlignment="1">
      <alignment horizontal="right" vertical="center" wrapText="1"/>
    </xf>
    <xf numFmtId="170" fontId="6" fillId="212" borderId="9" xfId="0" applyNumberFormat="1" applyFont="1" applyFill="1" applyBorder="1" applyAlignment="1">
      <alignment horizontal="right" vertical="center" wrapText="1"/>
    </xf>
    <xf numFmtId="170" fontId="6" fillId="212" borderId="0" xfId="0" applyNumberFormat="1" applyFont="1" applyFill="1" applyBorder="1" applyAlignment="1">
      <alignment horizontal="right" vertical="center" wrapText="1"/>
    </xf>
    <xf numFmtId="170" fontId="6" fillId="213" borderId="0" xfId="0" applyNumberFormat="1" applyFont="1" applyFill="1" applyBorder="1" applyAlignment="1">
      <alignment horizontal="right" vertical="center" wrapText="1"/>
    </xf>
    <xf numFmtId="170" fontId="6" fillId="214" borderId="0" xfId="0" applyNumberFormat="1" applyFont="1" applyFill="1" applyBorder="1" applyAlignment="1">
      <alignment horizontal="right" vertical="center" wrapText="1"/>
    </xf>
    <xf numFmtId="170" fontId="6" fillId="215" borderId="0" xfId="0" applyNumberFormat="1" applyFont="1" applyFill="1" applyBorder="1" applyAlignment="1">
      <alignment horizontal="right" vertical="center" wrapText="1"/>
    </xf>
    <xf numFmtId="170" fontId="6" fillId="216" borderId="0" xfId="0" applyNumberFormat="1" applyFont="1" applyFill="1" applyBorder="1" applyAlignment="1">
      <alignment horizontal="right" vertical="center" wrapText="1"/>
    </xf>
    <xf numFmtId="170" fontId="6" fillId="217" borderId="0" xfId="0" applyNumberFormat="1" applyFont="1" applyFill="1" applyBorder="1" applyAlignment="1">
      <alignment horizontal="right" vertical="center" wrapText="1"/>
    </xf>
    <xf numFmtId="170" fontId="6" fillId="217" borderId="5" xfId="0" applyNumberFormat="1" applyFont="1" applyFill="1" applyBorder="1" applyAlignment="1">
      <alignment horizontal="right" vertical="center" wrapText="1"/>
    </xf>
    <xf numFmtId="170" fontId="6" fillId="218" borderId="9" xfId="0" applyNumberFormat="1" applyFont="1" applyFill="1" applyBorder="1" applyAlignment="1">
      <alignment horizontal="right" vertical="center" wrapText="1"/>
    </xf>
    <xf numFmtId="4" fontId="6" fillId="218" borderId="9" xfId="0" applyNumberFormat="1" applyFont="1" applyFill="1" applyBorder="1" applyAlignment="1">
      <alignment horizontal="right" vertical="center" wrapText="1"/>
    </xf>
    <xf numFmtId="170" fontId="6" fillId="218" borderId="0" xfId="0" applyNumberFormat="1" applyFont="1" applyFill="1" applyBorder="1" applyAlignment="1">
      <alignment horizontal="right" vertical="center" wrapText="1"/>
    </xf>
    <xf numFmtId="4" fontId="6" fillId="218" borderId="0" xfId="0" applyNumberFormat="1" applyFont="1" applyFill="1" applyBorder="1" applyAlignment="1">
      <alignment horizontal="right" vertical="center" wrapText="1"/>
    </xf>
    <xf numFmtId="170" fontId="6" fillId="219" borderId="0" xfId="0" applyNumberFormat="1" applyFont="1" applyFill="1" applyBorder="1" applyAlignment="1">
      <alignment horizontal="right" vertical="center" wrapText="1"/>
    </xf>
    <xf numFmtId="4" fontId="6" fillId="219" borderId="0" xfId="0" applyNumberFormat="1" applyFont="1" applyFill="1" applyBorder="1" applyAlignment="1">
      <alignment horizontal="right" vertical="center" wrapText="1"/>
    </xf>
    <xf numFmtId="170" fontId="6" fillId="220" borderId="0" xfId="0" applyNumberFormat="1" applyFont="1" applyFill="1" applyBorder="1" applyAlignment="1">
      <alignment horizontal="right" vertical="center" wrapText="1"/>
    </xf>
    <xf numFmtId="4" fontId="6" fillId="220" borderId="0" xfId="0" applyNumberFormat="1" applyFont="1" applyFill="1" applyBorder="1" applyAlignment="1">
      <alignment horizontal="right" vertical="center" wrapText="1"/>
    </xf>
    <xf numFmtId="170" fontId="6" fillId="221" borderId="0" xfId="0" applyNumberFormat="1" applyFont="1" applyFill="1" applyBorder="1" applyAlignment="1">
      <alignment horizontal="right" vertical="center" wrapText="1"/>
    </xf>
    <xf numFmtId="4" fontId="6" fillId="221" borderId="0" xfId="0" applyNumberFormat="1" applyFont="1" applyFill="1" applyBorder="1" applyAlignment="1">
      <alignment horizontal="right" vertical="center" wrapText="1"/>
    </xf>
    <xf numFmtId="170" fontId="6" fillId="222" borderId="0" xfId="0" applyNumberFormat="1" applyFont="1" applyFill="1" applyBorder="1" applyAlignment="1">
      <alignment horizontal="right" vertical="center" wrapText="1"/>
    </xf>
    <xf numFmtId="4" fontId="6" fillId="222" borderId="0" xfId="0" applyNumberFormat="1" applyFont="1" applyFill="1" applyBorder="1" applyAlignment="1">
      <alignment horizontal="right" vertical="center" wrapText="1"/>
    </xf>
    <xf numFmtId="170" fontId="6" fillId="223" borderId="0" xfId="0" applyNumberFormat="1" applyFont="1" applyFill="1" applyBorder="1" applyAlignment="1">
      <alignment horizontal="right" vertical="center" wrapText="1"/>
    </xf>
    <xf numFmtId="4" fontId="6" fillId="223" borderId="0" xfId="0" applyNumberFormat="1" applyFont="1" applyFill="1" applyBorder="1" applyAlignment="1">
      <alignment horizontal="right" vertical="center" wrapText="1"/>
    </xf>
    <xf numFmtId="170" fontId="6" fillId="223" borderId="5" xfId="0" applyNumberFormat="1" applyFont="1" applyFill="1" applyBorder="1" applyAlignment="1">
      <alignment horizontal="right" vertical="center" wrapText="1"/>
    </xf>
    <xf numFmtId="4" fontId="6" fillId="223" borderId="5" xfId="0" applyNumberFormat="1" applyFont="1" applyFill="1" applyBorder="1" applyAlignment="1">
      <alignment horizontal="right" vertical="center" wrapText="1"/>
    </xf>
    <xf numFmtId="170" fontId="6" fillId="224" borderId="9" xfId="0" applyNumberFormat="1" applyFont="1" applyFill="1" applyBorder="1" applyAlignment="1">
      <alignment horizontal="right" vertical="center" wrapText="1"/>
    </xf>
    <xf numFmtId="4" fontId="6" fillId="224" borderId="9" xfId="0" applyNumberFormat="1" applyFont="1" applyFill="1" applyBorder="1" applyAlignment="1">
      <alignment horizontal="right" vertical="center" wrapText="1"/>
    </xf>
    <xf numFmtId="170" fontId="6" fillId="224" borderId="0" xfId="0" applyNumberFormat="1" applyFont="1" applyFill="1" applyBorder="1" applyAlignment="1">
      <alignment horizontal="right" vertical="center" wrapText="1"/>
    </xf>
    <xf numFmtId="4" fontId="6" fillId="224" borderId="0" xfId="0" applyNumberFormat="1" applyFont="1" applyFill="1" applyBorder="1" applyAlignment="1">
      <alignment horizontal="right" vertical="center" wrapText="1"/>
    </xf>
    <xf numFmtId="170" fontId="6" fillId="225" borderId="0" xfId="0" applyNumberFormat="1" applyFont="1" applyFill="1" applyBorder="1" applyAlignment="1">
      <alignment horizontal="right" vertical="center" wrapText="1"/>
    </xf>
    <xf numFmtId="4" fontId="6" fillId="225" borderId="0" xfId="0" applyNumberFormat="1" applyFont="1" applyFill="1" applyBorder="1" applyAlignment="1">
      <alignment horizontal="right" vertical="center" wrapText="1"/>
    </xf>
    <xf numFmtId="170" fontId="6" fillId="226" borderId="0" xfId="0" applyNumberFormat="1" applyFont="1" applyFill="1" applyBorder="1" applyAlignment="1">
      <alignment horizontal="right" vertical="center" wrapText="1"/>
    </xf>
    <xf numFmtId="4" fontId="6" fillId="226" borderId="0" xfId="0" applyNumberFormat="1" applyFont="1" applyFill="1" applyBorder="1" applyAlignment="1">
      <alignment horizontal="right" vertical="center" wrapText="1"/>
    </xf>
    <xf numFmtId="170" fontId="6" fillId="227" borderId="0" xfId="0" applyNumberFormat="1" applyFont="1" applyFill="1" applyBorder="1" applyAlignment="1">
      <alignment horizontal="right" vertical="center" wrapText="1"/>
    </xf>
    <xf numFmtId="4" fontId="6" fillId="227" borderId="0" xfId="0" applyNumberFormat="1" applyFont="1" applyFill="1" applyBorder="1" applyAlignment="1">
      <alignment horizontal="right" vertical="center" wrapText="1"/>
    </xf>
    <xf numFmtId="170" fontId="6" fillId="228" borderId="0" xfId="0" applyNumberFormat="1" applyFont="1" applyFill="1" applyBorder="1" applyAlignment="1">
      <alignment horizontal="right" vertical="center" wrapText="1"/>
    </xf>
    <xf numFmtId="4" fontId="6" fillId="228" borderId="0" xfId="0" applyNumberFormat="1" applyFont="1" applyFill="1" applyBorder="1" applyAlignment="1">
      <alignment horizontal="right" vertical="center" wrapText="1"/>
    </xf>
    <xf numFmtId="170" fontId="6" fillId="156" borderId="0" xfId="0" applyNumberFormat="1" applyFont="1" applyFill="1" applyBorder="1" applyAlignment="1">
      <alignment horizontal="right" vertical="center" wrapText="1"/>
    </xf>
    <xf numFmtId="4" fontId="6" fillId="156" borderId="0" xfId="0" applyNumberFormat="1" applyFont="1" applyFill="1" applyBorder="1" applyAlignment="1">
      <alignment horizontal="right" vertical="center" wrapText="1"/>
    </xf>
    <xf numFmtId="170" fontId="6" fillId="156" borderId="5" xfId="0" applyNumberFormat="1" applyFont="1" applyFill="1" applyBorder="1" applyAlignment="1">
      <alignment horizontal="right" vertical="center" wrapText="1"/>
    </xf>
    <xf numFmtId="4" fontId="6" fillId="156" borderId="5" xfId="0" applyNumberFormat="1" applyFont="1" applyFill="1" applyBorder="1" applyAlignment="1">
      <alignment horizontal="right" vertical="center" wrapText="1"/>
    </xf>
    <xf numFmtId="4" fontId="6" fillId="206" borderId="9" xfId="0" applyNumberFormat="1" applyFont="1" applyFill="1" applyBorder="1" applyAlignment="1">
      <alignment horizontal="right" vertical="center" wrapText="1"/>
    </xf>
    <xf numFmtId="4" fontId="6" fillId="206" borderId="0" xfId="0" applyNumberFormat="1" applyFont="1" applyFill="1" applyBorder="1" applyAlignment="1">
      <alignment horizontal="right" vertical="center" wrapText="1"/>
    </xf>
    <xf numFmtId="4" fontId="6" fillId="207" borderId="0" xfId="0" applyNumberFormat="1" applyFont="1" applyFill="1" applyBorder="1" applyAlignment="1">
      <alignment horizontal="right" vertical="center" wrapText="1"/>
    </xf>
    <xf numFmtId="4" fontId="6" fillId="208" borderId="0" xfId="0" applyNumberFormat="1" applyFont="1" applyFill="1" applyBorder="1" applyAlignment="1">
      <alignment horizontal="right" vertical="center" wrapText="1"/>
    </xf>
    <xf numFmtId="4" fontId="6" fillId="209" borderId="0" xfId="0" applyNumberFormat="1" applyFont="1" applyFill="1" applyBorder="1" applyAlignment="1">
      <alignment horizontal="right" vertical="center" wrapText="1"/>
    </xf>
    <xf numFmtId="4" fontId="6" fillId="210" borderId="0" xfId="0" applyNumberFormat="1" applyFont="1" applyFill="1" applyBorder="1" applyAlignment="1">
      <alignment horizontal="right" vertical="center" wrapText="1"/>
    </xf>
    <xf numFmtId="4" fontId="6" fillId="211" borderId="0" xfId="0" applyNumberFormat="1" applyFont="1" applyFill="1" applyBorder="1" applyAlignment="1">
      <alignment horizontal="right" vertical="center" wrapText="1"/>
    </xf>
    <xf numFmtId="4" fontId="6" fillId="211" borderId="5" xfId="0" applyNumberFormat="1" applyFont="1" applyFill="1" applyBorder="1" applyAlignment="1">
      <alignment horizontal="right" vertical="center" wrapText="1"/>
    </xf>
    <xf numFmtId="4" fontId="6" fillId="212" borderId="9" xfId="0" applyNumberFormat="1" applyFont="1" applyFill="1" applyBorder="1" applyAlignment="1">
      <alignment horizontal="right" vertical="center" wrapText="1"/>
    </xf>
    <xf numFmtId="4" fontId="6" fillId="212" borderId="0" xfId="0" applyNumberFormat="1" applyFont="1" applyFill="1" applyBorder="1" applyAlignment="1">
      <alignment horizontal="right" vertical="center" wrapText="1"/>
    </xf>
    <xf numFmtId="4" fontId="6" fillId="213" borderId="0" xfId="0" applyNumberFormat="1" applyFont="1" applyFill="1" applyBorder="1" applyAlignment="1">
      <alignment horizontal="right" vertical="center" wrapText="1"/>
    </xf>
    <xf numFmtId="4" fontId="6" fillId="214" borderId="0" xfId="0" applyNumberFormat="1" applyFont="1" applyFill="1" applyBorder="1" applyAlignment="1">
      <alignment horizontal="right" vertical="center" wrapText="1"/>
    </xf>
    <xf numFmtId="4" fontId="6" fillId="215" borderId="0" xfId="0" applyNumberFormat="1" applyFont="1" applyFill="1" applyBorder="1" applyAlignment="1">
      <alignment horizontal="right" vertical="center" wrapText="1"/>
    </xf>
    <xf numFmtId="4" fontId="6" fillId="216" borderId="0" xfId="0" applyNumberFormat="1" applyFont="1" applyFill="1" applyBorder="1" applyAlignment="1">
      <alignment horizontal="right" vertical="center" wrapText="1"/>
    </xf>
    <xf numFmtId="4" fontId="6" fillId="217" borderId="0" xfId="0" applyNumberFormat="1" applyFont="1" applyFill="1" applyBorder="1" applyAlignment="1">
      <alignment horizontal="right" vertical="center" wrapText="1"/>
    </xf>
    <xf numFmtId="4" fontId="6" fillId="217" borderId="5" xfId="0" applyNumberFormat="1" applyFont="1" applyFill="1" applyBorder="1" applyAlignment="1">
      <alignment horizontal="right" vertical="center" wrapText="1"/>
    </xf>
    <xf numFmtId="1" fontId="6" fillId="248" borderId="9" xfId="0" applyNumberFormat="1" applyFont="1" applyFill="1" applyBorder="1" applyAlignment="1">
      <alignment horizontal="right"/>
    </xf>
    <xf numFmtId="166" fontId="6" fillId="248" borderId="9" xfId="0" applyNumberFormat="1" applyFont="1" applyFill="1" applyBorder="1" applyAlignment="1">
      <alignment horizontal="right"/>
    </xf>
    <xf numFmtId="166" fontId="6" fillId="248" borderId="12" xfId="0" applyNumberFormat="1" applyFont="1" applyFill="1" applyBorder="1" applyAlignment="1">
      <alignment horizontal="right"/>
    </xf>
    <xf numFmtId="1" fontId="6" fillId="248" borderId="0" xfId="0" applyNumberFormat="1" applyFont="1" applyFill="1" applyBorder="1" applyAlignment="1">
      <alignment horizontal="right"/>
    </xf>
    <xf numFmtId="166" fontId="6" fillId="248" borderId="0" xfId="0" applyNumberFormat="1" applyFont="1" applyFill="1" applyBorder="1" applyAlignment="1">
      <alignment horizontal="right"/>
    </xf>
    <xf numFmtId="166" fontId="6" fillId="248" borderId="13" xfId="0" applyNumberFormat="1" applyFont="1" applyFill="1" applyBorder="1" applyAlignment="1">
      <alignment horizontal="right"/>
    </xf>
    <xf numFmtId="1" fontId="6" fillId="249" borderId="0" xfId="0" applyNumberFormat="1" applyFont="1" applyFill="1" applyBorder="1" applyAlignment="1">
      <alignment horizontal="right"/>
    </xf>
    <xf numFmtId="166" fontId="6" fillId="249" borderId="0" xfId="0" applyNumberFormat="1" applyFont="1" applyFill="1" applyBorder="1" applyAlignment="1">
      <alignment horizontal="right"/>
    </xf>
    <xf numFmtId="166" fontId="6" fillId="249" borderId="13" xfId="0" applyNumberFormat="1" applyFont="1" applyFill="1" applyBorder="1" applyAlignment="1">
      <alignment horizontal="right"/>
    </xf>
    <xf numFmtId="1" fontId="6" fillId="250" borderId="0" xfId="0" applyNumberFormat="1" applyFont="1" applyFill="1" applyBorder="1" applyAlignment="1">
      <alignment horizontal="right"/>
    </xf>
    <xf numFmtId="166" fontId="6" fillId="250" borderId="0" xfId="0" applyNumberFormat="1" applyFont="1" applyFill="1" applyBorder="1" applyAlignment="1">
      <alignment horizontal="right"/>
    </xf>
    <xf numFmtId="166" fontId="6" fillId="250" borderId="13" xfId="0" applyNumberFormat="1" applyFont="1" applyFill="1" applyBorder="1" applyAlignment="1">
      <alignment horizontal="right"/>
    </xf>
    <xf numFmtId="1" fontId="6" fillId="251" borderId="0" xfId="0" applyNumberFormat="1" applyFont="1" applyFill="1" applyBorder="1" applyAlignment="1">
      <alignment horizontal="right"/>
    </xf>
    <xf numFmtId="166" fontId="6" fillId="251" borderId="0" xfId="0" applyNumberFormat="1" applyFont="1" applyFill="1" applyBorder="1" applyAlignment="1">
      <alignment horizontal="right"/>
    </xf>
    <xf numFmtId="166" fontId="6" fillId="251" borderId="13" xfId="0" applyNumberFormat="1" applyFont="1" applyFill="1" applyBorder="1" applyAlignment="1">
      <alignment horizontal="right"/>
    </xf>
    <xf numFmtId="1" fontId="6" fillId="252" borderId="0" xfId="0" applyNumberFormat="1" applyFont="1" applyFill="1" applyBorder="1" applyAlignment="1">
      <alignment horizontal="right"/>
    </xf>
    <xf numFmtId="166" fontId="6" fillId="252" borderId="0" xfId="0" applyNumberFormat="1" applyFont="1" applyFill="1" applyBorder="1" applyAlignment="1">
      <alignment horizontal="right"/>
    </xf>
    <xf numFmtId="166" fontId="6" fillId="252" borderId="13" xfId="0" applyNumberFormat="1" applyFont="1" applyFill="1" applyBorder="1" applyAlignment="1">
      <alignment horizontal="right"/>
    </xf>
    <xf numFmtId="1" fontId="6" fillId="253" borderId="0" xfId="0" applyNumberFormat="1" applyFont="1" applyFill="1" applyBorder="1" applyAlignment="1">
      <alignment horizontal="right"/>
    </xf>
    <xf numFmtId="166" fontId="6" fillId="253" borderId="0" xfId="0" applyNumberFormat="1" applyFont="1" applyFill="1" applyBorder="1" applyAlignment="1">
      <alignment horizontal="right"/>
    </xf>
    <xf numFmtId="166" fontId="6" fillId="253" borderId="13" xfId="0" applyNumberFormat="1" applyFont="1" applyFill="1" applyBorder="1" applyAlignment="1">
      <alignment horizontal="right"/>
    </xf>
    <xf numFmtId="1" fontId="6" fillId="254" borderId="0" xfId="0" applyNumberFormat="1" applyFont="1" applyFill="1" applyBorder="1" applyAlignment="1">
      <alignment horizontal="right"/>
    </xf>
    <xf numFmtId="166" fontId="6" fillId="254" borderId="0" xfId="0" applyNumberFormat="1" applyFont="1" applyFill="1" applyBorder="1" applyAlignment="1">
      <alignment horizontal="right"/>
    </xf>
    <xf numFmtId="166" fontId="6" fillId="254" borderId="13" xfId="0" applyNumberFormat="1" applyFont="1" applyFill="1" applyBorder="1" applyAlignment="1">
      <alignment horizontal="right"/>
    </xf>
    <xf numFmtId="1" fontId="6" fillId="255" borderId="0" xfId="0" applyNumberFormat="1" applyFont="1" applyFill="1" applyBorder="1" applyAlignment="1">
      <alignment horizontal="right"/>
    </xf>
    <xf numFmtId="166" fontId="6" fillId="255" borderId="0" xfId="0" applyNumberFormat="1" applyFont="1" applyFill="1" applyBorder="1" applyAlignment="1">
      <alignment horizontal="right"/>
    </xf>
    <xf numFmtId="166" fontId="6" fillId="255" borderId="13" xfId="0" applyNumberFormat="1" applyFont="1" applyFill="1" applyBorder="1" applyAlignment="1">
      <alignment horizontal="right"/>
    </xf>
    <xf numFmtId="1" fontId="6" fillId="256" borderId="0" xfId="0" applyNumberFormat="1" applyFont="1" applyFill="1" applyBorder="1" applyAlignment="1">
      <alignment horizontal="right"/>
    </xf>
    <xf numFmtId="166" fontId="6" fillId="256" borderId="0" xfId="0" applyNumberFormat="1" applyFont="1" applyFill="1" applyBorder="1" applyAlignment="1">
      <alignment horizontal="right"/>
    </xf>
    <xf numFmtId="166" fontId="6" fillId="256" borderId="13" xfId="0" applyNumberFormat="1" applyFont="1" applyFill="1" applyBorder="1" applyAlignment="1">
      <alignment horizontal="right"/>
    </xf>
    <xf numFmtId="1" fontId="6" fillId="257" borderId="0" xfId="0" applyNumberFormat="1" applyFont="1" applyFill="1" applyBorder="1" applyAlignment="1">
      <alignment horizontal="right"/>
    </xf>
    <xf numFmtId="166" fontId="6" fillId="257" borderId="0" xfId="0" applyNumberFormat="1" applyFont="1" applyFill="1" applyBorder="1" applyAlignment="1">
      <alignment horizontal="right"/>
    </xf>
    <xf numFmtId="166" fontId="6" fillId="257" borderId="13" xfId="0" applyNumberFormat="1" applyFont="1" applyFill="1" applyBorder="1" applyAlignment="1">
      <alignment horizontal="right"/>
    </xf>
    <xf numFmtId="1" fontId="6" fillId="258" borderId="0" xfId="0" applyNumberFormat="1" applyFont="1" applyFill="1" applyBorder="1" applyAlignment="1">
      <alignment horizontal="right"/>
    </xf>
    <xf numFmtId="166" fontId="6" fillId="258" borderId="0" xfId="0" applyNumberFormat="1" applyFont="1" applyFill="1" applyBorder="1" applyAlignment="1">
      <alignment horizontal="right"/>
    </xf>
    <xf numFmtId="166" fontId="6" fillId="258" borderId="13" xfId="0" applyNumberFormat="1" applyFont="1" applyFill="1" applyBorder="1" applyAlignment="1">
      <alignment horizontal="right"/>
    </xf>
    <xf numFmtId="1" fontId="6" fillId="259" borderId="0" xfId="0" applyNumberFormat="1" applyFont="1" applyFill="1" applyBorder="1" applyAlignment="1">
      <alignment horizontal="right"/>
    </xf>
    <xf numFmtId="166" fontId="6" fillId="259" borderId="0" xfId="0" applyNumberFormat="1" applyFont="1" applyFill="1" applyBorder="1" applyAlignment="1">
      <alignment horizontal="right"/>
    </xf>
    <xf numFmtId="166" fontId="6" fillId="259" borderId="13" xfId="0" applyNumberFormat="1" applyFont="1" applyFill="1" applyBorder="1" applyAlignment="1">
      <alignment horizontal="right"/>
    </xf>
    <xf numFmtId="1" fontId="6" fillId="260" borderId="0" xfId="0" applyNumberFormat="1" applyFont="1" applyFill="1" applyBorder="1" applyAlignment="1">
      <alignment horizontal="right"/>
    </xf>
    <xf numFmtId="166" fontId="6" fillId="260" borderId="0" xfId="0" applyNumberFormat="1" applyFont="1" applyFill="1" applyBorder="1" applyAlignment="1">
      <alignment horizontal="right"/>
    </xf>
    <xf numFmtId="166" fontId="6" fillId="260" borderId="13" xfId="0" applyNumberFormat="1" applyFont="1" applyFill="1" applyBorder="1" applyAlignment="1">
      <alignment horizontal="right"/>
    </xf>
    <xf numFmtId="1" fontId="6" fillId="260" borderId="0" xfId="0" applyNumberFormat="1" applyFont="1" applyFill="1" applyBorder="1" applyAlignment="1">
      <alignment horizontal="right" vertical="center"/>
    </xf>
    <xf numFmtId="166" fontId="6" fillId="260" borderId="0" xfId="0" applyNumberFormat="1" applyFont="1" applyFill="1" applyBorder="1" applyAlignment="1">
      <alignment horizontal="right" vertical="center"/>
    </xf>
    <xf numFmtId="166" fontId="6" fillId="260" borderId="13" xfId="0" applyNumberFormat="1" applyFont="1" applyFill="1" applyBorder="1" applyAlignment="1">
      <alignment horizontal="right" vertical="center"/>
    </xf>
    <xf numFmtId="1" fontId="6" fillId="261" borderId="0" xfId="0" applyNumberFormat="1" applyFont="1" applyFill="1" applyBorder="1" applyAlignment="1">
      <alignment horizontal="right"/>
    </xf>
    <xf numFmtId="166" fontId="6" fillId="261" borderId="0" xfId="0" applyNumberFormat="1" applyFont="1" applyFill="1" applyBorder="1" applyAlignment="1">
      <alignment horizontal="right"/>
    </xf>
    <xf numFmtId="166" fontId="6" fillId="261" borderId="13" xfId="0" applyNumberFormat="1" applyFont="1" applyFill="1" applyBorder="1" applyAlignment="1">
      <alignment horizontal="right"/>
    </xf>
    <xf numFmtId="1" fontId="6" fillId="262" borderId="0" xfId="0" applyNumberFormat="1" applyFont="1" applyFill="1" applyBorder="1" applyAlignment="1">
      <alignment horizontal="right"/>
    </xf>
    <xf numFmtId="166" fontId="6" fillId="262" borderId="0" xfId="0" applyNumberFormat="1" applyFont="1" applyFill="1" applyBorder="1" applyAlignment="1">
      <alignment horizontal="right"/>
    </xf>
    <xf numFmtId="166" fontId="6" fillId="262" borderId="13" xfId="0" applyNumberFormat="1" applyFont="1" applyFill="1" applyBorder="1" applyAlignment="1">
      <alignment horizontal="right"/>
    </xf>
    <xf numFmtId="1" fontId="6" fillId="262" borderId="0" xfId="0" applyNumberFormat="1" applyFont="1" applyFill="1" applyBorder="1" applyAlignment="1">
      <alignment horizontal="right" vertical="center"/>
    </xf>
    <xf numFmtId="166" fontId="6" fillId="262" borderId="0" xfId="0" applyNumberFormat="1" applyFont="1" applyFill="1" applyBorder="1" applyAlignment="1">
      <alignment horizontal="right" vertical="center"/>
    </xf>
    <xf numFmtId="166" fontId="6" fillId="262" borderId="13" xfId="0" applyNumberFormat="1" applyFont="1" applyFill="1" applyBorder="1" applyAlignment="1">
      <alignment horizontal="right" vertical="center"/>
    </xf>
    <xf numFmtId="1" fontId="6" fillId="263" borderId="0" xfId="0" applyNumberFormat="1" applyFont="1" applyFill="1" applyBorder="1" applyAlignment="1">
      <alignment horizontal="right"/>
    </xf>
    <xf numFmtId="166" fontId="6" fillId="263" borderId="0" xfId="0" applyNumberFormat="1" applyFont="1" applyFill="1" applyBorder="1" applyAlignment="1">
      <alignment horizontal="right"/>
    </xf>
    <xf numFmtId="166" fontId="6" fillId="263" borderId="13" xfId="0" applyNumberFormat="1" applyFont="1" applyFill="1" applyBorder="1" applyAlignment="1">
      <alignment horizontal="right"/>
    </xf>
    <xf numFmtId="1" fontId="6" fillId="264" borderId="0" xfId="0" applyNumberFormat="1" applyFont="1" applyFill="1" applyBorder="1" applyAlignment="1">
      <alignment horizontal="right"/>
    </xf>
    <xf numFmtId="166" fontId="6" fillId="264" borderId="0" xfId="0" applyNumberFormat="1" applyFont="1" applyFill="1" applyBorder="1" applyAlignment="1">
      <alignment horizontal="right"/>
    </xf>
    <xf numFmtId="166" fontId="6" fillId="264" borderId="13" xfId="0" applyNumberFormat="1" applyFont="1" applyFill="1" applyBorder="1" applyAlignment="1">
      <alignment horizontal="right"/>
    </xf>
    <xf numFmtId="1" fontId="6" fillId="265" borderId="0" xfId="0" applyNumberFormat="1" applyFont="1" applyFill="1" applyBorder="1" applyAlignment="1">
      <alignment horizontal="right"/>
    </xf>
    <xf numFmtId="166" fontId="6" fillId="265" borderId="0" xfId="0" applyNumberFormat="1" applyFont="1" applyFill="1" applyBorder="1" applyAlignment="1">
      <alignment horizontal="right"/>
    </xf>
    <xf numFmtId="166" fontId="6" fillId="265" borderId="13" xfId="0" applyNumberFormat="1" applyFont="1" applyFill="1" applyBorder="1" applyAlignment="1">
      <alignment horizontal="right"/>
    </xf>
    <xf numFmtId="1" fontId="6" fillId="266" borderId="0" xfId="0" applyNumberFormat="1" applyFont="1" applyFill="1" applyBorder="1" applyAlignment="1">
      <alignment horizontal="right"/>
    </xf>
    <xf numFmtId="166" fontId="6" fillId="266" borderId="0" xfId="0" applyNumberFormat="1" applyFont="1" applyFill="1" applyBorder="1" applyAlignment="1">
      <alignment horizontal="right"/>
    </xf>
    <xf numFmtId="166" fontId="6" fillId="266" borderId="13" xfId="0" applyNumberFormat="1" applyFont="1" applyFill="1" applyBorder="1" applyAlignment="1">
      <alignment horizontal="right"/>
    </xf>
    <xf numFmtId="1" fontId="6" fillId="267" borderId="0" xfId="0" applyNumberFormat="1" applyFont="1" applyFill="1" applyBorder="1" applyAlignment="1">
      <alignment horizontal="right"/>
    </xf>
    <xf numFmtId="166" fontId="6" fillId="267" borderId="0" xfId="0" applyNumberFormat="1" applyFont="1" applyFill="1" applyBorder="1" applyAlignment="1">
      <alignment horizontal="right"/>
    </xf>
    <xf numFmtId="166" fontId="6" fillId="267" borderId="13" xfId="0" applyNumberFormat="1" applyFont="1" applyFill="1" applyBorder="1" applyAlignment="1">
      <alignment horizontal="right"/>
    </xf>
    <xf numFmtId="1" fontId="6" fillId="268" borderId="0" xfId="0" applyNumberFormat="1" applyFont="1" applyFill="1" applyBorder="1" applyAlignment="1">
      <alignment horizontal="right"/>
    </xf>
    <xf numFmtId="166" fontId="6" fillId="268" borderId="0" xfId="0" applyNumberFormat="1" applyFont="1" applyFill="1" applyBorder="1" applyAlignment="1">
      <alignment horizontal="right"/>
    </xf>
    <xf numFmtId="166" fontId="6" fillId="268" borderId="13" xfId="0" applyNumberFormat="1" applyFont="1" applyFill="1" applyBorder="1" applyAlignment="1">
      <alignment horizontal="right"/>
    </xf>
    <xf numFmtId="1" fontId="6" fillId="269" borderId="0" xfId="0" applyNumberFormat="1" applyFont="1" applyFill="1" applyBorder="1" applyAlignment="1">
      <alignment horizontal="right"/>
    </xf>
    <xf numFmtId="166" fontId="6" fillId="269" borderId="0" xfId="0" applyNumberFormat="1" applyFont="1" applyFill="1" applyBorder="1" applyAlignment="1">
      <alignment horizontal="right"/>
    </xf>
    <xf numFmtId="166" fontId="6" fillId="269" borderId="13" xfId="0" applyNumberFormat="1" applyFont="1" applyFill="1" applyBorder="1" applyAlignment="1">
      <alignment horizontal="right"/>
    </xf>
    <xf numFmtId="1" fontId="6" fillId="270" borderId="0" xfId="0" applyNumberFormat="1" applyFont="1" applyFill="1" applyBorder="1" applyAlignment="1">
      <alignment horizontal="right"/>
    </xf>
    <xf numFmtId="166" fontId="6" fillId="270" borderId="0" xfId="0" applyNumberFormat="1" applyFont="1" applyFill="1" applyBorder="1" applyAlignment="1">
      <alignment horizontal="right"/>
    </xf>
    <xf numFmtId="166" fontId="6" fillId="270" borderId="13" xfId="0" applyNumberFormat="1" applyFont="1" applyFill="1" applyBorder="1" applyAlignment="1">
      <alignment horizontal="right"/>
    </xf>
    <xf numFmtId="1" fontId="6" fillId="270" borderId="5" xfId="0" applyNumberFormat="1" applyFont="1" applyFill="1" applyBorder="1" applyAlignment="1">
      <alignment horizontal="right"/>
    </xf>
    <xf numFmtId="166" fontId="6" fillId="270" borderId="5" xfId="0" applyNumberFormat="1" applyFont="1" applyFill="1" applyBorder="1" applyAlignment="1">
      <alignment horizontal="right"/>
    </xf>
    <xf numFmtId="166" fontId="6" fillId="270" borderId="15" xfId="0" applyNumberFormat="1" applyFont="1" applyFill="1" applyBorder="1" applyAlignment="1">
      <alignment horizontal="right"/>
    </xf>
    <xf numFmtId="166" fontId="6" fillId="271" borderId="9" xfId="0" applyNumberFormat="1" applyFont="1" applyFill="1" applyBorder="1" applyAlignment="1">
      <alignment horizontal="right"/>
    </xf>
    <xf numFmtId="1" fontId="6" fillId="271" borderId="9" xfId="0" applyNumberFormat="1" applyFont="1" applyFill="1" applyBorder="1" applyAlignment="1">
      <alignment horizontal="right"/>
    </xf>
    <xf numFmtId="2" fontId="6" fillId="271" borderId="9" xfId="0" applyNumberFormat="1" applyFont="1" applyFill="1" applyBorder="1" applyAlignment="1">
      <alignment horizontal="right"/>
    </xf>
    <xf numFmtId="166" fontId="6" fillId="271" borderId="0" xfId="0" applyNumberFormat="1" applyFont="1" applyFill="1" applyBorder="1" applyAlignment="1">
      <alignment horizontal="right"/>
    </xf>
    <xf numFmtId="1" fontId="6" fillId="271" borderId="0" xfId="0" applyNumberFormat="1" applyFont="1" applyFill="1" applyBorder="1" applyAlignment="1">
      <alignment horizontal="right"/>
    </xf>
    <xf numFmtId="2" fontId="6" fillId="271" borderId="0" xfId="0" applyNumberFormat="1" applyFont="1" applyFill="1" applyBorder="1" applyAlignment="1">
      <alignment horizontal="right"/>
    </xf>
    <xf numFmtId="166" fontId="6" fillId="272" borderId="0" xfId="0" applyNumberFormat="1" applyFont="1" applyFill="1" applyBorder="1" applyAlignment="1">
      <alignment horizontal="right"/>
    </xf>
    <xf numFmtId="1" fontId="6" fillId="272" borderId="0" xfId="0" applyNumberFormat="1" applyFont="1" applyFill="1" applyBorder="1" applyAlignment="1">
      <alignment horizontal="right"/>
    </xf>
    <xf numFmtId="2" fontId="6" fillId="272" borderId="0" xfId="0" applyNumberFormat="1" applyFont="1" applyFill="1" applyBorder="1" applyAlignment="1">
      <alignment horizontal="right"/>
    </xf>
    <xf numFmtId="166" fontId="6" fillId="273" borderId="0" xfId="0" applyNumberFormat="1" applyFont="1" applyFill="1" applyBorder="1" applyAlignment="1">
      <alignment horizontal="right"/>
    </xf>
    <xf numFmtId="1" fontId="6" fillId="273" borderId="0" xfId="0" applyNumberFormat="1" applyFont="1" applyFill="1" applyBorder="1" applyAlignment="1">
      <alignment horizontal="right"/>
    </xf>
    <xf numFmtId="2" fontId="6" fillId="273" borderId="0" xfId="0" applyNumberFormat="1" applyFont="1" applyFill="1" applyBorder="1" applyAlignment="1">
      <alignment horizontal="right"/>
    </xf>
    <xf numFmtId="166" fontId="6" fillId="274" borderId="0" xfId="0" applyNumberFormat="1" applyFont="1" applyFill="1" applyBorder="1" applyAlignment="1">
      <alignment horizontal="right"/>
    </xf>
    <xf numFmtId="1" fontId="6" fillId="274" borderId="0" xfId="0" applyNumberFormat="1" applyFont="1" applyFill="1" applyBorder="1" applyAlignment="1">
      <alignment horizontal="right"/>
    </xf>
    <xf numFmtId="2" fontId="6" fillId="274" borderId="0" xfId="0" applyNumberFormat="1" applyFont="1" applyFill="1" applyBorder="1" applyAlignment="1">
      <alignment horizontal="right"/>
    </xf>
    <xf numFmtId="166" fontId="6" fillId="275" borderId="0" xfId="0" applyNumberFormat="1" applyFont="1" applyFill="1" applyBorder="1" applyAlignment="1">
      <alignment horizontal="right"/>
    </xf>
    <xf numFmtId="1" fontId="6" fillId="275" borderId="0" xfId="0" applyNumberFormat="1" applyFont="1" applyFill="1" applyBorder="1" applyAlignment="1">
      <alignment horizontal="right"/>
    </xf>
    <xf numFmtId="2" fontId="6" fillId="275" borderId="0" xfId="0" applyNumberFormat="1" applyFont="1" applyFill="1" applyBorder="1" applyAlignment="1">
      <alignment horizontal="right"/>
    </xf>
    <xf numFmtId="166" fontId="6" fillId="276" borderId="0" xfId="0" applyNumberFormat="1" applyFont="1" applyFill="1" applyBorder="1" applyAlignment="1">
      <alignment horizontal="right"/>
    </xf>
    <xf numFmtId="1" fontId="6" fillId="276" borderId="0" xfId="0" applyNumberFormat="1" applyFont="1" applyFill="1" applyBorder="1" applyAlignment="1">
      <alignment horizontal="right"/>
    </xf>
    <xf numFmtId="2" fontId="6" fillId="276" borderId="0" xfId="0" applyNumberFormat="1" applyFont="1" applyFill="1" applyBorder="1" applyAlignment="1">
      <alignment horizontal="right"/>
    </xf>
    <xf numFmtId="166" fontId="6" fillId="276" borderId="5" xfId="0" applyNumberFormat="1" applyFont="1" applyFill="1" applyBorder="1" applyAlignment="1">
      <alignment horizontal="right"/>
    </xf>
    <xf numFmtId="1" fontId="6" fillId="276" borderId="5" xfId="0" applyNumberFormat="1" applyFont="1" applyFill="1" applyBorder="1" applyAlignment="1">
      <alignment horizontal="right"/>
    </xf>
    <xf numFmtId="2" fontId="6" fillId="276" borderId="5" xfId="0" applyNumberFormat="1" applyFont="1" applyFill="1" applyBorder="1" applyAlignment="1">
      <alignment horizontal="right"/>
    </xf>
    <xf numFmtId="166" fontId="6" fillId="277" borderId="9" xfId="0" applyNumberFormat="1" applyFont="1" applyFill="1" applyBorder="1" applyAlignment="1">
      <alignment horizontal="right"/>
    </xf>
    <xf numFmtId="1" fontId="6" fillId="277" borderId="9" xfId="0" applyNumberFormat="1" applyFont="1" applyFill="1" applyBorder="1" applyAlignment="1">
      <alignment horizontal="right"/>
    </xf>
    <xf numFmtId="2" fontId="6" fillId="277" borderId="9" xfId="0" applyNumberFormat="1" applyFont="1" applyFill="1" applyBorder="1" applyAlignment="1">
      <alignment horizontal="right"/>
    </xf>
    <xf numFmtId="166" fontId="6" fillId="277" borderId="0" xfId="0" applyNumberFormat="1" applyFont="1" applyFill="1" applyBorder="1" applyAlignment="1">
      <alignment horizontal="right"/>
    </xf>
    <xf numFmtId="1" fontId="6" fillId="277" borderId="0" xfId="0" applyNumberFormat="1" applyFont="1" applyFill="1" applyBorder="1" applyAlignment="1">
      <alignment horizontal="right"/>
    </xf>
    <xf numFmtId="2" fontId="6" fillId="277" borderId="0" xfId="0" applyNumberFormat="1" applyFont="1" applyFill="1" applyBorder="1" applyAlignment="1">
      <alignment horizontal="right"/>
    </xf>
    <xf numFmtId="166" fontId="6" fillId="278" borderId="0" xfId="0" applyNumberFormat="1" applyFont="1" applyFill="1" applyBorder="1" applyAlignment="1">
      <alignment horizontal="right"/>
    </xf>
    <xf numFmtId="1" fontId="6" fillId="278" borderId="0" xfId="0" applyNumberFormat="1" applyFont="1" applyFill="1" applyBorder="1" applyAlignment="1">
      <alignment horizontal="right"/>
    </xf>
    <xf numFmtId="2" fontId="6" fillId="278" borderId="0" xfId="0" applyNumberFormat="1" applyFont="1" applyFill="1" applyBorder="1" applyAlignment="1">
      <alignment horizontal="right"/>
    </xf>
    <xf numFmtId="166" fontId="6" fillId="279" borderId="0" xfId="0" applyNumberFormat="1" applyFont="1" applyFill="1" applyBorder="1" applyAlignment="1">
      <alignment horizontal="right"/>
    </xf>
    <xf numFmtId="1" fontId="6" fillId="279" borderId="0" xfId="0" applyNumberFormat="1" applyFont="1" applyFill="1" applyBorder="1" applyAlignment="1">
      <alignment horizontal="right"/>
    </xf>
    <xf numFmtId="2" fontId="6" fillId="279" borderId="0" xfId="0" applyNumberFormat="1" applyFont="1" applyFill="1" applyBorder="1" applyAlignment="1">
      <alignment horizontal="right"/>
    </xf>
    <xf numFmtId="166" fontId="6" fillId="280" borderId="0" xfId="0" applyNumberFormat="1" applyFont="1" applyFill="1" applyBorder="1" applyAlignment="1">
      <alignment horizontal="right"/>
    </xf>
    <xf numFmtId="1" fontId="6" fillId="280" borderId="0" xfId="0" applyNumberFormat="1" applyFont="1" applyFill="1" applyBorder="1" applyAlignment="1">
      <alignment horizontal="right"/>
    </xf>
    <xf numFmtId="2" fontId="6" fillId="280" borderId="0" xfId="0" applyNumberFormat="1" applyFont="1" applyFill="1" applyBorder="1" applyAlignment="1">
      <alignment horizontal="right"/>
    </xf>
    <xf numFmtId="166" fontId="6" fillId="281" borderId="0" xfId="0" applyNumberFormat="1" applyFont="1" applyFill="1" applyBorder="1" applyAlignment="1">
      <alignment horizontal="right"/>
    </xf>
    <xf numFmtId="1" fontId="6" fillId="281" borderId="0" xfId="0" applyNumberFormat="1" applyFont="1" applyFill="1" applyBorder="1" applyAlignment="1">
      <alignment horizontal="right"/>
    </xf>
    <xf numFmtId="2" fontId="6" fillId="281" borderId="0" xfId="0" applyNumberFormat="1" applyFont="1" applyFill="1" applyBorder="1" applyAlignment="1">
      <alignment horizontal="right"/>
    </xf>
    <xf numFmtId="166" fontId="6" fillId="282" borderId="0" xfId="0" applyNumberFormat="1" applyFont="1" applyFill="1" applyBorder="1" applyAlignment="1">
      <alignment horizontal="right"/>
    </xf>
    <xf numFmtId="1" fontId="6" fillId="282" borderId="0" xfId="0" applyNumberFormat="1" applyFont="1" applyFill="1" applyBorder="1" applyAlignment="1">
      <alignment horizontal="right"/>
    </xf>
    <xf numFmtId="2" fontId="6" fillId="282" borderId="0" xfId="0" applyNumberFormat="1" applyFont="1" applyFill="1" applyBorder="1" applyAlignment="1">
      <alignment horizontal="right"/>
    </xf>
    <xf numFmtId="166" fontId="6" fillId="282" borderId="5" xfId="0" applyNumberFormat="1" applyFont="1" applyFill="1" applyBorder="1" applyAlignment="1">
      <alignment horizontal="right"/>
    </xf>
    <xf numFmtId="1" fontId="6" fillId="282" borderId="5" xfId="0" applyNumberFormat="1" applyFont="1" applyFill="1" applyBorder="1" applyAlignment="1">
      <alignment horizontal="right"/>
    </xf>
    <xf numFmtId="2" fontId="6" fillId="282" borderId="5" xfId="0" applyNumberFormat="1" applyFont="1" applyFill="1" applyBorder="1" applyAlignment="1">
      <alignment horizontal="right"/>
    </xf>
    <xf numFmtId="166" fontId="6" fillId="283" borderId="9" xfId="0" applyNumberFormat="1" applyFont="1" applyFill="1" applyBorder="1" applyAlignment="1">
      <alignment horizontal="right"/>
    </xf>
    <xf numFmtId="1" fontId="6" fillId="283" borderId="9" xfId="0" applyNumberFormat="1" applyFont="1" applyFill="1" applyBorder="1" applyAlignment="1">
      <alignment horizontal="right"/>
    </xf>
    <xf numFmtId="2" fontId="6" fillId="283" borderId="9" xfId="0" applyNumberFormat="1" applyFont="1" applyFill="1" applyBorder="1" applyAlignment="1">
      <alignment horizontal="right"/>
    </xf>
    <xf numFmtId="166" fontId="6" fillId="283" borderId="0" xfId="0" applyNumberFormat="1" applyFont="1" applyFill="1" applyBorder="1" applyAlignment="1">
      <alignment horizontal="right" vertical="center"/>
    </xf>
    <xf numFmtId="1" fontId="6" fillId="283" borderId="0" xfId="0" applyNumberFormat="1" applyFont="1" applyFill="1" applyBorder="1" applyAlignment="1">
      <alignment horizontal="right"/>
    </xf>
    <xf numFmtId="2" fontId="6" fillId="283" borderId="0" xfId="0" applyNumberFormat="1" applyFont="1" applyFill="1" applyBorder="1" applyAlignment="1">
      <alignment horizontal="right"/>
    </xf>
    <xf numFmtId="166" fontId="6" fillId="284" borderId="0" xfId="0" applyNumberFormat="1" applyFont="1" applyFill="1" applyBorder="1" applyAlignment="1">
      <alignment horizontal="right"/>
    </xf>
    <xf numFmtId="1" fontId="6" fillId="284" borderId="0" xfId="0" applyNumberFormat="1" applyFont="1" applyFill="1" applyBorder="1" applyAlignment="1">
      <alignment horizontal="right"/>
    </xf>
    <xf numFmtId="2" fontId="6" fillId="284" borderId="0" xfId="0" applyNumberFormat="1" applyFont="1" applyFill="1" applyBorder="1" applyAlignment="1">
      <alignment horizontal="right"/>
    </xf>
    <xf numFmtId="166" fontId="6" fillId="285" borderId="0" xfId="0" applyNumberFormat="1" applyFont="1" applyFill="1" applyBorder="1" applyAlignment="1">
      <alignment horizontal="right"/>
    </xf>
    <xf numFmtId="1" fontId="6" fillId="285" borderId="0" xfId="0" applyNumberFormat="1" applyFont="1" applyFill="1" applyBorder="1" applyAlignment="1">
      <alignment horizontal="right"/>
    </xf>
    <xf numFmtId="2" fontId="6" fillId="285" borderId="0" xfId="0" applyNumberFormat="1" applyFont="1" applyFill="1" applyBorder="1" applyAlignment="1">
      <alignment horizontal="right"/>
    </xf>
    <xf numFmtId="166" fontId="6" fillId="285" borderId="0" xfId="0" applyNumberFormat="1" applyFont="1" applyFill="1" applyBorder="1" applyAlignment="1">
      <alignment horizontal="right" vertical="center"/>
    </xf>
    <xf numFmtId="166" fontId="6" fillId="286" borderId="0" xfId="0" applyNumberFormat="1" applyFont="1" applyFill="1" applyBorder="1" applyAlignment="1">
      <alignment horizontal="right"/>
    </xf>
    <xf numFmtId="1" fontId="6" fillId="286" borderId="0" xfId="0" applyNumberFormat="1" applyFont="1" applyFill="1" applyBorder="1" applyAlignment="1">
      <alignment horizontal="right"/>
    </xf>
    <xf numFmtId="2" fontId="6" fillId="286" borderId="0" xfId="0" applyNumberFormat="1" applyFont="1" applyFill="1" applyBorder="1" applyAlignment="1">
      <alignment horizontal="right"/>
    </xf>
    <xf numFmtId="166" fontId="6" fillId="287" borderId="0" xfId="0" applyNumberFormat="1" applyFont="1" applyFill="1" applyBorder="1" applyAlignment="1">
      <alignment horizontal="right"/>
    </xf>
    <xf numFmtId="1" fontId="6" fillId="287" borderId="0" xfId="0" applyNumberFormat="1" applyFont="1" applyFill="1" applyBorder="1" applyAlignment="1">
      <alignment horizontal="right"/>
    </xf>
    <xf numFmtId="2" fontId="6" fillId="287" borderId="0" xfId="0" applyNumberFormat="1" applyFont="1" applyFill="1" applyBorder="1" applyAlignment="1">
      <alignment horizontal="right"/>
    </xf>
    <xf numFmtId="166" fontId="6" fillId="288" borderId="0" xfId="0" applyNumberFormat="1" applyFont="1" applyFill="1" applyBorder="1" applyAlignment="1">
      <alignment horizontal="right"/>
    </xf>
    <xf numFmtId="1" fontId="6" fillId="288" borderId="0" xfId="0" applyNumberFormat="1" applyFont="1" applyFill="1" applyBorder="1" applyAlignment="1">
      <alignment horizontal="right"/>
    </xf>
    <xf numFmtId="2" fontId="6" fillId="288" borderId="0" xfId="0" applyNumberFormat="1" applyFont="1" applyFill="1" applyBorder="1" applyAlignment="1">
      <alignment horizontal="right"/>
    </xf>
    <xf numFmtId="166" fontId="6" fillId="288" borderId="5" xfId="0" applyNumberFormat="1" applyFont="1" applyFill="1" applyBorder="1" applyAlignment="1">
      <alignment horizontal="right"/>
    </xf>
    <xf numFmtId="1" fontId="6" fillId="288" borderId="5" xfId="0" applyNumberFormat="1" applyFont="1" applyFill="1" applyBorder="1" applyAlignment="1">
      <alignment horizontal="right"/>
    </xf>
    <xf numFmtId="2" fontId="6" fillId="288" borderId="5" xfId="0" applyNumberFormat="1" applyFont="1" applyFill="1" applyBorder="1" applyAlignment="1">
      <alignment horizontal="right"/>
    </xf>
    <xf numFmtId="166" fontId="6" fillId="289" borderId="9" xfId="0" applyNumberFormat="1" applyFont="1" applyFill="1" applyBorder="1" applyAlignment="1">
      <alignment horizontal="right"/>
    </xf>
    <xf numFmtId="1" fontId="6" fillId="289" borderId="9" xfId="0" applyNumberFormat="1" applyFont="1" applyFill="1" applyBorder="1" applyAlignment="1">
      <alignment horizontal="right"/>
    </xf>
    <xf numFmtId="2" fontId="6" fillId="289" borderId="9" xfId="0" applyNumberFormat="1" applyFont="1" applyFill="1" applyBorder="1" applyAlignment="1">
      <alignment horizontal="right"/>
    </xf>
    <xf numFmtId="166" fontId="6" fillId="289" borderId="0" xfId="0" applyNumberFormat="1" applyFont="1" applyFill="1" applyBorder="1" applyAlignment="1">
      <alignment horizontal="right"/>
    </xf>
    <xf numFmtId="1" fontId="6" fillId="289" borderId="0" xfId="0" applyNumberFormat="1" applyFont="1" applyFill="1" applyBorder="1" applyAlignment="1">
      <alignment horizontal="right"/>
    </xf>
    <xf numFmtId="2" fontId="6" fillId="289" borderId="0" xfId="0" applyNumberFormat="1" applyFont="1" applyFill="1" applyBorder="1" applyAlignment="1">
      <alignment horizontal="right"/>
    </xf>
    <xf numFmtId="166" fontId="6" fillId="290" borderId="0" xfId="0" applyNumberFormat="1" applyFont="1" applyFill="1" applyBorder="1" applyAlignment="1">
      <alignment horizontal="right"/>
    </xf>
    <xf numFmtId="1" fontId="6" fillId="290" borderId="0" xfId="0" applyNumberFormat="1" applyFont="1" applyFill="1" applyBorder="1" applyAlignment="1">
      <alignment horizontal="right"/>
    </xf>
    <xf numFmtId="2" fontId="6" fillId="290" borderId="0" xfId="0" applyNumberFormat="1" applyFont="1" applyFill="1" applyBorder="1" applyAlignment="1">
      <alignment horizontal="right"/>
    </xf>
    <xf numFmtId="166" fontId="6" fillId="291" borderId="0" xfId="0" applyNumberFormat="1" applyFont="1" applyFill="1" applyBorder="1" applyAlignment="1">
      <alignment horizontal="right"/>
    </xf>
    <xf numFmtId="1" fontId="6" fillId="291" borderId="0" xfId="0" applyNumberFormat="1" applyFont="1" applyFill="1" applyBorder="1" applyAlignment="1">
      <alignment horizontal="right"/>
    </xf>
    <xf numFmtId="2" fontId="6" fillId="291" borderId="0" xfId="0" applyNumberFormat="1" applyFont="1" applyFill="1" applyBorder="1" applyAlignment="1">
      <alignment horizontal="right"/>
    </xf>
    <xf numFmtId="166" fontId="6" fillId="292" borderId="0" xfId="0" applyNumberFormat="1" applyFont="1" applyFill="1" applyBorder="1" applyAlignment="1">
      <alignment horizontal="right"/>
    </xf>
    <xf numFmtId="1" fontId="6" fillId="292" borderId="0" xfId="0" applyNumberFormat="1" applyFont="1" applyFill="1" applyBorder="1" applyAlignment="1">
      <alignment horizontal="right"/>
    </xf>
    <xf numFmtId="2" fontId="6" fillId="292" borderId="0" xfId="0" applyNumberFormat="1" applyFont="1" applyFill="1" applyBorder="1" applyAlignment="1">
      <alignment horizontal="right"/>
    </xf>
    <xf numFmtId="166" fontId="6" fillId="293" borderId="0" xfId="0" applyNumberFormat="1" applyFont="1" applyFill="1" applyBorder="1" applyAlignment="1">
      <alignment horizontal="right"/>
    </xf>
    <xf numFmtId="1" fontId="6" fillId="293" borderId="0" xfId="0" applyNumberFormat="1" applyFont="1" applyFill="1" applyBorder="1" applyAlignment="1">
      <alignment horizontal="right"/>
    </xf>
    <xf numFmtId="2" fontId="6" fillId="293" borderId="0" xfId="0" applyNumberFormat="1" applyFont="1" applyFill="1" applyBorder="1" applyAlignment="1">
      <alignment horizontal="right"/>
    </xf>
    <xf numFmtId="166" fontId="6" fillId="293" borderId="5" xfId="0" applyNumberFormat="1" applyFont="1" applyFill="1" applyBorder="1" applyAlignment="1">
      <alignment horizontal="right"/>
    </xf>
    <xf numFmtId="1" fontId="6" fillId="293" borderId="5" xfId="0" applyNumberFormat="1" applyFont="1" applyFill="1" applyBorder="1" applyAlignment="1">
      <alignment horizontal="right"/>
    </xf>
    <xf numFmtId="2" fontId="6" fillId="293" borderId="5" xfId="0" applyNumberFormat="1" applyFont="1" applyFill="1" applyBorder="1" applyAlignment="1">
      <alignment horizontal="right"/>
    </xf>
    <xf numFmtId="2" fontId="12" fillId="11" borderId="1" xfId="0" applyNumberFormat="1" applyFont="1" applyFill="1" applyBorder="1" applyAlignment="1">
      <alignment vertical="center" wrapText="1"/>
    </xf>
    <xf numFmtId="2" fontId="6" fillId="271" borderId="12" xfId="0" applyNumberFormat="1" applyFont="1" applyFill="1" applyBorder="1" applyAlignment="1">
      <alignment horizontal="right"/>
    </xf>
    <xf numFmtId="2" fontId="6" fillId="271" borderId="13" xfId="0" applyNumberFormat="1" applyFont="1" applyFill="1" applyBorder="1" applyAlignment="1">
      <alignment horizontal="right"/>
    </xf>
    <xf numFmtId="2" fontId="6" fillId="272" borderId="13" xfId="0" applyNumberFormat="1" applyFont="1" applyFill="1" applyBorder="1" applyAlignment="1">
      <alignment horizontal="right"/>
    </xf>
    <xf numFmtId="2" fontId="6" fillId="273" borderId="13" xfId="0" applyNumberFormat="1" applyFont="1" applyFill="1" applyBorder="1" applyAlignment="1">
      <alignment horizontal="right"/>
    </xf>
    <xf numFmtId="2" fontId="6" fillId="274" borderId="13" xfId="0" applyNumberFormat="1" applyFont="1" applyFill="1" applyBorder="1" applyAlignment="1">
      <alignment horizontal="right"/>
    </xf>
    <xf numFmtId="2" fontId="6" fillId="275" borderId="13" xfId="0" applyNumberFormat="1" applyFont="1" applyFill="1" applyBorder="1" applyAlignment="1">
      <alignment horizontal="right"/>
    </xf>
    <xf numFmtId="2" fontId="6" fillId="276" borderId="13" xfId="0" applyNumberFormat="1" applyFont="1" applyFill="1" applyBorder="1" applyAlignment="1">
      <alignment horizontal="right"/>
    </xf>
    <xf numFmtId="2" fontId="6" fillId="276" borderId="15" xfId="0" applyNumberFormat="1" applyFont="1" applyFill="1" applyBorder="1" applyAlignment="1">
      <alignment horizontal="right"/>
    </xf>
    <xf numFmtId="2" fontId="6" fillId="277" borderId="12" xfId="0" applyNumberFormat="1" applyFont="1" applyFill="1" applyBorder="1" applyAlignment="1">
      <alignment horizontal="right"/>
    </xf>
    <xf numFmtId="2" fontId="6" fillId="277" borderId="13" xfId="0" applyNumberFormat="1" applyFont="1" applyFill="1" applyBorder="1" applyAlignment="1">
      <alignment horizontal="right"/>
    </xf>
    <xf numFmtId="2" fontId="6" fillId="278" borderId="13" xfId="0" applyNumberFormat="1" applyFont="1" applyFill="1" applyBorder="1" applyAlignment="1">
      <alignment horizontal="right"/>
    </xf>
    <xf numFmtId="2" fontId="6" fillId="279" borderId="13" xfId="0" applyNumberFormat="1" applyFont="1" applyFill="1" applyBorder="1" applyAlignment="1">
      <alignment horizontal="right"/>
    </xf>
    <xf numFmtId="2" fontId="6" fillId="280" borderId="13" xfId="0" applyNumberFormat="1" applyFont="1" applyFill="1" applyBorder="1" applyAlignment="1">
      <alignment horizontal="right"/>
    </xf>
    <xf numFmtId="2" fontId="6" fillId="281" borderId="13" xfId="0" applyNumberFormat="1" applyFont="1" applyFill="1" applyBorder="1" applyAlignment="1">
      <alignment horizontal="right"/>
    </xf>
    <xf numFmtId="2" fontId="6" fillId="282" borderId="13" xfId="0" applyNumberFormat="1" applyFont="1" applyFill="1" applyBorder="1" applyAlignment="1">
      <alignment horizontal="right"/>
    </xf>
    <xf numFmtId="2" fontId="6" fillId="282" borderId="15" xfId="0" applyNumberFormat="1" applyFont="1" applyFill="1" applyBorder="1" applyAlignment="1">
      <alignment horizontal="right"/>
    </xf>
    <xf numFmtId="2" fontId="6" fillId="283" borderId="12" xfId="0" applyNumberFormat="1" applyFont="1" applyFill="1" applyBorder="1" applyAlignment="1">
      <alignment horizontal="right"/>
    </xf>
    <xf numFmtId="2" fontId="6" fillId="283" borderId="13" xfId="0" applyNumberFormat="1" applyFont="1" applyFill="1" applyBorder="1" applyAlignment="1">
      <alignment horizontal="right"/>
    </xf>
    <xf numFmtId="2" fontId="6" fillId="284" borderId="13" xfId="0" applyNumberFormat="1" applyFont="1" applyFill="1" applyBorder="1" applyAlignment="1">
      <alignment horizontal="right"/>
    </xf>
    <xf numFmtId="2" fontId="6" fillId="285" borderId="13" xfId="0" applyNumberFormat="1" applyFont="1" applyFill="1" applyBorder="1" applyAlignment="1">
      <alignment horizontal="right"/>
    </xf>
    <xf numFmtId="2" fontId="6" fillId="286" borderId="13" xfId="0" applyNumberFormat="1" applyFont="1" applyFill="1" applyBorder="1" applyAlignment="1">
      <alignment horizontal="right"/>
    </xf>
    <xf numFmtId="2" fontId="6" fillId="287" borderId="13" xfId="0" applyNumberFormat="1" applyFont="1" applyFill="1" applyBorder="1" applyAlignment="1">
      <alignment horizontal="right"/>
    </xf>
    <xf numFmtId="2" fontId="6" fillId="288" borderId="13" xfId="0" applyNumberFormat="1" applyFont="1" applyFill="1" applyBorder="1" applyAlignment="1">
      <alignment horizontal="right"/>
    </xf>
    <xf numFmtId="2" fontId="6" fillId="288" borderId="15" xfId="0" applyNumberFormat="1" applyFont="1" applyFill="1" applyBorder="1" applyAlignment="1">
      <alignment horizontal="right"/>
    </xf>
    <xf numFmtId="2" fontId="6" fillId="289" borderId="12" xfId="0" applyNumberFormat="1" applyFont="1" applyFill="1" applyBorder="1" applyAlignment="1">
      <alignment horizontal="right"/>
    </xf>
    <xf numFmtId="2" fontId="6" fillId="289" borderId="13" xfId="0" applyNumberFormat="1" applyFont="1" applyFill="1" applyBorder="1" applyAlignment="1">
      <alignment horizontal="right"/>
    </xf>
    <xf numFmtId="2" fontId="6" fillId="290" borderId="13" xfId="0" applyNumberFormat="1" applyFont="1" applyFill="1" applyBorder="1" applyAlignment="1">
      <alignment horizontal="right"/>
    </xf>
    <xf numFmtId="2" fontId="6" fillId="291" borderId="13" xfId="0" applyNumberFormat="1" applyFont="1" applyFill="1" applyBorder="1" applyAlignment="1">
      <alignment horizontal="right"/>
    </xf>
    <xf numFmtId="2" fontId="6" fillId="292" borderId="13" xfId="0" applyNumberFormat="1" applyFont="1" applyFill="1" applyBorder="1" applyAlignment="1">
      <alignment horizontal="right"/>
    </xf>
    <xf numFmtId="2" fontId="6" fillId="293" borderId="13" xfId="0" applyNumberFormat="1" applyFont="1" applyFill="1" applyBorder="1" applyAlignment="1">
      <alignment horizontal="right"/>
    </xf>
    <xf numFmtId="2" fontId="6" fillId="293" borderId="15" xfId="0" applyNumberFormat="1" applyFont="1" applyFill="1" applyBorder="1" applyAlignment="1">
      <alignment horizontal="right"/>
    </xf>
    <xf numFmtId="1" fontId="28" fillId="0" borderId="0" xfId="0" applyNumberFormat="1" applyFont="1" applyAlignment="1">
      <alignment horizontal="left"/>
    </xf>
    <xf numFmtId="2" fontId="0" fillId="0" borderId="0" xfId="0" applyNumberFormat="1" applyFont="1" applyFill="1" applyAlignment="1">
      <alignment horizontal="right"/>
    </xf>
    <xf numFmtId="2" fontId="6" fillId="133" borderId="9" xfId="0" applyNumberFormat="1" applyFont="1" applyFill="1" applyBorder="1"/>
    <xf numFmtId="2" fontId="6" fillId="133" borderId="0" xfId="0" applyNumberFormat="1" applyFont="1" applyFill="1" applyBorder="1"/>
    <xf numFmtId="2" fontId="6" fillId="134" borderId="0" xfId="0" applyNumberFormat="1" applyFont="1" applyFill="1" applyBorder="1"/>
    <xf numFmtId="2" fontId="6" fillId="136" borderId="0" xfId="0" applyNumberFormat="1" applyFont="1" applyFill="1" applyBorder="1"/>
    <xf numFmtId="2" fontId="6" fillId="137" borderId="0" xfId="0" applyNumberFormat="1" applyFont="1" applyFill="1" applyBorder="1"/>
    <xf numFmtId="2" fontId="6" fillId="138" borderId="0" xfId="0" applyNumberFormat="1" applyFont="1" applyFill="1" applyBorder="1"/>
    <xf numFmtId="2" fontId="6" fillId="139" borderId="0" xfId="0" applyNumberFormat="1" applyFont="1" applyFill="1" applyBorder="1"/>
    <xf numFmtId="2" fontId="6" fillId="135" borderId="0" xfId="0" applyNumberFormat="1" applyFont="1" applyFill="1" applyBorder="1"/>
    <xf numFmtId="2" fontId="6" fillId="140" borderId="0" xfId="0" applyNumberFormat="1" applyFont="1" applyFill="1" applyBorder="1"/>
    <xf numFmtId="2" fontId="6" fillId="141" borderId="0" xfId="0" applyNumberFormat="1" applyFont="1" applyFill="1" applyBorder="1"/>
    <xf numFmtId="2" fontId="6" fillId="142" borderId="0" xfId="0" applyNumberFormat="1" applyFont="1" applyFill="1" applyBorder="1"/>
    <xf numFmtId="2" fontId="6" fillId="143" borderId="0" xfId="0" applyNumberFormat="1" applyFont="1" applyFill="1" applyBorder="1"/>
    <xf numFmtId="2" fontId="6" fillId="144" borderId="0" xfId="0" applyNumberFormat="1" applyFont="1" applyFill="1" applyBorder="1"/>
    <xf numFmtId="2" fontId="6" fillId="145" borderId="0" xfId="0" applyNumberFormat="1" applyFont="1" applyFill="1" applyBorder="1" applyAlignment="1">
      <alignment horizontal="right" vertical="center" wrapText="1"/>
    </xf>
    <xf numFmtId="2" fontId="6" fillId="145" borderId="0" xfId="0" applyNumberFormat="1" applyFont="1" applyFill="1" applyBorder="1" applyAlignment="1">
      <alignment horizontal="right" vertical="center"/>
    </xf>
    <xf numFmtId="2" fontId="6" fillId="146" borderId="0" xfId="0" applyNumberFormat="1" applyFont="1" applyFill="1" applyBorder="1" applyAlignment="1">
      <alignment horizontal="right" vertical="center" wrapText="1"/>
    </xf>
    <xf numFmtId="2" fontId="6" fillId="146" borderId="0" xfId="0" applyNumberFormat="1" applyFont="1" applyFill="1" applyBorder="1" applyAlignment="1">
      <alignment horizontal="right" vertical="center"/>
    </xf>
    <xf numFmtId="2" fontId="6" fillId="147" borderId="0" xfId="0" applyNumberFormat="1" applyFont="1" applyFill="1" applyBorder="1" applyAlignment="1">
      <alignment horizontal="right" vertical="center" wrapText="1"/>
    </xf>
    <xf numFmtId="2" fontId="6" fillId="147" borderId="0" xfId="0" applyNumberFormat="1" applyFont="1" applyFill="1" applyBorder="1" applyAlignment="1">
      <alignment horizontal="right" vertical="center"/>
    </xf>
    <xf numFmtId="2" fontId="6" fillId="148" borderId="0" xfId="0" applyNumberFormat="1" applyFont="1" applyFill="1" applyBorder="1" applyAlignment="1">
      <alignment horizontal="right" vertical="center" wrapText="1"/>
    </xf>
    <xf numFmtId="2" fontId="6" fillId="149" borderId="0" xfId="0" applyNumberFormat="1" applyFont="1" applyFill="1" applyBorder="1" applyAlignment="1">
      <alignment horizontal="right" vertical="center" wrapText="1"/>
    </xf>
    <xf numFmtId="2" fontId="6" fillId="150" borderId="0" xfId="0" applyNumberFormat="1" applyFont="1" applyFill="1" applyBorder="1" applyAlignment="1">
      <alignment horizontal="right" vertical="center" wrapText="1"/>
    </xf>
    <xf numFmtId="2" fontId="6" fillId="151" borderId="0" xfId="0" applyNumberFormat="1" applyFont="1" applyFill="1" applyBorder="1"/>
    <xf numFmtId="2" fontId="6" fillId="152" borderId="0" xfId="0" applyNumberFormat="1" applyFont="1" applyFill="1" applyBorder="1"/>
    <xf numFmtId="2" fontId="6" fillId="153" borderId="0" xfId="0" applyNumberFormat="1" applyFont="1" applyFill="1" applyBorder="1"/>
    <xf numFmtId="2" fontId="6" fillId="154" borderId="0" xfId="0" applyNumberFormat="1" applyFont="1" applyFill="1" applyBorder="1"/>
    <xf numFmtId="2" fontId="6" fillId="155" borderId="0" xfId="0" applyNumberFormat="1" applyFont="1" applyFill="1" applyBorder="1"/>
    <xf numFmtId="2" fontId="6" fillId="156" borderId="0" xfId="0" applyNumberFormat="1" applyFont="1" applyFill="1" applyBorder="1"/>
    <xf numFmtId="2" fontId="6" fillId="156" borderId="5" xfId="0" applyNumberFormat="1" applyFont="1" applyFill="1" applyBorder="1"/>
    <xf numFmtId="2" fontId="18" fillId="12" borderId="1" xfId="0" applyNumberFormat="1" applyFont="1" applyFill="1" applyBorder="1" applyAlignment="1">
      <alignment vertical="top" wrapText="1"/>
    </xf>
    <xf numFmtId="2" fontId="6" fillId="158" borderId="9" xfId="0" applyNumberFormat="1" applyFont="1" applyFill="1" applyBorder="1" applyAlignment="1">
      <alignment horizontal="right"/>
    </xf>
    <xf numFmtId="2" fontId="6" fillId="248" borderId="9" xfId="0" applyNumberFormat="1" applyFont="1" applyFill="1" applyBorder="1" applyAlignment="1">
      <alignment horizontal="right"/>
    </xf>
    <xf numFmtId="2" fontId="6" fillId="158" borderId="0" xfId="0" applyNumberFormat="1" applyFont="1" applyFill="1" applyBorder="1" applyAlignment="1">
      <alignment horizontal="right"/>
    </xf>
    <xf numFmtId="2" fontId="6" fillId="248" borderId="0" xfId="0" applyNumberFormat="1" applyFont="1" applyFill="1" applyBorder="1" applyAlignment="1">
      <alignment horizontal="right"/>
    </xf>
    <xf numFmtId="2" fontId="6" fillId="159" borderId="0" xfId="0" applyNumberFormat="1" applyFont="1" applyFill="1" applyBorder="1" applyAlignment="1">
      <alignment horizontal="right"/>
    </xf>
    <xf numFmtId="2" fontId="6" fillId="249" borderId="0" xfId="0" applyNumberFormat="1" applyFont="1" applyFill="1" applyBorder="1" applyAlignment="1">
      <alignment horizontal="right"/>
    </xf>
    <xf numFmtId="2" fontId="6" fillId="160" borderId="0" xfId="0" applyNumberFormat="1" applyFont="1" applyFill="1" applyBorder="1" applyAlignment="1">
      <alignment horizontal="right"/>
    </xf>
    <xf numFmtId="2" fontId="6" fillId="250" borderId="0" xfId="0" applyNumberFormat="1" applyFont="1" applyFill="1" applyBorder="1" applyAlignment="1">
      <alignment horizontal="right"/>
    </xf>
    <xf numFmtId="2" fontId="6" fillId="161" borderId="0" xfId="0" applyNumberFormat="1" applyFont="1" applyFill="1" applyBorder="1" applyAlignment="1">
      <alignment horizontal="right"/>
    </xf>
    <xf numFmtId="2" fontId="6" fillId="251" borderId="0" xfId="0" applyNumberFormat="1" applyFont="1" applyFill="1" applyBorder="1" applyAlignment="1">
      <alignment horizontal="right"/>
    </xf>
    <xf numFmtId="2" fontId="6" fillId="162" borderId="0" xfId="0" applyNumberFormat="1" applyFont="1" applyFill="1" applyBorder="1" applyAlignment="1">
      <alignment horizontal="right"/>
    </xf>
    <xf numFmtId="2" fontId="6" fillId="252" borderId="0" xfId="0" applyNumberFormat="1" applyFont="1" applyFill="1" applyBorder="1" applyAlignment="1">
      <alignment horizontal="right"/>
    </xf>
    <xf numFmtId="2" fontId="6" fillId="163" borderId="0" xfId="0" applyNumberFormat="1" applyFont="1" applyFill="1" applyBorder="1" applyAlignment="1">
      <alignment horizontal="right"/>
    </xf>
    <xf numFmtId="2" fontId="6" fillId="253" borderId="0" xfId="0" applyNumberFormat="1" applyFont="1" applyFill="1" applyBorder="1" applyAlignment="1">
      <alignment horizontal="right"/>
    </xf>
    <xf numFmtId="2" fontId="6" fillId="164" borderId="0" xfId="0" applyNumberFormat="1" applyFont="1" applyFill="1" applyBorder="1" applyAlignment="1">
      <alignment horizontal="right"/>
    </xf>
    <xf numFmtId="2" fontId="6" fillId="254" borderId="0" xfId="0" applyNumberFormat="1" applyFont="1" applyFill="1" applyBorder="1" applyAlignment="1">
      <alignment horizontal="right"/>
    </xf>
    <xf numFmtId="2" fontId="6" fillId="165" borderId="0" xfId="0" applyNumberFormat="1" applyFont="1" applyFill="1" applyBorder="1" applyAlignment="1">
      <alignment horizontal="right"/>
    </xf>
    <xf numFmtId="2" fontId="6" fillId="255" borderId="0" xfId="0" applyNumberFormat="1" applyFont="1" applyFill="1" applyBorder="1" applyAlignment="1">
      <alignment horizontal="right"/>
    </xf>
    <xf numFmtId="2" fontId="6" fillId="166" borderId="0" xfId="0" applyNumberFormat="1" applyFont="1" applyFill="1" applyBorder="1" applyAlignment="1">
      <alignment horizontal="right"/>
    </xf>
    <xf numFmtId="2" fontId="6" fillId="256" borderId="0" xfId="0" applyNumberFormat="1" applyFont="1" applyFill="1" applyBorder="1" applyAlignment="1">
      <alignment horizontal="right"/>
    </xf>
    <xf numFmtId="2" fontId="6" fillId="167" borderId="0" xfId="0" applyNumberFormat="1" applyFont="1" applyFill="1" applyBorder="1" applyAlignment="1">
      <alignment horizontal="right"/>
    </xf>
    <xf numFmtId="2" fontId="6" fillId="257" borderId="0" xfId="0" applyNumberFormat="1" applyFont="1" applyFill="1" applyBorder="1" applyAlignment="1">
      <alignment horizontal="right"/>
    </xf>
    <xf numFmtId="2" fontId="6" fillId="168" borderId="0" xfId="0" applyNumberFormat="1" applyFont="1" applyFill="1" applyBorder="1" applyAlignment="1">
      <alignment horizontal="right"/>
    </xf>
    <xf numFmtId="2" fontId="6" fillId="258" borderId="0" xfId="0" applyNumberFormat="1" applyFont="1" applyFill="1" applyBorder="1" applyAlignment="1">
      <alignment horizontal="right"/>
    </xf>
    <xf numFmtId="2" fontId="6" fillId="169" borderId="0" xfId="0" applyNumberFormat="1" applyFont="1" applyFill="1" applyBorder="1" applyAlignment="1">
      <alignment horizontal="right"/>
    </xf>
    <xf numFmtId="2" fontId="6" fillId="259" borderId="0" xfId="0" applyNumberFormat="1" applyFont="1" applyFill="1" applyBorder="1" applyAlignment="1">
      <alignment horizontal="right"/>
    </xf>
    <xf numFmtId="2" fontId="6" fillId="170" borderId="0" xfId="0" applyNumberFormat="1" applyFont="1" applyFill="1" applyBorder="1" applyAlignment="1">
      <alignment horizontal="right"/>
    </xf>
    <xf numFmtId="2" fontId="6" fillId="260" borderId="0" xfId="0" applyNumberFormat="1" applyFont="1" applyFill="1" applyBorder="1" applyAlignment="1">
      <alignment horizontal="right"/>
    </xf>
    <xf numFmtId="2" fontId="6" fillId="170" borderId="0" xfId="0" applyNumberFormat="1" applyFont="1" applyFill="1" applyBorder="1" applyAlignment="1">
      <alignment horizontal="right" vertical="center"/>
    </xf>
    <xf numFmtId="2" fontId="6" fillId="260" borderId="0" xfId="0" applyNumberFormat="1" applyFont="1" applyFill="1" applyBorder="1" applyAlignment="1">
      <alignment horizontal="right" vertical="center"/>
    </xf>
    <xf numFmtId="2" fontId="6" fillId="171" borderId="0" xfId="0" applyNumberFormat="1" applyFont="1" applyFill="1" applyBorder="1" applyAlignment="1">
      <alignment horizontal="right"/>
    </xf>
    <xf numFmtId="2" fontId="6" fillId="261" borderId="0" xfId="0" applyNumberFormat="1" applyFont="1" applyFill="1" applyBorder="1" applyAlignment="1">
      <alignment horizontal="right"/>
    </xf>
    <xf numFmtId="2" fontId="6" fillId="172" borderId="0" xfId="0" applyNumberFormat="1" applyFont="1" applyFill="1" applyBorder="1" applyAlignment="1">
      <alignment horizontal="right"/>
    </xf>
    <xf numFmtId="2" fontId="6" fillId="262" borderId="0" xfId="0" applyNumberFormat="1" applyFont="1" applyFill="1" applyBorder="1" applyAlignment="1">
      <alignment horizontal="right"/>
    </xf>
    <xf numFmtId="2" fontId="6" fillId="172" borderId="0" xfId="0" applyNumberFormat="1" applyFont="1" applyFill="1" applyBorder="1" applyAlignment="1">
      <alignment horizontal="right" vertical="center"/>
    </xf>
    <xf numFmtId="2" fontId="6" fillId="262" borderId="0" xfId="0" applyNumberFormat="1" applyFont="1" applyFill="1" applyBorder="1" applyAlignment="1">
      <alignment horizontal="right" vertical="center"/>
    </xf>
    <xf numFmtId="2" fontId="6" fillId="173" borderId="0" xfId="0" applyNumberFormat="1" applyFont="1" applyFill="1" applyBorder="1" applyAlignment="1">
      <alignment horizontal="right"/>
    </xf>
    <xf numFmtId="2" fontId="6" fillId="263" borderId="0" xfId="0" applyNumberFormat="1" applyFont="1" applyFill="1" applyBorder="1" applyAlignment="1">
      <alignment horizontal="right"/>
    </xf>
    <xf numFmtId="2" fontId="6" fillId="174" borderId="0" xfId="0" applyNumberFormat="1" applyFont="1" applyFill="1" applyBorder="1" applyAlignment="1">
      <alignment horizontal="right"/>
    </xf>
    <xf numFmtId="2" fontId="6" fillId="264" borderId="0" xfId="0" applyNumberFormat="1" applyFont="1" applyFill="1" applyBorder="1" applyAlignment="1">
      <alignment horizontal="right"/>
    </xf>
    <xf numFmtId="2" fontId="6" fillId="175" borderId="0" xfId="0" applyNumberFormat="1" applyFont="1" applyFill="1" applyBorder="1" applyAlignment="1">
      <alignment horizontal="right"/>
    </xf>
    <xf numFmtId="2" fontId="6" fillId="265" borderId="0" xfId="0" applyNumberFormat="1" applyFont="1" applyFill="1" applyBorder="1" applyAlignment="1">
      <alignment horizontal="right"/>
    </xf>
    <xf numFmtId="2" fontId="13" fillId="2" borderId="0" xfId="0" applyNumberFormat="1" applyFont="1" applyFill="1" applyBorder="1" applyAlignment="1">
      <alignment horizontal="right"/>
    </xf>
    <xf numFmtId="2" fontId="6" fillId="266" borderId="0" xfId="0" applyNumberFormat="1" applyFont="1" applyFill="1" applyBorder="1" applyAlignment="1">
      <alignment horizontal="right"/>
    </xf>
    <xf numFmtId="2" fontId="13" fillId="176" borderId="0" xfId="0" applyNumberFormat="1" applyFont="1" applyFill="1" applyBorder="1" applyAlignment="1">
      <alignment horizontal="right"/>
    </xf>
    <xf numFmtId="2" fontId="6" fillId="157" borderId="0" xfId="0" applyNumberFormat="1" applyFont="1" applyFill="1" applyBorder="1" applyAlignment="1">
      <alignment horizontal="right"/>
    </xf>
    <xf numFmtId="2" fontId="6" fillId="177" borderId="0" xfId="0" applyNumberFormat="1" applyFont="1" applyFill="1" applyBorder="1" applyAlignment="1">
      <alignment horizontal="right"/>
    </xf>
    <xf numFmtId="2" fontId="6" fillId="267" borderId="0" xfId="0" applyNumberFormat="1" applyFont="1" applyFill="1" applyBorder="1" applyAlignment="1">
      <alignment horizontal="right"/>
    </xf>
    <xf numFmtId="2" fontId="6" fillId="178" borderId="0" xfId="0" applyNumberFormat="1" applyFont="1" applyFill="1" applyBorder="1" applyAlignment="1">
      <alignment horizontal="right"/>
    </xf>
    <xf numFmtId="2" fontId="6" fillId="268" borderId="0" xfId="0" applyNumberFormat="1" applyFont="1" applyFill="1" applyBorder="1" applyAlignment="1">
      <alignment horizontal="right"/>
    </xf>
    <xf numFmtId="2" fontId="6" fillId="179" borderId="0" xfId="0" applyNumberFormat="1" applyFont="1" applyFill="1" applyBorder="1" applyAlignment="1">
      <alignment horizontal="right"/>
    </xf>
    <xf numFmtId="2" fontId="6" fillId="269" borderId="0" xfId="0" applyNumberFormat="1" applyFont="1" applyFill="1" applyBorder="1" applyAlignment="1">
      <alignment horizontal="right"/>
    </xf>
    <xf numFmtId="2" fontId="6" fillId="180" borderId="0" xfId="0" applyNumberFormat="1" applyFont="1" applyFill="1" applyBorder="1" applyAlignment="1">
      <alignment horizontal="right"/>
    </xf>
    <xf numFmtId="2" fontId="6" fillId="270" borderId="0" xfId="0" applyNumberFormat="1" applyFont="1" applyFill="1" applyBorder="1" applyAlignment="1">
      <alignment horizontal="right"/>
    </xf>
    <xf numFmtId="2" fontId="6" fillId="180" borderId="5" xfId="0" applyNumberFormat="1" applyFont="1" applyFill="1" applyBorder="1" applyAlignment="1">
      <alignment horizontal="right"/>
    </xf>
    <xf numFmtId="2" fontId="6" fillId="270" borderId="5" xfId="0" applyNumberFormat="1" applyFont="1" applyFill="1" applyBorder="1" applyAlignment="1">
      <alignment horizontal="right"/>
    </xf>
    <xf numFmtId="2" fontId="13" fillId="0" borderId="0" xfId="0" applyNumberFormat="1" applyFont="1" applyAlignment="1">
      <alignment horizontal="right"/>
    </xf>
    <xf numFmtId="2" fontId="27" fillId="12" borderId="1" xfId="0" applyNumberFormat="1" applyFont="1" applyFill="1" applyBorder="1" applyAlignment="1">
      <alignment vertical="top" wrapText="1"/>
    </xf>
    <xf numFmtId="2" fontId="26" fillId="11" borderId="2" xfId="0" applyNumberFormat="1" applyFont="1" applyFill="1" applyBorder="1" applyAlignment="1">
      <alignment vertical="center" wrapText="1"/>
    </xf>
    <xf numFmtId="2" fontId="14" fillId="7" borderId="10" xfId="0" applyNumberFormat="1" applyFont="1" applyFill="1" applyBorder="1" applyAlignment="1">
      <alignment horizontal="right" vertical="center" wrapText="1"/>
    </xf>
    <xf numFmtId="2" fontId="14" fillId="7" borderId="6" xfId="0" applyNumberFormat="1" applyFont="1" applyFill="1" applyBorder="1" applyAlignment="1">
      <alignment horizontal="right" vertical="center" wrapText="1"/>
    </xf>
    <xf numFmtId="2" fontId="14" fillId="7" borderId="11" xfId="0" applyNumberFormat="1" applyFont="1" applyFill="1" applyBorder="1" applyAlignment="1">
      <alignment horizontal="right" vertical="center" wrapText="1"/>
    </xf>
    <xf numFmtId="2" fontId="28" fillId="0" borderId="0" xfId="0" applyNumberFormat="1" applyFont="1" applyAlignment="1">
      <alignment horizontal="left"/>
    </xf>
    <xf numFmtId="2" fontId="6" fillId="294" borderId="10" xfId="0" applyNumberFormat="1" applyFont="1" applyFill="1" applyBorder="1" applyAlignment="1">
      <alignment vertical="center" wrapText="1"/>
    </xf>
    <xf numFmtId="2" fontId="6" fillId="294" borderId="6" xfId="0" applyNumberFormat="1" applyFont="1" applyFill="1" applyBorder="1" applyAlignment="1">
      <alignment vertical="center" wrapText="1"/>
    </xf>
    <xf numFmtId="2" fontId="6" fillId="295" borderId="6" xfId="0" applyNumberFormat="1" applyFont="1" applyFill="1" applyBorder="1" applyAlignment="1">
      <alignment vertical="center" wrapText="1"/>
    </xf>
    <xf numFmtId="2" fontId="6" fillId="296" borderId="6" xfId="0" applyNumberFormat="1" applyFont="1" applyFill="1" applyBorder="1" applyAlignment="1">
      <alignment vertical="center" wrapText="1"/>
    </xf>
    <xf numFmtId="2" fontId="6" fillId="297" borderId="6" xfId="0" applyNumberFormat="1" applyFont="1" applyFill="1" applyBorder="1" applyAlignment="1">
      <alignment vertical="center" wrapText="1"/>
    </xf>
    <xf numFmtId="2" fontId="6" fillId="298" borderId="6" xfId="0" applyNumberFormat="1" applyFont="1" applyFill="1" applyBorder="1" applyAlignment="1">
      <alignment vertical="center" wrapText="1"/>
    </xf>
    <xf numFmtId="2" fontId="6" fillId="299" borderId="6" xfId="0" applyNumberFormat="1" applyFont="1" applyFill="1" applyBorder="1" applyAlignment="1">
      <alignment vertical="center" wrapText="1"/>
    </xf>
    <xf numFmtId="2" fontId="6" fillId="299" borderId="11" xfId="0" applyNumberFormat="1" applyFont="1" applyFill="1" applyBorder="1" applyAlignment="1">
      <alignment vertical="center" wrapText="1"/>
    </xf>
    <xf numFmtId="2" fontId="6" fillId="229" borderId="10" xfId="0" applyNumberFormat="1" applyFont="1" applyFill="1" applyBorder="1" applyAlignment="1">
      <alignment vertical="center" wrapText="1"/>
    </xf>
    <xf numFmtId="2" fontId="6" fillId="229" borderId="6" xfId="0" applyNumberFormat="1" applyFont="1" applyFill="1" applyBorder="1" applyAlignment="1">
      <alignment vertical="center" wrapText="1"/>
    </xf>
    <xf numFmtId="2" fontId="6" fillId="230" borderId="6" xfId="0" applyNumberFormat="1" applyFont="1" applyFill="1" applyBorder="1" applyAlignment="1">
      <alignment vertical="center" wrapText="1"/>
    </xf>
    <xf numFmtId="2" fontId="6" fillId="231" borderId="6" xfId="0" applyNumberFormat="1" applyFont="1" applyFill="1" applyBorder="1" applyAlignment="1">
      <alignment vertical="center" wrapText="1"/>
    </xf>
    <xf numFmtId="2" fontId="6" fillId="232" borderId="6" xfId="0" applyNumberFormat="1" applyFont="1" applyFill="1" applyBorder="1" applyAlignment="1">
      <alignment vertical="center" wrapText="1"/>
    </xf>
    <xf numFmtId="2" fontId="6" fillId="233" borderId="6" xfId="0" applyNumberFormat="1" applyFont="1" applyFill="1" applyBorder="1" applyAlignment="1">
      <alignment vertical="center" wrapText="1"/>
    </xf>
    <xf numFmtId="2" fontId="6" fillId="234" borderId="6" xfId="0" applyNumberFormat="1" applyFont="1" applyFill="1" applyBorder="1" applyAlignment="1">
      <alignment vertical="center" wrapText="1"/>
    </xf>
    <xf numFmtId="2" fontId="6" fillId="234" borderId="11" xfId="0" applyNumberFormat="1" applyFont="1" applyFill="1" applyBorder="1" applyAlignment="1">
      <alignment vertical="center" wrapText="1"/>
    </xf>
    <xf numFmtId="2" fontId="6" fillId="235" borderId="10" xfId="0" applyNumberFormat="1" applyFont="1" applyFill="1" applyBorder="1" applyAlignment="1">
      <alignment vertical="center" wrapText="1"/>
    </xf>
    <xf numFmtId="2" fontId="6" fillId="235" borderId="6" xfId="0" applyNumberFormat="1" applyFont="1" applyFill="1" applyBorder="1" applyAlignment="1">
      <alignment vertical="center" wrapText="1"/>
    </xf>
    <xf numFmtId="2" fontId="6" fillId="236" borderId="6" xfId="0" applyNumberFormat="1" applyFont="1" applyFill="1" applyBorder="1" applyAlignment="1">
      <alignment vertical="center" wrapText="1"/>
    </xf>
    <xf numFmtId="2" fontId="6" fillId="237" borderId="6" xfId="0" applyNumberFormat="1" applyFont="1" applyFill="1" applyBorder="1" applyAlignment="1">
      <alignment vertical="center" wrapText="1"/>
    </xf>
    <xf numFmtId="2" fontId="6" fillId="238" borderId="6" xfId="0" applyNumberFormat="1" applyFont="1" applyFill="1" applyBorder="1" applyAlignment="1">
      <alignment vertical="center" wrapText="1"/>
    </xf>
    <xf numFmtId="2" fontId="6" fillId="239" borderId="6" xfId="0" applyNumberFormat="1" applyFont="1" applyFill="1" applyBorder="1" applyAlignment="1">
      <alignment vertical="center" wrapText="1"/>
    </xf>
    <xf numFmtId="2" fontId="6" fillId="240" borderId="6" xfId="0" applyNumberFormat="1" applyFont="1" applyFill="1" applyBorder="1" applyAlignment="1">
      <alignment vertical="center" wrapText="1"/>
    </xf>
    <xf numFmtId="2" fontId="6" fillId="240" borderId="11" xfId="0" applyNumberFormat="1" applyFont="1" applyFill="1" applyBorder="1" applyAlignment="1">
      <alignment vertical="center" wrapText="1"/>
    </xf>
    <xf numFmtId="2" fontId="13" fillId="241" borderId="10" xfId="0" applyNumberFormat="1" applyFont="1" applyFill="1" applyBorder="1" applyAlignment="1">
      <alignment vertical="center" wrapText="1"/>
    </xf>
    <xf numFmtId="2" fontId="13" fillId="241" borderId="6" xfId="0" applyNumberFormat="1" applyFont="1" applyFill="1" applyBorder="1" applyAlignment="1">
      <alignment vertical="center" wrapText="1"/>
    </xf>
    <xf numFmtId="2" fontId="6" fillId="242" borderId="6" xfId="0" applyNumberFormat="1" applyFont="1" applyFill="1" applyBorder="1" applyAlignment="1">
      <alignment vertical="center" wrapText="1"/>
    </xf>
    <xf numFmtId="2" fontId="6" fillId="243" borderId="6" xfId="0" applyNumberFormat="1" applyFont="1" applyFill="1" applyBorder="1" applyAlignment="1">
      <alignment vertical="center" wrapText="1"/>
    </xf>
    <xf numFmtId="2" fontId="6" fillId="244" borderId="6" xfId="0" applyNumberFormat="1" applyFont="1" applyFill="1" applyBorder="1" applyAlignment="1">
      <alignment vertical="center" wrapText="1"/>
    </xf>
    <xf numFmtId="2" fontId="6" fillId="245" borderId="6" xfId="0" applyNumberFormat="1" applyFont="1" applyFill="1" applyBorder="1" applyAlignment="1">
      <alignment vertical="center" wrapText="1"/>
    </xf>
    <xf numFmtId="2" fontId="6" fillId="246" borderId="6" xfId="0" applyNumberFormat="1" applyFont="1" applyFill="1" applyBorder="1" applyAlignment="1">
      <alignment vertical="center" wrapText="1"/>
    </xf>
    <xf numFmtId="2" fontId="6" fillId="246" borderId="11" xfId="0" applyNumberFormat="1" applyFont="1" applyFill="1" applyBorder="1" applyAlignment="1">
      <alignment vertical="center" wrapText="1"/>
    </xf>
    <xf numFmtId="4" fontId="0" fillId="0" borderId="0" xfId="0" applyNumberFormat="1" applyFont="1" applyFill="1" applyAlignment="1">
      <alignment horizontal="right"/>
    </xf>
    <xf numFmtId="4" fontId="13" fillId="0" borderId="0" xfId="0" applyNumberFormat="1" applyFont="1"/>
    <xf numFmtId="1" fontId="27" fillId="12" borderId="1" xfId="0" applyNumberFormat="1" applyFont="1" applyFill="1" applyBorder="1" applyAlignment="1">
      <alignment vertical="center" wrapText="1"/>
    </xf>
    <xf numFmtId="170" fontId="18" fillId="12" borderId="1" xfId="0" applyNumberFormat="1" applyFont="1" applyFill="1" applyBorder="1" applyAlignment="1">
      <alignment vertical="center" wrapText="1"/>
    </xf>
    <xf numFmtId="4" fontId="18" fillId="12" borderId="1" xfId="0" applyNumberFormat="1" applyFont="1" applyFill="1" applyBorder="1" applyAlignment="1">
      <alignment horizontal="left" vertical="center" wrapText="1"/>
    </xf>
    <xf numFmtId="1" fontId="18" fillId="12" borderId="1" xfId="0" applyNumberFormat="1" applyFont="1" applyFill="1" applyBorder="1" applyAlignment="1">
      <alignment vertical="center" wrapText="1"/>
    </xf>
    <xf numFmtId="166" fontId="18" fillId="12" borderId="1" xfId="0" applyNumberFormat="1" applyFont="1" applyFill="1" applyBorder="1" applyAlignment="1">
      <alignment vertical="center" wrapText="1"/>
    </xf>
    <xf numFmtId="167" fontId="14" fillId="108" borderId="8" xfId="0" applyNumberFormat="1" applyFont="1" applyFill="1" applyBorder="1" applyAlignment="1">
      <alignment horizontal="right" vertical="center" wrapText="1"/>
    </xf>
    <xf numFmtId="167" fontId="14" fillId="108" borderId="10" xfId="0" applyNumberFormat="1" applyFont="1" applyFill="1" applyBorder="1" applyAlignment="1">
      <alignment vertical="center" wrapText="1"/>
    </xf>
    <xf numFmtId="167" fontId="14" fillId="108" borderId="10" xfId="0" applyNumberFormat="1" applyFont="1" applyFill="1" applyBorder="1" applyAlignment="1">
      <alignment horizontal="right" vertical="center" wrapText="1"/>
    </xf>
    <xf numFmtId="167" fontId="14" fillId="108" borderId="7" xfId="0" applyNumberFormat="1" applyFont="1" applyFill="1" applyBorder="1" applyAlignment="1">
      <alignment horizontal="right" vertical="center" wrapText="1"/>
    </xf>
    <xf numFmtId="167" fontId="14" fillId="108" borderId="6" xfId="0" applyNumberFormat="1" applyFont="1" applyFill="1" applyBorder="1" applyAlignment="1">
      <alignment vertical="center" wrapText="1"/>
    </xf>
    <xf numFmtId="167" fontId="14" fillId="108" borderId="6" xfId="0" applyNumberFormat="1" applyFont="1" applyFill="1" applyBorder="1" applyAlignment="1">
      <alignment horizontal="right" vertical="center" wrapText="1"/>
    </xf>
    <xf numFmtId="167" fontId="14" fillId="108" borderId="14" xfId="0" applyNumberFormat="1" applyFont="1" applyFill="1" applyBorder="1" applyAlignment="1">
      <alignment horizontal="right" vertical="center" wrapText="1"/>
    </xf>
    <xf numFmtId="167" fontId="14" fillId="108" borderId="11" xfId="0" applyNumberFormat="1" applyFont="1" applyFill="1" applyBorder="1" applyAlignment="1">
      <alignment vertical="center" wrapText="1"/>
    </xf>
    <xf numFmtId="167" fontId="14" fillId="108" borderId="11" xfId="0" applyNumberFormat="1" applyFont="1" applyFill="1" applyBorder="1" applyAlignment="1">
      <alignment horizontal="right" vertical="center" wrapText="1"/>
    </xf>
    <xf numFmtId="167" fontId="14" fillId="11" borderId="8" xfId="0" applyNumberFormat="1" applyFont="1" applyFill="1" applyBorder="1" applyAlignment="1">
      <alignment horizontal="right" vertical="center" wrapText="1"/>
    </xf>
    <xf numFmtId="167" fontId="14" fillId="11" borderId="10" xfId="0" applyNumberFormat="1" applyFont="1" applyFill="1" applyBorder="1" applyAlignment="1">
      <alignment vertical="center" wrapText="1"/>
    </xf>
    <xf numFmtId="167" fontId="14" fillId="11" borderId="8" xfId="0" applyNumberFormat="1" applyFont="1" applyFill="1" applyBorder="1" applyAlignment="1">
      <alignment vertical="center" wrapText="1"/>
    </xf>
    <xf numFmtId="167" fontId="14" fillId="11" borderId="10" xfId="0" applyNumberFormat="1" applyFont="1" applyFill="1" applyBorder="1" applyAlignment="1">
      <alignment horizontal="right" vertical="center" wrapText="1"/>
    </xf>
    <xf numFmtId="167" fontId="14" fillId="11" borderId="7" xfId="0" applyNumberFormat="1" applyFont="1" applyFill="1" applyBorder="1" applyAlignment="1">
      <alignment horizontal="right" vertical="center" wrapText="1"/>
    </xf>
    <xf numFmtId="167" fontId="14" fillId="11" borderId="6" xfId="0" applyNumberFormat="1" applyFont="1" applyFill="1" applyBorder="1" applyAlignment="1">
      <alignment vertical="center" wrapText="1"/>
    </xf>
    <xf numFmtId="167" fontId="14" fillId="11" borderId="7" xfId="0" applyNumberFormat="1" applyFont="1" applyFill="1" applyBorder="1" applyAlignment="1">
      <alignment vertical="center" wrapText="1"/>
    </xf>
    <xf numFmtId="167" fontId="14" fillId="11" borderId="6" xfId="0" applyNumberFormat="1" applyFont="1" applyFill="1" applyBorder="1" applyAlignment="1">
      <alignment horizontal="right" vertical="center" wrapText="1"/>
    </xf>
    <xf numFmtId="167" fontId="14" fillId="11" borderId="14" xfId="0" applyNumberFormat="1" applyFont="1" applyFill="1" applyBorder="1" applyAlignment="1">
      <alignment horizontal="right" vertical="center" wrapText="1"/>
    </xf>
    <xf numFmtId="167" fontId="14" fillId="11" borderId="11" xfId="0" applyNumberFormat="1" applyFont="1" applyFill="1" applyBorder="1" applyAlignment="1">
      <alignment vertical="center" wrapText="1"/>
    </xf>
    <xf numFmtId="167" fontId="14" fillId="11" borderId="14" xfId="0" applyNumberFormat="1" applyFont="1" applyFill="1" applyBorder="1" applyAlignment="1">
      <alignment vertical="center" wrapText="1"/>
    </xf>
    <xf numFmtId="167" fontId="14" fillId="11" borderId="11" xfId="0" applyNumberFormat="1" applyFont="1" applyFill="1" applyBorder="1" applyAlignment="1">
      <alignment horizontal="right" vertical="center" wrapText="1"/>
    </xf>
    <xf numFmtId="166" fontId="27" fillId="12" borderId="3" xfId="0" applyNumberFormat="1" applyFont="1" applyFill="1" applyBorder="1" applyAlignment="1">
      <alignment vertical="center" wrapText="1"/>
    </xf>
    <xf numFmtId="2" fontId="27" fillId="12" borderId="3" xfId="0" applyNumberFormat="1" applyFont="1" applyFill="1" applyBorder="1" applyAlignment="1">
      <alignment vertical="center" wrapText="1"/>
    </xf>
    <xf numFmtId="1" fontId="27" fillId="12" borderId="4" xfId="0" applyNumberFormat="1" applyFont="1" applyFill="1" applyBorder="1" applyAlignment="1">
      <alignment vertical="center" wrapText="1"/>
    </xf>
    <xf numFmtId="2" fontId="12" fillId="11" borderId="2" xfId="0" applyNumberFormat="1" applyFont="1" applyFill="1" applyBorder="1" applyAlignment="1">
      <alignment vertical="center" wrapText="1"/>
    </xf>
    <xf numFmtId="1" fontId="6" fillId="294" borderId="8" xfId="0" applyNumberFormat="1" applyFont="1" applyFill="1" applyBorder="1" applyAlignment="1">
      <alignment vertical="center" wrapText="1"/>
    </xf>
    <xf numFmtId="166" fontId="6" fillId="294" borderId="9" xfId="0" applyNumberFormat="1" applyFont="1" applyFill="1" applyBorder="1" applyAlignment="1">
      <alignment vertical="center" wrapText="1"/>
    </xf>
    <xf numFmtId="2" fontId="6" fillId="294" borderId="9" xfId="0" applyNumberFormat="1" applyFont="1" applyFill="1" applyBorder="1" applyAlignment="1">
      <alignment vertical="center" wrapText="1"/>
    </xf>
    <xf numFmtId="1" fontId="6" fillId="294" borderId="7" xfId="0" applyNumberFormat="1" applyFont="1" applyFill="1" applyBorder="1" applyAlignment="1">
      <alignment vertical="center" wrapText="1"/>
    </xf>
    <xf numFmtId="166" fontId="6" fillId="294" borderId="0" xfId="0" applyNumberFormat="1" applyFont="1" applyFill="1" applyBorder="1" applyAlignment="1">
      <alignment vertical="center" wrapText="1"/>
    </xf>
    <xf numFmtId="2" fontId="6" fillId="294" borderId="0" xfId="0" applyNumberFormat="1" applyFont="1" applyFill="1" applyBorder="1" applyAlignment="1">
      <alignment vertical="center" wrapText="1"/>
    </xf>
    <xf numFmtId="1" fontId="6" fillId="295" borderId="7" xfId="0" applyNumberFormat="1" applyFont="1" applyFill="1" applyBorder="1" applyAlignment="1">
      <alignment vertical="center" wrapText="1"/>
    </xf>
    <xf numFmtId="166" fontId="6" fillId="295" borderId="0" xfId="0" applyNumberFormat="1" applyFont="1" applyFill="1" applyBorder="1" applyAlignment="1">
      <alignment vertical="center" wrapText="1"/>
    </xf>
    <xf numFmtId="2" fontId="6" fillId="295" borderId="0" xfId="0" applyNumberFormat="1" applyFont="1" applyFill="1" applyBorder="1" applyAlignment="1">
      <alignment vertical="center" wrapText="1"/>
    </xf>
    <xf numFmtId="1" fontId="6" fillId="296" borderId="7" xfId="0" applyNumberFormat="1" applyFont="1" applyFill="1" applyBorder="1" applyAlignment="1">
      <alignment vertical="center" wrapText="1"/>
    </xf>
    <xf numFmtId="166" fontId="6" fillId="296" borderId="0" xfId="0" applyNumberFormat="1" applyFont="1" applyFill="1" applyBorder="1" applyAlignment="1">
      <alignment vertical="center" wrapText="1"/>
    </xf>
    <xf numFmtId="2" fontId="6" fillId="296" borderId="0" xfId="0" applyNumberFormat="1" applyFont="1" applyFill="1" applyBorder="1" applyAlignment="1">
      <alignment vertical="center" wrapText="1"/>
    </xf>
    <xf numFmtId="1" fontId="6" fillId="297" borderId="7" xfId="0" applyNumberFormat="1" applyFont="1" applyFill="1" applyBorder="1" applyAlignment="1">
      <alignment vertical="center" wrapText="1"/>
    </xf>
    <xf numFmtId="166" fontId="6" fillId="297" borderId="0" xfId="0" applyNumberFormat="1" applyFont="1" applyFill="1" applyBorder="1" applyAlignment="1">
      <alignment vertical="center" wrapText="1"/>
    </xf>
    <xf numFmtId="2" fontId="6" fillId="297" borderId="0" xfId="0" applyNumberFormat="1" applyFont="1" applyFill="1" applyBorder="1" applyAlignment="1">
      <alignment vertical="center" wrapText="1"/>
    </xf>
    <xf numFmtId="1" fontId="6" fillId="298" borderId="7" xfId="0" applyNumberFormat="1" applyFont="1" applyFill="1" applyBorder="1" applyAlignment="1">
      <alignment vertical="center" wrapText="1"/>
    </xf>
    <xf numFmtId="166" fontId="6" fillId="298" borderId="0" xfId="0" applyNumberFormat="1" applyFont="1" applyFill="1" applyBorder="1" applyAlignment="1">
      <alignment vertical="center" wrapText="1"/>
    </xf>
    <xf numFmtId="2" fontId="6" fillId="298" borderId="0" xfId="0" applyNumberFormat="1" applyFont="1" applyFill="1" applyBorder="1" applyAlignment="1">
      <alignment vertical="center" wrapText="1"/>
    </xf>
    <xf numFmtId="1" fontId="6" fillId="299" borderId="7" xfId="0" applyNumberFormat="1" applyFont="1" applyFill="1" applyBorder="1" applyAlignment="1">
      <alignment vertical="center" wrapText="1"/>
    </xf>
    <xf numFmtId="166" fontId="6" fillId="299" borderId="0" xfId="0" applyNumberFormat="1" applyFont="1" applyFill="1" applyBorder="1" applyAlignment="1">
      <alignment vertical="center" wrapText="1"/>
    </xf>
    <xf numFmtId="2" fontId="6" fillId="299" borderId="0" xfId="0" applyNumberFormat="1" applyFont="1" applyFill="1" applyBorder="1" applyAlignment="1">
      <alignment vertical="center" wrapText="1"/>
    </xf>
    <xf numFmtId="1" fontId="6" fillId="299" borderId="14" xfId="0" applyNumberFormat="1" applyFont="1" applyFill="1" applyBorder="1" applyAlignment="1">
      <alignment vertical="center" wrapText="1"/>
    </xf>
    <xf numFmtId="166" fontId="6" fillId="299" borderId="5" xfId="0" applyNumberFormat="1" applyFont="1" applyFill="1" applyBorder="1" applyAlignment="1">
      <alignment vertical="center" wrapText="1"/>
    </xf>
    <xf numFmtId="2" fontId="6" fillId="299" borderId="5" xfId="0" applyNumberFormat="1" applyFont="1" applyFill="1" applyBorder="1" applyAlignment="1">
      <alignment vertical="center" wrapText="1"/>
    </xf>
    <xf numFmtId="1" fontId="6" fillId="229" borderId="8" xfId="0" applyNumberFormat="1" applyFont="1" applyFill="1" applyBorder="1" applyAlignment="1">
      <alignment vertical="center" wrapText="1"/>
    </xf>
    <xf numFmtId="166" fontId="6" fillId="229" borderId="9" xfId="0" applyNumberFormat="1" applyFont="1" applyFill="1" applyBorder="1" applyAlignment="1">
      <alignment vertical="center" wrapText="1"/>
    </xf>
    <xf numFmtId="2" fontId="6" fillId="229" borderId="9" xfId="0" applyNumberFormat="1" applyFont="1" applyFill="1" applyBorder="1" applyAlignment="1">
      <alignment vertical="center" wrapText="1"/>
    </xf>
    <xf numFmtId="1" fontId="6" fillId="229" borderId="7" xfId="0" applyNumberFormat="1" applyFont="1" applyFill="1" applyBorder="1" applyAlignment="1">
      <alignment vertical="center" wrapText="1"/>
    </xf>
    <xf numFmtId="166" fontId="6" fillId="229" borderId="0" xfId="0" applyNumberFormat="1" applyFont="1" applyFill="1" applyBorder="1" applyAlignment="1">
      <alignment vertical="center" wrapText="1"/>
    </xf>
    <xf numFmtId="2" fontId="6" fillId="229" borderId="0" xfId="0" applyNumberFormat="1" applyFont="1" applyFill="1" applyBorder="1" applyAlignment="1">
      <alignment vertical="center" wrapText="1"/>
    </xf>
    <xf numFmtId="1" fontId="6" fillId="230" borderId="7" xfId="0" applyNumberFormat="1" applyFont="1" applyFill="1" applyBorder="1" applyAlignment="1">
      <alignment vertical="center" wrapText="1"/>
    </xf>
    <xf numFmtId="166" fontId="6" fillId="230" borderId="0" xfId="0" applyNumberFormat="1" applyFont="1" applyFill="1" applyBorder="1" applyAlignment="1">
      <alignment vertical="center" wrapText="1"/>
    </xf>
    <xf numFmtId="2" fontId="6" fillId="230" borderId="0" xfId="0" applyNumberFormat="1" applyFont="1" applyFill="1" applyBorder="1" applyAlignment="1">
      <alignment vertical="center" wrapText="1"/>
    </xf>
    <xf numFmtId="1" fontId="6" fillId="231" borderId="7" xfId="0" applyNumberFormat="1" applyFont="1" applyFill="1" applyBorder="1" applyAlignment="1">
      <alignment vertical="center" wrapText="1"/>
    </xf>
    <xf numFmtId="166" fontId="6" fillId="231" borderId="0" xfId="0" applyNumberFormat="1" applyFont="1" applyFill="1" applyBorder="1" applyAlignment="1">
      <alignment vertical="center" wrapText="1"/>
    </xf>
    <xf numFmtId="2" fontId="6" fillId="231" borderId="0" xfId="0" applyNumberFormat="1" applyFont="1" applyFill="1" applyBorder="1" applyAlignment="1">
      <alignment vertical="center" wrapText="1"/>
    </xf>
    <xf numFmtId="1" fontId="6" fillId="232" borderId="7" xfId="0" applyNumberFormat="1" applyFont="1" applyFill="1" applyBorder="1" applyAlignment="1">
      <alignment vertical="center" wrapText="1"/>
    </xf>
    <xf numFmtId="166" fontId="6" fillId="232" borderId="0" xfId="0" applyNumberFormat="1" applyFont="1" applyFill="1" applyBorder="1" applyAlignment="1">
      <alignment vertical="center" wrapText="1"/>
    </xf>
    <xf numFmtId="2" fontId="6" fillId="232" borderId="0" xfId="0" applyNumberFormat="1" applyFont="1" applyFill="1" applyBorder="1" applyAlignment="1">
      <alignment vertical="center" wrapText="1"/>
    </xf>
    <xf numFmtId="1" fontId="6" fillId="233" borderId="7" xfId="0" applyNumberFormat="1" applyFont="1" applyFill="1" applyBorder="1" applyAlignment="1">
      <alignment vertical="center" wrapText="1"/>
    </xf>
    <xf numFmtId="166" fontId="6" fillId="233" borderId="0" xfId="0" applyNumberFormat="1" applyFont="1" applyFill="1" applyBorder="1" applyAlignment="1">
      <alignment vertical="center" wrapText="1"/>
    </xf>
    <xf numFmtId="2" fontId="6" fillId="233" borderId="0" xfId="0" applyNumberFormat="1" applyFont="1" applyFill="1" applyBorder="1" applyAlignment="1">
      <alignment vertical="center" wrapText="1"/>
    </xf>
    <xf numFmtId="1" fontId="6" fillId="234" borderId="7" xfId="0" applyNumberFormat="1" applyFont="1" applyFill="1" applyBorder="1" applyAlignment="1">
      <alignment vertical="center" wrapText="1"/>
    </xf>
    <xf numFmtId="166" fontId="6" fillId="234" borderId="0" xfId="0" applyNumberFormat="1" applyFont="1" applyFill="1" applyBorder="1" applyAlignment="1">
      <alignment vertical="center" wrapText="1"/>
    </xf>
    <xf numFmtId="2" fontId="6" fillId="234" borderId="0" xfId="0" applyNumberFormat="1" applyFont="1" applyFill="1" applyBorder="1" applyAlignment="1">
      <alignment vertical="center" wrapText="1"/>
    </xf>
    <xf numFmtId="1" fontId="6" fillId="234" borderId="14" xfId="0" applyNumberFormat="1" applyFont="1" applyFill="1" applyBorder="1" applyAlignment="1">
      <alignment vertical="center" wrapText="1"/>
    </xf>
    <xf numFmtId="166" fontId="6" fillId="234" borderId="5" xfId="0" applyNumberFormat="1" applyFont="1" applyFill="1" applyBorder="1" applyAlignment="1">
      <alignment vertical="center" wrapText="1"/>
    </xf>
    <xf numFmtId="2" fontId="6" fillId="234" borderId="5" xfId="0" applyNumberFormat="1" applyFont="1" applyFill="1" applyBorder="1" applyAlignment="1">
      <alignment vertical="center" wrapText="1"/>
    </xf>
    <xf numFmtId="1" fontId="6" fillId="235" borderId="8" xfId="0" applyNumberFormat="1" applyFont="1" applyFill="1" applyBorder="1" applyAlignment="1">
      <alignment vertical="center" wrapText="1"/>
    </xf>
    <xf numFmtId="166" fontId="6" fillId="235" borderId="9" xfId="0" applyNumberFormat="1" applyFont="1" applyFill="1" applyBorder="1" applyAlignment="1">
      <alignment vertical="center" wrapText="1"/>
    </xf>
    <xf numFmtId="2" fontId="6" fillId="235" borderId="9" xfId="0" applyNumberFormat="1" applyFont="1" applyFill="1" applyBorder="1" applyAlignment="1">
      <alignment vertical="center" wrapText="1"/>
    </xf>
    <xf numFmtId="1" fontId="6" fillId="235" borderId="7" xfId="0" applyNumberFormat="1" applyFont="1" applyFill="1" applyBorder="1" applyAlignment="1">
      <alignment vertical="center" wrapText="1"/>
    </xf>
    <xf numFmtId="166" fontId="6" fillId="235" borderId="0" xfId="0" applyNumberFormat="1" applyFont="1" applyFill="1" applyBorder="1" applyAlignment="1">
      <alignment vertical="center" wrapText="1"/>
    </xf>
    <xf numFmtId="2" fontId="6" fillId="235" borderId="0" xfId="0" applyNumberFormat="1" applyFont="1" applyFill="1" applyBorder="1" applyAlignment="1">
      <alignment vertical="center" wrapText="1"/>
    </xf>
    <xf numFmtId="1" fontId="6" fillId="236" borderId="7" xfId="0" applyNumberFormat="1" applyFont="1" applyFill="1" applyBorder="1" applyAlignment="1">
      <alignment vertical="center" wrapText="1"/>
    </xf>
    <xf numFmtId="166" fontId="6" fillId="236" borderId="0" xfId="0" applyNumberFormat="1" applyFont="1" applyFill="1" applyBorder="1" applyAlignment="1">
      <alignment vertical="center" wrapText="1"/>
    </xf>
    <xf numFmtId="2" fontId="6" fillId="236" borderId="0" xfId="0" applyNumberFormat="1" applyFont="1" applyFill="1" applyBorder="1" applyAlignment="1">
      <alignment vertical="center" wrapText="1"/>
    </xf>
    <xf numFmtId="1" fontId="6" fillId="237" borderId="7" xfId="0" applyNumberFormat="1" applyFont="1" applyFill="1" applyBorder="1" applyAlignment="1">
      <alignment vertical="center" wrapText="1"/>
    </xf>
    <xf numFmtId="166" fontId="6" fillId="237" borderId="0" xfId="0" applyNumberFormat="1" applyFont="1" applyFill="1" applyBorder="1" applyAlignment="1">
      <alignment vertical="center" wrapText="1"/>
    </xf>
    <xf numFmtId="2" fontId="6" fillId="237" borderId="0" xfId="0" applyNumberFormat="1" applyFont="1" applyFill="1" applyBorder="1" applyAlignment="1">
      <alignment vertical="center" wrapText="1"/>
    </xf>
    <xf numFmtId="1" fontId="6" fillId="238" borderId="7" xfId="0" applyNumberFormat="1" applyFont="1" applyFill="1" applyBorder="1" applyAlignment="1">
      <alignment vertical="center" wrapText="1"/>
    </xf>
    <xf numFmtId="166" fontId="6" fillId="238" borderId="0" xfId="0" applyNumberFormat="1" applyFont="1" applyFill="1" applyBorder="1" applyAlignment="1">
      <alignment vertical="center" wrapText="1"/>
    </xf>
    <xf numFmtId="2" fontId="6" fillId="238" borderId="0" xfId="0" applyNumberFormat="1" applyFont="1" applyFill="1" applyBorder="1" applyAlignment="1">
      <alignment vertical="center" wrapText="1"/>
    </xf>
    <xf numFmtId="1" fontId="6" fillId="239" borderId="7" xfId="0" applyNumberFormat="1" applyFont="1" applyFill="1" applyBorder="1" applyAlignment="1">
      <alignment vertical="center" wrapText="1"/>
    </xf>
    <xf numFmtId="166" fontId="6" fillId="239" borderId="0" xfId="0" applyNumberFormat="1" applyFont="1" applyFill="1" applyBorder="1" applyAlignment="1">
      <alignment vertical="center" wrapText="1"/>
    </xf>
    <xf numFmtId="2" fontId="6" fillId="239" borderId="0" xfId="0" applyNumberFormat="1" applyFont="1" applyFill="1" applyBorder="1" applyAlignment="1">
      <alignment vertical="center" wrapText="1"/>
    </xf>
    <xf numFmtId="1" fontId="6" fillId="240" borderId="7" xfId="0" applyNumberFormat="1" applyFont="1" applyFill="1" applyBorder="1" applyAlignment="1">
      <alignment vertical="center" wrapText="1"/>
    </xf>
    <xf numFmtId="166" fontId="6" fillId="240" borderId="0" xfId="0" applyNumberFormat="1" applyFont="1" applyFill="1" applyBorder="1" applyAlignment="1">
      <alignment vertical="center" wrapText="1"/>
    </xf>
    <xf numFmtId="2" fontId="6" fillId="240" borderId="0" xfId="0" applyNumberFormat="1" applyFont="1" applyFill="1" applyBorder="1" applyAlignment="1">
      <alignment vertical="center" wrapText="1"/>
    </xf>
    <xf numFmtId="1" fontId="6" fillId="240" borderId="14" xfId="0" applyNumberFormat="1" applyFont="1" applyFill="1" applyBorder="1" applyAlignment="1">
      <alignment vertical="center" wrapText="1"/>
    </xf>
    <xf numFmtId="166" fontId="6" fillId="240" borderId="5" xfId="0" applyNumberFormat="1" applyFont="1" applyFill="1" applyBorder="1" applyAlignment="1">
      <alignment vertical="center" wrapText="1"/>
    </xf>
    <xf numFmtId="2" fontId="6" fillId="240" borderId="5" xfId="0" applyNumberFormat="1" applyFont="1" applyFill="1" applyBorder="1" applyAlignment="1">
      <alignment vertical="center" wrapText="1"/>
    </xf>
    <xf numFmtId="1" fontId="13" fillId="241" borderId="8" xfId="0" applyNumberFormat="1" applyFont="1" applyFill="1" applyBorder="1" applyAlignment="1">
      <alignment vertical="center" wrapText="1"/>
    </xf>
    <xf numFmtId="166" fontId="13" fillId="241" borderId="9" xfId="0" applyNumberFormat="1" applyFont="1" applyFill="1" applyBorder="1" applyAlignment="1">
      <alignment vertical="center" wrapText="1"/>
    </xf>
    <xf numFmtId="2" fontId="13" fillId="241" borderId="9" xfId="0" applyNumberFormat="1" applyFont="1" applyFill="1" applyBorder="1" applyAlignment="1">
      <alignment vertical="center" wrapText="1"/>
    </xf>
    <xf numFmtId="1" fontId="13" fillId="241" borderId="7" xfId="0" applyNumberFormat="1" applyFont="1" applyFill="1" applyBorder="1" applyAlignment="1">
      <alignment vertical="center" wrapText="1"/>
    </xf>
    <xf numFmtId="166" fontId="13" fillId="241" borderId="0" xfId="0" applyNumberFormat="1" applyFont="1" applyFill="1" applyBorder="1" applyAlignment="1">
      <alignment vertical="center" wrapText="1"/>
    </xf>
    <xf numFmtId="2" fontId="13" fillId="241" borderId="0" xfId="0" applyNumberFormat="1" applyFont="1" applyFill="1" applyBorder="1" applyAlignment="1">
      <alignment vertical="center" wrapText="1"/>
    </xf>
    <xf numFmtId="1" fontId="6" fillId="242" borderId="7" xfId="0" applyNumberFormat="1" applyFont="1" applyFill="1" applyBorder="1" applyAlignment="1">
      <alignment vertical="center" wrapText="1"/>
    </xf>
    <xf numFmtId="166" fontId="6" fillId="242" borderId="0" xfId="0" applyNumberFormat="1" applyFont="1" applyFill="1" applyBorder="1" applyAlignment="1">
      <alignment vertical="center" wrapText="1"/>
    </xf>
    <xf numFmtId="2" fontId="6" fillId="242" borderId="0" xfId="0" applyNumberFormat="1" applyFont="1" applyFill="1" applyBorder="1" applyAlignment="1">
      <alignment vertical="center" wrapText="1"/>
    </xf>
    <xf numFmtId="1" fontId="6" fillId="243" borderId="7" xfId="0" applyNumberFormat="1" applyFont="1" applyFill="1" applyBorder="1" applyAlignment="1">
      <alignment vertical="center" wrapText="1"/>
    </xf>
    <xf numFmtId="166" fontId="6" fillId="243" borderId="0" xfId="0" applyNumberFormat="1" applyFont="1" applyFill="1" applyBorder="1" applyAlignment="1">
      <alignment vertical="center" wrapText="1"/>
    </xf>
    <xf numFmtId="2" fontId="6" fillId="243" borderId="0" xfId="0" applyNumberFormat="1" applyFont="1" applyFill="1" applyBorder="1" applyAlignment="1">
      <alignment vertical="center" wrapText="1"/>
    </xf>
    <xf numFmtId="1" fontId="6" fillId="244" borderId="7" xfId="0" applyNumberFormat="1" applyFont="1" applyFill="1" applyBorder="1" applyAlignment="1">
      <alignment vertical="center" wrapText="1"/>
    </xf>
    <xf numFmtId="166" fontId="6" fillId="244" borderId="0" xfId="0" applyNumberFormat="1" applyFont="1" applyFill="1" applyBorder="1" applyAlignment="1">
      <alignment vertical="center" wrapText="1"/>
    </xf>
    <xf numFmtId="2" fontId="6" fillId="244" borderId="0" xfId="0" applyNumberFormat="1" applyFont="1" applyFill="1" applyBorder="1" applyAlignment="1">
      <alignment vertical="center" wrapText="1"/>
    </xf>
    <xf numFmtId="1" fontId="6" fillId="245" borderId="7" xfId="0" applyNumberFormat="1" applyFont="1" applyFill="1" applyBorder="1" applyAlignment="1">
      <alignment vertical="center" wrapText="1"/>
    </xf>
    <xf numFmtId="166" fontId="6" fillId="245" borderId="0" xfId="0" applyNumberFormat="1" applyFont="1" applyFill="1" applyBorder="1" applyAlignment="1">
      <alignment vertical="center" wrapText="1"/>
    </xf>
    <xf numFmtId="2" fontId="6" fillId="245" borderId="0" xfId="0" applyNumberFormat="1" applyFont="1" applyFill="1" applyBorder="1" applyAlignment="1">
      <alignment vertical="center" wrapText="1"/>
    </xf>
    <xf numFmtId="1" fontId="6" fillId="246" borderId="7" xfId="0" applyNumberFormat="1" applyFont="1" applyFill="1" applyBorder="1" applyAlignment="1">
      <alignment vertical="center" wrapText="1"/>
    </xf>
    <xf numFmtId="166" fontId="6" fillId="246" borderId="0" xfId="0" applyNumberFormat="1" applyFont="1" applyFill="1" applyBorder="1" applyAlignment="1">
      <alignment vertical="center" wrapText="1"/>
    </xf>
    <xf numFmtId="2" fontId="6" fillId="246" borderId="0" xfId="0" applyNumberFormat="1" applyFont="1" applyFill="1" applyBorder="1" applyAlignment="1">
      <alignment vertical="center" wrapText="1"/>
    </xf>
    <xf numFmtId="1" fontId="6" fillId="246" borderId="14" xfId="0" applyNumberFormat="1" applyFont="1" applyFill="1" applyBorder="1" applyAlignment="1">
      <alignment vertical="center" wrapText="1"/>
    </xf>
    <xf numFmtId="166" fontId="6" fillId="246" borderId="5" xfId="0" applyNumberFormat="1" applyFont="1" applyFill="1" applyBorder="1" applyAlignment="1">
      <alignment vertical="center" wrapText="1"/>
    </xf>
    <xf numFmtId="2" fontId="6" fillId="246" borderId="5" xfId="0" applyNumberFormat="1" applyFont="1" applyFill="1" applyBorder="1" applyAlignment="1">
      <alignment vertical="center" wrapText="1"/>
    </xf>
    <xf numFmtId="1" fontId="26" fillId="11" borderId="4" xfId="0" applyNumberFormat="1" applyFont="1" applyFill="1" applyBorder="1" applyAlignment="1">
      <alignment vertical="center" wrapText="1"/>
    </xf>
    <xf numFmtId="164" fontId="14" fillId="7" borderId="8" xfId="0" applyNumberFormat="1" applyFont="1" applyFill="1" applyBorder="1" applyAlignment="1">
      <alignment horizontal="right" vertical="center" wrapText="1"/>
    </xf>
    <xf numFmtId="164" fontId="14" fillId="7" borderId="7" xfId="0" applyNumberFormat="1" applyFont="1" applyFill="1" applyBorder="1" applyAlignment="1">
      <alignment horizontal="right" vertical="center" wrapText="1"/>
    </xf>
    <xf numFmtId="164" fontId="14" fillId="7" borderId="14" xfId="0" applyNumberFormat="1" applyFont="1" applyFill="1" applyBorder="1" applyAlignment="1">
      <alignment horizontal="right" vertical="center" wrapText="1"/>
    </xf>
    <xf numFmtId="166" fontId="27" fillId="12" borderId="2" xfId="0" applyNumberFormat="1" applyFont="1" applyFill="1" applyBorder="1" applyAlignment="1">
      <alignment vertical="center" wrapText="1"/>
    </xf>
    <xf numFmtId="2" fontId="14" fillId="7" borderId="8" xfId="0" applyNumberFormat="1" applyFont="1" applyFill="1" applyBorder="1" applyAlignment="1">
      <alignment horizontal="right" vertical="center" wrapText="1"/>
    </xf>
    <xf numFmtId="2" fontId="14" fillId="7" borderId="7" xfId="0" applyNumberFormat="1" applyFont="1" applyFill="1" applyBorder="1" applyAlignment="1">
      <alignment horizontal="right" vertical="center" wrapText="1"/>
    </xf>
    <xf numFmtId="2" fontId="14" fillId="7" borderId="14" xfId="0" applyNumberFormat="1" applyFont="1" applyFill="1" applyBorder="1" applyAlignment="1">
      <alignment horizontal="right" vertical="center" wrapText="1"/>
    </xf>
    <xf numFmtId="1" fontId="8" fillId="7" borderId="1" xfId="0" applyNumberFormat="1" applyFont="1" applyFill="1" applyBorder="1" applyAlignment="1">
      <alignment horizontal="center" wrapText="1"/>
    </xf>
    <xf numFmtId="1" fontId="8" fillId="12" borderId="4" xfId="0" applyNumberFormat="1" applyFont="1" applyFill="1" applyBorder="1" applyAlignment="1">
      <alignment horizontal="center" wrapText="1"/>
    </xf>
    <xf numFmtId="1" fontId="8" fillId="12" borderId="1" xfId="0" applyNumberFormat="1" applyFont="1" applyFill="1" applyBorder="1" applyAlignment="1">
      <alignment horizontal="center" wrapText="1"/>
    </xf>
    <xf numFmtId="1" fontId="8" fillId="7" borderId="4" xfId="0" applyNumberFormat="1" applyFont="1" applyFill="1" applyBorder="1" applyAlignment="1">
      <alignment horizontal="center" wrapText="1"/>
    </xf>
    <xf numFmtId="1" fontId="18" fillId="12" borderId="10" xfId="0" applyNumberFormat="1" applyFont="1" applyFill="1" applyBorder="1" applyAlignment="1">
      <alignment horizontal="center" wrapText="1"/>
    </xf>
    <xf numFmtId="1" fontId="18" fillId="12" borderId="1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7" fontId="14" fillId="300" borderId="8" xfId="0" applyNumberFormat="1" applyFont="1" applyFill="1" applyBorder="1" applyAlignment="1">
      <alignment horizontal="right" vertical="center" wrapText="1"/>
    </xf>
    <xf numFmtId="167" fontId="14" fillId="300" borderId="7" xfId="0" applyNumberFormat="1" applyFont="1" applyFill="1" applyBorder="1" applyAlignment="1">
      <alignment horizontal="right" vertical="center" wrapText="1"/>
    </xf>
    <xf numFmtId="167" fontId="14" fillId="300" borderId="14" xfId="0" applyNumberFormat="1" applyFont="1" applyFill="1" applyBorder="1" applyAlignment="1">
      <alignment horizontal="right" vertical="center" wrapText="1"/>
    </xf>
    <xf numFmtId="164" fontId="34" fillId="12" borderId="1" xfId="0" applyNumberFormat="1" applyFont="1" applyFill="1" applyBorder="1" applyAlignment="1">
      <alignment horizontal="center" vertical="center" wrapText="1"/>
    </xf>
    <xf numFmtId="164" fontId="14" fillId="301" borderId="10" xfId="0" applyNumberFormat="1" applyFont="1" applyFill="1" applyBorder="1" applyAlignment="1">
      <alignment horizontal="right" vertical="center" wrapText="1"/>
    </xf>
    <xf numFmtId="164" fontId="14" fillId="301" borderId="6" xfId="0" applyNumberFormat="1" applyFont="1" applyFill="1" applyBorder="1" applyAlignment="1">
      <alignment horizontal="right" vertical="center" wrapText="1"/>
    </xf>
    <xf numFmtId="164" fontId="14" fillId="301" borderId="11" xfId="0" applyNumberFormat="1" applyFont="1" applyFill="1" applyBorder="1" applyAlignment="1">
      <alignment horizontal="right" vertical="center" wrapText="1"/>
    </xf>
    <xf numFmtId="164" fontId="14" fillId="301" borderId="8" xfId="0" applyNumberFormat="1" applyFont="1" applyFill="1" applyBorder="1" applyAlignment="1">
      <alignment horizontal="right" vertical="center" wrapText="1"/>
    </xf>
    <xf numFmtId="164" fontId="14" fillId="301" borderId="7" xfId="0" applyNumberFormat="1" applyFont="1" applyFill="1" applyBorder="1" applyAlignment="1">
      <alignment horizontal="right" vertical="center" wrapText="1"/>
    </xf>
    <xf numFmtId="164" fontId="14" fillId="301" borderId="14" xfId="0" applyNumberFormat="1" applyFont="1" applyFill="1" applyBorder="1" applyAlignment="1">
      <alignment horizontal="right" vertical="center" wrapText="1"/>
    </xf>
    <xf numFmtId="0" fontId="0" fillId="0" borderId="0" xfId="0" quotePrefix="1"/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left"/>
    </xf>
    <xf numFmtId="165" fontId="14" fillId="0" borderId="1" xfId="0" applyNumberFormat="1" applyFont="1" applyBorder="1" applyAlignment="1">
      <alignment vertical="center" wrapText="1"/>
    </xf>
    <xf numFmtId="169" fontId="0" fillId="0" borderId="0" xfId="0" applyNumberFormat="1"/>
    <xf numFmtId="167" fontId="14" fillId="0" borderId="8" xfId="0" applyNumberFormat="1" applyFont="1" applyBorder="1" applyAlignment="1">
      <alignment vertical="center" wrapText="1"/>
    </xf>
    <xf numFmtId="167" fontId="14" fillId="0" borderId="9" xfId="0" applyNumberFormat="1" applyFont="1" applyBorder="1" applyAlignment="1">
      <alignment vertical="center" wrapText="1"/>
    </xf>
    <xf numFmtId="167" fontId="14" fillId="0" borderId="12" xfId="0" applyNumberFormat="1" applyFont="1" applyBorder="1" applyAlignment="1">
      <alignment vertical="center" wrapText="1"/>
    </xf>
    <xf numFmtId="167" fontId="14" fillId="0" borderId="7" xfId="0" applyNumberFormat="1" applyFont="1" applyBorder="1" applyAlignment="1">
      <alignment vertical="center" wrapText="1"/>
    </xf>
    <xf numFmtId="167" fontId="14" fillId="0" borderId="0" xfId="0" applyNumberFormat="1" applyFont="1" applyAlignment="1">
      <alignment vertical="center" wrapText="1"/>
    </xf>
    <xf numFmtId="167" fontId="14" fillId="0" borderId="13" xfId="0" applyNumberFormat="1" applyFont="1" applyBorder="1" applyAlignment="1">
      <alignment vertical="center" wrapText="1"/>
    </xf>
    <xf numFmtId="167" fontId="14" fillId="0" borderId="14" xfId="0" applyNumberFormat="1" applyFont="1" applyBorder="1" applyAlignment="1">
      <alignment vertical="center" wrapText="1"/>
    </xf>
    <xf numFmtId="167" fontId="14" fillId="0" borderId="5" xfId="0" applyNumberFormat="1" applyFont="1" applyBorder="1" applyAlignment="1">
      <alignment vertical="center" wrapText="1"/>
    </xf>
    <xf numFmtId="167" fontId="14" fillId="0" borderId="15" xfId="0" applyNumberFormat="1" applyFont="1" applyBorder="1" applyAlignment="1">
      <alignment vertical="center" wrapText="1"/>
    </xf>
    <xf numFmtId="0" fontId="0" fillId="300" borderId="0" xfId="0" applyFill="1"/>
    <xf numFmtId="168" fontId="0" fillId="300" borderId="0" xfId="0" applyNumberFormat="1" applyFill="1"/>
    <xf numFmtId="166" fontId="0" fillId="300" borderId="0" xfId="0" applyNumberFormat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center" vertical="top"/>
    </xf>
    <xf numFmtId="165" fontId="0" fillId="12" borderId="0" xfId="0" applyNumberFormat="1" applyFill="1" applyAlignment="1">
      <alignment horizontal="center" vertical="top"/>
    </xf>
    <xf numFmtId="0" fontId="0" fillId="0" borderId="0" xfId="0" applyAlignment="1">
      <alignment horizontal="center" vertical="top"/>
    </xf>
    <xf numFmtId="166" fontId="0" fillId="11" borderId="0" xfId="0" applyNumberFormat="1" applyFill="1" applyAlignment="1">
      <alignment horizontal="center" vertical="top" wrapText="1"/>
    </xf>
    <xf numFmtId="166" fontId="0" fillId="11" borderId="0" xfId="0" applyNumberFormat="1" applyFill="1" applyAlignment="1">
      <alignment horizontal="center" vertical="top"/>
    </xf>
    <xf numFmtId="0" fontId="0" fillId="11" borderId="0" xfId="0" applyFill="1" applyAlignment="1">
      <alignment horizontal="center" vertical="top"/>
    </xf>
    <xf numFmtId="0" fontId="3" fillId="4" borderId="0" xfId="1" applyFill="1" applyAlignment="1">
      <alignment horizontal="center" vertical="center" wrapText="1"/>
    </xf>
    <xf numFmtId="0" fontId="16" fillId="129" borderId="13" xfId="0" applyFont="1" applyFill="1" applyBorder="1" applyAlignment="1">
      <alignment horizontal="center" vertical="center" wrapText="1"/>
    </xf>
    <xf numFmtId="0" fontId="15" fillId="130" borderId="13" xfId="0" applyFont="1" applyFill="1" applyBorder="1" applyAlignment="1">
      <alignment horizontal="center" vertical="center" wrapText="1"/>
    </xf>
    <xf numFmtId="0" fontId="15" fillId="131" borderId="13" xfId="0" applyFont="1" applyFill="1" applyBorder="1" applyAlignment="1">
      <alignment horizontal="center" vertical="center" wrapText="1"/>
    </xf>
    <xf numFmtId="0" fontId="15" fillId="132" borderId="13" xfId="0" applyFont="1" applyFill="1" applyBorder="1" applyAlignment="1">
      <alignment horizontal="center" vertical="center" wrapText="1"/>
    </xf>
    <xf numFmtId="0" fontId="15" fillId="132" borderId="15" xfId="0" applyFont="1" applyFill="1" applyBorder="1" applyAlignment="1">
      <alignment horizontal="center" vertical="center" wrapText="1"/>
    </xf>
    <xf numFmtId="167" fontId="5" fillId="11" borderId="2" xfId="0" applyNumberFormat="1" applyFont="1" applyFill="1" applyBorder="1" applyAlignment="1">
      <alignment horizontal="center" vertical="center" wrapText="1"/>
    </xf>
    <xf numFmtId="167" fontId="5" fillId="11" borderId="3" xfId="0" applyNumberFormat="1" applyFont="1" applyFill="1" applyBorder="1" applyAlignment="1">
      <alignment horizontal="center" vertical="center" wrapText="1"/>
    </xf>
    <xf numFmtId="167" fontId="5" fillId="11" borderId="4" xfId="0" applyNumberFormat="1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12" fillId="11" borderId="2" xfId="0" applyFont="1" applyFill="1" applyBorder="1" applyAlignment="1">
      <alignment horizontal="center" vertical="center" wrapText="1"/>
    </xf>
    <xf numFmtId="0" fontId="12" fillId="11" borderId="3" xfId="0" applyFont="1" applyFill="1" applyBorder="1" applyAlignment="1">
      <alignment horizontal="center" vertical="center" wrapText="1"/>
    </xf>
    <xf numFmtId="0" fontId="15" fillId="117" borderId="13" xfId="0" applyFont="1" applyFill="1" applyBorder="1" applyAlignment="1">
      <alignment horizontal="center" vertical="center" wrapText="1"/>
    </xf>
    <xf numFmtId="0" fontId="15" fillId="109" borderId="12" xfId="0" applyFont="1" applyFill="1" applyBorder="1" applyAlignment="1">
      <alignment horizontal="center" vertical="center" wrapText="1"/>
    </xf>
    <xf numFmtId="0" fontId="15" fillId="109" borderId="13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165" fontId="2" fillId="0" borderId="0" xfId="0" applyNumberFormat="1" applyFont="1" applyAlignment="1">
      <alignment horizontal="left" vertical="center"/>
    </xf>
    <xf numFmtId="0" fontId="15" fillId="126" borderId="13" xfId="0" applyFont="1" applyFill="1" applyBorder="1" applyAlignment="1">
      <alignment horizontal="center" vertical="center" wrapText="1"/>
    </xf>
    <xf numFmtId="0" fontId="15" fillId="126" borderId="15" xfId="0" applyFont="1" applyFill="1" applyBorder="1" applyAlignment="1">
      <alignment horizontal="center" vertical="center" wrapText="1"/>
    </xf>
    <xf numFmtId="0" fontId="16" fillId="127" borderId="12" xfId="0" applyFont="1" applyFill="1" applyBorder="1" applyAlignment="1">
      <alignment horizontal="center" vertical="center" wrapText="1"/>
    </xf>
    <xf numFmtId="0" fontId="16" fillId="127" borderId="13" xfId="0" applyFont="1" applyFill="1" applyBorder="1" applyAlignment="1">
      <alignment horizontal="center" vertical="center" wrapText="1"/>
    </xf>
    <xf numFmtId="0" fontId="16" fillId="128" borderId="13" xfId="0" applyFont="1" applyFill="1" applyBorder="1" applyAlignment="1">
      <alignment horizontal="center" vertical="center" wrapText="1"/>
    </xf>
    <xf numFmtId="169" fontId="2" fillId="0" borderId="0" xfId="0" applyNumberFormat="1" applyFont="1" applyAlignment="1">
      <alignment horizontal="left" vertical="center"/>
    </xf>
    <xf numFmtId="0" fontId="16" fillId="120" borderId="13" xfId="0" applyFont="1" applyFill="1" applyBorder="1" applyAlignment="1">
      <alignment horizontal="center" vertical="center" wrapText="1"/>
    </xf>
    <xf numFmtId="0" fontId="16" fillId="120" borderId="15" xfId="0" applyFont="1" applyFill="1" applyBorder="1" applyAlignment="1">
      <alignment horizontal="center" vertical="center" wrapText="1"/>
    </xf>
    <xf numFmtId="0" fontId="15" fillId="121" borderId="12" xfId="0" applyFont="1" applyFill="1" applyBorder="1" applyAlignment="1">
      <alignment horizontal="center" vertical="center" wrapText="1"/>
    </xf>
    <xf numFmtId="0" fontId="15" fillId="121" borderId="13" xfId="0" applyFont="1" applyFill="1" applyBorder="1" applyAlignment="1">
      <alignment horizontal="center" vertical="center" wrapText="1"/>
    </xf>
    <xf numFmtId="0" fontId="16" fillId="122" borderId="13" xfId="0" applyFont="1" applyFill="1" applyBorder="1" applyAlignment="1">
      <alignment horizontal="center" vertical="center" wrapText="1"/>
    </xf>
    <xf numFmtId="0" fontId="15" fillId="123" borderId="13" xfId="0" applyFont="1" applyFill="1" applyBorder="1" applyAlignment="1">
      <alignment horizontal="center" vertical="center" wrapText="1"/>
    </xf>
    <xf numFmtId="0" fontId="16" fillId="124" borderId="13" xfId="0" applyFont="1" applyFill="1" applyBorder="1" applyAlignment="1">
      <alignment horizontal="center" vertical="center" wrapText="1"/>
    </xf>
    <xf numFmtId="0" fontId="15" fillId="125" borderId="13" xfId="0" applyFont="1" applyFill="1" applyBorder="1" applyAlignment="1">
      <alignment horizontal="center" vertical="center" wrapText="1"/>
    </xf>
    <xf numFmtId="1" fontId="8" fillId="12" borderId="10" xfId="0" applyNumberFormat="1" applyFont="1" applyFill="1" applyBorder="1" applyAlignment="1">
      <alignment horizontal="center" vertical="center" wrapText="1"/>
    </xf>
    <xf numFmtId="1" fontId="8" fillId="12" borderId="6" xfId="0" applyNumberFormat="1" applyFont="1" applyFill="1" applyBorder="1" applyAlignment="1">
      <alignment horizontal="center" vertical="center" wrapText="1"/>
    </xf>
    <xf numFmtId="1" fontId="8" fillId="12" borderId="11" xfId="0" applyNumberFormat="1" applyFont="1" applyFill="1" applyBorder="1" applyAlignment="1">
      <alignment horizontal="center" vertical="center" wrapText="1"/>
    </xf>
    <xf numFmtId="0" fontId="16" fillId="113" borderId="13" xfId="0" applyFont="1" applyFill="1" applyBorder="1" applyAlignment="1">
      <alignment horizontal="center" vertical="center" wrapText="1"/>
    </xf>
    <xf numFmtId="0" fontId="16" fillId="114" borderId="13" xfId="0" applyFont="1" applyFill="1" applyBorder="1" applyAlignment="1">
      <alignment horizontal="center" vertical="center" wrapText="1"/>
    </xf>
    <xf numFmtId="0" fontId="16" fillId="114" borderId="15" xfId="0" applyFont="1" applyFill="1" applyBorder="1" applyAlignment="1">
      <alignment horizontal="center" vertical="center" wrapText="1"/>
    </xf>
    <xf numFmtId="0" fontId="16" fillId="115" borderId="12" xfId="0" applyFont="1" applyFill="1" applyBorder="1" applyAlignment="1">
      <alignment horizontal="center" vertical="center" wrapText="1"/>
    </xf>
    <xf numFmtId="0" fontId="16" fillId="115" borderId="13" xfId="0" applyFont="1" applyFill="1" applyBorder="1" applyAlignment="1">
      <alignment horizontal="center" vertical="center" wrapText="1"/>
    </xf>
    <xf numFmtId="0" fontId="15" fillId="116" borderId="13" xfId="0" applyFont="1" applyFill="1" applyBorder="1" applyAlignment="1">
      <alignment horizontal="center" vertical="center" wrapText="1"/>
    </xf>
    <xf numFmtId="0" fontId="16" fillId="110" borderId="13" xfId="0" applyFont="1" applyFill="1" applyBorder="1" applyAlignment="1">
      <alignment horizontal="center" vertical="center" wrapText="1"/>
    </xf>
    <xf numFmtId="0" fontId="15" fillId="111" borderId="13" xfId="0" applyFont="1" applyFill="1" applyBorder="1" applyAlignment="1">
      <alignment horizontal="center" vertical="center" wrapText="1"/>
    </xf>
    <xf numFmtId="0" fontId="15" fillId="112" borderId="13" xfId="0" applyFont="1" applyFill="1" applyBorder="1" applyAlignment="1">
      <alignment horizontal="center" vertical="center" wrapText="1"/>
    </xf>
    <xf numFmtId="0" fontId="15" fillId="118" borderId="13" xfId="0" applyFont="1" applyFill="1" applyBorder="1" applyAlignment="1">
      <alignment horizontal="center" vertical="center" wrapText="1"/>
    </xf>
    <xf numFmtId="0" fontId="16" fillId="119" borderId="13" xfId="0" applyFont="1" applyFill="1" applyBorder="1" applyAlignment="1">
      <alignment horizontal="center" vertical="center" wrapText="1"/>
    </xf>
    <xf numFmtId="1" fontId="0" fillId="16" borderId="2" xfId="0" applyNumberFormat="1" applyFill="1" applyBorder="1" applyAlignment="1">
      <alignment horizontal="center" vertical="center" wrapText="1"/>
    </xf>
    <xf numFmtId="1" fontId="0" fillId="16" borderId="3" xfId="0" applyNumberFormat="1" applyFill="1" applyBorder="1" applyAlignment="1">
      <alignment horizontal="center" vertical="center" wrapText="1"/>
    </xf>
    <xf numFmtId="1" fontId="0" fillId="16" borderId="4" xfId="0" applyNumberFormat="1" applyFill="1" applyBorder="1" applyAlignment="1">
      <alignment horizontal="center" vertical="center" wrapText="1"/>
    </xf>
    <xf numFmtId="0" fontId="12" fillId="12" borderId="2" xfId="0" applyFont="1" applyFill="1" applyBorder="1" applyAlignment="1">
      <alignment horizontal="center" vertical="center" wrapText="1"/>
    </xf>
    <xf numFmtId="0" fontId="12" fillId="12" borderId="3" xfId="0" applyFont="1" applyFill="1" applyBorder="1" applyAlignment="1">
      <alignment horizontal="center" vertical="center" wrapText="1"/>
    </xf>
    <xf numFmtId="1" fontId="18" fillId="12" borderId="21" xfId="0" applyNumberFormat="1" applyFont="1" applyFill="1" applyBorder="1" applyAlignment="1">
      <alignment horizontal="left" vertical="center" wrapText="1"/>
    </xf>
    <xf numFmtId="1" fontId="18" fillId="12" borderId="22" xfId="0" applyNumberFormat="1" applyFont="1" applyFill="1" applyBorder="1" applyAlignment="1">
      <alignment horizontal="left" vertical="center" wrapText="1"/>
    </xf>
    <xf numFmtId="1" fontId="8" fillId="12" borderId="2" xfId="0" applyNumberFormat="1" applyFont="1" applyFill="1" applyBorder="1" applyAlignment="1">
      <alignment horizontal="center" vertical="center" wrapText="1"/>
    </xf>
    <xf numFmtId="1" fontId="8" fillId="12" borderId="3" xfId="0" applyNumberFormat="1" applyFont="1" applyFill="1" applyBorder="1" applyAlignment="1">
      <alignment horizontal="center" vertical="center" wrapText="1"/>
    </xf>
    <xf numFmtId="1" fontId="8" fillId="12" borderId="4" xfId="0" applyNumberFormat="1" applyFont="1" applyFill="1" applyBorder="1" applyAlignment="1">
      <alignment horizontal="center" vertical="center" wrapText="1"/>
    </xf>
    <xf numFmtId="1" fontId="0" fillId="7" borderId="2" xfId="0" applyNumberFormat="1" applyFill="1" applyBorder="1" applyAlignment="1">
      <alignment horizontal="center" vertical="center" wrapText="1"/>
    </xf>
    <xf numFmtId="1" fontId="0" fillId="7" borderId="3" xfId="0" applyNumberFormat="1" applyFill="1" applyBorder="1" applyAlignment="1">
      <alignment horizontal="center" vertical="center" wrapText="1"/>
    </xf>
    <xf numFmtId="1" fontId="0" fillId="7" borderId="4" xfId="0" applyNumberFormat="1" applyFill="1" applyBorder="1" applyAlignment="1">
      <alignment horizontal="center" vertical="center" wrapText="1"/>
    </xf>
    <xf numFmtId="1" fontId="8" fillId="12" borderId="1" xfId="0" applyNumberFormat="1" applyFont="1" applyFill="1" applyBorder="1" applyAlignment="1">
      <alignment horizontal="center" vertical="center" wrapText="1"/>
    </xf>
    <xf numFmtId="1" fontId="12" fillId="12" borderId="10" xfId="0" applyNumberFormat="1" applyFont="1" applyFill="1" applyBorder="1" applyAlignment="1">
      <alignment horizontal="center" vertical="center" wrapText="1"/>
    </xf>
    <xf numFmtId="1" fontId="12" fillId="12" borderId="6" xfId="0" applyNumberFormat="1" applyFont="1" applyFill="1" applyBorder="1" applyAlignment="1">
      <alignment horizontal="center" vertical="center" wrapText="1"/>
    </xf>
    <xf numFmtId="1" fontId="12" fillId="12" borderId="11" xfId="0" applyNumberFormat="1" applyFont="1" applyFill="1" applyBorder="1" applyAlignment="1">
      <alignment horizontal="center" vertical="center" wrapText="1"/>
    </xf>
    <xf numFmtId="0" fontId="28" fillId="0" borderId="0" xfId="0" applyFont="1" applyAlignment="1">
      <alignment horizontal="left" vertical="center" wrapText="1"/>
    </xf>
    <xf numFmtId="1" fontId="12" fillId="12" borderId="1" xfId="0" applyNumberFormat="1" applyFont="1" applyFill="1" applyBorder="1" applyAlignment="1">
      <alignment horizontal="center" vertical="center" wrapText="1"/>
    </xf>
    <xf numFmtId="165" fontId="32" fillId="0" borderId="0" xfId="0" applyNumberFormat="1" applyFont="1" applyAlignment="1">
      <alignment horizontal="left" vertical="center"/>
    </xf>
    <xf numFmtId="169" fontId="32" fillId="0" borderId="0" xfId="0" applyNumberFormat="1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1F6DF"/>
      <color rgb="FFB8BDE2"/>
      <color rgb="FF81A046"/>
      <color rgb="FF7EC6EB"/>
      <color rgb="FFE6B89F"/>
      <color rgb="FFA37362"/>
      <color rgb="FF82878C"/>
      <color rgb="FF82888D"/>
      <color rgb="FF848A8B"/>
      <color rgb="FF868B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[1]ciexyz31_1!$T$3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[1]ciexyz31_1!$S$4:$S$474</c:f>
              <c:numCache>
                <c:formatCode>General</c:formatCode>
                <c:ptCount val="471"/>
                <c:pt idx="0">
                  <c:v>0.4957624437462449</c:v>
                </c:pt>
                <c:pt idx="1">
                  <c:v>0.55662766019451415</c:v>
                </c:pt>
                <c:pt idx="2">
                  <c:v>0.62515694340772865</c:v>
                </c:pt>
                <c:pt idx="3">
                  <c:v>0.70226059938445495</c:v>
                </c:pt>
                <c:pt idx="4">
                  <c:v>0.78884893013954349</c:v>
                </c:pt>
                <c:pt idx="5">
                  <c:v>0.88583223370437836</c:v>
                </c:pt>
                <c:pt idx="6">
                  <c:v>0.99511409559427388</c:v>
                </c:pt>
                <c:pt idx="7">
                  <c:v>1.1186069707861539</c:v>
                </c:pt>
                <c:pt idx="8">
                  <c:v>1.2572335255988527</c:v>
                </c:pt>
                <c:pt idx="9">
                  <c:v>1.4119164502526815</c:v>
                </c:pt>
                <c:pt idx="10">
                  <c:v>1.5835783592798303</c:v>
                </c:pt>
                <c:pt idx="11">
                  <c:v>1.7714595390923571</c:v>
                </c:pt>
                <c:pt idx="12">
                  <c:v>1.9805573119830027</c:v>
                </c:pt>
                <c:pt idx="13">
                  <c:v>2.2204309773582178</c:v>
                </c:pt>
                <c:pt idx="14">
                  <c:v>2.500639695622739</c:v>
                </c:pt>
                <c:pt idx="15">
                  <c:v>2.8307419089156212</c:v>
                </c:pt>
                <c:pt idx="16">
                  <c:v>3.2264319270109141</c:v>
                </c:pt>
                <c:pt idx="17">
                  <c:v>3.6837996241157747</c:v>
                </c:pt>
                <c:pt idx="18">
                  <c:v>4.1829974965033738</c:v>
                </c:pt>
                <c:pt idx="19">
                  <c:v>4.7041796789647901</c:v>
                </c:pt>
                <c:pt idx="20">
                  <c:v>5.2275019086276826</c:v>
                </c:pt>
                <c:pt idx="21">
                  <c:v>5.7396817534518805</c:v>
                </c:pt>
                <c:pt idx="22">
                  <c:v>6.2753360070437747</c:v>
                </c:pt>
                <c:pt idx="23">
                  <c:v>6.8864626747242443</c:v>
                </c:pt>
                <c:pt idx="24">
                  <c:v>7.6250474093392668</c:v>
                </c:pt>
                <c:pt idx="25">
                  <c:v>8.5430844364086802</c:v>
                </c:pt>
                <c:pt idx="26">
                  <c:v>9.6877235169155611</c:v>
                </c:pt>
                <c:pt idx="27">
                  <c:v>11.05379870363736</c:v>
                </c:pt>
                <c:pt idx="28">
                  <c:v>12.614835796606897</c:v>
                </c:pt>
                <c:pt idx="29">
                  <c:v>14.344353593224724</c:v>
                </c:pt>
                <c:pt idx="30">
                  <c:v>16.215882878632083</c:v>
                </c:pt>
                <c:pt idx="31">
                  <c:v>18.19945428576715</c:v>
                </c:pt>
                <c:pt idx="32">
                  <c:v>20.366796068819554</c:v>
                </c:pt>
                <c:pt idx="33">
                  <c:v>22.843961247229551</c:v>
                </c:pt>
                <c:pt idx="34">
                  <c:v>25.757006584057425</c:v>
                </c:pt>
                <c:pt idx="35">
                  <c:v>29.231992947794687</c:v>
                </c:pt>
                <c:pt idx="36">
                  <c:v>33.44532381982637</c:v>
                </c:pt>
                <c:pt idx="37">
                  <c:v>38.192867107072551</c:v>
                </c:pt>
                <c:pt idx="38">
                  <c:v>42.938456917078661</c:v>
                </c:pt>
                <c:pt idx="39">
                  <c:v>47.476383947827102</c:v>
                </c:pt>
                <c:pt idx="40">
                  <c:v>51.666843687298069</c:v>
                </c:pt>
                <c:pt idx="41">
                  <c:v>55.460505199530665</c:v>
                </c:pt>
                <c:pt idx="42">
                  <c:v>59.155134687891092</c:v>
                </c:pt>
                <c:pt idx="43">
                  <c:v>63.093993841504201</c:v>
                </c:pt>
                <c:pt idx="44">
                  <c:v>67.54140672724111</c:v>
                </c:pt>
                <c:pt idx="45">
                  <c:v>72.685803380225863</c:v>
                </c:pt>
                <c:pt idx="46">
                  <c:v>78.560799644372835</c:v>
                </c:pt>
                <c:pt idx="47">
                  <c:v>84.95918928050655</c:v>
                </c:pt>
                <c:pt idx="48">
                  <c:v>91.689579281825871</c:v>
                </c:pt>
                <c:pt idx="49">
                  <c:v>98.606617159332046</c:v>
                </c:pt>
                <c:pt idx="50">
                  <c:v>105.60308965076943</c:v>
                </c:pt>
                <c:pt idx="51">
                  <c:v>112.6245224047782</c:v>
                </c:pt>
                <c:pt idx="52">
                  <c:v>119.74925333835091</c:v>
                </c:pt>
                <c:pt idx="53">
                  <c:v>127.06628132864972</c:v>
                </c:pt>
                <c:pt idx="54">
                  <c:v>134.63558662161151</c:v>
                </c:pt>
                <c:pt idx="55">
                  <c:v>142.49426074498245</c:v>
                </c:pt>
                <c:pt idx="56">
                  <c:v>150.54225210436496</c:v>
                </c:pt>
                <c:pt idx="57">
                  <c:v>158.68089928638528</c:v>
                </c:pt>
                <c:pt idx="58">
                  <c:v>166.92303344974385</c:v>
                </c:pt>
                <c:pt idx="59">
                  <c:v>175.26801826246964</c:v>
                </c:pt>
                <c:pt idx="60">
                  <c:v>183.70502822124857</c:v>
                </c:pt>
                <c:pt idx="61">
                  <c:v>192.22039068097484</c:v>
                </c:pt>
                <c:pt idx="62">
                  <c:v>200.57461228776617</c:v>
                </c:pt>
                <c:pt idx="63">
                  <c:v>208.47454612176236</c:v>
                </c:pt>
                <c:pt idx="64">
                  <c:v>215.69331869389896</c:v>
                </c:pt>
                <c:pt idx="65">
                  <c:v>222.05043123110653</c:v>
                </c:pt>
                <c:pt idx="66">
                  <c:v>227.50177499130822</c:v>
                </c:pt>
                <c:pt idx="67">
                  <c:v>232.12937062083617</c:v>
                </c:pt>
                <c:pt idx="68">
                  <c:v>235.95893973435722</c:v>
                </c:pt>
                <c:pt idx="69">
                  <c:v>239.00721466244639</c:v>
                </c:pt>
                <c:pt idx="70">
                  <c:v>241.28398030326841</c:v>
                </c:pt>
                <c:pt idx="71">
                  <c:v>242.78376092016006</c:v>
                </c:pt>
                <c:pt idx="72">
                  <c:v>243.52835797214829</c:v>
                </c:pt>
                <c:pt idx="73">
                  <c:v>243.5581962998121</c:v>
                </c:pt>
                <c:pt idx="74">
                  <c:v>242.90720558794405</c:v>
                </c:pt>
                <c:pt idx="75">
                  <c:v>241.6040968259224</c:v>
                </c:pt>
                <c:pt idx="76">
                  <c:v>239.68116756470548</c:v>
                </c:pt>
                <c:pt idx="77">
                  <c:v>237.39459133569207</c:v>
                </c:pt>
                <c:pt idx="78">
                  <c:v>234.84765389236455</c:v>
                </c:pt>
                <c:pt idx="79">
                  <c:v>232.08369586045075</c:v>
                </c:pt>
                <c:pt idx="80">
                  <c:v>229.13827234883354</c:v>
                </c:pt>
                <c:pt idx="81">
                  <c:v>226.02594043467036</c:v>
                </c:pt>
                <c:pt idx="82">
                  <c:v>222.73783505216815</c:v>
                </c:pt>
                <c:pt idx="83">
                  <c:v>219.27378926256415</c:v>
                </c:pt>
                <c:pt idx="84">
                  <c:v>215.63839531660471</c:v>
                </c:pt>
                <c:pt idx="85">
                  <c:v>211.84017200683891</c:v>
                </c:pt>
                <c:pt idx="86">
                  <c:v>207.88391124545993</c:v>
                </c:pt>
                <c:pt idx="87">
                  <c:v>203.78560271404316</c:v>
                </c:pt>
                <c:pt idx="88">
                  <c:v>199.57291463078832</c:v>
                </c:pt>
                <c:pt idx="89">
                  <c:v>195.27344106333911</c:v>
                </c:pt>
                <c:pt idx="90">
                  <c:v>190.91493011143558</c:v>
                </c:pt>
                <c:pt idx="91">
                  <c:v>186.5210730375882</c:v>
                </c:pt>
                <c:pt idx="92">
                  <c:v>182.07074758036026</c:v>
                </c:pt>
                <c:pt idx="93">
                  <c:v>177.52441899430062</c:v>
                </c:pt>
                <c:pt idx="94">
                  <c:v>172.84216076605233</c:v>
                </c:pt>
                <c:pt idx="95">
                  <c:v>167.98346388130975</c:v>
                </c:pt>
                <c:pt idx="96">
                  <c:v>162.9190216799918</c:v>
                </c:pt>
                <c:pt idx="97">
                  <c:v>157.65654833451083</c:v>
                </c:pt>
                <c:pt idx="98">
                  <c:v>152.20821290481757</c:v>
                </c:pt>
                <c:pt idx="99">
                  <c:v>146.58369357536262</c:v>
                </c:pt>
                <c:pt idx="100">
                  <c:v>140.79039112091417</c:v>
                </c:pt>
                <c:pt idx="101">
                  <c:v>134.8442530865465</c:v>
                </c:pt>
                <c:pt idx="102">
                  <c:v>128.70126003820388</c:v>
                </c:pt>
                <c:pt idx="103">
                  <c:v>122.27594866365868</c:v>
                </c:pt>
                <c:pt idx="104">
                  <c:v>115.47899749395276</c:v>
                </c:pt>
                <c:pt idx="105">
                  <c:v>108.21551328508711</c:v>
                </c:pt>
                <c:pt idx="106">
                  <c:v>100.40562988509045</c:v>
                </c:pt>
                <c:pt idx="107">
                  <c:v>92.093288878560159</c:v>
                </c:pt>
                <c:pt idx="108">
                  <c:v>83.370083869797995</c:v>
                </c:pt>
                <c:pt idx="109">
                  <c:v>74.33965208517013</c:v>
                </c:pt>
                <c:pt idx="110">
                  <c:v>65.121747705482292</c:v>
                </c:pt>
                <c:pt idx="111">
                  <c:v>55.788832137971703</c:v>
                </c:pt>
                <c:pt idx="112">
                  <c:v>46.31697371775445</c:v>
                </c:pt>
                <c:pt idx="113">
                  <c:v>36.694119825422675</c:v>
                </c:pt>
                <c:pt idx="114">
                  <c:v>26.905830247272416</c:v>
                </c:pt>
                <c:pt idx="115">
                  <c:v>16.934171509068701</c:v>
                </c:pt>
                <c:pt idx="116">
                  <c:v>6.7817887360893669</c:v>
                </c:pt>
                <c:pt idx="117">
                  <c:v>-3.5207902261567003</c:v>
                </c:pt>
                <c:pt idx="118">
                  <c:v>-13.956153788702686</c:v>
                </c:pt>
                <c:pt idx="119">
                  <c:v>-24.511503616783308</c:v>
                </c:pt>
                <c:pt idx="120">
                  <c:v>-35.179048914240063</c:v>
                </c:pt>
                <c:pt idx="121">
                  <c:v>-45.969961868809776</c:v>
                </c:pt>
                <c:pt idx="122">
                  <c:v>-56.907355077717796</c:v>
                </c:pt>
                <c:pt idx="123">
                  <c:v>-67.99455156356737</c:v>
                </c:pt>
                <c:pt idx="124">
                  <c:v>-79.218523940187495</c:v>
                </c:pt>
                <c:pt idx="125">
                  <c:v>-90.5451440632431</c:v>
                </c:pt>
                <c:pt idx="126">
                  <c:v>-101.91713440934666</c:v>
                </c:pt>
                <c:pt idx="127">
                  <c:v>-113.34398203693061</c:v>
                </c:pt>
                <c:pt idx="128">
                  <c:v>-124.88378101740632</c:v>
                </c:pt>
                <c:pt idx="129">
                  <c:v>-136.61463911183355</c:v>
                </c:pt>
                <c:pt idx="130">
                  <c:v>-148.64346340248693</c:v>
                </c:pt>
                <c:pt idx="131">
                  <c:v>-161.05730087861446</c:v>
                </c:pt>
                <c:pt idx="132">
                  <c:v>-173.87767694240384</c:v>
                </c:pt>
                <c:pt idx="133">
                  <c:v>-187.15920722850424</c:v>
                </c:pt>
                <c:pt idx="134">
                  <c:v>-200.98837053144129</c:v>
                </c:pt>
                <c:pt idx="135">
                  <c:v>-215.50599881006377</c:v>
                </c:pt>
                <c:pt idx="136">
                  <c:v>-230.0214705024807</c:v>
                </c:pt>
                <c:pt idx="137">
                  <c:v>-243.47545994031233</c:v>
                </c:pt>
                <c:pt idx="138">
                  <c:v>-255.93289938735037</c:v>
                </c:pt>
                <c:pt idx="139">
                  <c:v>-267.45912726248753</c:v>
                </c:pt>
                <c:pt idx="140">
                  <c:v>-278.11501242202149</c:v>
                </c:pt>
                <c:pt idx="141">
                  <c:v>-287.91889039237719</c:v>
                </c:pt>
                <c:pt idx="142">
                  <c:v>-296.73885803600592</c:v>
                </c:pt>
                <c:pt idx="143">
                  <c:v>-304.41293440615209</c:v>
                </c:pt>
                <c:pt idx="144">
                  <c:v>-310.78623770586489</c:v>
                </c:pt>
                <c:pt idx="145">
                  <c:v>-315.71061756750186</c:v>
                </c:pt>
                <c:pt idx="146">
                  <c:v>-319.10717514689281</c:v>
                </c:pt>
                <c:pt idx="147">
                  <c:v>-320.89631714673732</c:v>
                </c:pt>
                <c:pt idx="148">
                  <c:v>-320.931791158576</c:v>
                </c:pt>
                <c:pt idx="149">
                  <c:v>-319.06546165332975</c:v>
                </c:pt>
                <c:pt idx="150">
                  <c:v>-315.14752146096947</c:v>
                </c:pt>
                <c:pt idx="151">
                  <c:v>-309.08984397478179</c:v>
                </c:pt>
                <c:pt idx="152">
                  <c:v>-301.1471954341589</c:v>
                </c:pt>
                <c:pt idx="153">
                  <c:v>-293.7130725666571</c:v>
                </c:pt>
                <c:pt idx="154">
                  <c:v>-286.98077557936762</c:v>
                </c:pt>
                <c:pt idx="155">
                  <c:v>-280.69547453759031</c:v>
                </c:pt>
                <c:pt idx="156">
                  <c:v>-274.71902329105245</c:v>
                </c:pt>
                <c:pt idx="157">
                  <c:v>-268.99801685545549</c:v>
                </c:pt>
                <c:pt idx="158">
                  <c:v>-263.47788856074061</c:v>
                </c:pt>
                <c:pt idx="159">
                  <c:v>-258.10392246728753</c:v>
                </c:pt>
                <c:pt idx="160">
                  <c:v>-252.82356284718117</c:v>
                </c:pt>
                <c:pt idx="161">
                  <c:v>-247.59017243516288</c:v>
                </c:pt>
                <c:pt idx="162">
                  <c:v>-242.3967274795649</c:v>
                </c:pt>
                <c:pt idx="163">
                  <c:v>-237.25441083135561</c:v>
                </c:pt>
                <c:pt idx="164">
                  <c:v>-232.17643204003153</c:v>
                </c:pt>
                <c:pt idx="165">
                  <c:v>-227.17734749822375</c:v>
                </c:pt>
                <c:pt idx="166">
                  <c:v>-222.25035482800789</c:v>
                </c:pt>
                <c:pt idx="167">
                  <c:v>-217.39545887327637</c:v>
                </c:pt>
                <c:pt idx="168">
                  <c:v>-212.63237661899541</c:v>
                </c:pt>
                <c:pt idx="169">
                  <c:v>-207.97462628882141</c:v>
                </c:pt>
                <c:pt idx="170">
                  <c:v>-203.43125724572246</c:v>
                </c:pt>
                <c:pt idx="171">
                  <c:v>-198.99968812101122</c:v>
                </c:pt>
                <c:pt idx="172">
                  <c:v>-194.65539462196148</c:v>
                </c:pt>
                <c:pt idx="173">
                  <c:v>-190.37596520651584</c:v>
                </c:pt>
                <c:pt idx="174">
                  <c:v>-186.14353659661049</c:v>
                </c:pt>
                <c:pt idx="175">
                  <c:v>-181.94369528611111</c:v>
                </c:pt>
                <c:pt idx="176">
                  <c:v>-177.77119175761942</c:v>
                </c:pt>
                <c:pt idx="177">
                  <c:v>-173.62213338808013</c:v>
                </c:pt>
                <c:pt idx="178">
                  <c:v>-169.486862644882</c:v>
                </c:pt>
                <c:pt idx="179">
                  <c:v>-165.35691448365748</c:v>
                </c:pt>
                <c:pt idx="180">
                  <c:v>-161.22476634009502</c:v>
                </c:pt>
                <c:pt idx="181">
                  <c:v>-157.08558318941456</c:v>
                </c:pt>
                <c:pt idx="182">
                  <c:v>-152.93852972185846</c:v>
                </c:pt>
                <c:pt idx="183">
                  <c:v>-148.7828859263517</c:v>
                </c:pt>
                <c:pt idx="184">
                  <c:v>-144.61805965809327</c:v>
                </c:pt>
                <c:pt idx="185">
                  <c:v>-140.44356956600868</c:v>
                </c:pt>
                <c:pt idx="186">
                  <c:v>-136.2578063498328</c:v>
                </c:pt>
                <c:pt idx="187">
                  <c:v>-132.05890173676289</c:v>
                </c:pt>
                <c:pt idx="188">
                  <c:v>-127.8463127988847</c:v>
                </c:pt>
                <c:pt idx="189">
                  <c:v>-123.6200384083792</c:v>
                </c:pt>
                <c:pt idx="190">
                  <c:v>-119.38061058551774</c:v>
                </c:pt>
                <c:pt idx="191">
                  <c:v>-115.12265806352423</c:v>
                </c:pt>
                <c:pt idx="192">
                  <c:v>-110.848586909353</c:v>
                </c:pt>
                <c:pt idx="193">
                  <c:v>-106.55866130503827</c:v>
                </c:pt>
                <c:pt idx="194">
                  <c:v>-102.2525149052796</c:v>
                </c:pt>
                <c:pt idx="195">
                  <c:v>-97.929088657611956</c:v>
                </c:pt>
                <c:pt idx="196">
                  <c:v>-93.585725291254974</c:v>
                </c:pt>
                <c:pt idx="197">
                  <c:v>-89.222490007421769</c:v>
                </c:pt>
                <c:pt idx="198">
                  <c:v>-84.841103433510312</c:v>
                </c:pt>
                <c:pt idx="199">
                  <c:v>-80.442386037496206</c:v>
                </c:pt>
                <c:pt idx="200">
                  <c:v>-76.026143488764902</c:v>
                </c:pt>
                <c:pt idx="201">
                  <c:v>-71.59003007788462</c:v>
                </c:pt>
                <c:pt idx="202">
                  <c:v>-67.139923485618255</c:v>
                </c:pt>
                <c:pt idx="203">
                  <c:v>-62.676668224887486</c:v>
                </c:pt>
                <c:pt idx="204">
                  <c:v>-58.201173757094772</c:v>
                </c:pt>
                <c:pt idx="205">
                  <c:v>-53.714414497324114</c:v>
                </c:pt>
                <c:pt idx="206">
                  <c:v>-49.217936852733011</c:v>
                </c:pt>
                <c:pt idx="207">
                  <c:v>-44.714145605553647</c:v>
                </c:pt>
                <c:pt idx="208">
                  <c:v>-40.205076567907561</c:v>
                </c:pt>
                <c:pt idx="209">
                  <c:v>-35.692476977441544</c:v>
                </c:pt>
                <c:pt idx="210">
                  <c:v>-31.177824791107312</c:v>
                </c:pt>
                <c:pt idx="211">
                  <c:v>-26.66279499369778</c:v>
                </c:pt>
                <c:pt idx="212">
                  <c:v>-22.150254986471108</c:v>
                </c:pt>
                <c:pt idx="213">
                  <c:v>-17.643167467228881</c:v>
                </c:pt>
                <c:pt idx="214">
                  <c:v>-13.144443776891613</c:v>
                </c:pt>
                <c:pt idx="215">
                  <c:v>-8.6569565225301801</c:v>
                </c:pt>
                <c:pt idx="216">
                  <c:v>-4.1833056987174437</c:v>
                </c:pt>
                <c:pt idx="217">
                  <c:v>0.27285020746820043</c:v>
                </c:pt>
                <c:pt idx="218">
                  <c:v>4.7073084412400661</c:v>
                </c:pt>
                <c:pt idx="219">
                  <c:v>9.1162531633021118</c:v>
                </c:pt>
                <c:pt idx="220">
                  <c:v>13.496227686595141</c:v>
                </c:pt>
                <c:pt idx="221">
                  <c:v>17.844597141787766</c:v>
                </c:pt>
                <c:pt idx="222">
                  <c:v>22.15810409915553</c:v>
                </c:pt>
                <c:pt idx="223">
                  <c:v>26.432521444250401</c:v>
                </c:pt>
                <c:pt idx="224">
                  <c:v>30.663395536588588</c:v>
                </c:pt>
                <c:pt idx="225">
                  <c:v>34.846029771952338</c:v>
                </c:pt>
                <c:pt idx="226">
                  <c:v>38.974872824657005</c:v>
                </c:pt>
                <c:pt idx="227">
                  <c:v>43.046454936055966</c:v>
                </c:pt>
                <c:pt idx="228">
                  <c:v>47.058824697057744</c:v>
                </c:pt>
                <c:pt idx="229">
                  <c:v>51.009695970716692</c:v>
                </c:pt>
                <c:pt idx="230">
                  <c:v>54.896444479499486</c:v>
                </c:pt>
                <c:pt idx="231">
                  <c:v>58.719056235713943</c:v>
                </c:pt>
                <c:pt idx="232">
                  <c:v>62.467905480427852</c:v>
                </c:pt>
                <c:pt idx="233">
                  <c:v>66.125917315826285</c:v>
                </c:pt>
                <c:pt idx="234">
                  <c:v>69.676155912522802</c:v>
                </c:pt>
                <c:pt idx="235">
                  <c:v>73.101722571466794</c:v>
                </c:pt>
                <c:pt idx="236">
                  <c:v>76.389052603592518</c:v>
                </c:pt>
                <c:pt idx="237">
                  <c:v>79.545199682211461</c:v>
                </c:pt>
                <c:pt idx="238">
                  <c:v>82.583887615634239</c:v>
                </c:pt>
                <c:pt idx="239">
                  <c:v>85.518368400228312</c:v>
                </c:pt>
                <c:pt idx="240">
                  <c:v>88.361504822407895</c:v>
                </c:pt>
                <c:pt idx="241">
                  <c:v>91.120407860258098</c:v>
                </c:pt>
                <c:pt idx="242">
                  <c:v>93.783497347680381</c:v>
                </c:pt>
                <c:pt idx="243">
                  <c:v>96.335107621375812</c:v>
                </c:pt>
                <c:pt idx="244">
                  <c:v>98.759291722552049</c:v>
                </c:pt>
                <c:pt idx="245">
                  <c:v>101.03971825729869</c:v>
                </c:pt>
                <c:pt idx="246">
                  <c:v>103.16674998522268</c:v>
                </c:pt>
                <c:pt idx="247">
                  <c:v>105.14794243381775</c:v>
                </c:pt>
                <c:pt idx="248">
                  <c:v>106.99185470479134</c:v>
                </c:pt>
                <c:pt idx="249">
                  <c:v>108.7067123025554</c:v>
                </c:pt>
                <c:pt idx="250">
                  <c:v>110.3004689853752</c:v>
                </c:pt>
                <c:pt idx="251">
                  <c:v>111.77522024561776</c:v>
                </c:pt>
                <c:pt idx="252">
                  <c:v>113.12765154706034</c:v>
                </c:pt>
                <c:pt idx="253">
                  <c:v>114.35719386597815</c:v>
                </c:pt>
                <c:pt idx="254">
                  <c:v>115.46308409093182</c:v>
                </c:pt>
                <c:pt idx="255">
                  <c:v>116.44434823581545</c:v>
                </c:pt>
                <c:pt idx="256">
                  <c:v>117.30247505480118</c:v>
                </c:pt>
                <c:pt idx="257">
                  <c:v>118.03866114953266</c:v>
                </c:pt>
                <c:pt idx="258">
                  <c:v>118.65141190058721</c:v>
                </c:pt>
                <c:pt idx="259">
                  <c:v>119.1392311293597</c:v>
                </c:pt>
                <c:pt idx="260">
                  <c:v>119.500564397866</c:v>
                </c:pt>
                <c:pt idx="261">
                  <c:v>119.73552267540788</c:v>
                </c:pt>
                <c:pt idx="262">
                  <c:v>119.85047410457739</c:v>
                </c:pt>
                <c:pt idx="263">
                  <c:v>119.85329443528886</c:v>
                </c:pt>
                <c:pt idx="264">
                  <c:v>119.75175600294519</c:v>
                </c:pt>
                <c:pt idx="265">
                  <c:v>119.55362885740317</c:v>
                </c:pt>
                <c:pt idx="266">
                  <c:v>119.26107679956382</c:v>
                </c:pt>
                <c:pt idx="267">
                  <c:v>118.87985112768962</c:v>
                </c:pt>
                <c:pt idx="268">
                  <c:v>118.42372220774561</c:v>
                </c:pt>
                <c:pt idx="269">
                  <c:v>117.90715332956731</c:v>
                </c:pt>
                <c:pt idx="270">
                  <c:v>117.34543361856441</c:v>
                </c:pt>
                <c:pt idx="271">
                  <c:v>116.7505833867743</c:v>
                </c:pt>
                <c:pt idx="272">
                  <c:v>116.12006632470722</c:v>
                </c:pt>
                <c:pt idx="273">
                  <c:v>115.44798809488432</c:v>
                </c:pt>
                <c:pt idx="274">
                  <c:v>114.72829072819984</c:v>
                </c:pt>
                <c:pt idx="275">
                  <c:v>113.9547210565332</c:v>
                </c:pt>
                <c:pt idx="276">
                  <c:v>113.12690152288086</c:v>
                </c:pt>
                <c:pt idx="277">
                  <c:v>112.24884624791559</c:v>
                </c:pt>
                <c:pt idx="278">
                  <c:v>111.32076346175501</c:v>
                </c:pt>
                <c:pt idx="279">
                  <c:v>110.34292851999733</c:v>
                </c:pt>
                <c:pt idx="280">
                  <c:v>109.31569272084884</c:v>
                </c:pt>
                <c:pt idx="281">
                  <c:v>108.23970882050676</c:v>
                </c:pt>
                <c:pt idx="282">
                  <c:v>107.11646561759397</c:v>
                </c:pt>
                <c:pt idx="283">
                  <c:v>105.94760869055104</c:v>
                </c:pt>
                <c:pt idx="284">
                  <c:v>104.7350654038443</c:v>
                </c:pt>
                <c:pt idx="285">
                  <c:v>103.4810984086924</c:v>
                </c:pt>
                <c:pt idx="286">
                  <c:v>102.18606063439006</c:v>
                </c:pt>
                <c:pt idx="287">
                  <c:v>100.85294340793719</c:v>
                </c:pt>
                <c:pt idx="288">
                  <c:v>99.488428399152951</c:v>
                </c:pt>
                <c:pt idx="289">
                  <c:v>98.100179214736215</c:v>
                </c:pt>
                <c:pt idx="290">
                  <c:v>96.696987047570374</c:v>
                </c:pt>
                <c:pt idx="291">
                  <c:v>95.286265631615294</c:v>
                </c:pt>
                <c:pt idx="292">
                  <c:v>93.867658179021547</c:v>
                </c:pt>
                <c:pt idx="293">
                  <c:v>92.439046399648504</c:v>
                </c:pt>
                <c:pt idx="294">
                  <c:v>90.998060793538144</c:v>
                </c:pt>
                <c:pt idx="295">
                  <c:v>89.542090819748978</c:v>
                </c:pt>
                <c:pt idx="296">
                  <c:v>88.072095741575453</c:v>
                </c:pt>
                <c:pt idx="297">
                  <c:v>86.590854696198875</c:v>
                </c:pt>
                <c:pt idx="298">
                  <c:v>85.098511578580343</c:v>
                </c:pt>
                <c:pt idx="299">
                  <c:v>83.595238672916153</c:v>
                </c:pt>
                <c:pt idx="300">
                  <c:v>82.081241313735958</c:v>
                </c:pt>
                <c:pt idx="301">
                  <c:v>80.557157766120625</c:v>
                </c:pt>
                <c:pt idx="302">
                  <c:v>79.025302840014973</c:v>
                </c:pt>
                <c:pt idx="303">
                  <c:v>77.489290158575258</c:v>
                </c:pt>
                <c:pt idx="304">
                  <c:v>75.95331920422332</c:v>
                </c:pt>
                <c:pt idx="305">
                  <c:v>74.422263130808489</c:v>
                </c:pt>
                <c:pt idx="306">
                  <c:v>72.899221551417838</c:v>
                </c:pt>
                <c:pt idx="307">
                  <c:v>71.38725560563708</c:v>
                </c:pt>
                <c:pt idx="308">
                  <c:v>69.892960728565569</c:v>
                </c:pt>
                <c:pt idx="309">
                  <c:v>68.424052433660478</c:v>
                </c:pt>
                <c:pt idx="310">
                  <c:v>66.989373179524463</c:v>
                </c:pt>
                <c:pt idx="311">
                  <c:v>65.596679794881453</c:v>
                </c:pt>
                <c:pt idx="312">
                  <c:v>64.246583600582056</c:v>
                </c:pt>
                <c:pt idx="313">
                  <c:v>62.937822487863279</c:v>
                </c:pt>
                <c:pt idx="314">
                  <c:v>61.668491534308174</c:v>
                </c:pt>
                <c:pt idx="315">
                  <c:v>60.43595798932791</c:v>
                </c:pt>
                <c:pt idx="316">
                  <c:v>59.244062632759494</c:v>
                </c:pt>
                <c:pt idx="317">
                  <c:v>58.090625490235418</c:v>
                </c:pt>
                <c:pt idx="318">
                  <c:v>56.961702140142485</c:v>
                </c:pt>
                <c:pt idx="319">
                  <c:v>55.840763399986862</c:v>
                </c:pt>
                <c:pt idx="320">
                  <c:v>54.70837623671801</c:v>
                </c:pt>
                <c:pt idx="321">
                  <c:v>53.54799699332581</c:v>
                </c:pt>
                <c:pt idx="322">
                  <c:v>52.363652519765196</c:v>
                </c:pt>
                <c:pt idx="323">
                  <c:v>51.165734010365824</c:v>
                </c:pt>
                <c:pt idx="324">
                  <c:v>49.966849737626262</c:v>
                </c:pt>
                <c:pt idx="325">
                  <c:v>48.782123055538484</c:v>
                </c:pt>
                <c:pt idx="326">
                  <c:v>47.617913349520094</c:v>
                </c:pt>
                <c:pt idx="327">
                  <c:v>46.470897512140496</c:v>
                </c:pt>
                <c:pt idx="328">
                  <c:v>45.344256020423998</c:v>
                </c:pt>
                <c:pt idx="329">
                  <c:v>44.23719992018399</c:v>
                </c:pt>
                <c:pt idx="330">
                  <c:v>43.068496604118351</c:v>
                </c:pt>
                <c:pt idx="331">
                  <c:v>41.822309076830045</c:v>
                </c:pt>
                <c:pt idx="332">
                  <c:v>40.515810461979925</c:v>
                </c:pt>
                <c:pt idx="333">
                  <c:v>39.162714861747453</c:v>
                </c:pt>
                <c:pt idx="334">
                  <c:v>37.775184369966148</c:v>
                </c:pt>
                <c:pt idx="335">
                  <c:v>36.36353420885699</c:v>
                </c:pt>
                <c:pt idx="336">
                  <c:v>34.942155235534329</c:v>
                </c:pt>
                <c:pt idx="337">
                  <c:v>33.5209581182636</c:v>
                </c:pt>
                <c:pt idx="338">
                  <c:v>32.098275098079981</c:v>
                </c:pt>
                <c:pt idx="339">
                  <c:v>30.666758643997731</c:v>
                </c:pt>
                <c:pt idx="340">
                  <c:v>29.212610151584759</c:v>
                </c:pt>
                <c:pt idx="341">
                  <c:v>27.727154343327591</c:v>
                </c:pt>
                <c:pt idx="342">
                  <c:v>26.214345808951933</c:v>
                </c:pt>
                <c:pt idx="343">
                  <c:v>24.68257673526654</c:v>
                </c:pt>
                <c:pt idx="344">
                  <c:v>23.141793041707533</c:v>
                </c:pt>
                <c:pt idx="345">
                  <c:v>21.630892758721682</c:v>
                </c:pt>
                <c:pt idx="346">
                  <c:v>20.221368068132005</c:v>
                </c:pt>
                <c:pt idx="347">
                  <c:v>18.904880270713839</c:v>
                </c:pt>
                <c:pt idx="348">
                  <c:v>17.674291251985498</c:v>
                </c:pt>
                <c:pt idx="349">
                  <c:v>16.52245045932349</c:v>
                </c:pt>
                <c:pt idx="350">
                  <c:v>15.442194901962484</c:v>
                </c:pt>
                <c:pt idx="351">
                  <c:v>14.427392323836067</c:v>
                </c:pt>
                <c:pt idx="352">
                  <c:v>13.474665868361587</c:v>
                </c:pt>
                <c:pt idx="353">
                  <c:v>12.581068483712917</c:v>
                </c:pt>
                <c:pt idx="354">
                  <c:v>11.74365299621595</c:v>
                </c:pt>
                <c:pt idx="355">
                  <c:v>10.959455688623457</c:v>
                </c:pt>
                <c:pt idx="356">
                  <c:v>10.22461120507867</c:v>
                </c:pt>
                <c:pt idx="357">
                  <c:v>9.536114042933697</c:v>
                </c:pt>
                <c:pt idx="358">
                  <c:v>8.8923111574550351</c:v>
                </c:pt>
                <c:pt idx="359">
                  <c:v>8.2915495039091454</c:v>
                </c:pt>
                <c:pt idx="360">
                  <c:v>7.7321760375625157</c:v>
                </c:pt>
                <c:pt idx="361">
                  <c:v>7.2121888458804992</c:v>
                </c:pt>
                <c:pt idx="362">
                  <c:v>6.7286074243468335</c:v>
                </c:pt>
                <c:pt idx="363">
                  <c:v>6.2782985239617366</c:v>
                </c:pt>
                <c:pt idx="364">
                  <c:v>5.8581247902940445</c:v>
                </c:pt>
                <c:pt idx="365">
                  <c:v>5.464957079775262</c:v>
                </c:pt>
                <c:pt idx="366">
                  <c:v>5.0963130367967509</c:v>
                </c:pt>
                <c:pt idx="367">
                  <c:v>4.7508923133470491</c:v>
                </c:pt>
                <c:pt idx="368">
                  <c:v>4.4273252658843933</c:v>
                </c:pt>
                <c:pt idx="369">
                  <c:v>4.1242303329315639</c:v>
                </c:pt>
                <c:pt idx="370">
                  <c:v>3.8402386676635176</c:v>
                </c:pt>
                <c:pt idx="371">
                  <c:v>3.5737402058223373</c:v>
                </c:pt>
                <c:pt idx="372">
                  <c:v>3.3236735485273754</c:v>
                </c:pt>
                <c:pt idx="373">
                  <c:v>3.0895101263850728</c:v>
                </c:pt>
                <c:pt idx="374">
                  <c:v>2.8707172645706658</c:v>
                </c:pt>
                <c:pt idx="375">
                  <c:v>2.6667512035948722</c:v>
                </c:pt>
                <c:pt idx="376">
                  <c:v>2.4768328931713963</c:v>
                </c:pt>
                <c:pt idx="377">
                  <c:v>2.30001145858974</c:v>
                </c:pt>
                <c:pt idx="378">
                  <c:v>2.1355100728664005</c:v>
                </c:pt>
                <c:pt idx="379">
                  <c:v>1.9825527179193336</c:v>
                </c:pt>
                <c:pt idx="380">
                  <c:v>1.8403613107660644</c:v>
                </c:pt>
                <c:pt idx="381">
                  <c:v>1.7081823925670092</c:v>
                </c:pt>
                <c:pt idx="382">
                  <c:v>1.5854695456173769</c:v>
                </c:pt>
                <c:pt idx="383">
                  <c:v>1.4717602482632319</c:v>
                </c:pt>
                <c:pt idx="384">
                  <c:v>1.3665899139501947</c:v>
                </c:pt>
                <c:pt idx="385">
                  <c:v>1.2694947650254003</c:v>
                </c:pt>
                <c:pt idx="386">
                  <c:v>1.179973477899332</c:v>
                </c:pt>
                <c:pt idx="387">
                  <c:v>1.0974549985395128</c:v>
                </c:pt>
                <c:pt idx="388">
                  <c:v>1.0213678745551735</c:v>
                </c:pt>
                <c:pt idx="389">
                  <c:v>0.95114271845596343</c:v>
                </c:pt>
                <c:pt idx="390">
                  <c:v>0.88620933385009926</c:v>
                </c:pt>
                <c:pt idx="391">
                  <c:v>0.82609100910610578</c:v>
                </c:pt>
                <c:pt idx="392">
                  <c:v>0.77042916586543553</c:v>
                </c:pt>
                <c:pt idx="393">
                  <c:v>0.71883101291708718</c:v>
                </c:pt>
                <c:pt idx="394">
                  <c:v>0.67090386637279342</c:v>
                </c:pt>
                <c:pt idx="395">
                  <c:v>0.62625455212945991</c:v>
                </c:pt>
                <c:pt idx="396">
                  <c:v>0.58450412589738932</c:v>
                </c:pt>
                <c:pt idx="397">
                  <c:v>0.54544712122737982</c:v>
                </c:pt>
                <c:pt idx="398">
                  <c:v>0.50894993121909649</c:v>
                </c:pt>
                <c:pt idx="399">
                  <c:v>0.4748802204373459</c:v>
                </c:pt>
                <c:pt idx="400">
                  <c:v>0.44310446165347905</c:v>
                </c:pt>
                <c:pt idx="401">
                  <c:v>0.41343029392496011</c:v>
                </c:pt>
                <c:pt idx="402">
                  <c:v>0.38569024383673656</c:v>
                </c:pt>
                <c:pt idx="403">
                  <c:v>0.35978910806569453</c:v>
                </c:pt>
                <c:pt idx="404">
                  <c:v>0.33563295475394495</c:v>
                </c:pt>
                <c:pt idx="405">
                  <c:v>0.31312707079317326</c:v>
                </c:pt>
                <c:pt idx="406">
                  <c:v>0.29216145644189728</c:v>
                </c:pt>
                <c:pt idx="407">
                  <c:v>0.27262120418879154</c:v>
                </c:pt>
                <c:pt idx="408">
                  <c:v>0.25440617247890485</c:v>
                </c:pt>
                <c:pt idx="409">
                  <c:v>0.23741663030039939</c:v>
                </c:pt>
                <c:pt idx="410">
                  <c:v>0.22155231293535804</c:v>
                </c:pt>
                <c:pt idx="411">
                  <c:v>0.20671754596757186</c:v>
                </c:pt>
                <c:pt idx="412">
                  <c:v>0.19285067474643369</c:v>
                </c:pt>
                <c:pt idx="413">
                  <c:v>0.17990223474829981</c:v>
                </c:pt>
                <c:pt idx="414">
                  <c:v>0.16782300899390035</c:v>
                </c:pt>
                <c:pt idx="415">
                  <c:v>0.15656361750521208</c:v>
                </c:pt>
                <c:pt idx="416">
                  <c:v>0.14606611917096501</c:v>
                </c:pt>
                <c:pt idx="417">
                  <c:v>0.1362757067849274</c:v>
                </c:pt>
                <c:pt idx="418">
                  <c:v>0.12714792276070919</c:v>
                </c:pt>
                <c:pt idx="419">
                  <c:v>0.11863822862170914</c:v>
                </c:pt>
                <c:pt idx="420">
                  <c:v>0.11070229238142881</c:v>
                </c:pt>
                <c:pt idx="421">
                  <c:v>0.1032971599967264</c:v>
                </c:pt>
                <c:pt idx="422">
                  <c:v>9.6386683814647656E-2</c:v>
                </c:pt>
                <c:pt idx="423">
                  <c:v>8.9936799359785491E-2</c:v>
                </c:pt>
                <c:pt idx="424">
                  <c:v>8.3913236885196918E-2</c:v>
                </c:pt>
                <c:pt idx="425">
                  <c:v>7.8281808752606041E-2</c:v>
                </c:pt>
                <c:pt idx="426">
                  <c:v>7.3007963693194622E-2</c:v>
                </c:pt>
                <c:pt idx="427">
                  <c:v>6.8070484461654757E-2</c:v>
                </c:pt>
                <c:pt idx="428">
                  <c:v>6.3455256768527035E-2</c:v>
                </c:pt>
                <c:pt idx="429">
                  <c:v>5.9148080232204747E-2</c:v>
                </c:pt>
                <c:pt idx="430">
                  <c:v>5.5134750487462192E-2</c:v>
                </c:pt>
                <c:pt idx="431">
                  <c:v>5.1396924136692945E-2</c:v>
                </c:pt>
                <c:pt idx="432">
                  <c:v>4.7914351991182325E-2</c:v>
                </c:pt>
                <c:pt idx="433">
                  <c:v>4.4670108104452599E-2</c:v>
                </c:pt>
                <c:pt idx="434">
                  <c:v>4.1647381725809507E-2</c:v>
                </c:pt>
                <c:pt idx="435">
                  <c:v>3.8829250892352674E-2</c:v>
                </c:pt>
                <c:pt idx="436">
                  <c:v>3.6199977373488346E-2</c:v>
                </c:pt>
                <c:pt idx="437">
                  <c:v>3.3747745076875835E-2</c:v>
                </c:pt>
                <c:pt idx="438">
                  <c:v>3.1461879369573675E-2</c:v>
                </c:pt>
                <c:pt idx="439">
                  <c:v>2.9331586439348967E-2</c:v>
                </c:pt>
                <c:pt idx="440">
                  <c:v>2.7346199620470468E-2</c:v>
                </c:pt>
                <c:pt idx="441">
                  <c:v>2.5494490824978788E-2</c:v>
                </c:pt>
                <c:pt idx="442">
                  <c:v>2.3767410092218055E-2</c:v>
                </c:pt>
                <c:pt idx="443">
                  <c:v>2.2157447831946953E-2</c:v>
                </c:pt>
                <c:pt idx="444">
                  <c:v>2.0657086121159129E-2</c:v>
                </c:pt>
                <c:pt idx="445">
                  <c:v>1.9258802809632436E-2</c:v>
                </c:pt>
                <c:pt idx="446">
                  <c:v>1.7954746056703108E-2</c:v>
                </c:pt>
                <c:pt idx="447">
                  <c:v>1.6738508261338048E-2</c:v>
                </c:pt>
                <c:pt idx="448">
                  <c:v>1.5604763162660462E-2</c:v>
                </c:pt>
                <c:pt idx="449">
                  <c:v>1.454818002885605E-2</c:v>
                </c:pt>
                <c:pt idx="450">
                  <c:v>1.3563432477214921E-2</c:v>
                </c:pt>
                <c:pt idx="451">
                  <c:v>1.2644951989021491E-2</c:v>
                </c:pt>
                <c:pt idx="452">
                  <c:v>1.1788267929371821E-2</c:v>
                </c:pt>
                <c:pt idx="453">
                  <c:v>1.098966094759124E-2</c:v>
                </c:pt>
                <c:pt idx="454">
                  <c:v>1.0245420147603213E-2</c:v>
                </c:pt>
                <c:pt idx="455">
                  <c:v>9.5518595096127923E-3</c:v>
                </c:pt>
                <c:pt idx="456">
                  <c:v>8.9050720141758966E-3</c:v>
                </c:pt>
                <c:pt idx="457">
                  <c:v>8.3018809116375269E-3</c:v>
                </c:pt>
                <c:pt idx="458">
                  <c:v>7.7396271770113767E-3</c:v>
                </c:pt>
                <c:pt idx="459">
                  <c:v>7.2156476798312941E-3</c:v>
                </c:pt>
                <c:pt idx="460">
                  <c:v>6.7272875005491839E-3</c:v>
                </c:pt>
                <c:pt idx="461">
                  <c:v>6.2717873779705169E-3</c:v>
                </c:pt>
                <c:pt idx="462">
                  <c:v>5.8469225627938437E-3</c:v>
                </c:pt>
                <c:pt idx="463">
                  <c:v>5.4508562032790087E-3</c:v>
                </c:pt>
                <c:pt idx="464">
                  <c:v>5.0817434805033868E-3</c:v>
                </c:pt>
                <c:pt idx="465">
                  <c:v>4.7377474208520898E-3</c:v>
                </c:pt>
                <c:pt idx="466">
                  <c:v>4.4169355291751033E-3</c:v>
                </c:pt>
                <c:pt idx="467">
                  <c:v>4.1177297551431291E-3</c:v>
                </c:pt>
                <c:pt idx="468">
                  <c:v>3.8388235316516583E-3</c:v>
                </c:pt>
                <c:pt idx="469">
                  <c:v>3.5789020807752703E-3</c:v>
                </c:pt>
                <c:pt idx="470">
                  <c:v>3.3366506245469107E-3</c:v>
                </c:pt>
              </c:numCache>
            </c:numRef>
          </c:xVal>
          <c:yVal>
            <c:numRef>
              <c:f>[1]ciexyz31_1!$T$4:$T$474</c:f>
              <c:numCache>
                <c:formatCode>General</c:formatCode>
                <c:ptCount val="471"/>
                <c:pt idx="0">
                  <c:v>-0.79442556292551036</c:v>
                </c:pt>
                <c:pt idx="1">
                  <c:v>-0.89244931572439734</c:v>
                </c:pt>
                <c:pt idx="2">
                  <c:v>-1.0029106855606373</c:v>
                </c:pt>
                <c:pt idx="3">
                  <c:v>-1.1272689599553187</c:v>
                </c:pt>
                <c:pt idx="4">
                  <c:v>-1.266983424857504</c:v>
                </c:pt>
                <c:pt idx="5">
                  <c:v>-1.4235133646442799</c:v>
                </c:pt>
                <c:pt idx="6">
                  <c:v>-1.5999483442240447</c:v>
                </c:pt>
                <c:pt idx="7">
                  <c:v>-1.7994068551299425</c:v>
                </c:pt>
                <c:pt idx="8">
                  <c:v>-2.0233882735352706</c:v>
                </c:pt>
                <c:pt idx="9">
                  <c:v>-2.2733919850453699</c:v>
                </c:pt>
                <c:pt idx="10">
                  <c:v>-2.5509173453974743</c:v>
                </c:pt>
                <c:pt idx="11">
                  <c:v>-2.8547078257534384</c:v>
                </c:pt>
                <c:pt idx="12">
                  <c:v>-3.1929028330393128</c:v>
                </c:pt>
                <c:pt idx="13">
                  <c:v>-3.581099587551634</c:v>
                </c:pt>
                <c:pt idx="14">
                  <c:v>-4.0348927510914674</c:v>
                </c:pt>
                <c:pt idx="15">
                  <c:v>-4.5698808589607509</c:v>
                </c:pt>
                <c:pt idx="16">
                  <c:v>-5.211636538964548</c:v>
                </c:pt>
                <c:pt idx="17">
                  <c:v>-5.9537366431703376</c:v>
                </c:pt>
                <c:pt idx="18">
                  <c:v>-6.7637854958112866</c:v>
                </c:pt>
                <c:pt idx="19">
                  <c:v>-7.6093860932291317</c:v>
                </c:pt>
                <c:pt idx="20">
                  <c:v>-8.4581414217134832</c:v>
                </c:pt>
                <c:pt idx="21">
                  <c:v>-9.2885014275835953</c:v>
                </c:pt>
                <c:pt idx="22">
                  <c:v>-10.156830591009813</c:v>
                </c:pt>
                <c:pt idx="23">
                  <c:v>-11.147593179414821</c:v>
                </c:pt>
                <c:pt idx="24">
                  <c:v>-12.345254735551043</c:v>
                </c:pt>
                <c:pt idx="25">
                  <c:v>-13.834270116930163</c:v>
                </c:pt>
                <c:pt idx="26">
                  <c:v>-15.60939655890316</c:v>
                </c:pt>
                <c:pt idx="27">
                  <c:v>-17.553673505969599</c:v>
                </c:pt>
                <c:pt idx="28">
                  <c:v>-19.588795422975064</c:v>
                </c:pt>
                <c:pt idx="29">
                  <c:v>-21.656752829711127</c:v>
                </c:pt>
                <c:pt idx="30">
                  <c:v>-23.715749647233693</c:v>
                </c:pt>
                <c:pt idx="31">
                  <c:v>-25.732741972060939</c:v>
                </c:pt>
                <c:pt idx="32">
                  <c:v>-27.776091898334816</c:v>
                </c:pt>
                <c:pt idx="33">
                  <c:v>-29.940886977606411</c:v>
                </c:pt>
                <c:pt idx="34">
                  <c:v>-32.294002038277156</c:v>
                </c:pt>
                <c:pt idx="35">
                  <c:v>-34.878208674488711</c:v>
                </c:pt>
                <c:pt idx="36">
                  <c:v>-37.749345827753125</c:v>
                </c:pt>
                <c:pt idx="37">
                  <c:v>-40.792948726369232</c:v>
                </c:pt>
                <c:pt idx="38">
                  <c:v>-43.830148217877827</c:v>
                </c:pt>
                <c:pt idx="39">
                  <c:v>-46.735256473257095</c:v>
                </c:pt>
                <c:pt idx="40">
                  <c:v>-49.419137801953674</c:v>
                </c:pt>
                <c:pt idx="41">
                  <c:v>-51.850839944530748</c:v>
                </c:pt>
                <c:pt idx="42">
                  <c:v>-54.221637710460136</c:v>
                </c:pt>
                <c:pt idx="43">
                  <c:v>-56.751571472003135</c:v>
                </c:pt>
                <c:pt idx="44">
                  <c:v>-59.609778502766162</c:v>
                </c:pt>
                <c:pt idx="45">
                  <c:v>-62.916630654569495</c:v>
                </c:pt>
                <c:pt idx="46">
                  <c:v>-66.694568345021878</c:v>
                </c:pt>
                <c:pt idx="47">
                  <c:v>-70.811315049257544</c:v>
                </c:pt>
                <c:pt idx="48">
                  <c:v>-75.143210711573659</c:v>
                </c:pt>
                <c:pt idx="49">
                  <c:v>-79.59619557540374</c:v>
                </c:pt>
                <c:pt idx="50">
                  <c:v>-84.100818976689482</c:v>
                </c:pt>
                <c:pt idx="51">
                  <c:v>-88.624183117161607</c:v>
                </c:pt>
                <c:pt idx="52">
                  <c:v>-93.219668375681167</c:v>
                </c:pt>
                <c:pt idx="53">
                  <c:v>-97.945099245937612</c:v>
                </c:pt>
                <c:pt idx="54">
                  <c:v>-102.8395739855537</c:v>
                </c:pt>
                <c:pt idx="55">
                  <c:v>-107.92744121793687</c:v>
                </c:pt>
                <c:pt idx="56">
                  <c:v>-113.14434337918102</c:v>
                </c:pt>
                <c:pt idx="57">
                  <c:v>-118.4343951344555</c:v>
                </c:pt>
                <c:pt idx="58">
                  <c:v>-123.81650848602914</c:v>
                </c:pt>
                <c:pt idx="59">
                  <c:v>-129.29970004466441</c:v>
                </c:pt>
                <c:pt idx="60">
                  <c:v>-134.88530028890472</c:v>
                </c:pt>
                <c:pt idx="61">
                  <c:v>-140.56851893920199</c:v>
                </c:pt>
                <c:pt idx="62">
                  <c:v>-146.19499496990312</c:v>
                </c:pt>
                <c:pt idx="63">
                  <c:v>-151.5784172957745</c:v>
                </c:pt>
                <c:pt idx="64">
                  <c:v>-156.57591047025582</c:v>
                </c:pt>
                <c:pt idx="65">
                  <c:v>-161.07507194396464</c:v>
                </c:pt>
                <c:pt idx="66">
                  <c:v>-165.0504594468139</c:v>
                </c:pt>
                <c:pt idx="67">
                  <c:v>-168.55801992226262</c:v>
                </c:pt>
                <c:pt idx="68">
                  <c:v>-171.61846750333558</c:v>
                </c:pt>
                <c:pt idx="69">
                  <c:v>-174.24679211035755</c:v>
                </c:pt>
                <c:pt idx="70">
                  <c:v>-176.45348356044761</c:v>
                </c:pt>
                <c:pt idx="71">
                  <c:v>-178.23826200207017</c:v>
                </c:pt>
                <c:pt idx="72">
                  <c:v>-179.6139684199978</c:v>
                </c:pt>
                <c:pt idx="73">
                  <c:v>-180.60445361288848</c:v>
                </c:pt>
                <c:pt idx="74">
                  <c:v>-181.22969530720434</c:v>
                </c:pt>
                <c:pt idx="75">
                  <c:v>-181.50655969848839</c:v>
                </c:pt>
                <c:pt idx="76">
                  <c:v>-181.45165018732322</c:v>
                </c:pt>
                <c:pt idx="77">
                  <c:v>-181.17373231046693</c:v>
                </c:pt>
                <c:pt idx="78">
                  <c:v>-180.72213901160538</c:v>
                </c:pt>
                <c:pt idx="79">
                  <c:v>-180.12157174440259</c:v>
                </c:pt>
                <c:pt idx="80">
                  <c:v>-179.39301043321422</c:v>
                </c:pt>
                <c:pt idx="81">
                  <c:v>-178.5463903537181</c:v>
                </c:pt>
                <c:pt idx="82">
                  <c:v>-177.58440238073342</c:v>
                </c:pt>
                <c:pt idx="83">
                  <c:v>-176.5163551718278</c:v>
                </c:pt>
                <c:pt idx="84">
                  <c:v>-175.35317387408926</c:v>
                </c:pt>
                <c:pt idx="85">
                  <c:v>-174.1070697229693</c:v>
                </c:pt>
                <c:pt idx="86">
                  <c:v>-172.7839119604225</c:v>
                </c:pt>
                <c:pt idx="87">
                  <c:v>-171.39289957935938</c:v>
                </c:pt>
                <c:pt idx="88">
                  <c:v>-169.95199816242038</c:v>
                </c:pt>
                <c:pt idx="89">
                  <c:v>-168.47902131538029</c:v>
                </c:pt>
                <c:pt idx="90">
                  <c:v>-166.9916976978183</c:v>
                </c:pt>
                <c:pt idx="91">
                  <c:v>-165.50433634989872</c:v>
                </c:pt>
                <c:pt idx="92">
                  <c:v>-164.00330371308826</c:v>
                </c:pt>
                <c:pt idx="93">
                  <c:v>-162.46451596153571</c:v>
                </c:pt>
                <c:pt idx="94">
                  <c:v>-160.86399565670496</c:v>
                </c:pt>
                <c:pt idx="95">
                  <c:v>-159.17777665230929</c:v>
                </c:pt>
                <c:pt idx="96">
                  <c:v>-157.38992469564045</c:v>
                </c:pt>
                <c:pt idx="97">
                  <c:v>-155.50194150772302</c:v>
                </c:pt>
                <c:pt idx="98">
                  <c:v>-153.5150044410251</c:v>
                </c:pt>
                <c:pt idx="99">
                  <c:v>-151.42921759811435</c:v>
                </c:pt>
                <c:pt idx="100">
                  <c:v>-149.24364364969131</c:v>
                </c:pt>
                <c:pt idx="101">
                  <c:v>-146.96640450511532</c:v>
                </c:pt>
                <c:pt idx="102">
                  <c:v>-144.57379860198515</c:v>
                </c:pt>
                <c:pt idx="103">
                  <c:v>-142.01582576860741</c:v>
                </c:pt>
                <c:pt idx="104">
                  <c:v>-139.24104811859851</c:v>
                </c:pt>
                <c:pt idx="105">
                  <c:v>-136.19560727128425</c:v>
                </c:pt>
                <c:pt idx="106">
                  <c:v>-132.83543913148353</c:v>
                </c:pt>
                <c:pt idx="107">
                  <c:v>-129.19290658854868</c:v>
                </c:pt>
                <c:pt idx="108">
                  <c:v>-125.32897393780324</c:v>
                </c:pt>
                <c:pt idx="109">
                  <c:v>-121.30952891191443</c:v>
                </c:pt>
                <c:pt idx="110">
                  <c:v>-117.20694388451676</c:v>
                </c:pt>
                <c:pt idx="111">
                  <c:v>-113.06310333766616</c:v>
                </c:pt>
                <c:pt idx="112">
                  <c:v>-108.86429557392414</c:v>
                </c:pt>
                <c:pt idx="113">
                  <c:v>-104.60457838189244</c:v>
                </c:pt>
                <c:pt idx="114">
                  <c:v>-100.27718042803468</c:v>
                </c:pt>
                <c:pt idx="115">
                  <c:v>-95.874241066791981</c:v>
                </c:pt>
                <c:pt idx="116">
                  <c:v>-91.39938851349045</c:v>
                </c:pt>
                <c:pt idx="117">
                  <c:v>-86.872813101119235</c:v>
                </c:pt>
                <c:pt idx="118">
                  <c:v>-82.310093184316543</c:v>
                </c:pt>
                <c:pt idx="119">
                  <c:v>-77.726255986321945</c:v>
                </c:pt>
                <c:pt idx="120">
                  <c:v>-73.1360177939208</c:v>
                </c:pt>
                <c:pt idx="121">
                  <c:v>-68.547571536904115</c:v>
                </c:pt>
                <c:pt idx="122">
                  <c:v>-63.957987355127678</c:v>
                </c:pt>
                <c:pt idx="123">
                  <c:v>-59.368131978135949</c:v>
                </c:pt>
                <c:pt idx="124">
                  <c:v>-54.782815154837785</c:v>
                </c:pt>
                <c:pt idx="125">
                  <c:v>-50.21110373158966</c:v>
                </c:pt>
                <c:pt idx="126">
                  <c:v>-45.667989079646091</c:v>
                </c:pt>
                <c:pt idx="127">
                  <c:v>-41.157142174385797</c:v>
                </c:pt>
                <c:pt idx="128">
                  <c:v>-36.673718763021924</c:v>
                </c:pt>
                <c:pt idx="129">
                  <c:v>-32.21243793028583</c:v>
                </c:pt>
                <c:pt idx="130">
                  <c:v>-27.767599631350048</c:v>
                </c:pt>
                <c:pt idx="131">
                  <c:v>-23.338797787082321</c:v>
                </c:pt>
                <c:pt idx="132">
                  <c:v>-18.934418387051299</c:v>
                </c:pt>
                <c:pt idx="133">
                  <c:v>-14.560861122362434</c:v>
                </c:pt>
                <c:pt idx="134">
                  <c:v>-10.223715440622749</c:v>
                </c:pt>
                <c:pt idx="135">
                  <c:v>-5.9277492209844018</c:v>
                </c:pt>
                <c:pt idx="136">
                  <c:v>-1.6787512805922056</c:v>
                </c:pt>
                <c:pt idx="137">
                  <c:v>2.5298600571472818</c:v>
                </c:pt>
                <c:pt idx="138">
                  <c:v>6.7111239745275775</c:v>
                </c:pt>
                <c:pt idx="139">
                  <c:v>10.876226511628273</c:v>
                </c:pt>
                <c:pt idx="140">
                  <c:v>15.034732735236101</c:v>
                </c:pt>
                <c:pt idx="141">
                  <c:v>19.184708559574148</c:v>
                </c:pt>
                <c:pt idx="142">
                  <c:v>23.317813248125006</c:v>
                </c:pt>
                <c:pt idx="143">
                  <c:v>27.438294946256892</c:v>
                </c:pt>
                <c:pt idx="144">
                  <c:v>31.557419307922775</c:v>
                </c:pt>
                <c:pt idx="145">
                  <c:v>35.693905470434139</c:v>
                </c:pt>
                <c:pt idx="146">
                  <c:v>39.864051474557982</c:v>
                </c:pt>
                <c:pt idx="147">
                  <c:v>44.067481884093887</c:v>
                </c:pt>
                <c:pt idx="148">
                  <c:v>48.301876938040131</c:v>
                </c:pt>
                <c:pt idx="149">
                  <c:v>52.562556768506475</c:v>
                </c:pt>
                <c:pt idx="150">
                  <c:v>56.842214574913029</c:v>
                </c:pt>
                <c:pt idx="151">
                  <c:v>61.141809565591032</c:v>
                </c:pt>
                <c:pt idx="152">
                  <c:v>65.448879357950872</c:v>
                </c:pt>
                <c:pt idx="153">
                  <c:v>69.73255443809785</c:v>
                </c:pt>
                <c:pt idx="154">
                  <c:v>73.959761784317706</c:v>
                </c:pt>
                <c:pt idx="155">
                  <c:v>78.094434878990029</c:v>
                </c:pt>
                <c:pt idx="156">
                  <c:v>82.117344972804489</c:v>
                </c:pt>
                <c:pt idx="157">
                  <c:v>86.01912014806571</c:v>
                </c:pt>
                <c:pt idx="158">
                  <c:v>89.77597565087089</c:v>
                </c:pt>
                <c:pt idx="159">
                  <c:v>93.36426952285926</c:v>
                </c:pt>
                <c:pt idx="160">
                  <c:v>96.760350920666809</c:v>
                </c:pt>
                <c:pt idx="161">
                  <c:v>99.93805197883708</c:v>
                </c:pt>
                <c:pt idx="162">
                  <c:v>102.90801064811164</c:v>
                </c:pt>
                <c:pt idx="163">
                  <c:v>105.70370264544586</c:v>
                </c:pt>
                <c:pt idx="164">
                  <c:v>108.36164995685131</c:v>
                </c:pt>
                <c:pt idx="165">
                  <c:v>110.92172135779157</c:v>
                </c:pt>
                <c:pt idx="166">
                  <c:v>113.40428439286225</c:v>
                </c:pt>
                <c:pt idx="167">
                  <c:v>115.80390680934576</c:v>
                </c:pt>
                <c:pt idx="168">
                  <c:v>118.12530783859958</c:v>
                </c:pt>
                <c:pt idx="169">
                  <c:v>120.37437139656322</c:v>
                </c:pt>
                <c:pt idx="170">
                  <c:v>122.55826433348335</c:v>
                </c:pt>
                <c:pt idx="171">
                  <c:v>124.69042715897005</c:v>
                </c:pt>
                <c:pt idx="172">
                  <c:v>126.77762099272481</c:v>
                </c:pt>
                <c:pt idx="173">
                  <c:v>128.81707479941392</c:v>
                </c:pt>
                <c:pt idx="174">
                  <c:v>130.80463467145194</c:v>
                </c:pt>
                <c:pt idx="175">
                  <c:v>132.73461043598078</c:v>
                </c:pt>
                <c:pt idx="176">
                  <c:v>134.60661976324738</c:v>
                </c:pt>
                <c:pt idx="177">
                  <c:v>136.42399952658255</c:v>
                </c:pt>
                <c:pt idx="178">
                  <c:v>138.18506259049471</c:v>
                </c:pt>
                <c:pt idx="179">
                  <c:v>139.88774953786199</c:v>
                </c:pt>
                <c:pt idx="180">
                  <c:v>141.52959232556813</c:v>
                </c:pt>
                <c:pt idx="181">
                  <c:v>143.10876515758025</c:v>
                </c:pt>
                <c:pt idx="182">
                  <c:v>144.62463877829435</c:v>
                </c:pt>
                <c:pt idx="183">
                  <c:v>146.07612677968746</c:v>
                </c:pt>
                <c:pt idx="184">
                  <c:v>147.4619941397132</c:v>
                </c:pt>
                <c:pt idx="185">
                  <c:v>148.78087038851834</c:v>
                </c:pt>
                <c:pt idx="186">
                  <c:v>150.03017404720597</c:v>
                </c:pt>
                <c:pt idx="187">
                  <c:v>151.2100929070406</c:v>
                </c:pt>
                <c:pt idx="188">
                  <c:v>152.32354148596434</c:v>
                </c:pt>
                <c:pt idx="189">
                  <c:v>153.37381467226919</c:v>
                </c:pt>
                <c:pt idx="190">
                  <c:v>154.36463557065034</c:v>
                </c:pt>
                <c:pt idx="191">
                  <c:v>155.29567079562389</c:v>
                </c:pt>
                <c:pt idx="192">
                  <c:v>156.16654965451681</c:v>
                </c:pt>
                <c:pt idx="193">
                  <c:v>156.97736589838675</c:v>
                </c:pt>
                <c:pt idx="194">
                  <c:v>157.72833350979914</c:v>
                </c:pt>
                <c:pt idx="195">
                  <c:v>158.41982214051765</c:v>
                </c:pt>
                <c:pt idx="196">
                  <c:v>159.05184487680975</c:v>
                </c:pt>
                <c:pt idx="197">
                  <c:v>159.61996911045065</c:v>
                </c:pt>
                <c:pt idx="198">
                  <c:v>160.11433195987212</c:v>
                </c:pt>
                <c:pt idx="199">
                  <c:v>160.53877338774066</c:v>
                </c:pt>
                <c:pt idx="200">
                  <c:v>160.89745283617231</c:v>
                </c:pt>
                <c:pt idx="201">
                  <c:v>161.19344635221773</c:v>
                </c:pt>
                <c:pt idx="202">
                  <c:v>161.4308418090387</c:v>
                </c:pt>
                <c:pt idx="203">
                  <c:v>161.61153022573183</c:v>
                </c:pt>
                <c:pt idx="204">
                  <c:v>161.73739077273288</c:v>
                </c:pt>
                <c:pt idx="205">
                  <c:v>161.81029517457205</c:v>
                </c:pt>
                <c:pt idx="206">
                  <c:v>161.8329842068741</c:v>
                </c:pt>
                <c:pt idx="207">
                  <c:v>161.8071964931292</c:v>
                </c:pt>
                <c:pt idx="208">
                  <c:v>161.73321569830884</c:v>
                </c:pt>
                <c:pt idx="209">
                  <c:v>161.61129840052786</c:v>
                </c:pt>
                <c:pt idx="210">
                  <c:v>161.44167046661676</c:v>
                </c:pt>
                <c:pt idx="211">
                  <c:v>161.22536548690687</c:v>
                </c:pt>
                <c:pt idx="212">
                  <c:v>160.96500308039691</c:v>
                </c:pt>
                <c:pt idx="213">
                  <c:v>160.66313663770316</c:v>
                </c:pt>
                <c:pt idx="214">
                  <c:v>160.32230872241149</c:v>
                </c:pt>
                <c:pt idx="215">
                  <c:v>159.94505321235422</c:v>
                </c:pt>
                <c:pt idx="216">
                  <c:v>159.53276804700843</c:v>
                </c:pt>
                <c:pt idx="217">
                  <c:v>159.08732891701987</c:v>
                </c:pt>
                <c:pt idx="218">
                  <c:v>158.6119444090896</c:v>
                </c:pt>
                <c:pt idx="219">
                  <c:v>158.10977296063402</c:v>
                </c:pt>
                <c:pt idx="220">
                  <c:v>157.58391697832164</c:v>
                </c:pt>
                <c:pt idx="221">
                  <c:v>157.03603629844051</c:v>
                </c:pt>
                <c:pt idx="222">
                  <c:v>156.46580973995458</c:v>
                </c:pt>
                <c:pt idx="223">
                  <c:v>155.8733388324174</c:v>
                </c:pt>
                <c:pt idx="224">
                  <c:v>155.25876151206211</c:v>
                </c:pt>
                <c:pt idx="225">
                  <c:v>154.62226003931855</c:v>
                </c:pt>
                <c:pt idx="226">
                  <c:v>153.96586279467778</c:v>
                </c:pt>
                <c:pt idx="227">
                  <c:v>153.28798233160566</c:v>
                </c:pt>
                <c:pt idx="228">
                  <c:v>152.58345298255054</c:v>
                </c:pt>
                <c:pt idx="229">
                  <c:v>151.8471635269936</c:v>
                </c:pt>
                <c:pt idx="230">
                  <c:v>151.07406372024016</c:v>
                </c:pt>
                <c:pt idx="231">
                  <c:v>150.2605347006064</c:v>
                </c:pt>
                <c:pt idx="232">
                  <c:v>149.41096773784977</c:v>
                </c:pt>
                <c:pt idx="233">
                  <c:v>148.53235831344384</c:v>
                </c:pt>
                <c:pt idx="234">
                  <c:v>147.63167959169948</c:v>
                </c:pt>
                <c:pt idx="235">
                  <c:v>146.71588071037195</c:v>
                </c:pt>
                <c:pt idx="236">
                  <c:v>145.78874531224534</c:v>
                </c:pt>
                <c:pt idx="237">
                  <c:v>144.84750975363528</c:v>
                </c:pt>
                <c:pt idx="238">
                  <c:v>143.88928381151024</c:v>
                </c:pt>
                <c:pt idx="239">
                  <c:v>142.91121769481924</c:v>
                </c:pt>
                <c:pt idx="240">
                  <c:v>141.91050616124457</c:v>
                </c:pt>
                <c:pt idx="241">
                  <c:v>140.88579222908712</c:v>
                </c:pt>
                <c:pt idx="242">
                  <c:v>139.83882400873856</c:v>
                </c:pt>
                <c:pt idx="243">
                  <c:v>138.77149231915769</c:v>
                </c:pt>
                <c:pt idx="244">
                  <c:v>137.6856474116351</c:v>
                </c:pt>
                <c:pt idx="245">
                  <c:v>136.58309564503534</c:v>
                </c:pt>
                <c:pt idx="246">
                  <c:v>135.46515397667801</c:v>
                </c:pt>
                <c:pt idx="247">
                  <c:v>134.32951923220168</c:v>
                </c:pt>
                <c:pt idx="248">
                  <c:v>133.17267439751518</c:v>
                </c:pt>
                <c:pt idx="249">
                  <c:v>131.99121263534502</c:v>
                </c:pt>
                <c:pt idx="250">
                  <c:v>130.78184772827677</c:v>
                </c:pt>
                <c:pt idx="251">
                  <c:v>129.54266363795631</c:v>
                </c:pt>
                <c:pt idx="252">
                  <c:v>128.27509583402846</c:v>
                </c:pt>
                <c:pt idx="253">
                  <c:v>126.98095919030391</c:v>
                </c:pt>
                <c:pt idx="254">
                  <c:v>125.66198304478337</c:v>
                </c:pt>
                <c:pt idx="255">
                  <c:v>124.31980336711111</c:v>
                </c:pt>
                <c:pt idx="256">
                  <c:v>122.95583994891655</c:v>
                </c:pt>
                <c:pt idx="257">
                  <c:v>121.56845703101666</c:v>
                </c:pt>
                <c:pt idx="258">
                  <c:v>120.15435095022842</c:v>
                </c:pt>
                <c:pt idx="259">
                  <c:v>118.70980792613639</c:v>
                </c:pt>
                <c:pt idx="260">
                  <c:v>117.23065422734582</c:v>
                </c:pt>
                <c:pt idx="261">
                  <c:v>115.71442516130701</c:v>
                </c:pt>
                <c:pt idx="262">
                  <c:v>114.1633641466242</c:v>
                </c:pt>
                <c:pt idx="263">
                  <c:v>112.5802925594964</c:v>
                </c:pt>
                <c:pt idx="264">
                  <c:v>110.96849197384854</c:v>
                </c:pt>
                <c:pt idx="265">
                  <c:v>109.33176947513745</c:v>
                </c:pt>
                <c:pt idx="266">
                  <c:v>107.67040388037867</c:v>
                </c:pt>
                <c:pt idx="267">
                  <c:v>105.98733589216336</c:v>
                </c:pt>
                <c:pt idx="268">
                  <c:v>104.29134992018551</c:v>
                </c:pt>
                <c:pt idx="269">
                  <c:v>102.59210553994464</c:v>
                </c:pt>
                <c:pt idx="270">
                  <c:v>100.9002322182248</c:v>
                </c:pt>
                <c:pt idx="271">
                  <c:v>99.224588119830941</c:v>
                </c:pt>
                <c:pt idx="272">
                  <c:v>97.563071708424872</c:v>
                </c:pt>
                <c:pt idx="273">
                  <c:v>95.910114014142138</c:v>
                </c:pt>
                <c:pt idx="274">
                  <c:v>94.259459398736297</c:v>
                </c:pt>
                <c:pt idx="275">
                  <c:v>92.604100902984186</c:v>
                </c:pt>
                <c:pt idx="276">
                  <c:v>90.941919336621197</c:v>
                </c:pt>
                <c:pt idx="277">
                  <c:v>89.275436491729494</c:v>
                </c:pt>
                <c:pt idx="278">
                  <c:v>87.60392851969354</c:v>
                </c:pt>
                <c:pt idx="279">
                  <c:v>85.926571193173856</c:v>
                </c:pt>
                <c:pt idx="280">
                  <c:v>84.242428170100283</c:v>
                </c:pt>
                <c:pt idx="281">
                  <c:v>82.549959281484192</c:v>
                </c:pt>
                <c:pt idx="282">
                  <c:v>80.849631099927336</c:v>
                </c:pt>
                <c:pt idx="283">
                  <c:v>79.143693655116849</c:v>
                </c:pt>
                <c:pt idx="284">
                  <c:v>77.434676675067777</c:v>
                </c:pt>
                <c:pt idx="285">
                  <c:v>75.72542604474782</c:v>
                </c:pt>
                <c:pt idx="286">
                  <c:v>74.017098567398293</c:v>
                </c:pt>
                <c:pt idx="287">
                  <c:v>72.310184975871678</c:v>
                </c:pt>
                <c:pt idx="288">
                  <c:v>70.607210749413753</c:v>
                </c:pt>
                <c:pt idx="289">
                  <c:v>68.911042502928638</c:v>
                </c:pt>
                <c:pt idx="290">
                  <c:v>67.224928892975697</c:v>
                </c:pt>
                <c:pt idx="291">
                  <c:v>65.551409520074884</c:v>
                </c:pt>
                <c:pt idx="292">
                  <c:v>63.892004339600426</c:v>
                </c:pt>
                <c:pt idx="293">
                  <c:v>62.244621238595343</c:v>
                </c:pt>
                <c:pt idx="294">
                  <c:v>60.60680676321374</c:v>
                </c:pt>
                <c:pt idx="295">
                  <c:v>58.975681129821254</c:v>
                </c:pt>
                <c:pt idx="296">
                  <c:v>57.350299233465051</c:v>
                </c:pt>
                <c:pt idx="297">
                  <c:v>55.732037180390883</c:v>
                </c:pt>
                <c:pt idx="298">
                  <c:v>54.121134652583791</c:v>
                </c:pt>
                <c:pt idx="299">
                  <c:v>52.517833051183317</c:v>
                </c:pt>
                <c:pt idx="300">
                  <c:v>50.922373954316399</c:v>
                </c:pt>
                <c:pt idx="301">
                  <c:v>49.334983360216512</c:v>
                </c:pt>
                <c:pt idx="302">
                  <c:v>47.756459689617358</c:v>
                </c:pt>
                <c:pt idx="303">
                  <c:v>46.187989594594306</c:v>
                </c:pt>
                <c:pt idx="304">
                  <c:v>44.630912725467489</c:v>
                </c:pt>
                <c:pt idx="305">
                  <c:v>43.086741651414826</c:v>
                </c:pt>
                <c:pt idx="306">
                  <c:v>41.555305011740288</c:v>
                </c:pt>
                <c:pt idx="307">
                  <c:v>40.039356323369446</c:v>
                </c:pt>
                <c:pt idx="308">
                  <c:v>38.545679261510017</c:v>
                </c:pt>
                <c:pt idx="309">
                  <c:v>37.082180541434958</c:v>
                </c:pt>
                <c:pt idx="310">
                  <c:v>35.658021364632241</c:v>
                </c:pt>
                <c:pt idx="311">
                  <c:v>34.280336190309377</c:v>
                </c:pt>
                <c:pt idx="312">
                  <c:v>32.948546865942397</c:v>
                </c:pt>
                <c:pt idx="313">
                  <c:v>31.660677387851237</c:v>
                </c:pt>
                <c:pt idx="314">
                  <c:v>30.413929212922131</c:v>
                </c:pt>
                <c:pt idx="315">
                  <c:v>29.204576903487617</c:v>
                </c:pt>
                <c:pt idx="316">
                  <c:v>28.034908385226259</c:v>
                </c:pt>
                <c:pt idx="317">
                  <c:v>26.902971767409579</c:v>
                </c:pt>
                <c:pt idx="318">
                  <c:v>25.796172715267968</c:v>
                </c:pt>
                <c:pt idx="319">
                  <c:v>24.699483888598508</c:v>
                </c:pt>
                <c:pt idx="320">
                  <c:v>23.595136526493942</c:v>
                </c:pt>
                <c:pt idx="321">
                  <c:v>22.467118531884527</c:v>
                </c:pt>
                <c:pt idx="322">
                  <c:v>21.318862992336641</c:v>
                </c:pt>
                <c:pt idx="323">
                  <c:v>20.160799997678769</c:v>
                </c:pt>
                <c:pt idx="324">
                  <c:v>19.005541009322535</c:v>
                </c:pt>
                <c:pt idx="325">
                  <c:v>17.868388693842856</c:v>
                </c:pt>
                <c:pt idx="326">
                  <c:v>16.756311744205103</c:v>
                </c:pt>
                <c:pt idx="327">
                  <c:v>15.665838514910568</c:v>
                </c:pt>
                <c:pt idx="328">
                  <c:v>14.59898584079049</c:v>
                </c:pt>
                <c:pt idx="329">
                  <c:v>13.559707494424462</c:v>
                </c:pt>
                <c:pt idx="330">
                  <c:v>12.584501983062058</c:v>
                </c:pt>
                <c:pt idx="331">
                  <c:v>11.685857400059184</c:v>
                </c:pt>
                <c:pt idx="332">
                  <c:v>10.860591598852759</c:v>
                </c:pt>
                <c:pt idx="333">
                  <c:v>10.103410352717523</c:v>
                </c:pt>
                <c:pt idx="334">
                  <c:v>9.4090208652340852</c:v>
                </c:pt>
                <c:pt idx="335">
                  <c:v>8.7721317702889046</c:v>
                </c:pt>
                <c:pt idx="336">
                  <c:v>8.1897320530183393</c:v>
                </c:pt>
                <c:pt idx="337">
                  <c:v>7.6574264480341441</c:v>
                </c:pt>
                <c:pt idx="338">
                  <c:v>7.167847638532276</c:v>
                </c:pt>
                <c:pt idx="339">
                  <c:v>6.7136290028849857</c:v>
                </c:pt>
                <c:pt idx="340">
                  <c:v>6.2874051814359895</c:v>
                </c:pt>
                <c:pt idx="341">
                  <c:v>5.8834493894158459</c:v>
                </c:pt>
                <c:pt idx="342">
                  <c:v>5.5012480982325478</c:v>
                </c:pt>
                <c:pt idx="343">
                  <c:v>5.1412320737084514</c:v>
                </c:pt>
                <c:pt idx="344">
                  <c:v>4.8038304813214969</c:v>
                </c:pt>
                <c:pt idx="345">
                  <c:v>4.4894709428847213</c:v>
                </c:pt>
                <c:pt idx="346">
                  <c:v>4.1969257397990125</c:v>
                </c:pt>
                <c:pt idx="347">
                  <c:v>3.9236903209869665</c:v>
                </c:pt>
                <c:pt idx="348">
                  <c:v>3.6682824907110834</c:v>
                </c:pt>
                <c:pt idx="349">
                  <c:v>3.4292185379087012</c:v>
                </c:pt>
                <c:pt idx="350">
                  <c:v>3.2050132361920336</c:v>
                </c:pt>
                <c:pt idx="351">
                  <c:v>2.9943912825777854</c:v>
                </c:pt>
                <c:pt idx="352">
                  <c:v>2.7966537678391856</c:v>
                </c:pt>
                <c:pt idx="353">
                  <c:v>2.6111891198342785</c:v>
                </c:pt>
                <c:pt idx="354">
                  <c:v>2.4373842085863018</c:v>
                </c:pt>
                <c:pt idx="355">
                  <c:v>2.274624402963271</c:v>
                </c:pt>
                <c:pt idx="356">
                  <c:v>2.1221080766840927</c:v>
                </c:pt>
                <c:pt idx="357">
                  <c:v>1.9792113933068844</c:v>
                </c:pt>
                <c:pt idx="358">
                  <c:v>1.8455910091133954</c:v>
                </c:pt>
                <c:pt idx="359">
                  <c:v>1.72090358038538</c:v>
                </c:pt>
                <c:pt idx="360">
                  <c:v>1.6048057634045709</c:v>
                </c:pt>
                <c:pt idx="361">
                  <c:v>1.4968831155209084</c:v>
                </c:pt>
                <c:pt idx="362">
                  <c:v>1.3965163887775633</c:v>
                </c:pt>
                <c:pt idx="363">
                  <c:v>1.3030550740057989</c:v>
                </c:pt>
                <c:pt idx="364">
                  <c:v>1.2158486762067877</c:v>
                </c:pt>
                <c:pt idx="365">
                  <c:v>1.1342466720419053</c:v>
                </c:pt>
                <c:pt idx="366">
                  <c:v>1.0577351463370577</c:v>
                </c:pt>
                <c:pt idx="367">
                  <c:v>0.9860435551711566</c:v>
                </c:pt>
                <c:pt idx="368">
                  <c:v>0.91888694619624567</c:v>
                </c:pt>
                <c:pt idx="369">
                  <c:v>0.85598025237350051</c:v>
                </c:pt>
                <c:pt idx="370">
                  <c:v>0.79703820695400385</c:v>
                </c:pt>
                <c:pt idx="371">
                  <c:v>0.74172619992799449</c:v>
                </c:pt>
                <c:pt idx="372">
                  <c:v>0.689825531672833</c:v>
                </c:pt>
                <c:pt idx="373">
                  <c:v>0.64122520885726009</c:v>
                </c:pt>
                <c:pt idx="374">
                  <c:v>0.59581425231988727</c:v>
                </c:pt>
                <c:pt idx="375">
                  <c:v>0.5534817211580001</c:v>
                </c:pt>
                <c:pt idx="376">
                  <c:v>0.5140643500671338</c:v>
                </c:pt>
                <c:pt idx="377">
                  <c:v>0.47736518517670912</c:v>
                </c:pt>
                <c:pt idx="378">
                  <c:v>0.44322313506601208</c:v>
                </c:pt>
                <c:pt idx="379">
                  <c:v>0.41147694969688176</c:v>
                </c:pt>
                <c:pt idx="380">
                  <c:v>0.38196523033260377</c:v>
                </c:pt>
                <c:pt idx="381">
                  <c:v>0.35453163548894717</c:v>
                </c:pt>
                <c:pt idx="382">
                  <c:v>0.329062740229491</c:v>
                </c:pt>
                <c:pt idx="383">
                  <c:v>0.30546243833622366</c:v>
                </c:pt>
                <c:pt idx="384">
                  <c:v>0.2836344748926134</c:v>
                </c:pt>
                <c:pt idx="385">
                  <c:v>0.26348243636464264</c:v>
                </c:pt>
                <c:pt idx="386">
                  <c:v>0.24490240335681701</c:v>
                </c:pt>
                <c:pt idx="387">
                  <c:v>0.22777573789675709</c:v>
                </c:pt>
                <c:pt idx="388">
                  <c:v>0.21198395921253055</c:v>
                </c:pt>
                <c:pt idx="389">
                  <c:v>0.19740873523075297</c:v>
                </c:pt>
                <c:pt idx="390">
                  <c:v>0.18393189249547581</c:v>
                </c:pt>
                <c:pt idx="391">
                  <c:v>0.17145441308021869</c:v>
                </c:pt>
                <c:pt idx="392">
                  <c:v>0.15990180340734739</c:v>
                </c:pt>
                <c:pt idx="393">
                  <c:v>0.14919267583576867</c:v>
                </c:pt>
                <c:pt idx="394">
                  <c:v>0.13924543978073856</c:v>
                </c:pt>
                <c:pt idx="395">
                  <c:v>0.12997853751461341</c:v>
                </c:pt>
                <c:pt idx="396">
                  <c:v>0.12131330729818757</c:v>
                </c:pt>
                <c:pt idx="397">
                  <c:v>0.11320701413928269</c:v>
                </c:pt>
                <c:pt idx="398">
                  <c:v>0.10563208616806152</c:v>
                </c:pt>
                <c:pt idx="399">
                  <c:v>9.8560931543689723E-2</c:v>
                </c:pt>
                <c:pt idx="400">
                  <c:v>9.1965946956229505E-2</c:v>
                </c:pt>
                <c:pt idx="401">
                  <c:v>8.5807094709300369E-2</c:v>
                </c:pt>
                <c:pt idx="402">
                  <c:v>8.0049611605687021E-2</c:v>
                </c:pt>
                <c:pt idx="403">
                  <c:v>7.467389615349318E-2</c:v>
                </c:pt>
                <c:pt idx="404">
                  <c:v>6.9660326889853241E-2</c:v>
                </c:pt>
                <c:pt idx="405">
                  <c:v>6.4989269465798305E-2</c:v>
                </c:pt>
                <c:pt idx="406">
                  <c:v>6.0637807627716978E-2</c:v>
                </c:pt>
                <c:pt idx="407">
                  <c:v>5.6582231768353974E-2</c:v>
                </c:pt>
                <c:pt idx="408">
                  <c:v>5.2801757583503806E-2</c:v>
                </c:pt>
                <c:pt idx="409">
                  <c:v>4.9275599351994437E-2</c:v>
                </c:pt>
                <c:pt idx="410">
                  <c:v>4.5982973194719223E-2</c:v>
                </c:pt>
                <c:pt idx="411">
                  <c:v>4.2904029924928366E-2</c:v>
                </c:pt>
                <c:pt idx="412">
                  <c:v>4.0025970911333753E-2</c:v>
                </c:pt>
                <c:pt idx="413">
                  <c:v>3.7338542152337562E-2</c:v>
                </c:pt>
                <c:pt idx="414">
                  <c:v>3.4831504374499556E-2</c:v>
                </c:pt>
                <c:pt idx="415">
                  <c:v>3.2494634449503623E-2</c:v>
                </c:pt>
                <c:pt idx="416">
                  <c:v>3.0315884473919308E-2</c:v>
                </c:pt>
                <c:pt idx="417">
                  <c:v>2.8283896942560283E-2</c:v>
                </c:pt>
                <c:pt idx="418">
                  <c:v>2.6389429020906574E-2</c:v>
                </c:pt>
                <c:pt idx="419">
                  <c:v>2.4623253736222317E-2</c:v>
                </c:pt>
                <c:pt idx="420">
                  <c:v>2.2976158985582584E-2</c:v>
                </c:pt>
                <c:pt idx="421">
                  <c:v>2.1439223978653166E-2</c:v>
                </c:pt>
                <c:pt idx="422">
                  <c:v>2.0004969192854993E-2</c:v>
                </c:pt>
                <c:pt idx="423">
                  <c:v>1.8666297479386085E-2</c:v>
                </c:pt>
                <c:pt idx="424">
                  <c:v>1.7416112397922179E-2</c:v>
                </c:pt>
                <c:pt idx="425">
                  <c:v>1.6247317224754587E-2</c:v>
                </c:pt>
                <c:pt idx="426">
                  <c:v>1.5152733903700533E-2</c:v>
                </c:pt>
                <c:pt idx="427">
                  <c:v>1.412796814794226E-2</c:v>
                </c:pt>
                <c:pt idx="428">
                  <c:v>1.3170078380914108E-2</c:v>
                </c:pt>
                <c:pt idx="429">
                  <c:v>1.2276124881427375E-2</c:v>
                </c:pt>
                <c:pt idx="430">
                  <c:v>1.1443169500313655E-2</c:v>
                </c:pt>
                <c:pt idx="431">
                  <c:v>1.0667386144425084E-2</c:v>
                </c:pt>
                <c:pt idx="432">
                  <c:v>9.9445766423678084E-3</c:v>
                </c:pt>
                <c:pt idx="433">
                  <c:v>9.2712388005455892E-3</c:v>
                </c:pt>
                <c:pt idx="434">
                  <c:v>8.6438731442595174E-3</c:v>
                </c:pt>
                <c:pt idx="435">
                  <c:v>8.0589759078986134E-3</c:v>
                </c:pt>
                <c:pt idx="436">
                  <c:v>7.5132667454791413E-3</c:v>
                </c:pt>
                <c:pt idx="437">
                  <c:v>7.0043103724604094E-3</c:v>
                </c:pt>
                <c:pt idx="438">
                  <c:v>6.5298794872936661E-3</c:v>
                </c:pt>
                <c:pt idx="439">
                  <c:v>6.0877456415253661E-3</c:v>
                </c:pt>
                <c:pt idx="440">
                  <c:v>5.6756783895883789E-3</c:v>
                </c:pt>
                <c:pt idx="441">
                  <c:v>5.2913572865964653E-3</c:v>
                </c:pt>
                <c:pt idx="442">
                  <c:v>4.9329031474254492E-3</c:v>
                </c:pt>
                <c:pt idx="443">
                  <c:v>4.5987571456962417E-3</c:v>
                </c:pt>
                <c:pt idx="444">
                  <c:v>4.287358925575413E-3</c:v>
                </c:pt>
                <c:pt idx="445">
                  <c:v>3.997146587542133E-3</c:v>
                </c:pt>
                <c:pt idx="446">
                  <c:v>3.7264908067602409E-3</c:v>
                </c:pt>
                <c:pt idx="447">
                  <c:v>3.4740611334127536E-3</c:v>
                </c:pt>
                <c:pt idx="448">
                  <c:v>3.238754007228728E-3</c:v>
                </c:pt>
                <c:pt idx="449">
                  <c:v>3.0194612085920891E-3</c:v>
                </c:pt>
                <c:pt idx="450">
                  <c:v>2.8150776193947014E-3</c:v>
                </c:pt>
                <c:pt idx="451">
                  <c:v>2.6244475348380369E-3</c:v>
                </c:pt>
                <c:pt idx="452">
                  <c:v>2.4466436408132619E-3</c:v>
                </c:pt>
                <c:pt idx="453">
                  <c:v>2.2808934139584292E-3</c:v>
                </c:pt>
                <c:pt idx="454">
                  <c:v>2.1264274182419829E-3</c:v>
                </c:pt>
                <c:pt idx="455">
                  <c:v>1.98247924826922E-3</c:v>
                </c:pt>
                <c:pt idx="456">
                  <c:v>1.8482396302921256E-3</c:v>
                </c:pt>
                <c:pt idx="457">
                  <c:v>1.7230479207930305E-3</c:v>
                </c:pt>
                <c:pt idx="458">
                  <c:v>1.6063523254616907E-3</c:v>
                </c:pt>
                <c:pt idx="459">
                  <c:v>1.4976010641709614E-3</c:v>
                </c:pt>
                <c:pt idx="460">
                  <c:v>1.3962423284386016E-3</c:v>
                </c:pt>
                <c:pt idx="461">
                  <c:v>1.3017028543393927E-3</c:v>
                </c:pt>
                <c:pt idx="462">
                  <c:v>1.2135228440013357E-3</c:v>
                </c:pt>
                <c:pt idx="463">
                  <c:v>1.1313190734663081E-3</c:v>
                </c:pt>
                <c:pt idx="464">
                  <c:v>1.0547114627945664E-3</c:v>
                </c:pt>
                <c:pt idx="465">
                  <c:v>9.8331523021299994E-4</c:v>
                </c:pt>
                <c:pt idx="466">
                  <c:v>9.1673189932528487E-4</c:v>
                </c:pt>
                <c:pt idx="467">
                  <c:v>8.5463189187229283E-4</c:v>
                </c:pt>
                <c:pt idx="468">
                  <c:v>7.967439062672721E-4</c:v>
                </c:pt>
                <c:pt idx="469">
                  <c:v>7.4279666926746479E-4</c:v>
                </c:pt>
                <c:pt idx="470">
                  <c:v>6.9251890762456192E-4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19-4286-A0C6-01226FDC0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6262192"/>
        <c:axId val="906255960"/>
      </c:scatterChart>
      <c:valAx>
        <c:axId val="90626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55960"/>
        <c:crosses val="autoZero"/>
        <c:crossBetween val="midCat"/>
      </c:valAx>
      <c:valAx>
        <c:axId val="90625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6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470941</xdr:colOff>
      <xdr:row>22</xdr:row>
      <xdr:rowOff>28575</xdr:rowOff>
    </xdr:from>
    <xdr:to>
      <xdr:col>3</xdr:col>
      <xdr:colOff>885457</xdr:colOff>
      <xdr:row>24</xdr:row>
      <xdr:rowOff>180860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573BB-9AEF-4351-ACF7-401C3A630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0166" y="4219575"/>
          <a:ext cx="1728966" cy="533285"/>
        </a:xfrm>
        <a:prstGeom prst="rect">
          <a:avLst/>
        </a:prstGeom>
      </xdr:spPr>
    </xdr:pic>
    <xdr:clientData/>
  </xdr:twoCellAnchor>
  <xdr:twoCellAnchor editAs="oneCell">
    <xdr:from>
      <xdr:col>2</xdr:col>
      <xdr:colOff>38286</xdr:colOff>
      <xdr:row>34</xdr:row>
      <xdr:rowOff>0</xdr:rowOff>
    </xdr:from>
    <xdr:to>
      <xdr:col>3</xdr:col>
      <xdr:colOff>790258</xdr:colOff>
      <xdr:row>37</xdr:row>
      <xdr:rowOff>18925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E0A5EA-8DCD-42B2-A0D4-CFF72706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486" y="6477000"/>
          <a:ext cx="1504447" cy="590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166141</xdr:colOff>
      <xdr:row>22</xdr:row>
      <xdr:rowOff>28575</xdr:rowOff>
    </xdr:from>
    <xdr:to>
      <xdr:col>3</xdr:col>
      <xdr:colOff>847357</xdr:colOff>
      <xdr:row>24</xdr:row>
      <xdr:rowOff>180860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27AD79-2BA2-450E-8C13-3E68F9B21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5366" y="4219575"/>
          <a:ext cx="1728966" cy="533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409761</xdr:colOff>
      <xdr:row>33</xdr:row>
      <xdr:rowOff>161925</xdr:rowOff>
    </xdr:from>
    <xdr:to>
      <xdr:col>3</xdr:col>
      <xdr:colOff>866458</xdr:colOff>
      <xdr:row>36</xdr:row>
      <xdr:rowOff>180850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15BB5E-ADBA-4562-8EC0-3ED9CAA5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986" y="6448425"/>
          <a:ext cx="1504447" cy="590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166141</xdr:colOff>
      <xdr:row>22</xdr:row>
      <xdr:rowOff>28575</xdr:rowOff>
    </xdr:from>
    <xdr:to>
      <xdr:col>3</xdr:col>
      <xdr:colOff>847357</xdr:colOff>
      <xdr:row>24</xdr:row>
      <xdr:rowOff>180860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DE728B-0A3E-4703-A860-9DEC5EFE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5366" y="4219575"/>
          <a:ext cx="1728966" cy="533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409761</xdr:colOff>
      <xdr:row>33</xdr:row>
      <xdr:rowOff>161925</xdr:rowOff>
    </xdr:from>
    <xdr:to>
      <xdr:col>3</xdr:col>
      <xdr:colOff>866458</xdr:colOff>
      <xdr:row>36</xdr:row>
      <xdr:rowOff>180850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C46F0F-0747-4B61-9E09-B93524E9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986" y="6448425"/>
          <a:ext cx="1504447" cy="5904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166141</xdr:colOff>
      <xdr:row>25</xdr:row>
      <xdr:rowOff>28575</xdr:rowOff>
    </xdr:from>
    <xdr:to>
      <xdr:col>3</xdr:col>
      <xdr:colOff>723532</xdr:colOff>
      <xdr:row>27</xdr:row>
      <xdr:rowOff>180860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75382-4328-4BC5-B500-455C23934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5366" y="4219575"/>
          <a:ext cx="1728966" cy="533285"/>
        </a:xfrm>
        <a:prstGeom prst="rect">
          <a:avLst/>
        </a:prstGeom>
      </xdr:spPr>
    </xdr:pic>
    <xdr:clientData/>
  </xdr:twoCellAnchor>
  <xdr:twoCellAnchor editAs="oneCell">
    <xdr:from>
      <xdr:col>1</xdr:col>
      <xdr:colOff>409761</xdr:colOff>
      <xdr:row>36</xdr:row>
      <xdr:rowOff>161925</xdr:rowOff>
    </xdr:from>
    <xdr:to>
      <xdr:col>3</xdr:col>
      <xdr:colOff>742633</xdr:colOff>
      <xdr:row>39</xdr:row>
      <xdr:rowOff>180850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855AC0-5A55-4359-B6FC-B603990E4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986" y="6448425"/>
          <a:ext cx="1504447" cy="590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409761</xdr:colOff>
      <xdr:row>11</xdr:row>
      <xdr:rowOff>161925</xdr:rowOff>
    </xdr:from>
    <xdr:to>
      <xdr:col>3</xdr:col>
      <xdr:colOff>866458</xdr:colOff>
      <xdr:row>14</xdr:row>
      <xdr:rowOff>180850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C0DD6A-EBC7-45A0-99F5-F29EBB7A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986" y="6448425"/>
          <a:ext cx="1504447" cy="590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32</xdr:row>
      <xdr:rowOff>66675</xdr:rowOff>
    </xdr:from>
    <xdr:to>
      <xdr:col>6</xdr:col>
      <xdr:colOff>332913</xdr:colOff>
      <xdr:row>36</xdr:row>
      <xdr:rowOff>152294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0AD6A2-590B-4BF5-B2CC-D77FC4963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6353175"/>
          <a:ext cx="3695238" cy="8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142876</xdr:colOff>
      <xdr:row>9</xdr:row>
      <xdr:rowOff>19051</xdr:rowOff>
    </xdr:from>
    <xdr:to>
      <xdr:col>20</xdr:col>
      <xdr:colOff>21744</xdr:colOff>
      <xdr:row>20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59B0C4-DA56-4CE4-AA37-C4C01C094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1" y="2533651"/>
          <a:ext cx="4146068" cy="2228850"/>
        </a:xfrm>
        <a:prstGeom prst="rect">
          <a:avLst/>
        </a:prstGeom>
      </xdr:spPr>
    </xdr:pic>
    <xdr:clientData/>
  </xdr:twoCellAnchor>
  <xdr:twoCellAnchor editAs="oneCell">
    <xdr:from>
      <xdr:col>19</xdr:col>
      <xdr:colOff>323850</xdr:colOff>
      <xdr:row>8</xdr:row>
      <xdr:rowOff>161925</xdr:rowOff>
    </xdr:from>
    <xdr:to>
      <xdr:col>25</xdr:col>
      <xdr:colOff>458612</xdr:colOff>
      <xdr:row>20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FD1C19-C608-4DBE-9DAE-BB0EED468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2275" y="1114425"/>
          <a:ext cx="3792362" cy="2133600"/>
        </a:xfrm>
        <a:prstGeom prst="rect">
          <a:avLst/>
        </a:prstGeom>
      </xdr:spPr>
    </xdr:pic>
    <xdr:clientData/>
  </xdr:twoCellAnchor>
  <xdr:twoCellAnchor editAs="oneCell">
    <xdr:from>
      <xdr:col>19</xdr:col>
      <xdr:colOff>409576</xdr:colOff>
      <xdr:row>21</xdr:row>
      <xdr:rowOff>142875</xdr:rowOff>
    </xdr:from>
    <xdr:to>
      <xdr:col>25</xdr:col>
      <xdr:colOff>255652</xdr:colOff>
      <xdr:row>32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323E4B-B3C8-4240-831E-6F4841FE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1" y="3000375"/>
          <a:ext cx="3503676" cy="1990725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314326</xdr:colOff>
      <xdr:row>21</xdr:row>
      <xdr:rowOff>28575</xdr:rowOff>
    </xdr:from>
    <xdr:to>
      <xdr:col>19</xdr:col>
      <xdr:colOff>200026</xdr:colOff>
      <xdr:row>32</xdr:row>
      <xdr:rowOff>2669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338D84-A340-4BDD-A231-5F809B2DB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6701" y="4829175"/>
          <a:ext cx="3543300" cy="2069594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15</xdr:row>
      <xdr:rowOff>95250</xdr:rowOff>
    </xdr:from>
    <xdr:to>
      <xdr:col>11</xdr:col>
      <xdr:colOff>833871</xdr:colOff>
      <xdr:row>19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FAEA4D-FF1B-4BBB-9176-20C5CCF9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1325" y="3562350"/>
          <a:ext cx="3234171" cy="7143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428625</xdr:colOff>
      <xdr:row>38</xdr:row>
      <xdr:rowOff>19050</xdr:rowOff>
    </xdr:from>
    <xdr:to>
      <xdr:col>22</xdr:col>
      <xdr:colOff>294606</xdr:colOff>
      <xdr:row>42</xdr:row>
      <xdr:rowOff>123636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FA2FAE-EE43-4C6C-A898-D113FE768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01400" y="8058150"/>
          <a:ext cx="5352381" cy="15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828675</xdr:colOff>
      <xdr:row>30</xdr:row>
      <xdr:rowOff>85725</xdr:rowOff>
    </xdr:from>
    <xdr:to>
      <xdr:col>21</xdr:col>
      <xdr:colOff>570742</xdr:colOff>
      <xdr:row>56</xdr:row>
      <xdr:rowOff>218130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44182A-52C1-4F44-8688-330C6E709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53650" y="6600825"/>
          <a:ext cx="6066667" cy="75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119797</xdr:colOff>
      <xdr:row>4</xdr:row>
      <xdr:rowOff>276224</xdr:rowOff>
    </xdr:from>
    <xdr:to>
      <xdr:col>34</xdr:col>
      <xdr:colOff>310893</xdr:colOff>
      <xdr:row>32</xdr:row>
      <xdr:rowOff>354834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3BBE9C-E4AC-455C-88EA-02CAFD8FA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0472" y="2019299"/>
          <a:ext cx="8115896" cy="86606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19050</xdr:colOff>
      <xdr:row>2</xdr:row>
      <xdr:rowOff>92033</xdr:rowOff>
    </xdr:from>
    <xdr:to>
      <xdr:col>34</xdr:col>
      <xdr:colOff>85724</xdr:colOff>
      <xdr:row>17</xdr:row>
      <xdr:rowOff>88092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9BA96-8C24-4A49-9829-4E6CA6E20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8400" y="282533"/>
          <a:ext cx="3914774" cy="417753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20</xdr:row>
      <xdr:rowOff>0</xdr:rowOff>
    </xdr:from>
    <xdr:to>
      <xdr:col>28</xdr:col>
      <xdr:colOff>304800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B3B16-8C64-44A7-9AA5-67A5C2A60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438150</xdr:colOff>
      <xdr:row>3</xdr:row>
      <xdr:rowOff>57150</xdr:rowOff>
    </xdr:from>
    <xdr:ext cx="990600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6246DF3-0B83-4B01-A0B6-0F6BBC75BC72}"/>
            </a:ext>
          </a:extLst>
        </xdr:cNvPr>
        <xdr:cNvSpPr txBox="1"/>
      </xdr:nvSpPr>
      <xdr:spPr>
        <a:xfrm>
          <a:off x="2876550" y="628650"/>
          <a:ext cx="990600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CIE-xyY</a:t>
          </a:r>
        </a:p>
      </xdr:txBody>
    </xdr:sp>
    <xdr:clientData/>
  </xdr:oneCellAnchor>
  <xdr:oneCellAnchor>
    <xdr:from>
      <xdr:col>7</xdr:col>
      <xdr:colOff>209549</xdr:colOff>
      <xdr:row>3</xdr:row>
      <xdr:rowOff>57150</xdr:rowOff>
    </xdr:from>
    <xdr:ext cx="981075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3699B27-F46D-492A-9112-00C2B4A40C45}"/>
            </a:ext>
          </a:extLst>
        </xdr:cNvPr>
        <xdr:cNvSpPr txBox="1"/>
      </xdr:nvSpPr>
      <xdr:spPr>
        <a:xfrm>
          <a:off x="4476749" y="628650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Color Temp.</a:t>
          </a:r>
        </a:p>
      </xdr:txBody>
    </xdr:sp>
    <xdr:clientData/>
  </xdr:oneCellAnchor>
  <xdr:oneCellAnchor>
    <xdr:from>
      <xdr:col>5</xdr:col>
      <xdr:colOff>609599</xdr:colOff>
      <xdr:row>8</xdr:row>
      <xdr:rowOff>66675</xdr:rowOff>
    </xdr:from>
    <xdr:ext cx="981075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F08BCFC-C1B1-4C41-9323-1323A894FE8A}"/>
            </a:ext>
          </a:extLst>
        </xdr:cNvPr>
        <xdr:cNvSpPr txBox="1"/>
      </xdr:nvSpPr>
      <xdr:spPr>
        <a:xfrm>
          <a:off x="3657599" y="15906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CIE-XYZ</a:t>
          </a:r>
        </a:p>
      </xdr:txBody>
    </xdr:sp>
    <xdr:clientData/>
  </xdr:oneCellAnchor>
  <xdr:oneCellAnchor>
    <xdr:from>
      <xdr:col>4</xdr:col>
      <xdr:colOff>466724</xdr:colOff>
      <xdr:row>13</xdr:row>
      <xdr:rowOff>66675</xdr:rowOff>
    </xdr:from>
    <xdr:ext cx="981075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2415A95-96CA-4A71-9D5A-14104B8F1021}"/>
            </a:ext>
          </a:extLst>
        </xdr:cNvPr>
        <xdr:cNvSpPr txBox="1"/>
      </xdr:nvSpPr>
      <xdr:spPr>
        <a:xfrm>
          <a:off x="2905124" y="25431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CIE-Lab</a:t>
          </a:r>
        </a:p>
      </xdr:txBody>
    </xdr:sp>
    <xdr:clientData/>
  </xdr:oneCellAnchor>
  <xdr:oneCellAnchor>
    <xdr:from>
      <xdr:col>7</xdr:col>
      <xdr:colOff>133349</xdr:colOff>
      <xdr:row>13</xdr:row>
      <xdr:rowOff>66675</xdr:rowOff>
    </xdr:from>
    <xdr:ext cx="98107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63C1D56-76BB-43C2-9D46-4FE5A1B30E62}"/>
            </a:ext>
          </a:extLst>
        </xdr:cNvPr>
        <xdr:cNvSpPr txBox="1"/>
      </xdr:nvSpPr>
      <xdr:spPr>
        <a:xfrm>
          <a:off x="4400549" y="25431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CIE-Luv</a:t>
          </a:r>
        </a:p>
      </xdr:txBody>
    </xdr:sp>
    <xdr:clientData/>
  </xdr:oneCellAnchor>
  <xdr:oneCellAnchor>
    <xdr:from>
      <xdr:col>4</xdr:col>
      <xdr:colOff>466724</xdr:colOff>
      <xdr:row>18</xdr:row>
      <xdr:rowOff>66675</xdr:rowOff>
    </xdr:from>
    <xdr:ext cx="98107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0ECB17E-3A7A-4DC1-BACF-8C7AAB6D08FF}"/>
            </a:ext>
          </a:extLst>
        </xdr:cNvPr>
        <xdr:cNvSpPr txBox="1"/>
      </xdr:nvSpPr>
      <xdr:spPr>
        <a:xfrm>
          <a:off x="2905124" y="34956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CIE-LCH</a:t>
          </a:r>
          <a:r>
            <a:rPr lang="en-GB" sz="1100" b="1" baseline="-25000"/>
            <a:t>ab</a:t>
          </a:r>
        </a:p>
      </xdr:txBody>
    </xdr:sp>
    <xdr:clientData/>
  </xdr:oneCellAnchor>
  <xdr:oneCellAnchor>
    <xdr:from>
      <xdr:col>7</xdr:col>
      <xdr:colOff>123825</xdr:colOff>
      <xdr:row>18</xdr:row>
      <xdr:rowOff>57150</xdr:rowOff>
    </xdr:from>
    <xdr:ext cx="981075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B68E5DC-6A47-4FA9-A890-BE8A441E8EA9}"/>
            </a:ext>
          </a:extLst>
        </xdr:cNvPr>
        <xdr:cNvSpPr txBox="1"/>
      </xdr:nvSpPr>
      <xdr:spPr>
        <a:xfrm>
          <a:off x="4391025" y="3486150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CIE-LCH</a:t>
          </a:r>
          <a:r>
            <a:rPr lang="en-GB" sz="1100" b="1" baseline="-25000"/>
            <a:t>uv</a:t>
          </a:r>
        </a:p>
      </xdr:txBody>
    </xdr:sp>
    <xdr:clientData/>
  </xdr:oneCellAnchor>
  <xdr:oneCellAnchor>
    <xdr:from>
      <xdr:col>8</xdr:col>
      <xdr:colOff>371475</xdr:colOff>
      <xdr:row>8</xdr:row>
      <xdr:rowOff>66675</xdr:rowOff>
    </xdr:from>
    <xdr:ext cx="981075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E672AF6-245C-47A5-A758-76D8CFF737F8}"/>
            </a:ext>
          </a:extLst>
        </xdr:cNvPr>
        <xdr:cNvSpPr txBox="1"/>
      </xdr:nvSpPr>
      <xdr:spPr>
        <a:xfrm>
          <a:off x="5248275" y="1590675"/>
          <a:ext cx="981075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RGB</a:t>
          </a:r>
        </a:p>
      </xdr:txBody>
    </xdr:sp>
    <xdr:clientData/>
  </xdr:oneCellAnchor>
  <xdr:oneCellAnchor>
    <xdr:from>
      <xdr:col>1</xdr:col>
      <xdr:colOff>9525</xdr:colOff>
      <xdr:row>8</xdr:row>
      <xdr:rowOff>66675</xdr:rowOff>
    </xdr:from>
    <xdr:ext cx="981075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7DD185-6D82-4B0B-B44D-575E9CB6275E}"/>
            </a:ext>
          </a:extLst>
        </xdr:cNvPr>
        <xdr:cNvSpPr txBox="1"/>
      </xdr:nvSpPr>
      <xdr:spPr>
        <a:xfrm>
          <a:off x="619125" y="1590675"/>
          <a:ext cx="981075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/>
            <a:t>Raw RGB</a:t>
          </a:r>
        </a:p>
      </xdr:txBody>
    </xdr:sp>
    <xdr:clientData/>
  </xdr:oneCellAnchor>
  <xdr:twoCellAnchor>
    <xdr:from>
      <xdr:col>2</xdr:col>
      <xdr:colOff>409575</xdr:colOff>
      <xdr:row>8</xdr:row>
      <xdr:rowOff>133350</xdr:rowOff>
    </xdr:from>
    <xdr:to>
      <xdr:col>5</xdr:col>
      <xdr:colOff>561975</xdr:colOff>
      <xdr:row>9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FEBA204-D562-4873-931A-C0196EDCEF1D}"/>
            </a:ext>
          </a:extLst>
        </xdr:cNvPr>
        <xdr:cNvSpPr/>
      </xdr:nvSpPr>
      <xdr:spPr>
        <a:xfrm>
          <a:off x="1628775" y="1657350"/>
          <a:ext cx="1981200" cy="12382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219075</xdr:colOff>
      <xdr:row>3</xdr:row>
      <xdr:rowOff>123825</xdr:rowOff>
    </xdr:from>
    <xdr:to>
      <xdr:col>7</xdr:col>
      <xdr:colOff>149475</xdr:colOff>
      <xdr:row>4</xdr:row>
      <xdr:rowOff>57150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7EDF4430-8DAE-4D09-9E67-EAF24CE4D8A7}"/>
            </a:ext>
          </a:extLst>
        </xdr:cNvPr>
        <xdr:cNvSpPr/>
      </xdr:nvSpPr>
      <xdr:spPr>
        <a:xfrm rot="10800000">
          <a:off x="3876675" y="695325"/>
          <a:ext cx="54000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189037</xdr:colOff>
      <xdr:row>5</xdr:row>
      <xdr:rowOff>10991</xdr:rowOff>
    </xdr:from>
    <xdr:to>
      <xdr:col>7</xdr:col>
      <xdr:colOff>312862</xdr:colOff>
      <xdr:row>7</xdr:row>
      <xdr:rowOff>169991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F38C00BD-23AB-412D-81CB-CEDA1511B47E}"/>
            </a:ext>
          </a:extLst>
        </xdr:cNvPr>
        <xdr:cNvSpPr/>
      </xdr:nvSpPr>
      <xdr:spPr>
        <a:xfrm rot="16200000">
          <a:off x="4248150" y="1171578"/>
          <a:ext cx="54000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400050</xdr:colOff>
      <xdr:row>8</xdr:row>
      <xdr:rowOff>123825</xdr:rowOff>
    </xdr:from>
    <xdr:to>
      <xdr:col>8</xdr:col>
      <xdr:colOff>330450</xdr:colOff>
      <xdr:row>9</xdr:row>
      <xdr:rowOff>55725</xdr:rowOff>
    </xdr:to>
    <xdr:sp macro="" textlink="">
      <xdr:nvSpPr>
        <xdr:cNvPr id="4" name="Arrow: Left-Right 3">
          <a:extLst>
            <a:ext uri="{FF2B5EF4-FFF2-40B4-BE49-F238E27FC236}">
              <a16:creationId xmlns:a16="http://schemas.microsoft.com/office/drawing/2014/main" id="{5FC33C07-3B89-430B-A342-05A5A4109B6F}"/>
            </a:ext>
          </a:extLst>
        </xdr:cNvPr>
        <xdr:cNvSpPr/>
      </xdr:nvSpPr>
      <xdr:spPr>
        <a:xfrm>
          <a:off x="4667250" y="1647825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294525</xdr:colOff>
      <xdr:row>15</xdr:row>
      <xdr:rowOff>19800</xdr:rowOff>
    </xdr:from>
    <xdr:to>
      <xdr:col>5</xdr:col>
      <xdr:colOff>416925</xdr:colOff>
      <xdr:row>17</xdr:row>
      <xdr:rowOff>178800</xdr:rowOff>
    </xdr:to>
    <xdr:sp macro="" textlink="">
      <xdr:nvSpPr>
        <xdr:cNvPr id="25" name="Arrow: Left-Right 24">
          <a:extLst>
            <a:ext uri="{FF2B5EF4-FFF2-40B4-BE49-F238E27FC236}">
              <a16:creationId xmlns:a16="http://schemas.microsoft.com/office/drawing/2014/main" id="{81293814-20F4-4917-ADE3-076E42D37127}"/>
            </a:ext>
          </a:extLst>
        </xdr:cNvPr>
        <xdr:cNvSpPr/>
      </xdr:nvSpPr>
      <xdr:spPr>
        <a:xfrm rot="5400000">
          <a:off x="3133725" y="3086100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84975</xdr:colOff>
      <xdr:row>5</xdr:row>
      <xdr:rowOff>38850</xdr:rowOff>
    </xdr:from>
    <xdr:to>
      <xdr:col>6</xdr:col>
      <xdr:colOff>207375</xdr:colOff>
      <xdr:row>8</xdr:row>
      <xdr:rowOff>7350</xdr:rowOff>
    </xdr:to>
    <xdr:sp macro="" textlink="">
      <xdr:nvSpPr>
        <xdr:cNvPr id="26" name="Arrow: Left-Right 25">
          <a:extLst>
            <a:ext uri="{FF2B5EF4-FFF2-40B4-BE49-F238E27FC236}">
              <a16:creationId xmlns:a16="http://schemas.microsoft.com/office/drawing/2014/main" id="{FBB5A808-1439-4CED-A36E-7EEA43372F99}"/>
            </a:ext>
          </a:extLst>
        </xdr:cNvPr>
        <xdr:cNvSpPr/>
      </xdr:nvSpPr>
      <xdr:spPr>
        <a:xfrm rot="5400000">
          <a:off x="3533775" y="1200150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65925</xdr:colOff>
      <xdr:row>10</xdr:row>
      <xdr:rowOff>48375</xdr:rowOff>
    </xdr:from>
    <xdr:to>
      <xdr:col>6</xdr:col>
      <xdr:colOff>188325</xdr:colOff>
      <xdr:row>13</xdr:row>
      <xdr:rowOff>16875</xdr:rowOff>
    </xdr:to>
    <xdr:sp macro="" textlink="">
      <xdr:nvSpPr>
        <xdr:cNvPr id="27" name="Arrow: Left-Right 26">
          <a:extLst>
            <a:ext uri="{FF2B5EF4-FFF2-40B4-BE49-F238E27FC236}">
              <a16:creationId xmlns:a16="http://schemas.microsoft.com/office/drawing/2014/main" id="{550507E1-6C31-4AF9-B56F-BB9A13CD5930}"/>
            </a:ext>
          </a:extLst>
        </xdr:cNvPr>
        <xdr:cNvSpPr/>
      </xdr:nvSpPr>
      <xdr:spPr>
        <a:xfrm rot="5400000">
          <a:off x="3514725" y="2162175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190500</xdr:colOff>
      <xdr:row>10</xdr:row>
      <xdr:rowOff>28575</xdr:rowOff>
    </xdr:from>
    <xdr:to>
      <xdr:col>7</xdr:col>
      <xdr:colOff>312900</xdr:colOff>
      <xdr:row>12</xdr:row>
      <xdr:rowOff>187575</xdr:rowOff>
    </xdr:to>
    <xdr:sp macro="" textlink="">
      <xdr:nvSpPr>
        <xdr:cNvPr id="28" name="Arrow: Left-Right 27">
          <a:extLst>
            <a:ext uri="{FF2B5EF4-FFF2-40B4-BE49-F238E27FC236}">
              <a16:creationId xmlns:a16="http://schemas.microsoft.com/office/drawing/2014/main" id="{521455D8-07C0-4D17-BE40-FF8201109041}"/>
            </a:ext>
          </a:extLst>
        </xdr:cNvPr>
        <xdr:cNvSpPr/>
      </xdr:nvSpPr>
      <xdr:spPr>
        <a:xfrm rot="5400000">
          <a:off x="4248900" y="2142375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561225</xdr:colOff>
      <xdr:row>15</xdr:row>
      <xdr:rowOff>19800</xdr:rowOff>
    </xdr:from>
    <xdr:to>
      <xdr:col>8</xdr:col>
      <xdr:colOff>74025</xdr:colOff>
      <xdr:row>17</xdr:row>
      <xdr:rowOff>178800</xdr:rowOff>
    </xdr:to>
    <xdr:sp macro="" textlink="">
      <xdr:nvSpPr>
        <xdr:cNvPr id="29" name="Arrow: Left-Right 28">
          <a:extLst>
            <a:ext uri="{FF2B5EF4-FFF2-40B4-BE49-F238E27FC236}">
              <a16:creationId xmlns:a16="http://schemas.microsoft.com/office/drawing/2014/main" id="{E0BBF1D3-0E92-4394-B4B3-95C4A8190144}"/>
            </a:ext>
          </a:extLst>
        </xdr:cNvPr>
        <xdr:cNvSpPr/>
      </xdr:nvSpPr>
      <xdr:spPr>
        <a:xfrm rot="5400000">
          <a:off x="4619625" y="3086100"/>
          <a:ext cx="540000" cy="12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3</xdr:col>
      <xdr:colOff>238125</xdr:colOff>
      <xdr:row>7</xdr:row>
      <xdr:rowOff>123825</xdr:rowOff>
    </xdr:from>
    <xdr:ext cx="1074397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0A143E8-A99F-44F6-B9FB-831815676700}"/>
            </a:ext>
          </a:extLst>
        </xdr:cNvPr>
        <xdr:cNvSpPr txBox="1"/>
      </xdr:nvSpPr>
      <xdr:spPr>
        <a:xfrm>
          <a:off x="2066925" y="1457325"/>
          <a:ext cx="10743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Transformation</a:t>
          </a:r>
        </a:p>
      </xdr:txBody>
    </xdr:sp>
    <xdr:clientData/>
  </xdr:oneCellAnchor>
  <xdr:oneCellAnchor>
    <xdr:from>
      <xdr:col>0</xdr:col>
      <xdr:colOff>466725</xdr:colOff>
      <xdr:row>13</xdr:row>
      <xdr:rowOff>57150</xdr:rowOff>
    </xdr:from>
    <xdr:ext cx="1181099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FEC18F8-1E6A-4705-B904-E970D82A720B}"/>
            </a:ext>
          </a:extLst>
        </xdr:cNvPr>
        <xdr:cNvSpPr txBox="1"/>
      </xdr:nvSpPr>
      <xdr:spPr>
        <a:xfrm>
          <a:off x="466725" y="2533650"/>
          <a:ext cx="1181099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Normalized RGB</a:t>
          </a:r>
          <a:endParaRPr lang="en-GB" sz="1100" b="1"/>
        </a:p>
      </xdr:txBody>
    </xdr:sp>
    <xdr:clientData/>
  </xdr:oneCellAnchor>
  <xdr:twoCellAnchor>
    <xdr:from>
      <xdr:col>1</xdr:col>
      <xdr:colOff>398587</xdr:colOff>
      <xdr:row>10</xdr:row>
      <xdr:rowOff>20513</xdr:rowOff>
    </xdr:from>
    <xdr:to>
      <xdr:col>1</xdr:col>
      <xdr:colOff>522412</xdr:colOff>
      <xdr:row>12</xdr:row>
      <xdr:rowOff>179513</xdr:rowOff>
    </xdr:to>
    <xdr:sp macro="" textlink="">
      <xdr:nvSpPr>
        <xdr:cNvPr id="32" name="Arrow: Right 31">
          <a:extLst>
            <a:ext uri="{FF2B5EF4-FFF2-40B4-BE49-F238E27FC236}">
              <a16:creationId xmlns:a16="http://schemas.microsoft.com/office/drawing/2014/main" id="{00BDB4C6-A569-46A2-AACC-356153471111}"/>
            </a:ext>
          </a:extLst>
        </xdr:cNvPr>
        <xdr:cNvSpPr/>
      </xdr:nvSpPr>
      <xdr:spPr>
        <a:xfrm rot="5400000">
          <a:off x="800100" y="2133600"/>
          <a:ext cx="540000" cy="12382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11</xdr:col>
      <xdr:colOff>209550</xdr:colOff>
      <xdr:row>8</xdr:row>
      <xdr:rowOff>76200</xdr:rowOff>
    </xdr:from>
    <xdr:ext cx="1181099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C94CB86-597F-41D5-873D-6DDE3205EE84}"/>
            </a:ext>
          </a:extLst>
        </xdr:cNvPr>
        <xdr:cNvSpPr txBox="1"/>
      </xdr:nvSpPr>
      <xdr:spPr>
        <a:xfrm>
          <a:off x="6915150" y="1600200"/>
          <a:ext cx="1181099" cy="26456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GB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Normalized RGB</a:t>
          </a:r>
          <a:endParaRPr lang="en-GB" sz="1100" b="1"/>
        </a:p>
      </xdr:txBody>
    </xdr:sp>
    <xdr:clientData/>
  </xdr:oneCellAnchor>
  <xdr:twoCellAnchor>
    <xdr:from>
      <xdr:col>10</xdr:col>
      <xdr:colOff>200025</xdr:colOff>
      <xdr:row>8</xdr:row>
      <xdr:rowOff>142875</xdr:rowOff>
    </xdr:from>
    <xdr:to>
      <xdr:col>11</xdr:col>
      <xdr:colOff>130425</xdr:colOff>
      <xdr:row>9</xdr:row>
      <xdr:rowOff>76200</xdr:rowOff>
    </xdr:to>
    <xdr:sp macro="" textlink="">
      <xdr:nvSpPr>
        <xdr:cNvPr id="34" name="Arrow: Right 33">
          <a:extLst>
            <a:ext uri="{FF2B5EF4-FFF2-40B4-BE49-F238E27FC236}">
              <a16:creationId xmlns:a16="http://schemas.microsoft.com/office/drawing/2014/main" id="{CE3A2C49-7A8D-48B1-9203-2F9F77CBD731}"/>
            </a:ext>
          </a:extLst>
        </xdr:cNvPr>
        <xdr:cNvSpPr/>
      </xdr:nvSpPr>
      <xdr:spPr>
        <a:xfrm>
          <a:off x="6296025" y="1666875"/>
          <a:ext cx="54000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504288</xdr:colOff>
      <xdr:row>0</xdr:row>
      <xdr:rowOff>95250</xdr:rowOff>
    </xdr:from>
    <xdr:to>
      <xdr:col>42</xdr:col>
      <xdr:colOff>293106</xdr:colOff>
      <xdr:row>31</xdr:row>
      <xdr:rowOff>65745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5082CA-751A-4170-8500-1EB5A5B40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9488" y="95250"/>
          <a:ext cx="14419218" cy="61807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304800</xdr:colOff>
      <xdr:row>0</xdr:row>
      <xdr:rowOff>161925</xdr:rowOff>
    </xdr:from>
    <xdr:to>
      <xdr:col>29</xdr:col>
      <xdr:colOff>529968</xdr:colOff>
      <xdr:row>56</xdr:row>
      <xdr:rowOff>59560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331C25-1D7F-4B9A-939F-A87E0649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0" y="161925"/>
          <a:ext cx="10588368" cy="112990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410882/AppData/Local/Temp/Temp1_colour_sensor_primary_calculator-master%20(1).zip/colour_sensor_primary_calculator-master/ciexyz31_1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exyz31_1"/>
    </sheetNames>
    <sheetDataSet>
      <sheetData sheetId="0">
        <row r="3">
          <cell r="T3" t="str">
            <v>b</v>
          </cell>
        </row>
        <row r="4">
          <cell r="S4">
            <v>0.4957624437462449</v>
          </cell>
          <cell r="T4">
            <v>-0.79442556292551036</v>
          </cell>
        </row>
        <row r="5">
          <cell r="S5">
            <v>0.55662766019451415</v>
          </cell>
          <cell r="T5">
            <v>-0.89244931572439734</v>
          </cell>
        </row>
        <row r="6">
          <cell r="S6">
            <v>0.62515694340772865</v>
          </cell>
          <cell r="T6">
            <v>-1.0029106855606373</v>
          </cell>
        </row>
        <row r="7">
          <cell r="S7">
            <v>0.70226059938445495</v>
          </cell>
          <cell r="T7">
            <v>-1.1272689599553187</v>
          </cell>
        </row>
        <row r="8">
          <cell r="S8">
            <v>0.78884893013954349</v>
          </cell>
          <cell r="T8">
            <v>-1.266983424857504</v>
          </cell>
        </row>
        <row r="9">
          <cell r="S9">
            <v>0.88583223370437836</v>
          </cell>
          <cell r="T9">
            <v>-1.4235133646442799</v>
          </cell>
        </row>
        <row r="10">
          <cell r="S10">
            <v>0.99511409559427388</v>
          </cell>
          <cell r="T10">
            <v>-1.5999483442240447</v>
          </cell>
        </row>
        <row r="11">
          <cell r="S11">
            <v>1.1186069707861539</v>
          </cell>
          <cell r="T11">
            <v>-1.7994068551299425</v>
          </cell>
        </row>
        <row r="12">
          <cell r="S12">
            <v>1.2572335255988527</v>
          </cell>
          <cell r="T12">
            <v>-2.0233882735352706</v>
          </cell>
        </row>
        <row r="13">
          <cell r="S13">
            <v>1.4119164502526815</v>
          </cell>
          <cell r="T13">
            <v>-2.2733919850453699</v>
          </cell>
        </row>
        <row r="14">
          <cell r="S14">
            <v>1.5835783592798303</v>
          </cell>
          <cell r="T14">
            <v>-2.5509173453974743</v>
          </cell>
        </row>
        <row r="15">
          <cell r="S15">
            <v>1.7714595390923571</v>
          </cell>
          <cell r="T15">
            <v>-2.8547078257534384</v>
          </cell>
        </row>
        <row r="16">
          <cell r="S16">
            <v>1.9805573119830027</v>
          </cell>
          <cell r="T16">
            <v>-3.1929028330393128</v>
          </cell>
        </row>
        <row r="17">
          <cell r="S17">
            <v>2.2204309773582178</v>
          </cell>
          <cell r="T17">
            <v>-3.581099587551634</v>
          </cell>
        </row>
        <row r="18">
          <cell r="S18">
            <v>2.500639695622739</v>
          </cell>
          <cell r="T18">
            <v>-4.0348927510914674</v>
          </cell>
        </row>
        <row r="19">
          <cell r="S19">
            <v>2.8307419089156212</v>
          </cell>
          <cell r="T19">
            <v>-4.5698808589607509</v>
          </cell>
        </row>
        <row r="20">
          <cell r="S20">
            <v>3.2264319270109141</v>
          </cell>
          <cell r="T20">
            <v>-5.211636538964548</v>
          </cell>
        </row>
        <row r="21">
          <cell r="S21">
            <v>3.6837996241157747</v>
          </cell>
          <cell r="T21">
            <v>-5.9537366431703376</v>
          </cell>
        </row>
        <row r="22">
          <cell r="S22">
            <v>4.1829974965033738</v>
          </cell>
          <cell r="T22">
            <v>-6.7637854958112866</v>
          </cell>
        </row>
        <row r="23">
          <cell r="S23">
            <v>4.7041796789647901</v>
          </cell>
          <cell r="T23">
            <v>-7.6093860932291317</v>
          </cell>
        </row>
        <row r="24">
          <cell r="S24">
            <v>5.2275019086276826</v>
          </cell>
          <cell r="T24">
            <v>-8.4581414217134832</v>
          </cell>
        </row>
        <row r="25">
          <cell r="S25">
            <v>5.7396817534518805</v>
          </cell>
          <cell r="T25">
            <v>-9.2885014275835953</v>
          </cell>
        </row>
        <row r="26">
          <cell r="S26">
            <v>6.2753360070437747</v>
          </cell>
          <cell r="T26">
            <v>-10.156830591009813</v>
          </cell>
        </row>
        <row r="27">
          <cell r="S27">
            <v>6.8864626747242443</v>
          </cell>
          <cell r="T27">
            <v>-11.147593179414821</v>
          </cell>
        </row>
        <row r="28">
          <cell r="S28">
            <v>7.6250474093392668</v>
          </cell>
          <cell r="T28">
            <v>-12.345254735551043</v>
          </cell>
        </row>
        <row r="29">
          <cell r="S29">
            <v>8.5430844364086802</v>
          </cell>
          <cell r="T29">
            <v>-13.834270116930163</v>
          </cell>
        </row>
        <row r="30">
          <cell r="S30">
            <v>9.6877235169155611</v>
          </cell>
          <cell r="T30">
            <v>-15.60939655890316</v>
          </cell>
        </row>
        <row r="31">
          <cell r="S31">
            <v>11.05379870363736</v>
          </cell>
          <cell r="T31">
            <v>-17.553673505969599</v>
          </cell>
        </row>
        <row r="32">
          <cell r="S32">
            <v>12.614835796606897</v>
          </cell>
          <cell r="T32">
            <v>-19.588795422975064</v>
          </cell>
        </row>
        <row r="33">
          <cell r="S33">
            <v>14.344353593224724</v>
          </cell>
          <cell r="T33">
            <v>-21.656752829711127</v>
          </cell>
        </row>
        <row r="34">
          <cell r="S34">
            <v>16.215882878632083</v>
          </cell>
          <cell r="T34">
            <v>-23.715749647233693</v>
          </cell>
        </row>
        <row r="35">
          <cell r="S35">
            <v>18.19945428576715</v>
          </cell>
          <cell r="T35">
            <v>-25.732741972060939</v>
          </cell>
        </row>
        <row r="36">
          <cell r="S36">
            <v>20.366796068819554</v>
          </cell>
          <cell r="T36">
            <v>-27.776091898334816</v>
          </cell>
        </row>
        <row r="37">
          <cell r="S37">
            <v>22.843961247229551</v>
          </cell>
          <cell r="T37">
            <v>-29.940886977606411</v>
          </cell>
        </row>
        <row r="38">
          <cell r="S38">
            <v>25.757006584057425</v>
          </cell>
          <cell r="T38">
            <v>-32.294002038277156</v>
          </cell>
        </row>
        <row r="39">
          <cell r="S39">
            <v>29.231992947794687</v>
          </cell>
          <cell r="T39">
            <v>-34.878208674488711</v>
          </cell>
        </row>
        <row r="40">
          <cell r="S40">
            <v>33.44532381982637</v>
          </cell>
          <cell r="T40">
            <v>-37.749345827753125</v>
          </cell>
        </row>
        <row r="41">
          <cell r="S41">
            <v>38.192867107072551</v>
          </cell>
          <cell r="T41">
            <v>-40.792948726369232</v>
          </cell>
        </row>
        <row r="42">
          <cell r="S42">
            <v>42.938456917078661</v>
          </cell>
          <cell r="T42">
            <v>-43.830148217877827</v>
          </cell>
        </row>
        <row r="43">
          <cell r="S43">
            <v>47.476383947827102</v>
          </cell>
          <cell r="T43">
            <v>-46.735256473257095</v>
          </cell>
        </row>
        <row r="44">
          <cell r="S44">
            <v>51.666843687298069</v>
          </cell>
          <cell r="T44">
            <v>-49.419137801953674</v>
          </cell>
        </row>
        <row r="45">
          <cell r="S45">
            <v>55.460505199530665</v>
          </cell>
          <cell r="T45">
            <v>-51.850839944530748</v>
          </cell>
        </row>
        <row r="46">
          <cell r="S46">
            <v>59.155134687891092</v>
          </cell>
          <cell r="T46">
            <v>-54.221637710460136</v>
          </cell>
        </row>
        <row r="47">
          <cell r="S47">
            <v>63.093993841504201</v>
          </cell>
          <cell r="T47">
            <v>-56.751571472003135</v>
          </cell>
        </row>
        <row r="48">
          <cell r="S48">
            <v>67.54140672724111</v>
          </cell>
          <cell r="T48">
            <v>-59.609778502766162</v>
          </cell>
        </row>
        <row r="49">
          <cell r="S49">
            <v>72.685803380225863</v>
          </cell>
          <cell r="T49">
            <v>-62.916630654569495</v>
          </cell>
        </row>
        <row r="50">
          <cell r="S50">
            <v>78.560799644372835</v>
          </cell>
          <cell r="T50">
            <v>-66.694568345021878</v>
          </cell>
        </row>
        <row r="51">
          <cell r="S51">
            <v>84.95918928050655</v>
          </cell>
          <cell r="T51">
            <v>-70.811315049257544</v>
          </cell>
        </row>
        <row r="52">
          <cell r="S52">
            <v>91.689579281825871</v>
          </cell>
          <cell r="T52">
            <v>-75.143210711573659</v>
          </cell>
        </row>
        <row r="53">
          <cell r="S53">
            <v>98.606617159332046</v>
          </cell>
          <cell r="T53">
            <v>-79.59619557540374</v>
          </cell>
        </row>
        <row r="54">
          <cell r="S54">
            <v>105.60308965076943</v>
          </cell>
          <cell r="T54">
            <v>-84.100818976689482</v>
          </cell>
        </row>
        <row r="55">
          <cell r="S55">
            <v>112.6245224047782</v>
          </cell>
          <cell r="T55">
            <v>-88.624183117161607</v>
          </cell>
        </row>
        <row r="56">
          <cell r="S56">
            <v>119.74925333835091</v>
          </cell>
          <cell r="T56">
            <v>-93.219668375681167</v>
          </cell>
        </row>
        <row r="57">
          <cell r="S57">
            <v>127.06628132864972</v>
          </cell>
          <cell r="T57">
            <v>-97.945099245937612</v>
          </cell>
        </row>
        <row r="58">
          <cell r="S58">
            <v>134.63558662161151</v>
          </cell>
          <cell r="T58">
            <v>-102.8395739855537</v>
          </cell>
        </row>
        <row r="59">
          <cell r="S59">
            <v>142.49426074498245</v>
          </cell>
          <cell r="T59">
            <v>-107.92744121793687</v>
          </cell>
        </row>
        <row r="60">
          <cell r="S60">
            <v>150.54225210436496</v>
          </cell>
          <cell r="T60">
            <v>-113.14434337918102</v>
          </cell>
        </row>
        <row r="61">
          <cell r="S61">
            <v>158.68089928638528</v>
          </cell>
          <cell r="T61">
            <v>-118.4343951344555</v>
          </cell>
        </row>
        <row r="62">
          <cell r="S62">
            <v>166.92303344974385</v>
          </cell>
          <cell r="T62">
            <v>-123.81650848602914</v>
          </cell>
        </row>
        <row r="63">
          <cell r="S63">
            <v>175.26801826246964</v>
          </cell>
          <cell r="T63">
            <v>-129.29970004466441</v>
          </cell>
        </row>
        <row r="64">
          <cell r="S64">
            <v>183.70502822124857</v>
          </cell>
          <cell r="T64">
            <v>-134.88530028890472</v>
          </cell>
        </row>
        <row r="65">
          <cell r="S65">
            <v>192.22039068097484</v>
          </cell>
          <cell r="T65">
            <v>-140.56851893920199</v>
          </cell>
        </row>
        <row r="66">
          <cell r="S66">
            <v>200.57461228776617</v>
          </cell>
          <cell r="T66">
            <v>-146.19499496990312</v>
          </cell>
        </row>
        <row r="67">
          <cell r="S67">
            <v>208.47454612176236</v>
          </cell>
          <cell r="T67">
            <v>-151.5784172957745</v>
          </cell>
        </row>
        <row r="68">
          <cell r="S68">
            <v>215.69331869389896</v>
          </cell>
          <cell r="T68">
            <v>-156.57591047025582</v>
          </cell>
        </row>
        <row r="69">
          <cell r="S69">
            <v>222.05043123110653</v>
          </cell>
          <cell r="T69">
            <v>-161.07507194396464</v>
          </cell>
        </row>
        <row r="70">
          <cell r="S70">
            <v>227.50177499130822</v>
          </cell>
          <cell r="T70">
            <v>-165.0504594468139</v>
          </cell>
        </row>
        <row r="71">
          <cell r="S71">
            <v>232.12937062083617</v>
          </cell>
          <cell r="T71">
            <v>-168.55801992226262</v>
          </cell>
        </row>
        <row r="72">
          <cell r="S72">
            <v>235.95893973435722</v>
          </cell>
          <cell r="T72">
            <v>-171.61846750333558</v>
          </cell>
        </row>
        <row r="73">
          <cell r="S73">
            <v>239.00721466244639</v>
          </cell>
          <cell r="T73">
            <v>-174.24679211035755</v>
          </cell>
        </row>
        <row r="74">
          <cell r="S74">
            <v>241.28398030326841</v>
          </cell>
          <cell r="T74">
            <v>-176.45348356044761</v>
          </cell>
        </row>
        <row r="75">
          <cell r="S75">
            <v>242.78376092016006</v>
          </cell>
          <cell r="T75">
            <v>-178.23826200207017</v>
          </cell>
        </row>
        <row r="76">
          <cell r="S76">
            <v>243.52835797214829</v>
          </cell>
          <cell r="T76">
            <v>-179.6139684199978</v>
          </cell>
        </row>
        <row r="77">
          <cell r="S77">
            <v>243.5581962998121</v>
          </cell>
          <cell r="T77">
            <v>-180.60445361288848</v>
          </cell>
        </row>
        <row r="78">
          <cell r="S78">
            <v>242.90720558794405</v>
          </cell>
          <cell r="T78">
            <v>-181.22969530720434</v>
          </cell>
        </row>
        <row r="79">
          <cell r="S79">
            <v>241.6040968259224</v>
          </cell>
          <cell r="T79">
            <v>-181.50655969848839</v>
          </cell>
        </row>
        <row r="80">
          <cell r="S80">
            <v>239.68116756470548</v>
          </cell>
          <cell r="T80">
            <v>-181.45165018732322</v>
          </cell>
        </row>
        <row r="81">
          <cell r="S81">
            <v>237.39459133569207</v>
          </cell>
          <cell r="T81">
            <v>-181.17373231046693</v>
          </cell>
        </row>
        <row r="82">
          <cell r="S82">
            <v>234.84765389236455</v>
          </cell>
          <cell r="T82">
            <v>-180.72213901160538</v>
          </cell>
        </row>
        <row r="83">
          <cell r="S83">
            <v>232.08369586045075</v>
          </cell>
          <cell r="T83">
            <v>-180.12157174440259</v>
          </cell>
        </row>
        <row r="84">
          <cell r="S84">
            <v>229.13827234883354</v>
          </cell>
          <cell r="T84">
            <v>-179.39301043321422</v>
          </cell>
        </row>
        <row r="85">
          <cell r="S85">
            <v>226.02594043467036</v>
          </cell>
          <cell r="T85">
            <v>-178.5463903537181</v>
          </cell>
        </row>
        <row r="86">
          <cell r="S86">
            <v>222.73783505216815</v>
          </cell>
          <cell r="T86">
            <v>-177.58440238073342</v>
          </cell>
        </row>
        <row r="87">
          <cell r="S87">
            <v>219.27378926256415</v>
          </cell>
          <cell r="T87">
            <v>-176.5163551718278</v>
          </cell>
        </row>
        <row r="88">
          <cell r="S88">
            <v>215.63839531660471</v>
          </cell>
          <cell r="T88">
            <v>-175.35317387408926</v>
          </cell>
        </row>
        <row r="89">
          <cell r="S89">
            <v>211.84017200683891</v>
          </cell>
          <cell r="T89">
            <v>-174.1070697229693</v>
          </cell>
        </row>
        <row r="90">
          <cell r="S90">
            <v>207.88391124545993</v>
          </cell>
          <cell r="T90">
            <v>-172.7839119604225</v>
          </cell>
        </row>
        <row r="91">
          <cell r="S91">
            <v>203.78560271404316</v>
          </cell>
          <cell r="T91">
            <v>-171.39289957935938</v>
          </cell>
        </row>
        <row r="92">
          <cell r="S92">
            <v>199.57291463078832</v>
          </cell>
          <cell r="T92">
            <v>-169.95199816242038</v>
          </cell>
        </row>
        <row r="93">
          <cell r="S93">
            <v>195.27344106333911</v>
          </cell>
          <cell r="T93">
            <v>-168.47902131538029</v>
          </cell>
        </row>
        <row r="94">
          <cell r="S94">
            <v>190.91493011143558</v>
          </cell>
          <cell r="T94">
            <v>-166.9916976978183</v>
          </cell>
        </row>
        <row r="95">
          <cell r="S95">
            <v>186.5210730375882</v>
          </cell>
          <cell r="T95">
            <v>-165.50433634989872</v>
          </cell>
        </row>
        <row r="96">
          <cell r="S96">
            <v>182.07074758036026</v>
          </cell>
          <cell r="T96">
            <v>-164.00330371308826</v>
          </cell>
        </row>
        <row r="97">
          <cell r="S97">
            <v>177.52441899430062</v>
          </cell>
          <cell r="T97">
            <v>-162.46451596153571</v>
          </cell>
        </row>
        <row r="98">
          <cell r="S98">
            <v>172.84216076605233</v>
          </cell>
          <cell r="T98">
            <v>-160.86399565670496</v>
          </cell>
        </row>
        <row r="99">
          <cell r="S99">
            <v>167.98346388130975</v>
          </cell>
          <cell r="T99">
            <v>-159.17777665230929</v>
          </cell>
        </row>
        <row r="100">
          <cell r="S100">
            <v>162.9190216799918</v>
          </cell>
          <cell r="T100">
            <v>-157.38992469564045</v>
          </cell>
        </row>
        <row r="101">
          <cell r="S101">
            <v>157.65654833451083</v>
          </cell>
          <cell r="T101">
            <v>-155.50194150772302</v>
          </cell>
        </row>
        <row r="102">
          <cell r="S102">
            <v>152.20821290481757</v>
          </cell>
          <cell r="T102">
            <v>-153.5150044410251</v>
          </cell>
        </row>
        <row r="103">
          <cell r="S103">
            <v>146.58369357536262</v>
          </cell>
          <cell r="T103">
            <v>-151.42921759811435</v>
          </cell>
        </row>
        <row r="104">
          <cell r="S104">
            <v>140.79039112091417</v>
          </cell>
          <cell r="T104">
            <v>-149.24364364969131</v>
          </cell>
        </row>
        <row r="105">
          <cell r="S105">
            <v>134.8442530865465</v>
          </cell>
          <cell r="T105">
            <v>-146.96640450511532</v>
          </cell>
        </row>
        <row r="106">
          <cell r="S106">
            <v>128.70126003820388</v>
          </cell>
          <cell r="T106">
            <v>-144.57379860198515</v>
          </cell>
        </row>
        <row r="107">
          <cell r="S107">
            <v>122.27594866365868</v>
          </cell>
          <cell r="T107">
            <v>-142.01582576860741</v>
          </cell>
        </row>
        <row r="108">
          <cell r="S108">
            <v>115.47899749395276</v>
          </cell>
          <cell r="T108">
            <v>-139.24104811859851</v>
          </cell>
        </row>
        <row r="109">
          <cell r="S109">
            <v>108.21551328508711</v>
          </cell>
          <cell r="T109">
            <v>-136.19560727128425</v>
          </cell>
        </row>
        <row r="110">
          <cell r="S110">
            <v>100.40562988509045</v>
          </cell>
          <cell r="T110">
            <v>-132.83543913148353</v>
          </cell>
        </row>
        <row r="111">
          <cell r="S111">
            <v>92.093288878560159</v>
          </cell>
          <cell r="T111">
            <v>-129.19290658854868</v>
          </cell>
        </row>
        <row r="112">
          <cell r="S112">
            <v>83.370083869797995</v>
          </cell>
          <cell r="T112">
            <v>-125.32897393780324</v>
          </cell>
        </row>
        <row r="113">
          <cell r="S113">
            <v>74.33965208517013</v>
          </cell>
          <cell r="T113">
            <v>-121.30952891191443</v>
          </cell>
        </row>
        <row r="114">
          <cell r="S114">
            <v>65.121747705482292</v>
          </cell>
          <cell r="T114">
            <v>-117.20694388451676</v>
          </cell>
        </row>
        <row r="115">
          <cell r="S115">
            <v>55.788832137971703</v>
          </cell>
          <cell r="T115">
            <v>-113.06310333766616</v>
          </cell>
        </row>
        <row r="116">
          <cell r="S116">
            <v>46.31697371775445</v>
          </cell>
          <cell r="T116">
            <v>-108.86429557392414</v>
          </cell>
        </row>
        <row r="117">
          <cell r="S117">
            <v>36.694119825422675</v>
          </cell>
          <cell r="T117">
            <v>-104.60457838189244</v>
          </cell>
        </row>
        <row r="118">
          <cell r="S118">
            <v>26.905830247272416</v>
          </cell>
          <cell r="T118">
            <v>-100.27718042803468</v>
          </cell>
        </row>
        <row r="119">
          <cell r="S119">
            <v>16.934171509068701</v>
          </cell>
          <cell r="T119">
            <v>-95.874241066791981</v>
          </cell>
        </row>
        <row r="120">
          <cell r="S120">
            <v>6.7817887360893669</v>
          </cell>
          <cell r="T120">
            <v>-91.39938851349045</v>
          </cell>
        </row>
        <row r="121">
          <cell r="S121">
            <v>-3.5207902261567003</v>
          </cell>
          <cell r="T121">
            <v>-86.872813101119235</v>
          </cell>
        </row>
        <row r="122">
          <cell r="S122">
            <v>-13.956153788702686</v>
          </cell>
          <cell r="T122">
            <v>-82.310093184316543</v>
          </cell>
        </row>
        <row r="123">
          <cell r="S123">
            <v>-24.511503616783308</v>
          </cell>
          <cell r="T123">
            <v>-77.726255986321945</v>
          </cell>
        </row>
        <row r="124">
          <cell r="S124">
            <v>-35.179048914240063</v>
          </cell>
          <cell r="T124">
            <v>-73.1360177939208</v>
          </cell>
        </row>
        <row r="125">
          <cell r="S125">
            <v>-45.969961868809776</v>
          </cell>
          <cell r="T125">
            <v>-68.547571536904115</v>
          </cell>
        </row>
        <row r="126">
          <cell r="S126">
            <v>-56.907355077717796</v>
          </cell>
          <cell r="T126">
            <v>-63.957987355127678</v>
          </cell>
        </row>
        <row r="127">
          <cell r="S127">
            <v>-67.99455156356737</v>
          </cell>
          <cell r="T127">
            <v>-59.368131978135949</v>
          </cell>
        </row>
        <row r="128">
          <cell r="S128">
            <v>-79.218523940187495</v>
          </cell>
          <cell r="T128">
            <v>-54.782815154837785</v>
          </cell>
        </row>
        <row r="129">
          <cell r="S129">
            <v>-90.5451440632431</v>
          </cell>
          <cell r="T129">
            <v>-50.21110373158966</v>
          </cell>
        </row>
        <row r="130">
          <cell r="S130">
            <v>-101.91713440934666</v>
          </cell>
          <cell r="T130">
            <v>-45.667989079646091</v>
          </cell>
        </row>
        <row r="131">
          <cell r="S131">
            <v>-113.34398203693061</v>
          </cell>
          <cell r="T131">
            <v>-41.157142174385797</v>
          </cell>
        </row>
        <row r="132">
          <cell r="S132">
            <v>-124.88378101740632</v>
          </cell>
          <cell r="T132">
            <v>-36.673718763021924</v>
          </cell>
        </row>
        <row r="133">
          <cell r="S133">
            <v>-136.61463911183355</v>
          </cell>
          <cell r="T133">
            <v>-32.21243793028583</v>
          </cell>
        </row>
        <row r="134">
          <cell r="S134">
            <v>-148.64346340248693</v>
          </cell>
          <cell r="T134">
            <v>-27.767599631350048</v>
          </cell>
        </row>
        <row r="135">
          <cell r="S135">
            <v>-161.05730087861446</v>
          </cell>
          <cell r="T135">
            <v>-23.338797787082321</v>
          </cell>
        </row>
        <row r="136">
          <cell r="S136">
            <v>-173.87767694240384</v>
          </cell>
          <cell r="T136">
            <v>-18.934418387051299</v>
          </cell>
        </row>
        <row r="137">
          <cell r="S137">
            <v>-187.15920722850424</v>
          </cell>
          <cell r="T137">
            <v>-14.560861122362434</v>
          </cell>
        </row>
        <row r="138">
          <cell r="S138">
            <v>-200.98837053144129</v>
          </cell>
          <cell r="T138">
            <v>-10.223715440622749</v>
          </cell>
        </row>
        <row r="139">
          <cell r="S139">
            <v>-215.50599881006377</v>
          </cell>
          <cell r="T139">
            <v>-5.9277492209844018</v>
          </cell>
        </row>
        <row r="140">
          <cell r="S140">
            <v>-230.0214705024807</v>
          </cell>
          <cell r="T140">
            <v>-1.6787512805922056</v>
          </cell>
        </row>
        <row r="141">
          <cell r="S141">
            <v>-243.47545994031233</v>
          </cell>
          <cell r="T141">
            <v>2.5298600571472818</v>
          </cell>
        </row>
        <row r="142">
          <cell r="S142">
            <v>-255.93289938735037</v>
          </cell>
          <cell r="T142">
            <v>6.7111239745275775</v>
          </cell>
        </row>
        <row r="143">
          <cell r="S143">
            <v>-267.45912726248753</v>
          </cell>
          <cell r="T143">
            <v>10.876226511628273</v>
          </cell>
        </row>
        <row r="144">
          <cell r="S144">
            <v>-278.11501242202149</v>
          </cell>
          <cell r="T144">
            <v>15.034732735236101</v>
          </cell>
        </row>
        <row r="145">
          <cell r="S145">
            <v>-287.91889039237719</v>
          </cell>
          <cell r="T145">
            <v>19.184708559574148</v>
          </cell>
        </row>
        <row r="146">
          <cell r="S146">
            <v>-296.73885803600592</v>
          </cell>
          <cell r="T146">
            <v>23.317813248125006</v>
          </cell>
        </row>
        <row r="147">
          <cell r="S147">
            <v>-304.41293440615209</v>
          </cell>
          <cell r="T147">
            <v>27.438294946256892</v>
          </cell>
        </row>
        <row r="148">
          <cell r="S148">
            <v>-310.78623770586489</v>
          </cell>
          <cell r="T148">
            <v>31.557419307922775</v>
          </cell>
        </row>
        <row r="149">
          <cell r="S149">
            <v>-315.71061756750186</v>
          </cell>
          <cell r="T149">
            <v>35.693905470434139</v>
          </cell>
        </row>
        <row r="150">
          <cell r="S150">
            <v>-319.10717514689281</v>
          </cell>
          <cell r="T150">
            <v>39.864051474557982</v>
          </cell>
        </row>
        <row r="151">
          <cell r="S151">
            <v>-320.89631714673732</v>
          </cell>
          <cell r="T151">
            <v>44.067481884093887</v>
          </cell>
        </row>
        <row r="152">
          <cell r="S152">
            <v>-320.931791158576</v>
          </cell>
          <cell r="T152">
            <v>48.301876938040131</v>
          </cell>
        </row>
        <row r="153">
          <cell r="S153">
            <v>-319.06546165332975</v>
          </cell>
          <cell r="T153">
            <v>52.562556768506475</v>
          </cell>
        </row>
        <row r="154">
          <cell r="S154">
            <v>-315.14752146096947</v>
          </cell>
          <cell r="T154">
            <v>56.842214574913029</v>
          </cell>
        </row>
        <row r="155">
          <cell r="S155">
            <v>-309.08984397478179</v>
          </cell>
          <cell r="T155">
            <v>61.141809565591032</v>
          </cell>
        </row>
        <row r="156">
          <cell r="S156">
            <v>-301.1471954341589</v>
          </cell>
          <cell r="T156">
            <v>65.448879357950872</v>
          </cell>
        </row>
        <row r="157">
          <cell r="S157">
            <v>-293.7130725666571</v>
          </cell>
          <cell r="T157">
            <v>69.73255443809785</v>
          </cell>
        </row>
        <row r="158">
          <cell r="S158">
            <v>-286.98077557936762</v>
          </cell>
          <cell r="T158">
            <v>73.959761784317706</v>
          </cell>
        </row>
        <row r="159">
          <cell r="S159">
            <v>-280.69547453759031</v>
          </cell>
          <cell r="T159">
            <v>78.094434878990029</v>
          </cell>
        </row>
        <row r="160">
          <cell r="S160">
            <v>-274.71902329105245</v>
          </cell>
          <cell r="T160">
            <v>82.117344972804489</v>
          </cell>
        </row>
        <row r="161">
          <cell r="S161">
            <v>-268.99801685545549</v>
          </cell>
          <cell r="T161">
            <v>86.01912014806571</v>
          </cell>
        </row>
        <row r="162">
          <cell r="S162">
            <v>-263.47788856074061</v>
          </cell>
          <cell r="T162">
            <v>89.77597565087089</v>
          </cell>
        </row>
        <row r="163">
          <cell r="S163">
            <v>-258.10392246728753</v>
          </cell>
          <cell r="T163">
            <v>93.36426952285926</v>
          </cell>
        </row>
        <row r="164">
          <cell r="S164">
            <v>-252.82356284718117</v>
          </cell>
          <cell r="T164">
            <v>96.760350920666809</v>
          </cell>
        </row>
        <row r="165">
          <cell r="S165">
            <v>-247.59017243516288</v>
          </cell>
          <cell r="T165">
            <v>99.93805197883708</v>
          </cell>
        </row>
        <row r="166">
          <cell r="S166">
            <v>-242.3967274795649</v>
          </cell>
          <cell r="T166">
            <v>102.90801064811164</v>
          </cell>
        </row>
        <row r="167">
          <cell r="S167">
            <v>-237.25441083135561</v>
          </cell>
          <cell r="T167">
            <v>105.70370264544586</v>
          </cell>
        </row>
        <row r="168">
          <cell r="S168">
            <v>-232.17643204003153</v>
          </cell>
          <cell r="T168">
            <v>108.36164995685131</v>
          </cell>
        </row>
        <row r="169">
          <cell r="S169">
            <v>-227.17734749822375</v>
          </cell>
          <cell r="T169">
            <v>110.92172135779157</v>
          </cell>
        </row>
        <row r="170">
          <cell r="S170">
            <v>-222.25035482800789</v>
          </cell>
          <cell r="T170">
            <v>113.40428439286225</v>
          </cell>
        </row>
        <row r="171">
          <cell r="S171">
            <v>-217.39545887327637</v>
          </cell>
          <cell r="T171">
            <v>115.80390680934576</v>
          </cell>
        </row>
        <row r="172">
          <cell r="S172">
            <v>-212.63237661899541</v>
          </cell>
          <cell r="T172">
            <v>118.12530783859958</v>
          </cell>
        </row>
        <row r="173">
          <cell r="S173">
            <v>-207.97462628882141</v>
          </cell>
          <cell r="T173">
            <v>120.37437139656322</v>
          </cell>
        </row>
        <row r="174">
          <cell r="S174">
            <v>-203.43125724572246</v>
          </cell>
          <cell r="T174">
            <v>122.55826433348335</v>
          </cell>
        </row>
        <row r="175">
          <cell r="S175">
            <v>-198.99968812101122</v>
          </cell>
          <cell r="T175">
            <v>124.69042715897005</v>
          </cell>
        </row>
        <row r="176">
          <cell r="S176">
            <v>-194.65539462196148</v>
          </cell>
          <cell r="T176">
            <v>126.77762099272481</v>
          </cell>
        </row>
        <row r="177">
          <cell r="S177">
            <v>-190.37596520651584</v>
          </cell>
          <cell r="T177">
            <v>128.81707479941392</v>
          </cell>
        </row>
        <row r="178">
          <cell r="S178">
            <v>-186.14353659661049</v>
          </cell>
          <cell r="T178">
            <v>130.80463467145194</v>
          </cell>
        </row>
        <row r="179">
          <cell r="S179">
            <v>-181.94369528611111</v>
          </cell>
          <cell r="T179">
            <v>132.73461043598078</v>
          </cell>
        </row>
        <row r="180">
          <cell r="S180">
            <v>-177.77119175761942</v>
          </cell>
          <cell r="T180">
            <v>134.60661976324738</v>
          </cell>
        </row>
        <row r="181">
          <cell r="S181">
            <v>-173.62213338808013</v>
          </cell>
          <cell r="T181">
            <v>136.42399952658255</v>
          </cell>
        </row>
        <row r="182">
          <cell r="S182">
            <v>-169.486862644882</v>
          </cell>
          <cell r="T182">
            <v>138.18506259049471</v>
          </cell>
        </row>
        <row r="183">
          <cell r="S183">
            <v>-165.35691448365748</v>
          </cell>
          <cell r="T183">
            <v>139.88774953786199</v>
          </cell>
        </row>
        <row r="184">
          <cell r="S184">
            <v>-161.22476634009502</v>
          </cell>
          <cell r="T184">
            <v>141.52959232556813</v>
          </cell>
        </row>
        <row r="185">
          <cell r="S185">
            <v>-157.08558318941456</v>
          </cell>
          <cell r="T185">
            <v>143.10876515758025</v>
          </cell>
        </row>
        <row r="186">
          <cell r="S186">
            <v>-152.93852972185846</v>
          </cell>
          <cell r="T186">
            <v>144.62463877829435</v>
          </cell>
        </row>
        <row r="187">
          <cell r="S187">
            <v>-148.7828859263517</v>
          </cell>
          <cell r="T187">
            <v>146.07612677968746</v>
          </cell>
        </row>
        <row r="188">
          <cell r="S188">
            <v>-144.61805965809327</v>
          </cell>
          <cell r="T188">
            <v>147.4619941397132</v>
          </cell>
        </row>
        <row r="189">
          <cell r="S189">
            <v>-140.44356956600868</v>
          </cell>
          <cell r="T189">
            <v>148.78087038851834</v>
          </cell>
        </row>
        <row r="190">
          <cell r="S190">
            <v>-136.2578063498328</v>
          </cell>
          <cell r="T190">
            <v>150.03017404720597</v>
          </cell>
        </row>
        <row r="191">
          <cell r="S191">
            <v>-132.05890173676289</v>
          </cell>
          <cell r="T191">
            <v>151.2100929070406</v>
          </cell>
        </row>
        <row r="192">
          <cell r="S192">
            <v>-127.8463127988847</v>
          </cell>
          <cell r="T192">
            <v>152.32354148596434</v>
          </cell>
        </row>
        <row r="193">
          <cell r="S193">
            <v>-123.6200384083792</v>
          </cell>
          <cell r="T193">
            <v>153.37381467226919</v>
          </cell>
        </row>
        <row r="194">
          <cell r="S194">
            <v>-119.38061058551774</v>
          </cell>
          <cell r="T194">
            <v>154.36463557065034</v>
          </cell>
        </row>
        <row r="195">
          <cell r="S195">
            <v>-115.12265806352423</v>
          </cell>
          <cell r="T195">
            <v>155.29567079562389</v>
          </cell>
        </row>
        <row r="196">
          <cell r="S196">
            <v>-110.848586909353</v>
          </cell>
          <cell r="T196">
            <v>156.16654965451681</v>
          </cell>
        </row>
        <row r="197">
          <cell r="S197">
            <v>-106.55866130503827</v>
          </cell>
          <cell r="T197">
            <v>156.97736589838675</v>
          </cell>
        </row>
        <row r="198">
          <cell r="S198">
            <v>-102.2525149052796</v>
          </cell>
          <cell r="T198">
            <v>157.72833350979914</v>
          </cell>
        </row>
        <row r="199">
          <cell r="S199">
            <v>-97.929088657611956</v>
          </cell>
          <cell r="T199">
            <v>158.41982214051765</v>
          </cell>
        </row>
        <row r="200">
          <cell r="S200">
            <v>-93.585725291254974</v>
          </cell>
          <cell r="T200">
            <v>159.05184487680975</v>
          </cell>
        </row>
        <row r="201">
          <cell r="S201">
            <v>-89.222490007421769</v>
          </cell>
          <cell r="T201">
            <v>159.61996911045065</v>
          </cell>
        </row>
        <row r="202">
          <cell r="S202">
            <v>-84.841103433510312</v>
          </cell>
          <cell r="T202">
            <v>160.11433195987212</v>
          </cell>
        </row>
        <row r="203">
          <cell r="S203">
            <v>-80.442386037496206</v>
          </cell>
          <cell r="T203">
            <v>160.53877338774066</v>
          </cell>
        </row>
        <row r="204">
          <cell r="S204">
            <v>-76.026143488764902</v>
          </cell>
          <cell r="T204">
            <v>160.89745283617231</v>
          </cell>
        </row>
        <row r="205">
          <cell r="S205">
            <v>-71.59003007788462</v>
          </cell>
          <cell r="T205">
            <v>161.19344635221773</v>
          </cell>
        </row>
        <row r="206">
          <cell r="S206">
            <v>-67.139923485618255</v>
          </cell>
          <cell r="T206">
            <v>161.4308418090387</v>
          </cell>
        </row>
        <row r="207">
          <cell r="S207">
            <v>-62.676668224887486</v>
          </cell>
          <cell r="T207">
            <v>161.61153022573183</v>
          </cell>
        </row>
        <row r="208">
          <cell r="S208">
            <v>-58.201173757094772</v>
          </cell>
          <cell r="T208">
            <v>161.73739077273288</v>
          </cell>
        </row>
        <row r="209">
          <cell r="S209">
            <v>-53.714414497324114</v>
          </cell>
          <cell r="T209">
            <v>161.81029517457205</v>
          </cell>
        </row>
        <row r="210">
          <cell r="S210">
            <v>-49.217936852733011</v>
          </cell>
          <cell r="T210">
            <v>161.8329842068741</v>
          </cell>
        </row>
        <row r="211">
          <cell r="S211">
            <v>-44.714145605553647</v>
          </cell>
          <cell r="T211">
            <v>161.8071964931292</v>
          </cell>
        </row>
        <row r="212">
          <cell r="S212">
            <v>-40.205076567907561</v>
          </cell>
          <cell r="T212">
            <v>161.73321569830884</v>
          </cell>
        </row>
        <row r="213">
          <cell r="S213">
            <v>-35.692476977441544</v>
          </cell>
          <cell r="T213">
            <v>161.61129840052786</v>
          </cell>
        </row>
        <row r="214">
          <cell r="S214">
            <v>-31.177824791107312</v>
          </cell>
          <cell r="T214">
            <v>161.44167046661676</v>
          </cell>
        </row>
        <row r="215">
          <cell r="S215">
            <v>-26.66279499369778</v>
          </cell>
          <cell r="T215">
            <v>161.22536548690687</v>
          </cell>
        </row>
        <row r="216">
          <cell r="S216">
            <v>-22.150254986471108</v>
          </cell>
          <cell r="T216">
            <v>160.96500308039691</v>
          </cell>
        </row>
        <row r="217">
          <cell r="S217">
            <v>-17.643167467228881</v>
          </cell>
          <cell r="T217">
            <v>160.66313663770316</v>
          </cell>
        </row>
        <row r="218">
          <cell r="S218">
            <v>-13.144443776891613</v>
          </cell>
          <cell r="T218">
            <v>160.32230872241149</v>
          </cell>
        </row>
        <row r="219">
          <cell r="S219">
            <v>-8.6569565225301801</v>
          </cell>
          <cell r="T219">
            <v>159.94505321235422</v>
          </cell>
        </row>
        <row r="220">
          <cell r="S220">
            <v>-4.1833056987174437</v>
          </cell>
          <cell r="T220">
            <v>159.53276804700843</v>
          </cell>
        </row>
        <row r="221">
          <cell r="S221">
            <v>0.27285020746820043</v>
          </cell>
          <cell r="T221">
            <v>159.08732891701987</v>
          </cell>
        </row>
        <row r="222">
          <cell r="S222">
            <v>4.7073084412400661</v>
          </cell>
          <cell r="T222">
            <v>158.6119444090896</v>
          </cell>
        </row>
        <row r="223">
          <cell r="S223">
            <v>9.1162531633021118</v>
          </cell>
          <cell r="T223">
            <v>158.10977296063402</v>
          </cell>
        </row>
        <row r="224">
          <cell r="S224">
            <v>13.496227686595141</v>
          </cell>
          <cell r="T224">
            <v>157.58391697832164</v>
          </cell>
        </row>
        <row r="225">
          <cell r="S225">
            <v>17.844597141787766</v>
          </cell>
          <cell r="T225">
            <v>157.03603629844051</v>
          </cell>
        </row>
        <row r="226">
          <cell r="S226">
            <v>22.15810409915553</v>
          </cell>
          <cell r="T226">
            <v>156.46580973995458</v>
          </cell>
        </row>
        <row r="227">
          <cell r="S227">
            <v>26.432521444250401</v>
          </cell>
          <cell r="T227">
            <v>155.8733388324174</v>
          </cell>
        </row>
        <row r="228">
          <cell r="S228">
            <v>30.663395536588588</v>
          </cell>
          <cell r="T228">
            <v>155.25876151206211</v>
          </cell>
        </row>
        <row r="229">
          <cell r="S229">
            <v>34.846029771952338</v>
          </cell>
          <cell r="T229">
            <v>154.62226003931855</v>
          </cell>
        </row>
        <row r="230">
          <cell r="S230">
            <v>38.974872824657005</v>
          </cell>
          <cell r="T230">
            <v>153.96586279467778</v>
          </cell>
        </row>
        <row r="231">
          <cell r="S231">
            <v>43.046454936055966</v>
          </cell>
          <cell r="T231">
            <v>153.28798233160566</v>
          </cell>
        </row>
        <row r="232">
          <cell r="S232">
            <v>47.058824697057744</v>
          </cell>
          <cell r="T232">
            <v>152.58345298255054</v>
          </cell>
        </row>
        <row r="233">
          <cell r="S233">
            <v>51.009695970716692</v>
          </cell>
          <cell r="T233">
            <v>151.8471635269936</v>
          </cell>
        </row>
        <row r="234">
          <cell r="S234">
            <v>54.896444479499486</v>
          </cell>
          <cell r="T234">
            <v>151.07406372024016</v>
          </cell>
        </row>
        <row r="235">
          <cell r="S235">
            <v>58.719056235713943</v>
          </cell>
          <cell r="T235">
            <v>150.2605347006064</v>
          </cell>
        </row>
        <row r="236">
          <cell r="S236">
            <v>62.467905480427852</v>
          </cell>
          <cell r="T236">
            <v>149.41096773784977</v>
          </cell>
        </row>
        <row r="237">
          <cell r="S237">
            <v>66.125917315826285</v>
          </cell>
          <cell r="T237">
            <v>148.53235831344384</v>
          </cell>
        </row>
        <row r="238">
          <cell r="S238">
            <v>69.676155912522802</v>
          </cell>
          <cell r="T238">
            <v>147.63167959169948</v>
          </cell>
        </row>
        <row r="239">
          <cell r="S239">
            <v>73.101722571466794</v>
          </cell>
          <cell r="T239">
            <v>146.71588071037195</v>
          </cell>
        </row>
        <row r="240">
          <cell r="S240">
            <v>76.389052603592518</v>
          </cell>
          <cell r="T240">
            <v>145.78874531224534</v>
          </cell>
        </row>
        <row r="241">
          <cell r="S241">
            <v>79.545199682211461</v>
          </cell>
          <cell r="T241">
            <v>144.84750975363528</v>
          </cell>
        </row>
        <row r="242">
          <cell r="S242">
            <v>82.583887615634239</v>
          </cell>
          <cell r="T242">
            <v>143.88928381151024</v>
          </cell>
        </row>
        <row r="243">
          <cell r="S243">
            <v>85.518368400228312</v>
          </cell>
          <cell r="T243">
            <v>142.91121769481924</v>
          </cell>
        </row>
        <row r="244">
          <cell r="S244">
            <v>88.361504822407895</v>
          </cell>
          <cell r="T244">
            <v>141.91050616124457</v>
          </cell>
        </row>
        <row r="245">
          <cell r="S245">
            <v>91.120407860258098</v>
          </cell>
          <cell r="T245">
            <v>140.88579222908712</v>
          </cell>
        </row>
        <row r="246">
          <cell r="S246">
            <v>93.783497347680381</v>
          </cell>
          <cell r="T246">
            <v>139.83882400873856</v>
          </cell>
        </row>
        <row r="247">
          <cell r="S247">
            <v>96.335107621375812</v>
          </cell>
          <cell r="T247">
            <v>138.77149231915769</v>
          </cell>
        </row>
        <row r="248">
          <cell r="S248">
            <v>98.759291722552049</v>
          </cell>
          <cell r="T248">
            <v>137.6856474116351</v>
          </cell>
        </row>
        <row r="249">
          <cell r="S249">
            <v>101.03971825729869</v>
          </cell>
          <cell r="T249">
            <v>136.58309564503534</v>
          </cell>
        </row>
        <row r="250">
          <cell r="S250">
            <v>103.16674998522268</v>
          </cell>
          <cell r="T250">
            <v>135.46515397667801</v>
          </cell>
        </row>
        <row r="251">
          <cell r="S251">
            <v>105.14794243381775</v>
          </cell>
          <cell r="T251">
            <v>134.32951923220168</v>
          </cell>
        </row>
        <row r="252">
          <cell r="S252">
            <v>106.99185470479134</v>
          </cell>
          <cell r="T252">
            <v>133.17267439751518</v>
          </cell>
        </row>
        <row r="253">
          <cell r="S253">
            <v>108.7067123025554</v>
          </cell>
          <cell r="T253">
            <v>131.99121263534502</v>
          </cell>
        </row>
        <row r="254">
          <cell r="S254">
            <v>110.3004689853752</v>
          </cell>
          <cell r="T254">
            <v>130.78184772827677</v>
          </cell>
        </row>
        <row r="255">
          <cell r="S255">
            <v>111.77522024561776</v>
          </cell>
          <cell r="T255">
            <v>129.54266363795631</v>
          </cell>
        </row>
        <row r="256">
          <cell r="S256">
            <v>113.12765154706034</v>
          </cell>
          <cell r="T256">
            <v>128.27509583402846</v>
          </cell>
        </row>
        <row r="257">
          <cell r="S257">
            <v>114.35719386597815</v>
          </cell>
          <cell r="T257">
            <v>126.98095919030391</v>
          </cell>
        </row>
        <row r="258">
          <cell r="S258">
            <v>115.46308409093182</v>
          </cell>
          <cell r="T258">
            <v>125.66198304478337</v>
          </cell>
        </row>
        <row r="259">
          <cell r="S259">
            <v>116.44434823581545</v>
          </cell>
          <cell r="T259">
            <v>124.31980336711111</v>
          </cell>
        </row>
        <row r="260">
          <cell r="S260">
            <v>117.30247505480118</v>
          </cell>
          <cell r="T260">
            <v>122.95583994891655</v>
          </cell>
        </row>
        <row r="261">
          <cell r="S261">
            <v>118.03866114953266</v>
          </cell>
          <cell r="T261">
            <v>121.56845703101666</v>
          </cell>
        </row>
        <row r="262">
          <cell r="S262">
            <v>118.65141190058721</v>
          </cell>
          <cell r="T262">
            <v>120.15435095022842</v>
          </cell>
        </row>
        <row r="263">
          <cell r="S263">
            <v>119.1392311293597</v>
          </cell>
          <cell r="T263">
            <v>118.70980792613639</v>
          </cell>
        </row>
        <row r="264">
          <cell r="S264">
            <v>119.500564397866</v>
          </cell>
          <cell r="T264">
            <v>117.23065422734582</v>
          </cell>
        </row>
        <row r="265">
          <cell r="S265">
            <v>119.73552267540788</v>
          </cell>
          <cell r="T265">
            <v>115.71442516130701</v>
          </cell>
        </row>
        <row r="266">
          <cell r="S266">
            <v>119.85047410457739</v>
          </cell>
          <cell r="T266">
            <v>114.1633641466242</v>
          </cell>
        </row>
        <row r="267">
          <cell r="S267">
            <v>119.85329443528886</v>
          </cell>
          <cell r="T267">
            <v>112.5802925594964</v>
          </cell>
        </row>
        <row r="268">
          <cell r="S268">
            <v>119.75175600294519</v>
          </cell>
          <cell r="T268">
            <v>110.96849197384854</v>
          </cell>
        </row>
        <row r="269">
          <cell r="S269">
            <v>119.55362885740317</v>
          </cell>
          <cell r="T269">
            <v>109.33176947513745</v>
          </cell>
        </row>
        <row r="270">
          <cell r="S270">
            <v>119.26107679956382</v>
          </cell>
          <cell r="T270">
            <v>107.67040388037867</v>
          </cell>
        </row>
        <row r="271">
          <cell r="S271">
            <v>118.87985112768962</v>
          </cell>
          <cell r="T271">
            <v>105.98733589216336</v>
          </cell>
        </row>
        <row r="272">
          <cell r="S272">
            <v>118.42372220774561</v>
          </cell>
          <cell r="T272">
            <v>104.29134992018551</v>
          </cell>
        </row>
        <row r="273">
          <cell r="S273">
            <v>117.90715332956731</v>
          </cell>
          <cell r="T273">
            <v>102.59210553994464</v>
          </cell>
        </row>
        <row r="274">
          <cell r="S274">
            <v>117.34543361856441</v>
          </cell>
          <cell r="T274">
            <v>100.9002322182248</v>
          </cell>
        </row>
        <row r="275">
          <cell r="S275">
            <v>116.7505833867743</v>
          </cell>
          <cell r="T275">
            <v>99.224588119830941</v>
          </cell>
        </row>
        <row r="276">
          <cell r="S276">
            <v>116.12006632470722</v>
          </cell>
          <cell r="T276">
            <v>97.563071708424872</v>
          </cell>
        </row>
        <row r="277">
          <cell r="S277">
            <v>115.44798809488432</v>
          </cell>
          <cell r="T277">
            <v>95.910114014142138</v>
          </cell>
        </row>
        <row r="278">
          <cell r="S278">
            <v>114.72829072819984</v>
          </cell>
          <cell r="T278">
            <v>94.259459398736297</v>
          </cell>
        </row>
        <row r="279">
          <cell r="S279">
            <v>113.9547210565332</v>
          </cell>
          <cell r="T279">
            <v>92.604100902984186</v>
          </cell>
        </row>
        <row r="280">
          <cell r="S280">
            <v>113.12690152288086</v>
          </cell>
          <cell r="T280">
            <v>90.941919336621197</v>
          </cell>
        </row>
        <row r="281">
          <cell r="S281">
            <v>112.24884624791559</v>
          </cell>
          <cell r="T281">
            <v>89.275436491729494</v>
          </cell>
        </row>
        <row r="282">
          <cell r="S282">
            <v>111.32076346175501</v>
          </cell>
          <cell r="T282">
            <v>87.60392851969354</v>
          </cell>
        </row>
        <row r="283">
          <cell r="S283">
            <v>110.34292851999733</v>
          </cell>
          <cell r="T283">
            <v>85.926571193173856</v>
          </cell>
        </row>
        <row r="284">
          <cell r="S284">
            <v>109.31569272084884</v>
          </cell>
          <cell r="T284">
            <v>84.242428170100283</v>
          </cell>
        </row>
        <row r="285">
          <cell r="S285">
            <v>108.23970882050676</v>
          </cell>
          <cell r="T285">
            <v>82.549959281484192</v>
          </cell>
        </row>
        <row r="286">
          <cell r="S286">
            <v>107.11646561759397</v>
          </cell>
          <cell r="T286">
            <v>80.849631099927336</v>
          </cell>
        </row>
        <row r="287">
          <cell r="S287">
            <v>105.94760869055104</v>
          </cell>
          <cell r="T287">
            <v>79.143693655116849</v>
          </cell>
        </row>
        <row r="288">
          <cell r="S288">
            <v>104.7350654038443</v>
          </cell>
          <cell r="T288">
            <v>77.434676675067777</v>
          </cell>
        </row>
        <row r="289">
          <cell r="S289">
            <v>103.4810984086924</v>
          </cell>
          <cell r="T289">
            <v>75.72542604474782</v>
          </cell>
        </row>
        <row r="290">
          <cell r="S290">
            <v>102.18606063439006</v>
          </cell>
          <cell r="T290">
            <v>74.017098567398293</v>
          </cell>
        </row>
        <row r="291">
          <cell r="S291">
            <v>100.85294340793719</v>
          </cell>
          <cell r="T291">
            <v>72.310184975871678</v>
          </cell>
        </row>
        <row r="292">
          <cell r="S292">
            <v>99.488428399152951</v>
          </cell>
          <cell r="T292">
            <v>70.607210749413753</v>
          </cell>
        </row>
        <row r="293">
          <cell r="S293">
            <v>98.100179214736215</v>
          </cell>
          <cell r="T293">
            <v>68.911042502928638</v>
          </cell>
        </row>
        <row r="294">
          <cell r="S294">
            <v>96.696987047570374</v>
          </cell>
          <cell r="T294">
            <v>67.224928892975697</v>
          </cell>
        </row>
        <row r="295">
          <cell r="S295">
            <v>95.286265631615294</v>
          </cell>
          <cell r="T295">
            <v>65.551409520074884</v>
          </cell>
        </row>
        <row r="296">
          <cell r="S296">
            <v>93.867658179021547</v>
          </cell>
          <cell r="T296">
            <v>63.892004339600426</v>
          </cell>
        </row>
        <row r="297">
          <cell r="S297">
            <v>92.439046399648504</v>
          </cell>
          <cell r="T297">
            <v>62.244621238595343</v>
          </cell>
        </row>
        <row r="298">
          <cell r="S298">
            <v>90.998060793538144</v>
          </cell>
          <cell r="T298">
            <v>60.60680676321374</v>
          </cell>
        </row>
        <row r="299">
          <cell r="S299">
            <v>89.542090819748978</v>
          </cell>
          <cell r="T299">
            <v>58.975681129821254</v>
          </cell>
        </row>
        <row r="300">
          <cell r="S300">
            <v>88.072095741575453</v>
          </cell>
          <cell r="T300">
            <v>57.350299233465051</v>
          </cell>
        </row>
        <row r="301">
          <cell r="S301">
            <v>86.590854696198875</v>
          </cell>
          <cell r="T301">
            <v>55.732037180390883</v>
          </cell>
        </row>
        <row r="302">
          <cell r="S302">
            <v>85.098511578580343</v>
          </cell>
          <cell r="T302">
            <v>54.121134652583791</v>
          </cell>
        </row>
        <row r="303">
          <cell r="S303">
            <v>83.595238672916153</v>
          </cell>
          <cell r="T303">
            <v>52.517833051183317</v>
          </cell>
        </row>
        <row r="304">
          <cell r="S304">
            <v>82.081241313735958</v>
          </cell>
          <cell r="T304">
            <v>50.922373954316399</v>
          </cell>
        </row>
        <row r="305">
          <cell r="S305">
            <v>80.557157766120625</v>
          </cell>
          <cell r="T305">
            <v>49.334983360216512</v>
          </cell>
        </row>
        <row r="306">
          <cell r="S306">
            <v>79.025302840014973</v>
          </cell>
          <cell r="T306">
            <v>47.756459689617358</v>
          </cell>
        </row>
        <row r="307">
          <cell r="S307">
            <v>77.489290158575258</v>
          </cell>
          <cell r="T307">
            <v>46.187989594594306</v>
          </cell>
        </row>
        <row r="308">
          <cell r="S308">
            <v>75.95331920422332</v>
          </cell>
          <cell r="T308">
            <v>44.630912725467489</v>
          </cell>
        </row>
        <row r="309">
          <cell r="S309">
            <v>74.422263130808489</v>
          </cell>
          <cell r="T309">
            <v>43.086741651414826</v>
          </cell>
        </row>
        <row r="310">
          <cell r="S310">
            <v>72.899221551417838</v>
          </cell>
          <cell r="T310">
            <v>41.555305011740288</v>
          </cell>
        </row>
        <row r="311">
          <cell r="S311">
            <v>71.38725560563708</v>
          </cell>
          <cell r="T311">
            <v>40.039356323369446</v>
          </cell>
        </row>
        <row r="312">
          <cell r="S312">
            <v>69.892960728565569</v>
          </cell>
          <cell r="T312">
            <v>38.545679261510017</v>
          </cell>
        </row>
        <row r="313">
          <cell r="S313">
            <v>68.424052433660478</v>
          </cell>
          <cell r="T313">
            <v>37.082180541434958</v>
          </cell>
        </row>
        <row r="314">
          <cell r="S314">
            <v>66.989373179524463</v>
          </cell>
          <cell r="T314">
            <v>35.658021364632241</v>
          </cell>
        </row>
        <row r="315">
          <cell r="S315">
            <v>65.596679794881453</v>
          </cell>
          <cell r="T315">
            <v>34.280336190309377</v>
          </cell>
        </row>
        <row r="316">
          <cell r="S316">
            <v>64.246583600582056</v>
          </cell>
          <cell r="T316">
            <v>32.948546865942397</v>
          </cell>
        </row>
        <row r="317">
          <cell r="S317">
            <v>62.937822487863279</v>
          </cell>
          <cell r="T317">
            <v>31.660677387851237</v>
          </cell>
        </row>
        <row r="318">
          <cell r="S318">
            <v>61.668491534308174</v>
          </cell>
          <cell r="T318">
            <v>30.413929212922131</v>
          </cell>
        </row>
        <row r="319">
          <cell r="S319">
            <v>60.43595798932791</v>
          </cell>
          <cell r="T319">
            <v>29.204576903487617</v>
          </cell>
        </row>
        <row r="320">
          <cell r="S320">
            <v>59.244062632759494</v>
          </cell>
          <cell r="T320">
            <v>28.034908385226259</v>
          </cell>
        </row>
        <row r="321">
          <cell r="S321">
            <v>58.090625490235418</v>
          </cell>
          <cell r="T321">
            <v>26.902971767409579</v>
          </cell>
        </row>
        <row r="322">
          <cell r="S322">
            <v>56.961702140142485</v>
          </cell>
          <cell r="T322">
            <v>25.796172715267968</v>
          </cell>
        </row>
        <row r="323">
          <cell r="S323">
            <v>55.840763399986862</v>
          </cell>
          <cell r="T323">
            <v>24.699483888598508</v>
          </cell>
        </row>
        <row r="324">
          <cell r="S324">
            <v>54.70837623671801</v>
          </cell>
          <cell r="T324">
            <v>23.595136526493942</v>
          </cell>
        </row>
        <row r="325">
          <cell r="S325">
            <v>53.54799699332581</v>
          </cell>
          <cell r="T325">
            <v>22.467118531884527</v>
          </cell>
        </row>
        <row r="326">
          <cell r="S326">
            <v>52.363652519765196</v>
          </cell>
          <cell r="T326">
            <v>21.318862992336641</v>
          </cell>
        </row>
        <row r="327">
          <cell r="S327">
            <v>51.165734010365824</v>
          </cell>
          <cell r="T327">
            <v>20.160799997678769</v>
          </cell>
        </row>
        <row r="328">
          <cell r="S328">
            <v>49.966849737626262</v>
          </cell>
          <cell r="T328">
            <v>19.005541009322535</v>
          </cell>
        </row>
        <row r="329">
          <cell r="S329">
            <v>48.782123055538484</v>
          </cell>
          <cell r="T329">
            <v>17.868388693842856</v>
          </cell>
        </row>
        <row r="330">
          <cell r="S330">
            <v>47.617913349520094</v>
          </cell>
          <cell r="T330">
            <v>16.756311744205103</v>
          </cell>
        </row>
        <row r="331">
          <cell r="S331">
            <v>46.470897512140496</v>
          </cell>
          <cell r="T331">
            <v>15.665838514910568</v>
          </cell>
        </row>
        <row r="332">
          <cell r="S332">
            <v>45.344256020423998</v>
          </cell>
          <cell r="T332">
            <v>14.59898584079049</v>
          </cell>
        </row>
        <row r="333">
          <cell r="S333">
            <v>44.23719992018399</v>
          </cell>
          <cell r="T333">
            <v>13.559707494424462</v>
          </cell>
        </row>
        <row r="334">
          <cell r="S334">
            <v>43.068496604118351</v>
          </cell>
          <cell r="T334">
            <v>12.584501983062058</v>
          </cell>
        </row>
        <row r="335">
          <cell r="S335">
            <v>41.822309076830045</v>
          </cell>
          <cell r="T335">
            <v>11.685857400059184</v>
          </cell>
        </row>
        <row r="336">
          <cell r="S336">
            <v>40.515810461979925</v>
          </cell>
          <cell r="T336">
            <v>10.860591598852759</v>
          </cell>
        </row>
        <row r="337">
          <cell r="S337">
            <v>39.162714861747453</v>
          </cell>
          <cell r="T337">
            <v>10.103410352717523</v>
          </cell>
        </row>
        <row r="338">
          <cell r="S338">
            <v>37.775184369966148</v>
          </cell>
          <cell r="T338">
            <v>9.4090208652340852</v>
          </cell>
        </row>
        <row r="339">
          <cell r="S339">
            <v>36.36353420885699</v>
          </cell>
          <cell r="T339">
            <v>8.7721317702889046</v>
          </cell>
        </row>
        <row r="340">
          <cell r="S340">
            <v>34.942155235534329</v>
          </cell>
          <cell r="T340">
            <v>8.1897320530183393</v>
          </cell>
        </row>
        <row r="341">
          <cell r="S341">
            <v>33.5209581182636</v>
          </cell>
          <cell r="T341">
            <v>7.6574264480341441</v>
          </cell>
        </row>
        <row r="342">
          <cell r="S342">
            <v>32.098275098079981</v>
          </cell>
          <cell r="T342">
            <v>7.167847638532276</v>
          </cell>
        </row>
        <row r="343">
          <cell r="S343">
            <v>30.666758643997731</v>
          </cell>
          <cell r="T343">
            <v>6.7136290028849857</v>
          </cell>
        </row>
        <row r="344">
          <cell r="S344">
            <v>29.212610151584759</v>
          </cell>
          <cell r="T344">
            <v>6.2874051814359895</v>
          </cell>
        </row>
        <row r="345">
          <cell r="S345">
            <v>27.727154343327591</v>
          </cell>
          <cell r="T345">
            <v>5.8834493894158459</v>
          </cell>
        </row>
        <row r="346">
          <cell r="S346">
            <v>26.214345808951933</v>
          </cell>
          <cell r="T346">
            <v>5.5012480982325478</v>
          </cell>
        </row>
        <row r="347">
          <cell r="S347">
            <v>24.68257673526654</v>
          </cell>
          <cell r="T347">
            <v>5.1412320737084514</v>
          </cell>
        </row>
        <row r="348">
          <cell r="S348">
            <v>23.141793041707533</v>
          </cell>
          <cell r="T348">
            <v>4.8038304813214969</v>
          </cell>
        </row>
        <row r="349">
          <cell r="S349">
            <v>21.630892758721682</v>
          </cell>
          <cell r="T349">
            <v>4.4894709428847213</v>
          </cell>
        </row>
        <row r="350">
          <cell r="S350">
            <v>20.221368068132005</v>
          </cell>
          <cell r="T350">
            <v>4.1969257397990125</v>
          </cell>
        </row>
        <row r="351">
          <cell r="S351">
            <v>18.904880270713839</v>
          </cell>
          <cell r="T351">
            <v>3.9236903209869665</v>
          </cell>
        </row>
        <row r="352">
          <cell r="S352">
            <v>17.674291251985498</v>
          </cell>
          <cell r="T352">
            <v>3.6682824907110834</v>
          </cell>
        </row>
        <row r="353">
          <cell r="S353">
            <v>16.52245045932349</v>
          </cell>
          <cell r="T353">
            <v>3.4292185379087012</v>
          </cell>
        </row>
        <row r="354">
          <cell r="S354">
            <v>15.442194901962484</v>
          </cell>
          <cell r="T354">
            <v>3.2050132361920336</v>
          </cell>
        </row>
        <row r="355">
          <cell r="S355">
            <v>14.427392323836067</v>
          </cell>
          <cell r="T355">
            <v>2.9943912825777854</v>
          </cell>
        </row>
        <row r="356">
          <cell r="S356">
            <v>13.474665868361587</v>
          </cell>
          <cell r="T356">
            <v>2.7966537678391856</v>
          </cell>
        </row>
        <row r="357">
          <cell r="S357">
            <v>12.581068483712917</v>
          </cell>
          <cell r="T357">
            <v>2.6111891198342785</v>
          </cell>
        </row>
        <row r="358">
          <cell r="S358">
            <v>11.74365299621595</v>
          </cell>
          <cell r="T358">
            <v>2.4373842085863018</v>
          </cell>
        </row>
        <row r="359">
          <cell r="S359">
            <v>10.959455688623457</v>
          </cell>
          <cell r="T359">
            <v>2.274624402963271</v>
          </cell>
        </row>
        <row r="360">
          <cell r="S360">
            <v>10.22461120507867</v>
          </cell>
          <cell r="T360">
            <v>2.1221080766840927</v>
          </cell>
        </row>
        <row r="361">
          <cell r="S361">
            <v>9.536114042933697</v>
          </cell>
          <cell r="T361">
            <v>1.9792113933068844</v>
          </cell>
        </row>
        <row r="362">
          <cell r="S362">
            <v>8.8923111574550351</v>
          </cell>
          <cell r="T362">
            <v>1.8455910091133954</v>
          </cell>
        </row>
        <row r="363">
          <cell r="S363">
            <v>8.2915495039091454</v>
          </cell>
          <cell r="T363">
            <v>1.72090358038538</v>
          </cell>
        </row>
        <row r="364">
          <cell r="S364">
            <v>7.7321760375625157</v>
          </cell>
          <cell r="T364">
            <v>1.6048057634045709</v>
          </cell>
        </row>
        <row r="365">
          <cell r="S365">
            <v>7.2121888458804992</v>
          </cell>
          <cell r="T365">
            <v>1.4968831155209084</v>
          </cell>
        </row>
        <row r="366">
          <cell r="S366">
            <v>6.7286074243468335</v>
          </cell>
          <cell r="T366">
            <v>1.3965163887775633</v>
          </cell>
        </row>
        <row r="367">
          <cell r="S367">
            <v>6.2782985239617366</v>
          </cell>
          <cell r="T367">
            <v>1.3030550740057989</v>
          </cell>
        </row>
        <row r="368">
          <cell r="S368">
            <v>5.8581247902940445</v>
          </cell>
          <cell r="T368">
            <v>1.2158486762067877</v>
          </cell>
        </row>
        <row r="369">
          <cell r="S369">
            <v>5.464957079775262</v>
          </cell>
          <cell r="T369">
            <v>1.1342466720419053</v>
          </cell>
        </row>
        <row r="370">
          <cell r="S370">
            <v>5.0963130367967509</v>
          </cell>
          <cell r="T370">
            <v>1.0577351463370577</v>
          </cell>
        </row>
        <row r="371">
          <cell r="S371">
            <v>4.7508923133470491</v>
          </cell>
          <cell r="T371">
            <v>0.9860435551711566</v>
          </cell>
        </row>
        <row r="372">
          <cell r="S372">
            <v>4.4273252658843933</v>
          </cell>
          <cell r="T372">
            <v>0.91888694619624567</v>
          </cell>
        </row>
        <row r="373">
          <cell r="S373">
            <v>4.1242303329315639</v>
          </cell>
          <cell r="T373">
            <v>0.85598025237350051</v>
          </cell>
        </row>
        <row r="374">
          <cell r="S374">
            <v>3.8402386676635176</v>
          </cell>
          <cell r="T374">
            <v>0.79703820695400385</v>
          </cell>
        </row>
        <row r="375">
          <cell r="S375">
            <v>3.5737402058223373</v>
          </cell>
          <cell r="T375">
            <v>0.74172619992799449</v>
          </cell>
        </row>
        <row r="376">
          <cell r="S376">
            <v>3.3236735485273754</v>
          </cell>
          <cell r="T376">
            <v>0.689825531672833</v>
          </cell>
        </row>
        <row r="377">
          <cell r="S377">
            <v>3.0895101263850728</v>
          </cell>
          <cell r="T377">
            <v>0.64122520885726009</v>
          </cell>
        </row>
        <row r="378">
          <cell r="S378">
            <v>2.8707172645706658</v>
          </cell>
          <cell r="T378">
            <v>0.59581425231988727</v>
          </cell>
        </row>
        <row r="379">
          <cell r="S379">
            <v>2.6667512035948722</v>
          </cell>
          <cell r="T379">
            <v>0.5534817211580001</v>
          </cell>
        </row>
        <row r="380">
          <cell r="S380">
            <v>2.4768328931713963</v>
          </cell>
          <cell r="T380">
            <v>0.5140643500671338</v>
          </cell>
        </row>
        <row r="381">
          <cell r="S381">
            <v>2.30001145858974</v>
          </cell>
          <cell r="T381">
            <v>0.47736518517670912</v>
          </cell>
        </row>
        <row r="382">
          <cell r="S382">
            <v>2.1355100728664005</v>
          </cell>
          <cell r="T382">
            <v>0.44322313506601208</v>
          </cell>
        </row>
        <row r="383">
          <cell r="S383">
            <v>1.9825527179193336</v>
          </cell>
          <cell r="T383">
            <v>0.41147694969688176</v>
          </cell>
        </row>
        <row r="384">
          <cell r="S384">
            <v>1.8403613107660644</v>
          </cell>
          <cell r="T384">
            <v>0.38196523033260377</v>
          </cell>
        </row>
        <row r="385">
          <cell r="S385">
            <v>1.7081823925670092</v>
          </cell>
          <cell r="T385">
            <v>0.35453163548894717</v>
          </cell>
        </row>
        <row r="386">
          <cell r="S386">
            <v>1.5854695456173769</v>
          </cell>
          <cell r="T386">
            <v>0.329062740229491</v>
          </cell>
        </row>
        <row r="387">
          <cell r="S387">
            <v>1.4717602482632319</v>
          </cell>
          <cell r="T387">
            <v>0.30546243833622366</v>
          </cell>
        </row>
        <row r="388">
          <cell r="S388">
            <v>1.3665899139501947</v>
          </cell>
          <cell r="T388">
            <v>0.2836344748926134</v>
          </cell>
        </row>
        <row r="389">
          <cell r="S389">
            <v>1.2694947650254003</v>
          </cell>
          <cell r="T389">
            <v>0.26348243636464264</v>
          </cell>
        </row>
        <row r="390">
          <cell r="S390">
            <v>1.179973477899332</v>
          </cell>
          <cell r="T390">
            <v>0.24490240335681701</v>
          </cell>
        </row>
        <row r="391">
          <cell r="S391">
            <v>1.0974549985395128</v>
          </cell>
          <cell r="T391">
            <v>0.22777573789675709</v>
          </cell>
        </row>
        <row r="392">
          <cell r="S392">
            <v>1.0213678745551735</v>
          </cell>
          <cell r="T392">
            <v>0.21198395921253055</v>
          </cell>
        </row>
        <row r="393">
          <cell r="S393">
            <v>0.95114271845596343</v>
          </cell>
          <cell r="T393">
            <v>0.19740873523075297</v>
          </cell>
        </row>
        <row r="394">
          <cell r="S394">
            <v>0.88620933385009926</v>
          </cell>
          <cell r="T394">
            <v>0.18393189249547581</v>
          </cell>
        </row>
        <row r="395">
          <cell r="S395">
            <v>0.82609100910610578</v>
          </cell>
          <cell r="T395">
            <v>0.17145441308021869</v>
          </cell>
        </row>
        <row r="396">
          <cell r="S396">
            <v>0.77042916586543553</v>
          </cell>
          <cell r="T396">
            <v>0.15990180340734739</v>
          </cell>
        </row>
        <row r="397">
          <cell r="S397">
            <v>0.71883101291708718</v>
          </cell>
          <cell r="T397">
            <v>0.14919267583576867</v>
          </cell>
        </row>
        <row r="398">
          <cell r="S398">
            <v>0.67090386637279342</v>
          </cell>
          <cell r="T398">
            <v>0.13924543978073856</v>
          </cell>
        </row>
        <row r="399">
          <cell r="S399">
            <v>0.62625455212945991</v>
          </cell>
          <cell r="T399">
            <v>0.12997853751461341</v>
          </cell>
        </row>
        <row r="400">
          <cell r="S400">
            <v>0.58450412589738932</v>
          </cell>
          <cell r="T400">
            <v>0.12131330729818757</v>
          </cell>
        </row>
        <row r="401">
          <cell r="S401">
            <v>0.54544712122737982</v>
          </cell>
          <cell r="T401">
            <v>0.11320701413928269</v>
          </cell>
        </row>
        <row r="402">
          <cell r="S402">
            <v>0.50894993121909649</v>
          </cell>
          <cell r="T402">
            <v>0.10563208616806152</v>
          </cell>
        </row>
        <row r="403">
          <cell r="S403">
            <v>0.4748802204373459</v>
          </cell>
          <cell r="T403">
            <v>9.8560931543689723E-2</v>
          </cell>
        </row>
        <row r="404">
          <cell r="S404">
            <v>0.44310446165347905</v>
          </cell>
          <cell r="T404">
            <v>9.1965946956229505E-2</v>
          </cell>
        </row>
        <row r="405">
          <cell r="S405">
            <v>0.41343029392496011</v>
          </cell>
          <cell r="T405">
            <v>8.5807094709300369E-2</v>
          </cell>
        </row>
        <row r="406">
          <cell r="S406">
            <v>0.38569024383673656</v>
          </cell>
          <cell r="T406">
            <v>8.0049611605687021E-2</v>
          </cell>
        </row>
        <row r="407">
          <cell r="S407">
            <v>0.35978910806569453</v>
          </cell>
          <cell r="T407">
            <v>7.467389615349318E-2</v>
          </cell>
        </row>
        <row r="408">
          <cell r="S408">
            <v>0.33563295475394495</v>
          </cell>
          <cell r="T408">
            <v>6.9660326889853241E-2</v>
          </cell>
        </row>
        <row r="409">
          <cell r="S409">
            <v>0.31312707079317326</v>
          </cell>
          <cell r="T409">
            <v>6.4989269465798305E-2</v>
          </cell>
        </row>
        <row r="410">
          <cell r="S410">
            <v>0.29216145644189728</v>
          </cell>
          <cell r="T410">
            <v>6.0637807627716978E-2</v>
          </cell>
        </row>
        <row r="411">
          <cell r="S411">
            <v>0.27262120418879154</v>
          </cell>
          <cell r="T411">
            <v>5.6582231768353974E-2</v>
          </cell>
        </row>
        <row r="412">
          <cell r="S412">
            <v>0.25440617247890485</v>
          </cell>
          <cell r="T412">
            <v>5.2801757583503806E-2</v>
          </cell>
        </row>
        <row r="413">
          <cell r="S413">
            <v>0.23741663030039939</v>
          </cell>
          <cell r="T413">
            <v>4.9275599351994437E-2</v>
          </cell>
        </row>
        <row r="414">
          <cell r="S414">
            <v>0.22155231293535804</v>
          </cell>
          <cell r="T414">
            <v>4.5982973194719223E-2</v>
          </cell>
        </row>
        <row r="415">
          <cell r="S415">
            <v>0.20671754596757186</v>
          </cell>
          <cell r="T415">
            <v>4.2904029924928366E-2</v>
          </cell>
        </row>
        <row r="416">
          <cell r="S416">
            <v>0.19285067474643369</v>
          </cell>
          <cell r="T416">
            <v>4.0025970911333753E-2</v>
          </cell>
        </row>
        <row r="417">
          <cell r="S417">
            <v>0.17990223474829981</v>
          </cell>
          <cell r="T417">
            <v>3.7338542152337562E-2</v>
          </cell>
        </row>
        <row r="418">
          <cell r="S418">
            <v>0.16782300899390035</v>
          </cell>
          <cell r="T418">
            <v>3.4831504374499556E-2</v>
          </cell>
        </row>
        <row r="419">
          <cell r="S419">
            <v>0.15656361750521208</v>
          </cell>
          <cell r="T419">
            <v>3.2494634449503623E-2</v>
          </cell>
        </row>
        <row r="420">
          <cell r="S420">
            <v>0.14606611917096501</v>
          </cell>
          <cell r="T420">
            <v>3.0315884473919308E-2</v>
          </cell>
        </row>
        <row r="421">
          <cell r="S421">
            <v>0.1362757067849274</v>
          </cell>
          <cell r="T421">
            <v>2.8283896942560283E-2</v>
          </cell>
        </row>
        <row r="422">
          <cell r="S422">
            <v>0.12714792276070919</v>
          </cell>
          <cell r="T422">
            <v>2.6389429020906574E-2</v>
          </cell>
        </row>
        <row r="423">
          <cell r="S423">
            <v>0.11863822862170914</v>
          </cell>
          <cell r="T423">
            <v>2.4623253736222317E-2</v>
          </cell>
        </row>
        <row r="424">
          <cell r="S424">
            <v>0.11070229238142881</v>
          </cell>
          <cell r="T424">
            <v>2.2976158985582584E-2</v>
          </cell>
        </row>
        <row r="425">
          <cell r="S425">
            <v>0.1032971599967264</v>
          </cell>
          <cell r="T425">
            <v>2.1439223978653166E-2</v>
          </cell>
        </row>
        <row r="426">
          <cell r="S426">
            <v>9.6386683814647656E-2</v>
          </cell>
          <cell r="T426">
            <v>2.0004969192854993E-2</v>
          </cell>
        </row>
        <row r="427">
          <cell r="S427">
            <v>8.9936799359785491E-2</v>
          </cell>
          <cell r="T427">
            <v>1.8666297479386085E-2</v>
          </cell>
        </row>
        <row r="428">
          <cell r="S428">
            <v>8.3913236885196918E-2</v>
          </cell>
          <cell r="T428">
            <v>1.7416112397922179E-2</v>
          </cell>
        </row>
        <row r="429">
          <cell r="S429">
            <v>7.8281808752606041E-2</v>
          </cell>
          <cell r="T429">
            <v>1.6247317224754587E-2</v>
          </cell>
        </row>
        <row r="430">
          <cell r="S430">
            <v>7.3007963693194622E-2</v>
          </cell>
          <cell r="T430">
            <v>1.5152733903700533E-2</v>
          </cell>
        </row>
        <row r="431">
          <cell r="S431">
            <v>6.8070484461654757E-2</v>
          </cell>
          <cell r="T431">
            <v>1.412796814794226E-2</v>
          </cell>
        </row>
        <row r="432">
          <cell r="S432">
            <v>6.3455256768527035E-2</v>
          </cell>
          <cell r="T432">
            <v>1.3170078380914108E-2</v>
          </cell>
        </row>
        <row r="433">
          <cell r="S433">
            <v>5.9148080232204747E-2</v>
          </cell>
          <cell r="T433">
            <v>1.2276124881427375E-2</v>
          </cell>
        </row>
        <row r="434">
          <cell r="S434">
            <v>5.5134750487462192E-2</v>
          </cell>
          <cell r="T434">
            <v>1.1443169500313655E-2</v>
          </cell>
        </row>
        <row r="435">
          <cell r="S435">
            <v>5.1396924136692945E-2</v>
          </cell>
          <cell r="T435">
            <v>1.0667386144425084E-2</v>
          </cell>
        </row>
        <row r="436">
          <cell r="S436">
            <v>4.7914351991182325E-2</v>
          </cell>
          <cell r="T436">
            <v>9.9445766423678084E-3</v>
          </cell>
        </row>
        <row r="437">
          <cell r="S437">
            <v>4.4670108104452599E-2</v>
          </cell>
          <cell r="T437">
            <v>9.2712388005455892E-3</v>
          </cell>
        </row>
        <row r="438">
          <cell r="S438">
            <v>4.1647381725809507E-2</v>
          </cell>
          <cell r="T438">
            <v>8.6438731442595174E-3</v>
          </cell>
        </row>
        <row r="439">
          <cell r="S439">
            <v>3.8829250892352674E-2</v>
          </cell>
          <cell r="T439">
            <v>8.0589759078986134E-3</v>
          </cell>
        </row>
        <row r="440">
          <cell r="S440">
            <v>3.6199977373488346E-2</v>
          </cell>
          <cell r="T440">
            <v>7.5132667454791413E-3</v>
          </cell>
        </row>
        <row r="441">
          <cell r="S441">
            <v>3.3747745076875835E-2</v>
          </cell>
          <cell r="T441">
            <v>7.0043103724604094E-3</v>
          </cell>
        </row>
        <row r="442">
          <cell r="S442">
            <v>3.1461879369573675E-2</v>
          </cell>
          <cell r="T442">
            <v>6.5298794872936661E-3</v>
          </cell>
        </row>
        <row r="443">
          <cell r="S443">
            <v>2.9331586439348967E-2</v>
          </cell>
          <cell r="T443">
            <v>6.0877456415253661E-3</v>
          </cell>
        </row>
        <row r="444">
          <cell r="S444">
            <v>2.7346199620470468E-2</v>
          </cell>
          <cell r="T444">
            <v>5.6756783895883789E-3</v>
          </cell>
        </row>
        <row r="445">
          <cell r="S445">
            <v>2.5494490824978788E-2</v>
          </cell>
          <cell r="T445">
            <v>5.2913572865964653E-3</v>
          </cell>
        </row>
        <row r="446">
          <cell r="S446">
            <v>2.3767410092218055E-2</v>
          </cell>
          <cell r="T446">
            <v>4.9329031474254492E-3</v>
          </cell>
        </row>
        <row r="447">
          <cell r="S447">
            <v>2.2157447831946953E-2</v>
          </cell>
          <cell r="T447">
            <v>4.5987571456962417E-3</v>
          </cell>
        </row>
        <row r="448">
          <cell r="S448">
            <v>2.0657086121159129E-2</v>
          </cell>
          <cell r="T448">
            <v>4.287358925575413E-3</v>
          </cell>
        </row>
        <row r="449">
          <cell r="S449">
            <v>1.9258802809632436E-2</v>
          </cell>
          <cell r="T449">
            <v>3.997146587542133E-3</v>
          </cell>
        </row>
        <row r="450">
          <cell r="S450">
            <v>1.7954746056703108E-2</v>
          </cell>
          <cell r="T450">
            <v>3.7264908067602409E-3</v>
          </cell>
        </row>
        <row r="451">
          <cell r="S451">
            <v>1.6738508261338048E-2</v>
          </cell>
          <cell r="T451">
            <v>3.4740611334127536E-3</v>
          </cell>
        </row>
        <row r="452">
          <cell r="S452">
            <v>1.5604763162660462E-2</v>
          </cell>
          <cell r="T452">
            <v>3.238754007228728E-3</v>
          </cell>
        </row>
        <row r="453">
          <cell r="S453">
            <v>1.454818002885605E-2</v>
          </cell>
          <cell r="T453">
            <v>3.0194612085920891E-3</v>
          </cell>
        </row>
        <row r="454">
          <cell r="S454">
            <v>1.3563432477214921E-2</v>
          </cell>
          <cell r="T454">
            <v>2.8150776193947014E-3</v>
          </cell>
        </row>
        <row r="455">
          <cell r="S455">
            <v>1.2644951989021491E-2</v>
          </cell>
          <cell r="T455">
            <v>2.6244475348380369E-3</v>
          </cell>
        </row>
        <row r="456">
          <cell r="S456">
            <v>1.1788267929371821E-2</v>
          </cell>
          <cell r="T456">
            <v>2.4466436408132619E-3</v>
          </cell>
        </row>
        <row r="457">
          <cell r="S457">
            <v>1.098966094759124E-2</v>
          </cell>
          <cell r="T457">
            <v>2.2808934139584292E-3</v>
          </cell>
        </row>
        <row r="458">
          <cell r="S458">
            <v>1.0245420147603213E-2</v>
          </cell>
          <cell r="T458">
            <v>2.1264274182419829E-3</v>
          </cell>
        </row>
        <row r="459">
          <cell r="S459">
            <v>9.5518595096127923E-3</v>
          </cell>
          <cell r="T459">
            <v>1.98247924826922E-3</v>
          </cell>
        </row>
        <row r="460">
          <cell r="S460">
            <v>8.9050720141758966E-3</v>
          </cell>
          <cell r="T460">
            <v>1.8482396302921256E-3</v>
          </cell>
        </row>
        <row r="461">
          <cell r="S461">
            <v>8.3018809116375269E-3</v>
          </cell>
          <cell r="T461">
            <v>1.7230479207930305E-3</v>
          </cell>
        </row>
        <row r="462">
          <cell r="S462">
            <v>7.7396271770113767E-3</v>
          </cell>
          <cell r="T462">
            <v>1.6063523254616907E-3</v>
          </cell>
        </row>
        <row r="463">
          <cell r="S463">
            <v>7.2156476798312941E-3</v>
          </cell>
          <cell r="T463">
            <v>1.4976010641709614E-3</v>
          </cell>
        </row>
        <row r="464">
          <cell r="S464">
            <v>6.7272875005491839E-3</v>
          </cell>
          <cell r="T464">
            <v>1.3962423284386016E-3</v>
          </cell>
        </row>
        <row r="465">
          <cell r="S465">
            <v>6.2717873779705169E-3</v>
          </cell>
          <cell r="T465">
            <v>1.3017028543393927E-3</v>
          </cell>
        </row>
        <row r="466">
          <cell r="S466">
            <v>5.8469225627938437E-3</v>
          </cell>
          <cell r="T466">
            <v>1.2135228440013357E-3</v>
          </cell>
        </row>
        <row r="467">
          <cell r="S467">
            <v>5.4508562032790087E-3</v>
          </cell>
          <cell r="T467">
            <v>1.1313190734663081E-3</v>
          </cell>
        </row>
        <row r="468">
          <cell r="S468">
            <v>5.0817434805033868E-3</v>
          </cell>
          <cell r="T468">
            <v>1.0547114627945664E-3</v>
          </cell>
        </row>
        <row r="469">
          <cell r="S469">
            <v>4.7377474208520898E-3</v>
          </cell>
          <cell r="T469">
            <v>9.8331523021299994E-4</v>
          </cell>
        </row>
        <row r="470">
          <cell r="S470">
            <v>4.4169355291751033E-3</v>
          </cell>
          <cell r="T470">
            <v>9.1673189932528487E-4</v>
          </cell>
        </row>
        <row r="471">
          <cell r="S471">
            <v>4.1177297551431291E-3</v>
          </cell>
          <cell r="T471">
            <v>8.5463189187229283E-4</v>
          </cell>
        </row>
        <row r="472">
          <cell r="S472">
            <v>3.8388235316516583E-3</v>
          </cell>
          <cell r="T472">
            <v>7.967439062672721E-4</v>
          </cell>
        </row>
        <row r="473">
          <cell r="S473">
            <v>3.5789020807752703E-3</v>
          </cell>
          <cell r="T473">
            <v>7.4279666926746479E-4</v>
          </cell>
        </row>
        <row r="474">
          <cell r="S474">
            <v>3.3366506245469107E-3</v>
          </cell>
          <cell r="T474">
            <v>6.9251890762456192E-4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ha5dzs/colour_sensor_primary_calculator/blob/master/primaries.txt" TargetMode="External"/><Relationship Id="rId2" Type="http://schemas.openxmlformats.org/officeDocument/2006/relationships/hyperlink" Target="http://www.brucelindbloom.com/index.html?WorkingSpaceInfo.html" TargetMode="External"/><Relationship Id="rId1" Type="http://schemas.openxmlformats.org/officeDocument/2006/relationships/hyperlink" Target="https://en.wikipedia.org/wiki/Standard_illuminant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medium.com/hipster-color-science/a-beginners-guide-to-colorimetry-401f1830b65a" TargetMode="External"/><Relationship Id="rId1" Type="http://schemas.openxmlformats.org/officeDocument/2006/relationships/hyperlink" Target="http://www.brucelindbloom.com/index.html?ColorCalculator.html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brucelindbloom.com/Eqn_ChromAdapt.html" TargetMode="External"/><Relationship Id="rId1" Type="http://schemas.openxmlformats.org/officeDocument/2006/relationships/hyperlink" Target="https://comnuan.com/cmnn0100f/cmnn0100f.php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http://www.brucelindbloom.com/Eqn_ChromAdapt.html" TargetMode="External"/><Relationship Id="rId1" Type="http://schemas.openxmlformats.org/officeDocument/2006/relationships/hyperlink" Target="https://comnuan.com/cmnn0100f/cmnn0100f.php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www.brucelindbloom.com/Eqn_ChromAdapt.html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://www.brucelindbloom.com/Eqn_ChromAdapt.html" TargetMode="External"/><Relationship Id="rId1" Type="http://schemas.openxmlformats.org/officeDocument/2006/relationships/hyperlink" Target="https://comnuan.com/cmnn0100f/cmnn0100f.php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://www.brucelindbloom.com/Eqn_ChromAdapt.html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://www.brucelindbloom.com/Eqn_ChromAdapt.html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8519-73FC-47E6-9DFA-6DD968A5546D}">
  <dimension ref="A1:W37"/>
  <sheetViews>
    <sheetView workbookViewId="0">
      <selection activeCell="G6" sqref="G6"/>
    </sheetView>
  </sheetViews>
  <sheetFormatPr defaultRowHeight="15"/>
  <cols>
    <col min="1" max="1" width="21.28515625" customWidth="1"/>
    <col min="2" max="2" width="8.42578125" customWidth="1"/>
    <col min="3" max="3" width="11.28515625" customWidth="1"/>
    <col min="4" max="4" width="13.28515625" style="3" bestFit="1" customWidth="1"/>
    <col min="5" max="6" width="2" bestFit="1" customWidth="1"/>
    <col min="7" max="8" width="12.7109375" bestFit="1" customWidth="1"/>
    <col min="9" max="9" width="14.28515625" customWidth="1"/>
    <col min="10" max="10" width="2.7109375" style="3" customWidth="1"/>
    <col min="11" max="12" width="2" bestFit="1" customWidth="1"/>
    <col min="13" max="13" width="8" bestFit="1" customWidth="1"/>
    <col min="14" max="14" width="2" bestFit="1" customWidth="1"/>
    <col min="17" max="17" width="9.28515625" customWidth="1"/>
  </cols>
  <sheetData>
    <row r="1" spans="1:21">
      <c r="E1" s="3"/>
      <c r="F1" s="3"/>
      <c r="J1"/>
      <c r="S1" s="6"/>
      <c r="T1" s="6"/>
      <c r="U1" s="6"/>
    </row>
    <row r="2" spans="1:21">
      <c r="A2" t="s">
        <v>8</v>
      </c>
      <c r="B2" s="7" t="s">
        <v>33</v>
      </c>
      <c r="C2" s="7" t="s">
        <v>30</v>
      </c>
      <c r="D2" s="8"/>
      <c r="E2" s="8"/>
      <c r="F2" s="8"/>
      <c r="G2" s="18">
        <v>0.95047000000000004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  <c r="U2" s="6"/>
    </row>
    <row r="3" spans="1:21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  <c r="U3" s="6"/>
    </row>
    <row r="4" spans="1:21">
      <c r="B4" s="7"/>
      <c r="C4" s="7" t="s">
        <v>32</v>
      </c>
      <c r="D4" s="8"/>
      <c r="E4" s="8"/>
      <c r="F4" s="8"/>
      <c r="G4" s="18">
        <v>1.08883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  <c r="U4" s="6"/>
    </row>
    <row r="5" spans="1:21">
      <c r="E5" s="3"/>
      <c r="F5" s="3"/>
      <c r="G5" s="6"/>
      <c r="J5"/>
      <c r="S5" s="6"/>
      <c r="T5" s="6"/>
      <c r="U5" s="6"/>
    </row>
    <row r="6" spans="1:21">
      <c r="A6" t="s">
        <v>7</v>
      </c>
      <c r="B6" s="7" t="s">
        <v>34</v>
      </c>
      <c r="C6" s="7" t="s">
        <v>25</v>
      </c>
      <c r="D6" s="8"/>
      <c r="E6" s="8"/>
      <c r="F6" s="8"/>
      <c r="G6" s="18">
        <v>0.64</v>
      </c>
      <c r="S6" s="6"/>
      <c r="T6" s="6"/>
      <c r="U6" s="6"/>
    </row>
    <row r="7" spans="1:21">
      <c r="B7" s="7"/>
      <c r="C7" s="7" t="s">
        <v>26</v>
      </c>
      <c r="D7" s="8"/>
      <c r="E7" s="8"/>
      <c r="F7" s="8"/>
      <c r="G7" s="18">
        <v>0.33</v>
      </c>
    </row>
    <row r="8" spans="1:21">
      <c r="B8" s="7"/>
      <c r="C8" s="7" t="s">
        <v>29</v>
      </c>
      <c r="D8" s="8"/>
      <c r="E8" s="8"/>
      <c r="F8" s="8"/>
      <c r="G8" s="18">
        <v>0.3</v>
      </c>
    </row>
    <row r="9" spans="1:21">
      <c r="B9" s="7"/>
      <c r="C9" s="7" t="s">
        <v>35</v>
      </c>
      <c r="D9" s="8"/>
      <c r="E9" s="8"/>
      <c r="F9" s="8"/>
      <c r="G9" s="18">
        <v>0.6</v>
      </c>
    </row>
    <row r="10" spans="1:21">
      <c r="B10" s="7"/>
      <c r="C10" s="7" t="s">
        <v>27</v>
      </c>
      <c r="D10" s="8"/>
      <c r="E10" s="8"/>
      <c r="F10" s="8"/>
      <c r="G10" s="18">
        <v>0.15</v>
      </c>
    </row>
    <row r="11" spans="1:21">
      <c r="B11" s="7"/>
      <c r="C11" s="7" t="s">
        <v>28</v>
      </c>
      <c r="D11" s="8"/>
      <c r="E11" s="8"/>
      <c r="F11" s="8"/>
      <c r="G11" s="18">
        <v>0.06</v>
      </c>
    </row>
    <row r="12" spans="1:21">
      <c r="E12" s="3"/>
      <c r="F12" s="3"/>
      <c r="G12" s="6"/>
    </row>
    <row r="13" spans="1:21">
      <c r="B13" s="16"/>
      <c r="C13" s="16" t="s">
        <v>9</v>
      </c>
      <c r="D13" s="17" t="s">
        <v>10</v>
      </c>
      <c r="E13" s="17"/>
      <c r="F13" s="17"/>
      <c r="G13" s="12">
        <f>G6/G7</f>
        <v>1.9393939393939394</v>
      </c>
    </row>
    <row r="14" spans="1:21">
      <c r="B14" s="16"/>
      <c r="C14" s="16" t="s">
        <v>11</v>
      </c>
      <c r="D14" s="17" t="s">
        <v>18</v>
      </c>
      <c r="E14" s="17"/>
      <c r="F14" s="17"/>
      <c r="G14" s="12">
        <v>1</v>
      </c>
    </row>
    <row r="15" spans="1:21">
      <c r="B15" s="16"/>
      <c r="C15" s="16" t="s">
        <v>12</v>
      </c>
      <c r="D15" s="17" t="s">
        <v>13</v>
      </c>
      <c r="E15" s="17"/>
      <c r="F15" s="17"/>
      <c r="G15" s="12">
        <f>(1-G6-G7)/G7</f>
        <v>9.0909090909090814E-2</v>
      </c>
    </row>
    <row r="16" spans="1:21">
      <c r="B16" s="16"/>
      <c r="C16" s="16" t="s">
        <v>14</v>
      </c>
      <c r="D16" s="17" t="s">
        <v>15</v>
      </c>
      <c r="E16" s="17"/>
      <c r="F16" s="17"/>
      <c r="G16" s="12">
        <f>G8/G9</f>
        <v>0.5</v>
      </c>
    </row>
    <row r="17" spans="2:23">
      <c r="B17" s="16"/>
      <c r="C17" s="16" t="s">
        <v>16</v>
      </c>
      <c r="D17" s="17" t="s">
        <v>18</v>
      </c>
      <c r="E17" s="17"/>
      <c r="F17" s="17"/>
      <c r="G17" s="12">
        <v>1</v>
      </c>
    </row>
    <row r="18" spans="2:23">
      <c r="B18" s="16"/>
      <c r="C18" s="16" t="s">
        <v>17</v>
      </c>
      <c r="D18" s="17" t="s">
        <v>23</v>
      </c>
      <c r="E18" s="17"/>
      <c r="F18" s="17"/>
      <c r="G18" s="12">
        <f>(1-G8-G9)/G9</f>
        <v>0.16666666666666663</v>
      </c>
    </row>
    <row r="19" spans="2:23">
      <c r="B19" s="16"/>
      <c r="C19" s="16" t="s">
        <v>19</v>
      </c>
      <c r="D19" s="17" t="s">
        <v>22</v>
      </c>
      <c r="E19" s="17"/>
      <c r="F19" s="17"/>
      <c r="G19" s="12">
        <f>G10/G11</f>
        <v>2.5</v>
      </c>
    </row>
    <row r="20" spans="2:23">
      <c r="B20" s="16"/>
      <c r="C20" s="16" t="s">
        <v>20</v>
      </c>
      <c r="D20" s="17" t="s">
        <v>18</v>
      </c>
      <c r="E20" s="17"/>
      <c r="F20" s="17"/>
      <c r="G20" s="12">
        <v>1</v>
      </c>
    </row>
    <row r="21" spans="2:23">
      <c r="B21" s="16"/>
      <c r="C21" s="16" t="s">
        <v>21</v>
      </c>
      <c r="D21" s="17" t="s">
        <v>24</v>
      </c>
      <c r="E21" s="17"/>
      <c r="F21" s="17"/>
      <c r="G21" s="12">
        <f>(1-G10-G11)/G11</f>
        <v>13.166666666666668</v>
      </c>
    </row>
    <row r="23" spans="2:23">
      <c r="B23" s="16"/>
      <c r="C23" s="16"/>
      <c r="D23" s="19"/>
      <c r="E23" s="20"/>
      <c r="F23" s="21" t="s">
        <v>45</v>
      </c>
      <c r="G23" s="12">
        <f>G13</f>
        <v>1.9393939393939394</v>
      </c>
      <c r="H23" s="12">
        <f>G16</f>
        <v>0.5</v>
      </c>
      <c r="I23" s="12">
        <f>G19</f>
        <v>2.5</v>
      </c>
      <c r="J23" s="25" t="s">
        <v>46</v>
      </c>
      <c r="K23" s="20"/>
      <c r="L23" s="21" t="s">
        <v>45</v>
      </c>
      <c r="M23" s="12">
        <f>G2</f>
        <v>0.95047000000000004</v>
      </c>
      <c r="N23" s="21" t="s">
        <v>45</v>
      </c>
      <c r="R23">
        <v>0.37840897684174601</v>
      </c>
      <c r="U23">
        <v>1.9393939389999999</v>
      </c>
      <c r="V23">
        <v>0.5</v>
      </c>
      <c r="W23">
        <v>2.5</v>
      </c>
    </row>
    <row r="24" spans="2:23">
      <c r="B24" s="16"/>
      <c r="C24" s="16"/>
      <c r="D24" s="17"/>
      <c r="E24" s="22" t="s">
        <v>1</v>
      </c>
      <c r="F24" s="21" t="s">
        <v>45</v>
      </c>
      <c r="G24" s="12">
        <f>G14</f>
        <v>1</v>
      </c>
      <c r="H24" s="12">
        <f>G17</f>
        <v>1</v>
      </c>
      <c r="I24" s="12">
        <f>G20</f>
        <v>1</v>
      </c>
      <c r="J24" s="25" t="s">
        <v>47</v>
      </c>
      <c r="K24" s="20" t="s">
        <v>39</v>
      </c>
      <c r="L24" s="21" t="s">
        <v>45</v>
      </c>
      <c r="M24" s="12">
        <f>G3</f>
        <v>1</v>
      </c>
      <c r="N24" s="21" t="s">
        <v>45</v>
      </c>
      <c r="O24" s="15"/>
      <c r="R24">
        <v>0.60093481702285001</v>
      </c>
      <c r="U24">
        <v>1</v>
      </c>
      <c r="V24">
        <v>1</v>
      </c>
      <c r="W24">
        <v>1</v>
      </c>
    </row>
    <row r="25" spans="2:23">
      <c r="B25" s="16"/>
      <c r="C25" s="16"/>
      <c r="D25" s="19"/>
      <c r="E25" s="20"/>
      <c r="F25" s="21" t="s">
        <v>45</v>
      </c>
      <c r="G25" s="12">
        <f>G15</f>
        <v>9.0909090909090814E-2</v>
      </c>
      <c r="H25" s="12">
        <f>G18</f>
        <v>0.16666666666666663</v>
      </c>
      <c r="I25" s="12">
        <f>G21</f>
        <v>13.166666666666668</v>
      </c>
      <c r="J25" s="25" t="s">
        <v>47</v>
      </c>
      <c r="K25" s="20"/>
      <c r="L25" s="21" t="s">
        <v>45</v>
      </c>
      <c r="M25" s="12">
        <f>G4</f>
        <v>1.08883</v>
      </c>
      <c r="N25" s="21" t="s">
        <v>45</v>
      </c>
      <c r="R25">
        <v>2.0656206135400201E-2</v>
      </c>
      <c r="U25">
        <v>9.0909090999999997E-2</v>
      </c>
      <c r="V25">
        <v>0.16666666699999999</v>
      </c>
      <c r="W25">
        <v>13.16666667</v>
      </c>
    </row>
    <row r="26" spans="2:23">
      <c r="E26" s="14"/>
      <c r="F26" s="13"/>
      <c r="J26" s="26"/>
      <c r="K26" s="14"/>
      <c r="L26" s="13"/>
      <c r="N26" s="13"/>
    </row>
    <row r="27" spans="2:23">
      <c r="B27" s="16"/>
      <c r="C27" s="16"/>
      <c r="D27" s="19"/>
      <c r="E27" s="20"/>
      <c r="F27" s="21" t="s">
        <v>45</v>
      </c>
      <c r="G27" s="12">
        <f t="array" ref="G27:I29" xml:space="preserve"> MINVERSE(G23:I25)</f>
        <v>0.68915662650602416</v>
      </c>
      <c r="H27" s="12">
        <v>-0.32690763052208832</v>
      </c>
      <c r="I27" s="12">
        <v>-0.10602409638554215</v>
      </c>
      <c r="J27" s="25" t="s">
        <v>45</v>
      </c>
      <c r="K27" s="20"/>
      <c r="L27" s="21" t="s">
        <v>45</v>
      </c>
      <c r="M27" s="12">
        <f>M23</f>
        <v>0.95047000000000004</v>
      </c>
      <c r="N27" s="21" t="s">
        <v>45</v>
      </c>
    </row>
    <row r="28" spans="2:23">
      <c r="B28" s="16"/>
      <c r="C28" s="16"/>
      <c r="D28" s="19"/>
      <c r="E28" s="20"/>
      <c r="F28" s="21" t="s">
        <v>45</v>
      </c>
      <c r="G28" s="12">
        <v>-0.69317269076305221</v>
      </c>
      <c r="H28" s="12">
        <v>1.3416331994645248</v>
      </c>
      <c r="I28" s="12">
        <v>2.9718875502008028E-2</v>
      </c>
      <c r="J28" s="25" t="s">
        <v>45</v>
      </c>
      <c r="K28" s="20" t="s">
        <v>39</v>
      </c>
      <c r="L28" s="21" t="s">
        <v>45</v>
      </c>
      <c r="M28" s="12">
        <f>M24</f>
        <v>1</v>
      </c>
      <c r="N28" s="21" t="s">
        <v>45</v>
      </c>
    </row>
    <row r="29" spans="2:23">
      <c r="B29" s="16"/>
      <c r="C29" s="16"/>
      <c r="D29" s="19"/>
      <c r="E29" s="20"/>
      <c r="F29" s="21" t="s">
        <v>45</v>
      </c>
      <c r="G29" s="12">
        <v>4.0160642570281156E-3</v>
      </c>
      <c r="H29" s="12">
        <v>-1.472556894243641E-2</v>
      </c>
      <c r="I29" s="12">
        <v>7.6305220883534128E-2</v>
      </c>
      <c r="J29" s="25" t="s">
        <v>45</v>
      </c>
      <c r="K29" s="20"/>
      <c r="L29" s="21" t="s">
        <v>45</v>
      </c>
      <c r="M29" s="12">
        <f>M25</f>
        <v>1.08883</v>
      </c>
      <c r="N29" s="21" t="s">
        <v>45</v>
      </c>
    </row>
    <row r="30" spans="2:23">
      <c r="E30" s="14"/>
      <c r="F30" s="13"/>
      <c r="J30" s="26"/>
      <c r="K30" s="14"/>
      <c r="L30" s="13"/>
      <c r="N30" s="13"/>
    </row>
    <row r="31" spans="2:23">
      <c r="B31" s="16"/>
      <c r="C31" s="16" t="s">
        <v>36</v>
      </c>
      <c r="D31" s="19"/>
      <c r="E31" s="20"/>
      <c r="F31" s="21" t="s">
        <v>45</v>
      </c>
      <c r="G31" s="12">
        <f t="array" ref="G31:G33">MMULT(G27:I29, M27:M29)</f>
        <v>0.21267285140562264</v>
      </c>
      <c r="H31" s="25" t="s">
        <v>45</v>
      </c>
      <c r="K31" s="14"/>
      <c r="L31" s="13"/>
      <c r="N31" s="13"/>
    </row>
    <row r="32" spans="2:23">
      <c r="B32" s="16"/>
      <c r="C32" s="16" t="s">
        <v>37</v>
      </c>
      <c r="D32" s="19"/>
      <c r="E32" s="22" t="s">
        <v>1</v>
      </c>
      <c r="F32" s="21" t="s">
        <v>45</v>
      </c>
      <c r="G32" s="12">
        <v>0.71515215528781795</v>
      </c>
      <c r="H32" s="25" t="s">
        <v>45</v>
      </c>
      <c r="K32" s="14"/>
      <c r="L32" s="13"/>
      <c r="N32" s="13"/>
    </row>
    <row r="33" spans="1:14">
      <c r="B33" s="16"/>
      <c r="C33" s="16" t="s">
        <v>38</v>
      </c>
      <c r="D33" s="19"/>
      <c r="E33" s="20"/>
      <c r="F33" s="21" t="s">
        <v>45</v>
      </c>
      <c r="G33" s="12">
        <v>7.2174993306559576E-2</v>
      </c>
      <c r="H33" s="25" t="s">
        <v>45</v>
      </c>
      <c r="K33" s="14"/>
      <c r="L33" s="13"/>
      <c r="N33" s="13"/>
    </row>
    <row r="34" spans="1:14">
      <c r="K34" s="14"/>
      <c r="L34" s="13"/>
      <c r="N34" s="13"/>
    </row>
    <row r="35" spans="1:14">
      <c r="A35" t="s">
        <v>48</v>
      </c>
      <c r="B35" s="16"/>
      <c r="C35" s="16"/>
      <c r="D35" s="19"/>
      <c r="E35" s="20"/>
      <c r="F35" s="21" t="s">
        <v>45</v>
      </c>
      <c r="G35" s="23">
        <f>G31*G13</f>
        <v>0.41245643908969243</v>
      </c>
      <c r="H35" s="23">
        <f>G32*G16</f>
        <v>0.35757607764390897</v>
      </c>
      <c r="I35" s="24">
        <f>G33*G19</f>
        <v>0.18043748326639894</v>
      </c>
      <c r="J35" s="25" t="s">
        <v>45</v>
      </c>
      <c r="K35" s="4"/>
      <c r="L35" s="4"/>
    </row>
    <row r="36" spans="1:14">
      <c r="B36" s="16"/>
      <c r="C36" s="16"/>
      <c r="D36" s="17"/>
      <c r="E36" s="22" t="s">
        <v>1</v>
      </c>
      <c r="F36" s="21" t="s">
        <v>45</v>
      </c>
      <c r="G36" s="24">
        <f>G31*G14</f>
        <v>0.21267285140562264</v>
      </c>
      <c r="H36" s="24">
        <f>G32*G17</f>
        <v>0.71515215528781795</v>
      </c>
      <c r="I36" s="24">
        <f>G33*G20</f>
        <v>7.2174993306559576E-2</v>
      </c>
      <c r="J36" s="25" t="s">
        <v>45</v>
      </c>
    </row>
    <row r="37" spans="1:14">
      <c r="B37" s="16"/>
      <c r="C37" s="16"/>
      <c r="D37" s="19"/>
      <c r="E37" s="20"/>
      <c r="F37" s="21" t="s">
        <v>45</v>
      </c>
      <c r="G37" s="24">
        <f>G31*G15</f>
        <v>1.933389558232931E-2</v>
      </c>
      <c r="H37" s="24">
        <f>G32*G18</f>
        <v>0.11919202588130297</v>
      </c>
      <c r="I37" s="24">
        <f>G33*G21</f>
        <v>0.95030407853636789</v>
      </c>
      <c r="J37" s="25" t="s">
        <v>45</v>
      </c>
    </row>
  </sheetData>
  <hyperlinks>
    <hyperlink ref="I2" r:id="rId1" xr:uid="{5732DF6E-17D4-4DD4-8133-737301B4ECAD}"/>
    <hyperlink ref="I3" r:id="rId2" xr:uid="{0471D6EB-CAB2-4D31-B27B-199A971F17DF}"/>
    <hyperlink ref="I4" r:id="rId3" xr:uid="{53EE7835-A40F-4146-AEE4-A0F70DCBA7F0}"/>
  </hyperlinks>
  <pageMargins left="0.7" right="0.7" top="0.75" bottom="0.75" header="0.3" footer="0.3"/>
  <pageSetup paperSize="9" orientation="portrait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EB2C3-0253-426A-9381-6D93E0395399}">
  <dimension ref="A1:T37"/>
  <sheetViews>
    <sheetView topLeftCell="A4" workbookViewId="0">
      <selection activeCell="A35" sqref="A35"/>
    </sheetView>
  </sheetViews>
  <sheetFormatPr defaultRowHeight="15"/>
  <cols>
    <col min="1" max="1" width="21.28515625" customWidth="1"/>
    <col min="2" max="2" width="8.28515625" customWidth="1"/>
    <col min="3" max="3" width="7.42578125" customWidth="1"/>
    <col min="4" max="4" width="13.28515625" style="3" bestFit="1" customWidth="1"/>
    <col min="5" max="6" width="2" bestFit="1" customWidth="1"/>
    <col min="7" max="8" width="12.7109375" bestFit="1" customWidth="1"/>
    <col min="9" max="9" width="13.7109375" customWidth="1"/>
    <col min="10" max="10" width="3.7109375" bestFit="1" customWidth="1"/>
    <col min="11" max="12" width="2" bestFit="1" customWidth="1"/>
    <col min="14" max="14" width="2" bestFit="1" customWidth="1"/>
    <col min="17" max="17" width="9.28515625" customWidth="1"/>
  </cols>
  <sheetData>
    <row r="1" spans="1:20">
      <c r="E1" s="3"/>
      <c r="F1" s="3"/>
    </row>
    <row r="2" spans="1:20">
      <c r="A2" t="s">
        <v>8</v>
      </c>
      <c r="B2" s="7" t="s">
        <v>40</v>
      </c>
      <c r="C2" s="7" t="s">
        <v>30</v>
      </c>
      <c r="D2" s="8"/>
      <c r="E2" s="8"/>
      <c r="F2" s="8"/>
      <c r="G2" s="18">
        <v>1.0859920000000001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</row>
    <row r="3" spans="1:20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</row>
    <row r="4" spans="1:20">
      <c r="B4" s="7"/>
      <c r="C4" s="7" t="s">
        <v>32</v>
      </c>
      <c r="D4" s="8"/>
      <c r="E4" s="8"/>
      <c r="F4" s="8"/>
      <c r="G4" s="18">
        <v>0.40653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</row>
    <row r="5" spans="1:20">
      <c r="E5" s="3"/>
      <c r="F5" s="3"/>
      <c r="G5" s="6"/>
    </row>
    <row r="6" spans="1:20">
      <c r="A6" t="s">
        <v>7</v>
      </c>
      <c r="B6" s="7" t="s">
        <v>34</v>
      </c>
      <c r="C6" s="7" t="s">
        <v>25</v>
      </c>
      <c r="D6" s="8"/>
      <c r="E6" s="8"/>
      <c r="F6" s="8"/>
      <c r="G6" s="18">
        <v>0.64</v>
      </c>
    </row>
    <row r="7" spans="1:20">
      <c r="B7" s="7"/>
      <c r="C7" s="7" t="s">
        <v>26</v>
      </c>
      <c r="D7" s="8"/>
      <c r="E7" s="8"/>
      <c r="F7" s="8"/>
      <c r="G7" s="18">
        <v>0.33</v>
      </c>
    </row>
    <row r="8" spans="1:20">
      <c r="B8" s="7"/>
      <c r="C8" s="7" t="s">
        <v>29</v>
      </c>
      <c r="D8" s="8"/>
      <c r="E8" s="8"/>
      <c r="F8" s="8"/>
      <c r="G8" s="18">
        <v>0.3</v>
      </c>
    </row>
    <row r="9" spans="1:20">
      <c r="B9" s="7"/>
      <c r="C9" s="7" t="s">
        <v>35</v>
      </c>
      <c r="D9" s="8"/>
      <c r="E9" s="8"/>
      <c r="F9" s="8"/>
      <c r="G9" s="18">
        <v>0.6</v>
      </c>
    </row>
    <row r="10" spans="1:20">
      <c r="B10" s="7"/>
      <c r="C10" s="7" t="s">
        <v>27</v>
      </c>
      <c r="D10" s="8"/>
      <c r="E10" s="8"/>
      <c r="F10" s="8"/>
      <c r="G10" s="18">
        <v>0.15</v>
      </c>
    </row>
    <row r="11" spans="1:20">
      <c r="B11" s="7"/>
      <c r="C11" s="7" t="s">
        <v>28</v>
      </c>
      <c r="D11" s="8"/>
      <c r="E11" s="8"/>
      <c r="F11" s="8"/>
      <c r="G11" s="18">
        <v>0.06</v>
      </c>
    </row>
    <row r="12" spans="1:20">
      <c r="E12" s="3"/>
      <c r="F12" s="3"/>
      <c r="G12" s="6"/>
    </row>
    <row r="13" spans="1:20">
      <c r="B13" s="16"/>
      <c r="C13" s="16" t="s">
        <v>9</v>
      </c>
      <c r="D13" s="17" t="s">
        <v>10</v>
      </c>
      <c r="E13" s="17"/>
      <c r="F13" s="17"/>
      <c r="G13" s="12">
        <f>G6/G7</f>
        <v>1.9393939393939394</v>
      </c>
    </row>
    <row r="14" spans="1:20">
      <c r="B14" s="16"/>
      <c r="C14" s="16" t="s">
        <v>11</v>
      </c>
      <c r="D14" s="17" t="s">
        <v>18</v>
      </c>
      <c r="E14" s="17"/>
      <c r="F14" s="17"/>
      <c r="G14" s="12">
        <v>1</v>
      </c>
    </row>
    <row r="15" spans="1:20">
      <c r="B15" s="16"/>
      <c r="C15" s="16" t="s">
        <v>12</v>
      </c>
      <c r="D15" s="17" t="s">
        <v>13</v>
      </c>
      <c r="E15" s="17"/>
      <c r="F15" s="17"/>
      <c r="G15" s="12">
        <f>(1-G6-G7)/G7</f>
        <v>9.0909090909090814E-2</v>
      </c>
    </row>
    <row r="16" spans="1:20">
      <c r="B16" s="16"/>
      <c r="C16" s="16" t="s">
        <v>14</v>
      </c>
      <c r="D16" s="17" t="s">
        <v>15</v>
      </c>
      <c r="E16" s="17"/>
      <c r="F16" s="17"/>
      <c r="G16" s="12">
        <f>G8/G9</f>
        <v>0.5</v>
      </c>
    </row>
    <row r="17" spans="2:14">
      <c r="B17" s="16"/>
      <c r="C17" s="16" t="s">
        <v>16</v>
      </c>
      <c r="D17" s="17" t="s">
        <v>18</v>
      </c>
      <c r="E17" s="17"/>
      <c r="F17" s="17"/>
      <c r="G17" s="12">
        <v>1</v>
      </c>
    </row>
    <row r="18" spans="2:14">
      <c r="B18" s="16"/>
      <c r="C18" s="16" t="s">
        <v>17</v>
      </c>
      <c r="D18" s="17" t="s">
        <v>23</v>
      </c>
      <c r="E18" s="17"/>
      <c r="F18" s="17"/>
      <c r="G18" s="12">
        <f>(1-G8-G9)/G9</f>
        <v>0.16666666666666663</v>
      </c>
    </row>
    <row r="19" spans="2:14">
      <c r="B19" s="16"/>
      <c r="C19" s="16" t="s">
        <v>19</v>
      </c>
      <c r="D19" s="17" t="s">
        <v>22</v>
      </c>
      <c r="E19" s="17"/>
      <c r="F19" s="17"/>
      <c r="G19" s="12">
        <f>G10/G11</f>
        <v>2.5</v>
      </c>
    </row>
    <row r="20" spans="2:14">
      <c r="B20" s="16"/>
      <c r="C20" s="16" t="s">
        <v>20</v>
      </c>
      <c r="D20" s="17" t="s">
        <v>18</v>
      </c>
      <c r="E20" s="17"/>
      <c r="F20" s="17"/>
      <c r="G20" s="12">
        <v>1</v>
      </c>
    </row>
    <row r="21" spans="2:14">
      <c r="B21" s="16"/>
      <c r="C21" s="16" t="s">
        <v>21</v>
      </c>
      <c r="D21" s="17" t="s">
        <v>24</v>
      </c>
      <c r="E21" s="17"/>
      <c r="F21" s="17"/>
      <c r="G21" s="12">
        <f>(1-G10-G11)/G11</f>
        <v>13.166666666666668</v>
      </c>
    </row>
    <row r="23" spans="2:14">
      <c r="B23" s="16"/>
      <c r="C23" s="16"/>
      <c r="D23" s="19"/>
      <c r="E23" s="20"/>
      <c r="F23" s="27" t="s">
        <v>45</v>
      </c>
      <c r="G23" s="12">
        <f>G13</f>
        <v>1.9393939393939394</v>
      </c>
      <c r="H23" s="12">
        <f>G16</f>
        <v>0.5</v>
      </c>
      <c r="I23" s="12">
        <f>G19</f>
        <v>2.5</v>
      </c>
      <c r="J23" s="25" t="s">
        <v>46</v>
      </c>
      <c r="K23" s="20"/>
      <c r="L23" s="21" t="s">
        <v>45</v>
      </c>
      <c r="M23" s="12">
        <f>G2</f>
        <v>1.0859920000000001</v>
      </c>
      <c r="N23" s="21" t="s">
        <v>45</v>
      </c>
    </row>
    <row r="24" spans="2:14">
      <c r="B24" s="16"/>
      <c r="C24" s="16"/>
      <c r="D24" s="17"/>
      <c r="E24" s="22" t="s">
        <v>1</v>
      </c>
      <c r="F24" s="27" t="s">
        <v>45</v>
      </c>
      <c r="G24" s="12">
        <f>G14</f>
        <v>1</v>
      </c>
      <c r="H24" s="12">
        <f>G17</f>
        <v>1</v>
      </c>
      <c r="I24" s="12">
        <f>G20</f>
        <v>1</v>
      </c>
      <c r="J24" s="25" t="s">
        <v>47</v>
      </c>
      <c r="K24" s="20" t="s">
        <v>39</v>
      </c>
      <c r="L24" s="21" t="s">
        <v>45</v>
      </c>
      <c r="M24" s="12">
        <f>G3</f>
        <v>1</v>
      </c>
      <c r="N24" s="21" t="s">
        <v>45</v>
      </c>
    </row>
    <row r="25" spans="2:14">
      <c r="B25" s="16"/>
      <c r="C25" s="16"/>
      <c r="D25" s="19"/>
      <c r="E25" s="20"/>
      <c r="F25" s="27" t="s">
        <v>45</v>
      </c>
      <c r="G25" s="12">
        <f>G15</f>
        <v>9.0909090909090814E-2</v>
      </c>
      <c r="H25" s="12">
        <f>G18</f>
        <v>0.16666666666666663</v>
      </c>
      <c r="I25" s="12">
        <f>G21</f>
        <v>13.166666666666668</v>
      </c>
      <c r="J25" s="25" t="s">
        <v>47</v>
      </c>
      <c r="K25" s="20"/>
      <c r="L25" s="21" t="s">
        <v>45</v>
      </c>
      <c r="M25" s="12">
        <f>G4</f>
        <v>0.40653</v>
      </c>
      <c r="N25" s="21" t="s">
        <v>45</v>
      </c>
    </row>
    <row r="26" spans="2:14">
      <c r="E26" s="14"/>
      <c r="F26" s="28"/>
      <c r="J26" s="13"/>
      <c r="K26" s="14"/>
      <c r="L26" s="13"/>
      <c r="N26" s="13"/>
    </row>
    <row r="27" spans="2:14">
      <c r="B27" s="16"/>
      <c r="C27" s="16"/>
      <c r="D27" s="19"/>
      <c r="E27" s="20"/>
      <c r="F27" s="27" t="s">
        <v>45</v>
      </c>
      <c r="G27" s="12">
        <f t="array" ref="G27:I29" xml:space="preserve"> MINVERSE(G23:I25)</f>
        <v>0.68915662650602416</v>
      </c>
      <c r="H27" s="12">
        <v>-0.32690763052208832</v>
      </c>
      <c r="I27" s="12">
        <v>-0.10602409638554215</v>
      </c>
      <c r="J27" s="25" t="s">
        <v>45</v>
      </c>
      <c r="K27" s="20"/>
      <c r="L27" s="21" t="s">
        <v>45</v>
      </c>
      <c r="M27" s="12">
        <f>M23</f>
        <v>1.0859920000000001</v>
      </c>
      <c r="N27" s="21" t="s">
        <v>45</v>
      </c>
    </row>
    <row r="28" spans="2:14">
      <c r="B28" s="16"/>
      <c r="C28" s="16"/>
      <c r="D28" s="19"/>
      <c r="E28" s="20"/>
      <c r="F28" s="27" t="s">
        <v>45</v>
      </c>
      <c r="G28" s="12">
        <v>-0.69317269076305221</v>
      </c>
      <c r="H28" s="12">
        <v>1.3416331994645248</v>
      </c>
      <c r="I28" s="12">
        <v>2.9718875502008028E-2</v>
      </c>
      <c r="J28" s="25" t="s">
        <v>45</v>
      </c>
      <c r="K28" s="20" t="s">
        <v>39</v>
      </c>
      <c r="L28" s="21" t="s">
        <v>45</v>
      </c>
      <c r="M28" s="12">
        <f>M24</f>
        <v>1</v>
      </c>
      <c r="N28" s="21" t="s">
        <v>45</v>
      </c>
    </row>
    <row r="29" spans="2:14">
      <c r="B29" s="16"/>
      <c r="C29" s="16"/>
      <c r="D29" s="19"/>
      <c r="E29" s="20"/>
      <c r="F29" s="27" t="s">
        <v>45</v>
      </c>
      <c r="G29" s="12">
        <v>4.0160642570281156E-3</v>
      </c>
      <c r="H29" s="12">
        <v>-1.472556894243641E-2</v>
      </c>
      <c r="I29" s="12">
        <v>7.6305220883534128E-2</v>
      </c>
      <c r="J29" s="25" t="s">
        <v>45</v>
      </c>
      <c r="K29" s="20"/>
      <c r="L29" s="21" t="s">
        <v>45</v>
      </c>
      <c r="M29" s="12">
        <f>M25</f>
        <v>0.40653</v>
      </c>
      <c r="N29" s="21" t="s">
        <v>45</v>
      </c>
    </row>
    <row r="30" spans="2:14">
      <c r="E30" s="14"/>
      <c r="F30" s="28"/>
      <c r="J30" s="26"/>
      <c r="K30" s="14"/>
      <c r="L30" s="13"/>
      <c r="N30" s="13"/>
    </row>
    <row r="31" spans="2:14">
      <c r="B31" s="16"/>
      <c r="C31" s="16" t="s">
        <v>36</v>
      </c>
      <c r="D31" s="19"/>
      <c r="E31" s="20"/>
      <c r="F31" s="27" t="s">
        <v>45</v>
      </c>
      <c r="G31" s="12">
        <f t="array" ref="G31:G33">MMULT(G27:I29, M27:M29)</f>
        <v>0.37840897670682749</v>
      </c>
      <c r="H31" s="25" t="s">
        <v>45</v>
      </c>
      <c r="J31" s="3"/>
      <c r="K31" s="14"/>
      <c r="L31" s="13"/>
      <c r="N31" s="13"/>
    </row>
    <row r="32" spans="2:14">
      <c r="B32" s="16"/>
      <c r="C32" s="16" t="s">
        <v>37</v>
      </c>
      <c r="D32" s="19"/>
      <c r="E32" s="22" t="s">
        <v>1</v>
      </c>
      <c r="F32" s="27" t="s">
        <v>45</v>
      </c>
      <c r="G32" s="12">
        <v>0.60093481713520736</v>
      </c>
      <c r="H32" s="25" t="s">
        <v>45</v>
      </c>
      <c r="J32" s="3"/>
      <c r="K32" s="14"/>
      <c r="L32" s="13"/>
      <c r="N32" s="13"/>
    </row>
    <row r="33" spans="1:12">
      <c r="B33" s="16"/>
      <c r="C33" s="16" t="s">
        <v>38</v>
      </c>
      <c r="D33" s="19"/>
      <c r="E33" s="20"/>
      <c r="F33" s="27" t="s">
        <v>45</v>
      </c>
      <c r="G33" s="12">
        <v>2.0656206157965196E-2</v>
      </c>
      <c r="H33" s="25" t="s">
        <v>45</v>
      </c>
      <c r="J33" s="3"/>
      <c r="K33" s="14"/>
      <c r="L33" s="13"/>
    </row>
    <row r="34" spans="1:12">
      <c r="F34" s="29"/>
      <c r="J34" s="3"/>
      <c r="K34" s="14"/>
      <c r="L34" s="13"/>
    </row>
    <row r="35" spans="1:12">
      <c r="A35" t="s">
        <v>48</v>
      </c>
      <c r="B35" s="16"/>
      <c r="C35" s="16"/>
      <c r="D35" s="19"/>
      <c r="E35" s="20"/>
      <c r="F35" s="27" t="s">
        <v>45</v>
      </c>
      <c r="G35" s="23">
        <f>G31*G13</f>
        <v>0.73388407603748362</v>
      </c>
      <c r="H35" s="23">
        <f>G32*G16</f>
        <v>0.30046740856760368</v>
      </c>
      <c r="I35" s="24">
        <f>G33*G19</f>
        <v>5.1640515394912989E-2</v>
      </c>
      <c r="J35" s="25" t="s">
        <v>45</v>
      </c>
      <c r="K35" s="4"/>
      <c r="L35" s="4"/>
    </row>
    <row r="36" spans="1:12">
      <c r="B36" s="16"/>
      <c r="C36" s="16"/>
      <c r="D36" s="17"/>
      <c r="E36" s="22" t="s">
        <v>1</v>
      </c>
      <c r="F36" s="27" t="s">
        <v>45</v>
      </c>
      <c r="G36" s="24">
        <f>G31*G14</f>
        <v>0.37840897670682749</v>
      </c>
      <c r="H36" s="24">
        <f>G32*G17</f>
        <v>0.60093481713520736</v>
      </c>
      <c r="I36" s="24">
        <f>G33*G20</f>
        <v>2.0656206157965196E-2</v>
      </c>
      <c r="J36" s="25" t="s">
        <v>45</v>
      </c>
    </row>
    <row r="37" spans="1:12">
      <c r="B37" s="16"/>
      <c r="C37" s="16"/>
      <c r="D37" s="19"/>
      <c r="E37" s="20"/>
      <c r="F37" s="27" t="s">
        <v>45</v>
      </c>
      <c r="G37" s="24">
        <f>G31*G15</f>
        <v>3.440081606425701E-2</v>
      </c>
      <c r="H37" s="24">
        <f>G32*G18</f>
        <v>0.10015580285586786</v>
      </c>
      <c r="I37" s="24">
        <f>G33*G21</f>
        <v>0.27197338107987512</v>
      </c>
      <c r="J37" s="25" t="s">
        <v>45</v>
      </c>
    </row>
  </sheetData>
  <hyperlinks>
    <hyperlink ref="I2" r:id="rId1" xr:uid="{A4ED7FE1-274E-48D6-99BD-C4A0AF81A30A}"/>
    <hyperlink ref="I3" r:id="rId2" xr:uid="{896814F1-DA44-4F60-BA23-B026C2D6E80D}"/>
    <hyperlink ref="I4" r:id="rId3" xr:uid="{66178CCC-155E-4173-9677-F11C192BBC4E}"/>
  </hyperlinks>
  <pageMargins left="0.7" right="0.7" top="0.75" bottom="0.75" header="0.3" footer="0.3"/>
  <pageSetup paperSize="9" orientation="portrait" verticalDpi="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26B1C-880C-455A-9817-FCCD5E07CC30}">
  <dimension ref="A1:T37"/>
  <sheetViews>
    <sheetView workbookViewId="0">
      <selection activeCell="P16" sqref="P16"/>
    </sheetView>
  </sheetViews>
  <sheetFormatPr defaultRowHeight="15"/>
  <cols>
    <col min="1" max="1" width="21.28515625" customWidth="1"/>
    <col min="2" max="2" width="8.28515625" customWidth="1"/>
    <col min="3" max="3" width="7.42578125" customWidth="1"/>
    <col min="4" max="4" width="13.28515625" style="3" bestFit="1" customWidth="1"/>
    <col min="5" max="6" width="2" bestFit="1" customWidth="1"/>
    <col min="7" max="8" width="12.7109375" bestFit="1" customWidth="1"/>
    <col min="9" max="9" width="13.7109375" customWidth="1"/>
    <col min="10" max="10" width="3.7109375" bestFit="1" customWidth="1"/>
    <col min="11" max="12" width="2" bestFit="1" customWidth="1"/>
    <col min="14" max="14" width="2" bestFit="1" customWidth="1"/>
    <col min="17" max="17" width="9.28515625" customWidth="1"/>
  </cols>
  <sheetData>
    <row r="1" spans="1:20">
      <c r="E1" s="3"/>
      <c r="F1" s="3"/>
    </row>
    <row r="2" spans="1:20">
      <c r="A2" t="s">
        <v>8</v>
      </c>
      <c r="B2" s="7" t="s">
        <v>40</v>
      </c>
      <c r="C2" s="7" t="s">
        <v>30</v>
      </c>
      <c r="D2" s="8"/>
      <c r="E2" s="8"/>
      <c r="F2" s="8"/>
      <c r="G2" s="18">
        <v>1.0859920000000001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</row>
    <row r="3" spans="1:20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</row>
    <row r="4" spans="1:20">
      <c r="B4" s="7"/>
      <c r="C4" s="7" t="s">
        <v>32</v>
      </c>
      <c r="D4" s="8"/>
      <c r="E4" s="8"/>
      <c r="F4" s="8"/>
      <c r="G4" s="18">
        <v>0.40653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</row>
    <row r="5" spans="1:20">
      <c r="E5" s="3"/>
      <c r="F5" s="3"/>
      <c r="G5" s="6"/>
    </row>
    <row r="6" spans="1:20">
      <c r="A6" t="s">
        <v>7</v>
      </c>
      <c r="B6" s="7" t="s">
        <v>41</v>
      </c>
      <c r="C6" s="7" t="s">
        <v>25</v>
      </c>
      <c r="D6" s="8"/>
      <c r="E6" s="8"/>
      <c r="F6" s="8"/>
      <c r="G6" s="18">
        <v>0.58269199999999999</v>
      </c>
    </row>
    <row r="7" spans="1:20">
      <c r="B7" s="7"/>
      <c r="C7" s="7" t="s">
        <v>26</v>
      </c>
      <c r="D7" s="8"/>
      <c r="E7" s="8"/>
      <c r="F7" s="8"/>
      <c r="G7" s="18">
        <v>0.38291900000000001</v>
      </c>
    </row>
    <row r="8" spans="1:20">
      <c r="B8" s="7"/>
      <c r="C8" s="7" t="s">
        <v>29</v>
      </c>
      <c r="D8" s="8"/>
      <c r="E8" s="8"/>
      <c r="F8" s="8"/>
      <c r="G8" s="18">
        <v>0.28323300000000001</v>
      </c>
    </row>
    <row r="9" spans="1:20">
      <c r="B9" s="7"/>
      <c r="C9" s="7" t="s">
        <v>35</v>
      </c>
      <c r="D9" s="8"/>
      <c r="E9" s="8"/>
      <c r="F9" s="8"/>
      <c r="G9" s="18">
        <v>0.52566999999999997</v>
      </c>
    </row>
    <row r="10" spans="1:20">
      <c r="B10" s="7"/>
      <c r="C10" s="7" t="s">
        <v>27</v>
      </c>
      <c r="D10" s="8"/>
      <c r="E10" s="8"/>
      <c r="F10" s="8"/>
      <c r="G10" s="18">
        <v>0.14455999999999999</v>
      </c>
    </row>
    <row r="11" spans="1:20">
      <c r="B11" s="7"/>
      <c r="C11" s="7" t="s">
        <v>28</v>
      </c>
      <c r="D11" s="8"/>
      <c r="E11" s="8"/>
      <c r="F11" s="8"/>
      <c r="G11" s="18">
        <v>0.13417499999999999</v>
      </c>
    </row>
    <row r="12" spans="1:20">
      <c r="E12" s="3"/>
      <c r="F12" s="3"/>
      <c r="G12" s="6"/>
    </row>
    <row r="13" spans="1:20">
      <c r="B13" s="16"/>
      <c r="C13" s="16" t="s">
        <v>9</v>
      </c>
      <c r="D13" s="17" t="s">
        <v>10</v>
      </c>
      <c r="E13" s="17"/>
      <c r="F13" s="17"/>
      <c r="G13" s="12">
        <f>G6/G7</f>
        <v>1.5217108579098972</v>
      </c>
    </row>
    <row r="14" spans="1:20">
      <c r="B14" s="16"/>
      <c r="C14" s="16" t="s">
        <v>11</v>
      </c>
      <c r="D14" s="17" t="s">
        <v>18</v>
      </c>
      <c r="E14" s="17"/>
      <c r="F14" s="17"/>
      <c r="G14" s="12">
        <v>1</v>
      </c>
    </row>
    <row r="15" spans="1:20">
      <c r="B15" s="16"/>
      <c r="C15" s="16" t="s">
        <v>12</v>
      </c>
      <c r="D15" s="17" t="s">
        <v>13</v>
      </c>
      <c r="E15" s="17"/>
      <c r="F15" s="17"/>
      <c r="G15" s="12">
        <f>(1-G6-G7)/G7</f>
        <v>8.9807504981471289E-2</v>
      </c>
    </row>
    <row r="16" spans="1:20">
      <c r="B16" s="16"/>
      <c r="C16" s="16" t="s">
        <v>14</v>
      </c>
      <c r="D16" s="17" t="s">
        <v>15</v>
      </c>
      <c r="E16" s="17"/>
      <c r="F16" s="17"/>
      <c r="G16" s="12">
        <f>G8/G9</f>
        <v>0.53880381227766472</v>
      </c>
    </row>
    <row r="17" spans="2:14">
      <c r="B17" s="16"/>
      <c r="C17" s="16" t="s">
        <v>16</v>
      </c>
      <c r="D17" s="17" t="s">
        <v>18</v>
      </c>
      <c r="E17" s="17"/>
      <c r="F17" s="17"/>
      <c r="G17" s="12">
        <v>1</v>
      </c>
    </row>
    <row r="18" spans="2:14">
      <c r="B18" s="16"/>
      <c r="C18" s="16" t="s">
        <v>17</v>
      </c>
      <c r="D18" s="17" t="s">
        <v>23</v>
      </c>
      <c r="E18" s="17"/>
      <c r="F18" s="17"/>
      <c r="G18" s="12">
        <f>(1-G8-G9)/G9</f>
        <v>0.36353035174158688</v>
      </c>
    </row>
    <row r="19" spans="2:14">
      <c r="B19" s="16"/>
      <c r="C19" s="16" t="s">
        <v>19</v>
      </c>
      <c r="D19" s="17" t="s">
        <v>22</v>
      </c>
      <c r="E19" s="17"/>
      <c r="F19" s="17"/>
      <c r="G19" s="12">
        <f>G10/G11</f>
        <v>1.0773989193217812</v>
      </c>
    </row>
    <row r="20" spans="2:14">
      <c r="B20" s="16"/>
      <c r="C20" s="16" t="s">
        <v>20</v>
      </c>
      <c r="D20" s="17" t="s">
        <v>18</v>
      </c>
      <c r="E20" s="17"/>
      <c r="F20" s="17"/>
      <c r="G20" s="12">
        <v>1</v>
      </c>
    </row>
    <row r="21" spans="2:14">
      <c r="B21" s="16"/>
      <c r="C21" s="16" t="s">
        <v>21</v>
      </c>
      <c r="D21" s="17" t="s">
        <v>24</v>
      </c>
      <c r="E21" s="17"/>
      <c r="F21" s="17"/>
      <c r="G21" s="12">
        <f>(1-G10-G11)/G11</f>
        <v>5.3755543133966839</v>
      </c>
    </row>
    <row r="23" spans="2:14">
      <c r="B23" s="16"/>
      <c r="C23" s="16"/>
      <c r="D23" s="19"/>
      <c r="E23" s="20"/>
      <c r="F23" s="27" t="s">
        <v>45</v>
      </c>
      <c r="G23" s="12">
        <f>G13</f>
        <v>1.5217108579098972</v>
      </c>
      <c r="H23" s="12">
        <f>G16</f>
        <v>0.53880381227766472</v>
      </c>
      <c r="I23" s="12">
        <f>G19</f>
        <v>1.0773989193217812</v>
      </c>
      <c r="J23" s="25" t="s">
        <v>46</v>
      </c>
      <c r="K23" s="20"/>
      <c r="L23" s="21" t="s">
        <v>45</v>
      </c>
      <c r="M23" s="12">
        <f>G2</f>
        <v>1.0859920000000001</v>
      </c>
      <c r="N23" s="21" t="s">
        <v>45</v>
      </c>
    </row>
    <row r="24" spans="2:14">
      <c r="B24" s="16"/>
      <c r="C24" s="16"/>
      <c r="D24" s="17"/>
      <c r="E24" s="22" t="s">
        <v>1</v>
      </c>
      <c r="F24" s="27" t="s">
        <v>45</v>
      </c>
      <c r="G24" s="12">
        <f>G14</f>
        <v>1</v>
      </c>
      <c r="H24" s="12">
        <f>G17</f>
        <v>1</v>
      </c>
      <c r="I24" s="12">
        <f>G20</f>
        <v>1</v>
      </c>
      <c r="J24" s="25" t="s">
        <v>47</v>
      </c>
      <c r="K24" s="20" t="s">
        <v>39</v>
      </c>
      <c r="L24" s="21" t="s">
        <v>45</v>
      </c>
      <c r="M24" s="12">
        <f>G3</f>
        <v>1</v>
      </c>
      <c r="N24" s="21" t="s">
        <v>45</v>
      </c>
    </row>
    <row r="25" spans="2:14">
      <c r="B25" s="16"/>
      <c r="C25" s="16"/>
      <c r="D25" s="19"/>
      <c r="E25" s="20"/>
      <c r="F25" s="27" t="s">
        <v>45</v>
      </c>
      <c r="G25" s="12">
        <f>G15</f>
        <v>8.9807504981471289E-2</v>
      </c>
      <c r="H25" s="12">
        <f>G18</f>
        <v>0.36353035174158688</v>
      </c>
      <c r="I25" s="12">
        <f>G21</f>
        <v>5.3755543133966839</v>
      </c>
      <c r="J25" s="25" t="s">
        <v>47</v>
      </c>
      <c r="K25" s="20"/>
      <c r="L25" s="21" t="s">
        <v>45</v>
      </c>
      <c r="M25" s="12">
        <f>G4</f>
        <v>0.40653</v>
      </c>
      <c r="N25" s="21" t="s">
        <v>45</v>
      </c>
    </row>
    <row r="26" spans="2:14">
      <c r="E26" s="14"/>
      <c r="F26" s="28"/>
      <c r="J26" s="13"/>
      <c r="K26" s="14"/>
      <c r="L26" s="13"/>
      <c r="N26" s="13"/>
    </row>
    <row r="27" spans="2:14">
      <c r="B27" s="16"/>
      <c r="C27" s="16"/>
      <c r="D27" s="19"/>
      <c r="E27" s="20"/>
      <c r="F27" s="27" t="s">
        <v>45</v>
      </c>
      <c r="G27" s="12">
        <f t="array" ref="G27:I29" xml:space="preserve"> MINVERSE(G23:I25)</f>
        <v>0.98782850344914874</v>
      </c>
      <c r="H27" s="12">
        <v>-0.49365605528865458</v>
      </c>
      <c r="I27" s="12">
        <v>-0.10615264464552375</v>
      </c>
      <c r="J27" s="25" t="s">
        <v>45</v>
      </c>
      <c r="K27" s="20"/>
      <c r="L27" s="21" t="s">
        <v>45</v>
      </c>
      <c r="M27" s="12">
        <f>M23</f>
        <v>1.0859920000000001</v>
      </c>
      <c r="N27" s="21" t="s">
        <v>45</v>
      </c>
    </row>
    <row r="28" spans="2:14">
      <c r="B28" s="16"/>
      <c r="C28" s="16"/>
      <c r="D28" s="19"/>
      <c r="E28" s="20"/>
      <c r="F28" s="27" t="s">
        <v>45</v>
      </c>
      <c r="G28" s="12">
        <v>-1.0417770144984844</v>
      </c>
      <c r="H28" s="12">
        <v>1.5931478566708048</v>
      </c>
      <c r="I28" s="12">
        <v>-8.757021129945905E-2</v>
      </c>
      <c r="J28" s="25" t="s">
        <v>45</v>
      </c>
      <c r="K28" s="20" t="s">
        <v>39</v>
      </c>
      <c r="L28" s="21" t="s">
        <v>45</v>
      </c>
      <c r="M28" s="12">
        <f>M24</f>
        <v>1</v>
      </c>
      <c r="N28" s="21" t="s">
        <v>45</v>
      </c>
    </row>
    <row r="29" spans="2:14">
      <c r="B29" s="16"/>
      <c r="C29" s="16"/>
      <c r="D29" s="19"/>
      <c r="E29" s="20"/>
      <c r="F29" s="27" t="s">
        <v>45</v>
      </c>
      <c r="G29" s="12">
        <v>5.3948511049335769E-2</v>
      </c>
      <c r="H29" s="12">
        <v>-9.9491801382150191E-2</v>
      </c>
      <c r="I29" s="12">
        <v>0.19372285594498279</v>
      </c>
      <c r="J29" s="25" t="s">
        <v>45</v>
      </c>
      <c r="K29" s="20"/>
      <c r="L29" s="21" t="s">
        <v>45</v>
      </c>
      <c r="M29" s="12">
        <f>M25</f>
        <v>0.40653</v>
      </c>
      <c r="N29" s="21" t="s">
        <v>45</v>
      </c>
    </row>
    <row r="30" spans="2:14">
      <c r="E30" s="14"/>
      <c r="F30" s="28"/>
      <c r="J30" s="26"/>
      <c r="K30" s="14"/>
      <c r="L30" s="13"/>
      <c r="N30" s="13"/>
    </row>
    <row r="31" spans="2:14">
      <c r="B31" s="16"/>
      <c r="C31" s="16" t="s">
        <v>36</v>
      </c>
      <c r="D31" s="19"/>
      <c r="E31" s="20"/>
      <c r="F31" s="27" t="s">
        <v>45</v>
      </c>
      <c r="G31" s="12">
        <f t="array" ref="G31:G33">MMULT(G27:I29, M27:M29)</f>
        <v>0.53596356220134866</v>
      </c>
      <c r="H31" s="25" t="s">
        <v>45</v>
      </c>
      <c r="J31" s="3"/>
      <c r="K31" s="14"/>
      <c r="L31" s="13"/>
      <c r="N31" s="13"/>
    </row>
    <row r="32" spans="2:14">
      <c r="B32" s="16"/>
      <c r="C32" s="16" t="s">
        <v>37</v>
      </c>
      <c r="D32" s="19"/>
      <c r="E32" s="22" t="s">
        <v>1</v>
      </c>
      <c r="F32" s="27" t="s">
        <v>45</v>
      </c>
      <c r="G32" s="12">
        <v>0.42618643514199761</v>
      </c>
      <c r="H32" s="25" t="s">
        <v>45</v>
      </c>
      <c r="J32" s="3"/>
      <c r="K32" s="14"/>
      <c r="L32" s="13"/>
      <c r="N32" s="13"/>
    </row>
    <row r="33" spans="1:12">
      <c r="B33" s="16"/>
      <c r="C33" s="16" t="s">
        <v>38</v>
      </c>
      <c r="D33" s="19"/>
      <c r="E33" s="20"/>
      <c r="F33" s="27" t="s">
        <v>45</v>
      </c>
      <c r="G33" s="12">
        <v>3.7850002656653912E-2</v>
      </c>
      <c r="H33" s="25" t="s">
        <v>45</v>
      </c>
      <c r="J33" s="3"/>
      <c r="K33" s="14"/>
      <c r="L33" s="13"/>
    </row>
    <row r="34" spans="1:12">
      <c r="F34" s="29"/>
      <c r="J34" s="3"/>
      <c r="K34" s="14"/>
      <c r="L34" s="13"/>
    </row>
    <row r="35" spans="1:12">
      <c r="A35" t="s">
        <v>48</v>
      </c>
      <c r="B35" s="16"/>
      <c r="C35" s="16"/>
      <c r="D35" s="19"/>
      <c r="E35" s="20"/>
      <c r="F35" s="27" t="s">
        <v>45</v>
      </c>
      <c r="G35" s="23">
        <f>G31*G13</f>
        <v>0.8155815720458589</v>
      </c>
      <c r="H35" s="23">
        <f>G32*G16</f>
        <v>0.229630875995536</v>
      </c>
      <c r="I35" s="24">
        <f>G33*G19</f>
        <v>4.0779551958605477E-2</v>
      </c>
      <c r="J35" s="25" t="s">
        <v>45</v>
      </c>
      <c r="K35" s="4"/>
      <c r="L35" s="4"/>
    </row>
    <row r="36" spans="1:12">
      <c r="B36" s="16"/>
      <c r="C36" s="16"/>
      <c r="D36" s="17"/>
      <c r="E36" s="22" t="s">
        <v>1</v>
      </c>
      <c r="F36" s="27" t="s">
        <v>45</v>
      </c>
      <c r="G36" s="24">
        <f>G31*G14</f>
        <v>0.53596356220134866</v>
      </c>
      <c r="H36" s="24">
        <f>G32*G17</f>
        <v>0.42618643514199761</v>
      </c>
      <c r="I36" s="24">
        <f>G33*G20</f>
        <v>3.7850002656653912E-2</v>
      </c>
      <c r="J36" s="25" t="s">
        <v>45</v>
      </c>
    </row>
    <row r="37" spans="1:12">
      <c r="B37" s="16"/>
      <c r="C37" s="16"/>
      <c r="D37" s="19"/>
      <c r="E37" s="20"/>
      <c r="F37" s="27" t="s">
        <v>45</v>
      </c>
      <c r="G37" s="24">
        <f>G31*G15</f>
        <v>4.8133550282284721E-2</v>
      </c>
      <c r="H37" s="24">
        <f>G32*G18</f>
        <v>0.15493170467466338</v>
      </c>
      <c r="I37" s="24">
        <f>G33*G21</f>
        <v>0.20346474504305187</v>
      </c>
      <c r="J37" s="25" t="s">
        <v>45</v>
      </c>
    </row>
  </sheetData>
  <hyperlinks>
    <hyperlink ref="I2" r:id="rId1" xr:uid="{DF4AFBE5-AE15-4BE0-AAE0-E1EC54E06888}"/>
    <hyperlink ref="I3" r:id="rId2" xr:uid="{16AB387B-4A48-4A12-BA6C-2F7B9B6B680B}"/>
    <hyperlink ref="I4" r:id="rId3" xr:uid="{F3763174-80E6-4AA0-9B6F-0400294E914C}"/>
  </hyperlinks>
  <pageMargins left="0.7" right="0.7" top="0.75" bottom="0.75" header="0.3" footer="0.3"/>
  <pageSetup paperSize="9" orientation="portrait" verticalDpi="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88B9-45FE-4DD4-A622-90E7926C1542}">
  <dimension ref="A1:T55"/>
  <sheetViews>
    <sheetView topLeftCell="A19" workbookViewId="0">
      <selection activeCell="P45" sqref="P45"/>
    </sheetView>
  </sheetViews>
  <sheetFormatPr defaultRowHeight="15"/>
  <cols>
    <col min="1" max="1" width="21.28515625" customWidth="1"/>
    <col min="2" max="2" width="8.28515625" customWidth="1"/>
    <col min="3" max="3" width="9.28515625" bestFit="1" customWidth="1"/>
    <col min="4" max="4" width="13.28515625" style="3" bestFit="1" customWidth="1"/>
    <col min="5" max="6" width="2" bestFit="1" customWidth="1"/>
    <col min="7" max="7" width="13.42578125" bestFit="1" customWidth="1"/>
    <col min="8" max="8" width="12.7109375" bestFit="1" customWidth="1"/>
    <col min="9" max="9" width="13.7109375" customWidth="1"/>
    <col min="10" max="10" width="3.7109375" bestFit="1" customWidth="1"/>
    <col min="11" max="12" width="2" bestFit="1" customWidth="1"/>
    <col min="14" max="14" width="2" bestFit="1" customWidth="1"/>
    <col min="17" max="17" width="9.28515625" customWidth="1"/>
  </cols>
  <sheetData>
    <row r="1" spans="1:20">
      <c r="E1" s="3"/>
      <c r="F1" s="3"/>
    </row>
    <row r="2" spans="1:20">
      <c r="A2" t="s">
        <v>8</v>
      </c>
      <c r="B2" s="7" t="s">
        <v>33</v>
      </c>
      <c r="C2" s="7" t="s">
        <v>30</v>
      </c>
      <c r="D2" s="8"/>
      <c r="E2" s="8"/>
      <c r="F2" s="8"/>
      <c r="G2" s="18">
        <v>0.95047000000000004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</row>
    <row r="3" spans="1:20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</row>
    <row r="4" spans="1:20">
      <c r="B4" s="7"/>
      <c r="C4" s="7" t="s">
        <v>32</v>
      </c>
      <c r="D4" s="8"/>
      <c r="E4" s="8"/>
      <c r="F4" s="8"/>
      <c r="G4" s="18">
        <v>1.08883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</row>
    <row r="5" spans="1:20">
      <c r="E5" s="3"/>
      <c r="F5" s="3"/>
      <c r="G5" s="6"/>
    </row>
    <row r="6" spans="1:20">
      <c r="A6" t="s">
        <v>7</v>
      </c>
      <c r="B6" s="7" t="s">
        <v>41</v>
      </c>
      <c r="C6" s="7" t="s">
        <v>25</v>
      </c>
      <c r="D6" s="8"/>
      <c r="E6" s="8"/>
      <c r="F6" s="8"/>
      <c r="G6" s="18">
        <v>0.58269199999999999</v>
      </c>
    </row>
    <row r="7" spans="1:20">
      <c r="B7" s="7"/>
      <c r="C7" s="7" t="s">
        <v>26</v>
      </c>
      <c r="D7" s="8"/>
      <c r="E7" s="8"/>
      <c r="F7" s="8"/>
      <c r="G7" s="18">
        <v>0.38291900000000001</v>
      </c>
    </row>
    <row r="8" spans="1:20">
      <c r="B8" s="7"/>
      <c r="C8" s="7" t="s">
        <v>289</v>
      </c>
      <c r="D8" s="8"/>
      <c r="E8" s="8"/>
      <c r="F8" s="8"/>
      <c r="G8" s="18">
        <v>3.4389000000000003E-2</v>
      </c>
    </row>
    <row r="9" spans="1:20">
      <c r="B9" s="7"/>
      <c r="C9" s="7" t="s">
        <v>29</v>
      </c>
      <c r="D9" s="8"/>
      <c r="E9" s="8"/>
      <c r="F9" s="8"/>
      <c r="G9" s="18">
        <v>0.28323300000000001</v>
      </c>
    </row>
    <row r="10" spans="1:20">
      <c r="B10" s="7"/>
      <c r="C10" s="7" t="s">
        <v>35</v>
      </c>
      <c r="D10" s="8"/>
      <c r="E10" s="8"/>
      <c r="F10" s="8"/>
      <c r="G10" s="18">
        <v>0.52566999999999997</v>
      </c>
    </row>
    <row r="11" spans="1:20">
      <c r="B11" s="7"/>
      <c r="C11" s="7" t="s">
        <v>290</v>
      </c>
      <c r="D11" s="8"/>
      <c r="E11" s="8"/>
      <c r="F11" s="8"/>
      <c r="G11" s="18">
        <v>0.19109699999999999</v>
      </c>
    </row>
    <row r="12" spans="1:20">
      <c r="B12" s="7"/>
      <c r="C12" s="7" t="s">
        <v>27</v>
      </c>
      <c r="D12" s="8"/>
      <c r="E12" s="8"/>
      <c r="F12" s="8"/>
      <c r="G12" s="18">
        <v>0.19189700000000001</v>
      </c>
    </row>
    <row r="13" spans="1:20">
      <c r="B13" s="7"/>
      <c r="C13" s="7" t="s">
        <v>28</v>
      </c>
      <c r="D13" s="8"/>
      <c r="E13" s="8"/>
      <c r="F13" s="8"/>
      <c r="G13" s="18">
        <v>0.17811099999999999</v>
      </c>
    </row>
    <row r="14" spans="1:20">
      <c r="B14" s="7"/>
      <c r="C14" s="7" t="s">
        <v>291</v>
      </c>
      <c r="D14" s="8"/>
      <c r="E14" s="8"/>
      <c r="F14" s="8"/>
      <c r="G14" s="18">
        <v>0.629992</v>
      </c>
    </row>
    <row r="15" spans="1:20">
      <c r="E15" s="3"/>
      <c r="F15" s="3"/>
      <c r="G15" s="6"/>
    </row>
    <row r="16" spans="1:20">
      <c r="B16" s="16"/>
      <c r="C16" s="16" t="s">
        <v>9</v>
      </c>
      <c r="D16" s="17" t="s">
        <v>10</v>
      </c>
      <c r="E16" s="17"/>
      <c r="F16" s="17"/>
      <c r="G16" s="12">
        <f>G6/G7</f>
        <v>1.5217108579098972</v>
      </c>
    </row>
    <row r="17" spans="2:14">
      <c r="B17" s="16"/>
      <c r="C17" s="16" t="s">
        <v>11</v>
      </c>
      <c r="D17" s="17" t="s">
        <v>18</v>
      </c>
      <c r="E17" s="17"/>
      <c r="F17" s="17"/>
      <c r="G17" s="12">
        <v>1</v>
      </c>
    </row>
    <row r="18" spans="2:14">
      <c r="B18" s="16"/>
      <c r="C18" s="16" t="s">
        <v>12</v>
      </c>
      <c r="D18" s="17" t="s">
        <v>13</v>
      </c>
      <c r="E18" s="17"/>
      <c r="F18" s="17"/>
      <c r="G18" s="12">
        <f>(1-G6-G7)/G7</f>
        <v>8.9807504981471289E-2</v>
      </c>
    </row>
    <row r="19" spans="2:14">
      <c r="B19" s="16"/>
      <c r="C19" s="16" t="s">
        <v>14</v>
      </c>
      <c r="D19" s="17" t="s">
        <v>15</v>
      </c>
      <c r="E19" s="17"/>
      <c r="F19" s="17"/>
      <c r="G19" s="12">
        <f>G9/G10</f>
        <v>0.53880381227766472</v>
      </c>
    </row>
    <row r="20" spans="2:14">
      <c r="B20" s="16"/>
      <c r="C20" s="16" t="s">
        <v>16</v>
      </c>
      <c r="D20" s="17" t="s">
        <v>18</v>
      </c>
      <c r="E20" s="17"/>
      <c r="F20" s="17"/>
      <c r="G20" s="12">
        <v>1</v>
      </c>
    </row>
    <row r="21" spans="2:14">
      <c r="B21" s="16"/>
      <c r="C21" s="16" t="s">
        <v>17</v>
      </c>
      <c r="D21" s="17" t="s">
        <v>23</v>
      </c>
      <c r="E21" s="17"/>
      <c r="F21" s="17"/>
      <c r="G21" s="12">
        <f>(1-G9-G10)/G10</f>
        <v>0.36353035174158688</v>
      </c>
    </row>
    <row r="22" spans="2:14">
      <c r="B22" s="16"/>
      <c r="C22" s="16" t="s">
        <v>19</v>
      </c>
      <c r="D22" s="17" t="s">
        <v>22</v>
      </c>
      <c r="E22" s="17"/>
      <c r="F22" s="17"/>
      <c r="G22" s="12">
        <f>G12/G13</f>
        <v>1.07740117117977</v>
      </c>
    </row>
    <row r="23" spans="2:14">
      <c r="B23" s="16"/>
      <c r="C23" s="16" t="s">
        <v>20</v>
      </c>
      <c r="D23" s="17" t="s">
        <v>18</v>
      </c>
      <c r="E23" s="17"/>
      <c r="F23" s="17"/>
      <c r="G23" s="12">
        <v>1</v>
      </c>
    </row>
    <row r="24" spans="2:14">
      <c r="B24" s="16"/>
      <c r="C24" s="16" t="s">
        <v>21</v>
      </c>
      <c r="D24" s="17" t="s">
        <v>24</v>
      </c>
      <c r="E24" s="17"/>
      <c r="F24" s="17"/>
      <c r="G24" s="12">
        <f>(1-G12-G13)/G13</f>
        <v>3.5370751946819681</v>
      </c>
    </row>
    <row r="26" spans="2:14">
      <c r="B26" s="16"/>
      <c r="C26" s="16"/>
      <c r="D26" s="19"/>
      <c r="E26" s="20"/>
      <c r="F26" s="27" t="s">
        <v>45</v>
      </c>
      <c r="G26" s="12">
        <f>G16</f>
        <v>1.5217108579098972</v>
      </c>
      <c r="H26" s="12">
        <f>G19</f>
        <v>0.53880381227766472</v>
      </c>
      <c r="I26" s="12">
        <f>G22</f>
        <v>1.07740117117977</v>
      </c>
      <c r="J26" s="25" t="s">
        <v>46</v>
      </c>
      <c r="K26" s="20"/>
      <c r="L26" s="21" t="s">
        <v>45</v>
      </c>
      <c r="M26" s="12">
        <f>G2</f>
        <v>0.95047000000000004</v>
      </c>
      <c r="N26" s="21" t="s">
        <v>45</v>
      </c>
    </row>
    <row r="27" spans="2:14">
      <c r="B27" s="16"/>
      <c r="C27" s="16"/>
      <c r="D27" s="17"/>
      <c r="E27" s="22" t="s">
        <v>1</v>
      </c>
      <c r="F27" s="27" t="s">
        <v>45</v>
      </c>
      <c r="G27" s="12">
        <f>G17</f>
        <v>1</v>
      </c>
      <c r="H27" s="12">
        <f>G20</f>
        <v>1</v>
      </c>
      <c r="I27" s="12">
        <f>G23</f>
        <v>1</v>
      </c>
      <c r="J27" s="25" t="s">
        <v>47</v>
      </c>
      <c r="K27" s="20" t="s">
        <v>39</v>
      </c>
      <c r="L27" s="21" t="s">
        <v>45</v>
      </c>
      <c r="M27" s="12">
        <f>G3</f>
        <v>1</v>
      </c>
      <c r="N27" s="21" t="s">
        <v>45</v>
      </c>
    </row>
    <row r="28" spans="2:14">
      <c r="B28" s="16"/>
      <c r="C28" s="16"/>
      <c r="D28" s="19"/>
      <c r="E28" s="20"/>
      <c r="F28" s="27" t="s">
        <v>45</v>
      </c>
      <c r="G28" s="12">
        <f>G18</f>
        <v>8.9807504981471289E-2</v>
      </c>
      <c r="H28" s="12">
        <f>G21</f>
        <v>0.36353035174158688</v>
      </c>
      <c r="I28" s="12">
        <f>G24</f>
        <v>3.5370751946819681</v>
      </c>
      <c r="J28" s="25" t="s">
        <v>47</v>
      </c>
      <c r="K28" s="20"/>
      <c r="L28" s="21" t="s">
        <v>45</v>
      </c>
      <c r="M28" s="12">
        <f>G4</f>
        <v>1.08883</v>
      </c>
      <c r="N28" s="21" t="s">
        <v>45</v>
      </c>
    </row>
    <row r="29" spans="2:14">
      <c r="E29" s="14"/>
      <c r="F29" s="28"/>
      <c r="J29" s="13"/>
      <c r="K29" s="14"/>
      <c r="L29" s="13"/>
      <c r="N29" s="13"/>
    </row>
    <row r="30" spans="2:14">
      <c r="B30" s="16"/>
      <c r="C30" s="16"/>
      <c r="D30" s="19"/>
      <c r="E30" s="20"/>
      <c r="F30" s="27" t="s">
        <v>45</v>
      </c>
      <c r="G30" s="12">
        <f t="array" ref="G30:I32" xml:space="preserve"> MINVERSE(G26:I28)</f>
        <v>0.97147567763828835</v>
      </c>
      <c r="H30" s="12">
        <v>-0.46349818686994804</v>
      </c>
      <c r="I30" s="12">
        <v>-0.16487374847642716</v>
      </c>
      <c r="J30" s="25" t="s">
        <v>45</v>
      </c>
      <c r="K30" s="20"/>
      <c r="L30" s="21" t="s">
        <v>45</v>
      </c>
      <c r="M30" s="12">
        <f>M26</f>
        <v>0.95047000000000004</v>
      </c>
      <c r="N30" s="21" t="s">
        <v>45</v>
      </c>
    </row>
    <row r="31" spans="2:14">
      <c r="B31" s="16"/>
      <c r="C31" s="16"/>
      <c r="D31" s="19"/>
      <c r="E31" s="20"/>
      <c r="F31" s="27" t="s">
        <v>45</v>
      </c>
      <c r="G31" s="12">
        <v>-1.0552668642140501</v>
      </c>
      <c r="H31" s="12">
        <v>1.6180258268403387</v>
      </c>
      <c r="I31" s="12">
        <v>-0.13601069950455866</v>
      </c>
      <c r="J31" s="25" t="s">
        <v>45</v>
      </c>
      <c r="K31" s="20" t="s">
        <v>39</v>
      </c>
      <c r="L31" s="21" t="s">
        <v>45</v>
      </c>
      <c r="M31" s="12">
        <f>M27</f>
        <v>1</v>
      </c>
      <c r="N31" s="21" t="s">
        <v>45</v>
      </c>
    </row>
    <row r="32" spans="2:14">
      <c r="B32" s="16"/>
      <c r="C32" s="16"/>
      <c r="D32" s="19"/>
      <c r="E32" s="20"/>
      <c r="F32" s="27" t="s">
        <v>45</v>
      </c>
      <c r="G32" s="12">
        <v>8.3791186575761942E-2</v>
      </c>
      <c r="H32" s="12">
        <v>-0.15452763997039062</v>
      </c>
      <c r="I32" s="12">
        <v>0.30088444798098585</v>
      </c>
      <c r="J32" s="25" t="s">
        <v>45</v>
      </c>
      <c r="K32" s="20"/>
      <c r="L32" s="21" t="s">
        <v>45</v>
      </c>
      <c r="M32" s="12">
        <f>M28</f>
        <v>1.08883</v>
      </c>
      <c r="N32" s="21" t="s">
        <v>45</v>
      </c>
    </row>
    <row r="33" spans="1:20">
      <c r="E33" s="14"/>
      <c r="F33" s="28"/>
      <c r="J33" s="26"/>
      <c r="K33" s="14"/>
      <c r="L33" s="13"/>
      <c r="N33" s="13"/>
    </row>
    <row r="34" spans="1:20">
      <c r="B34" s="16"/>
      <c r="C34" s="16" t="s">
        <v>36</v>
      </c>
      <c r="D34" s="19"/>
      <c r="E34" s="20"/>
      <c r="F34" s="27" t="s">
        <v>45</v>
      </c>
      <c r="G34" s="12">
        <f t="array" ref="G34:G36">MMULT(G30:I32, M30:M32)</f>
        <v>0.28034081690132773</v>
      </c>
      <c r="H34" s="25" t="s">
        <v>45</v>
      </c>
      <c r="J34" s="3"/>
      <c r="K34" s="14"/>
      <c r="L34" s="13"/>
      <c r="N34" s="13"/>
    </row>
    <row r="35" spans="1:20">
      <c r="B35" s="16"/>
      <c r="C35" s="16" t="s">
        <v>37</v>
      </c>
      <c r="D35" s="19"/>
      <c r="E35" s="22" t="s">
        <v>1</v>
      </c>
      <c r="F35" s="27" t="s">
        <v>45</v>
      </c>
      <c r="G35" s="12">
        <v>0.46693380046926175</v>
      </c>
      <c r="H35" s="25" t="s">
        <v>45</v>
      </c>
      <c r="J35" s="3"/>
      <c r="K35" s="14"/>
      <c r="L35" s="13"/>
      <c r="N35" s="13"/>
    </row>
    <row r="36" spans="1:20">
      <c r="B36" s="16"/>
      <c r="C36" s="16" t="s">
        <v>38</v>
      </c>
      <c r="D36" s="19"/>
      <c r="E36" s="20"/>
      <c r="F36" s="27" t="s">
        <v>45</v>
      </c>
      <c r="G36" s="12">
        <v>0.25272538262941063</v>
      </c>
      <c r="H36" s="25" t="s">
        <v>45</v>
      </c>
      <c r="J36" s="3"/>
      <c r="K36" s="14"/>
      <c r="L36" s="13"/>
    </row>
    <row r="37" spans="1:20">
      <c r="F37" s="29"/>
      <c r="J37" s="3"/>
      <c r="K37" s="14"/>
      <c r="L37" s="13"/>
    </row>
    <row r="38" spans="1:20">
      <c r="A38" t="s">
        <v>48</v>
      </c>
      <c r="B38" s="16"/>
      <c r="C38" s="16"/>
      <c r="D38" s="19"/>
      <c r="E38" s="20"/>
      <c r="F38" s="27" t="s">
        <v>45</v>
      </c>
      <c r="G38" s="23">
        <f>G34*G16</f>
        <v>0.42659766499408086</v>
      </c>
      <c r="H38" s="23">
        <f>G35*G19</f>
        <v>0.25158571177413669</v>
      </c>
      <c r="I38" s="24">
        <f>G36*G22</f>
        <v>0.27228662323178249</v>
      </c>
      <c r="J38" s="25" t="s">
        <v>45</v>
      </c>
      <c r="K38" s="4"/>
      <c r="L38" s="4"/>
    </row>
    <row r="39" spans="1:20">
      <c r="B39" s="16"/>
      <c r="C39" s="16"/>
      <c r="D39" s="17"/>
      <c r="E39" s="22" t="s">
        <v>1</v>
      </c>
      <c r="F39" s="27" t="s">
        <v>45</v>
      </c>
      <c r="G39" s="24">
        <f>G34*G17</f>
        <v>0.28034081690132773</v>
      </c>
      <c r="H39" s="24">
        <f>G35*G20</f>
        <v>0.46693380046926175</v>
      </c>
      <c r="I39" s="24">
        <f>G36*G23</f>
        <v>0.25272538262941063</v>
      </c>
      <c r="J39" s="25" t="s">
        <v>45</v>
      </c>
    </row>
    <row r="40" spans="1:20">
      <c r="B40" s="16"/>
      <c r="C40" s="16"/>
      <c r="D40" s="19"/>
      <c r="E40" s="20"/>
      <c r="F40" s="27" t="s">
        <v>45</v>
      </c>
      <c r="G40" s="24">
        <f>G34*G18</f>
        <v>2.517670931037572E-2</v>
      </c>
      <c r="H40" s="24">
        <f>G35*G21</f>
        <v>0.16974460872462666</v>
      </c>
      <c r="I40" s="24">
        <f>G36*G24</f>
        <v>0.89390868196499751</v>
      </c>
      <c r="J40" s="25" t="s">
        <v>45</v>
      </c>
    </row>
    <row r="43" spans="1:20">
      <c r="A43" t="s">
        <v>288</v>
      </c>
      <c r="B43" t="s">
        <v>2</v>
      </c>
      <c r="C43" s="68">
        <v>87.428600000000003</v>
      </c>
      <c r="G43" s="23">
        <f>G38</f>
        <v>0.42659766499408086</v>
      </c>
      <c r="H43" s="23">
        <f t="shared" ref="H43:I43" si="0">H38</f>
        <v>0.25158571177413669</v>
      </c>
      <c r="I43" s="23">
        <f t="shared" si="0"/>
        <v>0.27228662323178249</v>
      </c>
      <c r="M43">
        <v>0.469406441883012</v>
      </c>
      <c r="P43">
        <f t="array" ref="P43:P45">MMULT(G43:I45, M43:M45)</f>
        <v>0.33697984205694653</v>
      </c>
      <c r="Q43" t="s">
        <v>142</v>
      </c>
    </row>
    <row r="44" spans="1:20">
      <c r="B44" t="s">
        <v>4</v>
      </c>
      <c r="C44" s="68">
        <v>65.571399999999997</v>
      </c>
      <c r="G44" s="23">
        <f t="shared" ref="G44:I45" si="1">G39</f>
        <v>0.28034081690132773</v>
      </c>
      <c r="H44" s="23">
        <f t="shared" si="1"/>
        <v>0.46693380046926175</v>
      </c>
      <c r="I44" s="23">
        <f t="shared" si="1"/>
        <v>0.25272538262941063</v>
      </c>
      <c r="M44">
        <v>0.37396315846170419</v>
      </c>
      <c r="P44">
        <v>0.34579430187652066</v>
      </c>
      <c r="Q44" t="s">
        <v>3</v>
      </c>
    </row>
    <row r="45" spans="1:20">
      <c r="B45" t="s">
        <v>6</v>
      </c>
      <c r="C45" s="68">
        <v>102</v>
      </c>
      <c r="G45" s="23">
        <f t="shared" si="1"/>
        <v>2.517670931037572E-2</v>
      </c>
      <c r="H45" s="23">
        <f t="shared" si="1"/>
        <v>0.16974460872462666</v>
      </c>
      <c r="I45" s="23">
        <f t="shared" si="1"/>
        <v>0.89390868196499751</v>
      </c>
      <c r="M45">
        <v>0.15663039965528386</v>
      </c>
      <c r="P45">
        <v>0.2153096136577195</v>
      </c>
      <c r="Q45" t="s">
        <v>143</v>
      </c>
    </row>
    <row r="46" spans="1:20">
      <c r="B46" t="s">
        <v>74</v>
      </c>
      <c r="C46">
        <f>SUM(C43:C45)</f>
        <v>255</v>
      </c>
      <c r="M46" s="1353"/>
    </row>
    <row r="48" spans="1:20">
      <c r="B48" t="s">
        <v>2</v>
      </c>
      <c r="C48">
        <f>C43</f>
        <v>87.428600000000003</v>
      </c>
      <c r="G48" s="24">
        <f>G6</f>
        <v>0.58269199999999999</v>
      </c>
      <c r="H48" s="24">
        <f>G9</f>
        <v>0.28323300000000001</v>
      </c>
      <c r="I48" s="24">
        <f>G12</f>
        <v>0.19189700000000001</v>
      </c>
      <c r="M48">
        <f>M43</f>
        <v>0.469406441883012</v>
      </c>
      <c r="P48">
        <f t="array" ref="P48:P50">MMULT(G48:I50, M48:M50)</f>
        <v>0.40949498949692992</v>
      </c>
      <c r="Q48" t="s">
        <v>177</v>
      </c>
      <c r="R48" s="16" t="s">
        <v>293</v>
      </c>
      <c r="S48" s="16"/>
      <c r="T48" s="17">
        <f>P48*M49/P49</f>
        <v>0.37884006332595954</v>
      </c>
    </row>
    <row r="49" spans="2:20">
      <c r="B49" t="s">
        <v>4</v>
      </c>
      <c r="C49">
        <f t="shared" ref="C49:C51" si="2">C44</f>
        <v>65.571399999999997</v>
      </c>
      <c r="G49" s="24">
        <f>G7</f>
        <v>0.38291900000000001</v>
      </c>
      <c r="H49" s="24">
        <f>G10</f>
        <v>0.52566999999999997</v>
      </c>
      <c r="I49" s="24">
        <f>G13</f>
        <v>0.17811099999999999</v>
      </c>
      <c r="M49">
        <f t="shared" ref="M49:M50" si="3">M44</f>
        <v>0.37396315846170419</v>
      </c>
      <c r="P49">
        <v>0.40422345594096737</v>
      </c>
      <c r="Q49" t="s">
        <v>5</v>
      </c>
      <c r="R49" s="16" t="s">
        <v>3</v>
      </c>
      <c r="S49" s="16"/>
      <c r="T49" s="17">
        <f>M49</f>
        <v>0.37396315846170419</v>
      </c>
    </row>
    <row r="50" spans="2:20">
      <c r="B50" t="s">
        <v>6</v>
      </c>
      <c r="C50">
        <f t="shared" si="2"/>
        <v>102</v>
      </c>
      <c r="G50" s="24">
        <f>G8</f>
        <v>3.4389000000000003E-2</v>
      </c>
      <c r="H50" s="24">
        <f>G11</f>
        <v>0.19109699999999999</v>
      </c>
      <c r="I50" s="24">
        <f>G14</f>
        <v>0.629992</v>
      </c>
      <c r="M50">
        <f t="shared" si="3"/>
        <v>0.15663039965528386</v>
      </c>
      <c r="P50">
        <v>0.18628155456210277</v>
      </c>
      <c r="Q50" t="s">
        <v>292</v>
      </c>
      <c r="R50" s="16" t="s">
        <v>294</v>
      </c>
      <c r="S50" s="16"/>
      <c r="T50" s="17">
        <f>(1-P48-P49)*M49/P49</f>
        <v>0.17233645767793759</v>
      </c>
    </row>
    <row r="51" spans="2:20">
      <c r="B51" t="s">
        <v>74</v>
      </c>
      <c r="C51">
        <f t="shared" si="2"/>
        <v>255</v>
      </c>
    </row>
    <row r="54" spans="2:20">
      <c r="G54" s="68"/>
    </row>
    <row r="55" spans="2:20">
      <c r="G55" s="68"/>
    </row>
  </sheetData>
  <hyperlinks>
    <hyperlink ref="I2" r:id="rId1" xr:uid="{F81540FF-709D-4C36-B9EE-50B28C3A3A8A}"/>
    <hyperlink ref="I3" r:id="rId2" xr:uid="{70D4B63C-859A-4597-8806-3C8DAF336F53}"/>
    <hyperlink ref="I4" r:id="rId3" xr:uid="{379AC04D-9184-45C0-B41F-986E3E90983B}"/>
  </hyperlinks>
  <pageMargins left="0.7" right="0.7" top="0.75" bottom="0.75" header="0.3" footer="0.3"/>
  <pageSetup paperSize="9" orientation="portrait" verticalDpi="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97783-10E5-41B4-AB18-FB9C7B6CE9CA}">
  <dimension ref="A1:T15"/>
  <sheetViews>
    <sheetView workbookViewId="0">
      <selection activeCell="I11" sqref="I11"/>
    </sheetView>
  </sheetViews>
  <sheetFormatPr defaultRowHeight="15"/>
  <cols>
    <col min="1" max="1" width="21.28515625" customWidth="1"/>
    <col min="2" max="2" width="8.28515625" customWidth="1"/>
    <col min="3" max="3" width="7.42578125" customWidth="1"/>
    <col min="4" max="4" width="13.28515625" style="3" bestFit="1" customWidth="1"/>
    <col min="5" max="6" width="2" bestFit="1" customWidth="1"/>
    <col min="7" max="8" width="12.7109375" bestFit="1" customWidth="1"/>
    <col min="9" max="9" width="13.7109375" customWidth="1"/>
    <col min="10" max="10" width="3.7109375" bestFit="1" customWidth="1"/>
    <col min="11" max="12" width="2" bestFit="1" customWidth="1"/>
    <col min="14" max="14" width="2" bestFit="1" customWidth="1"/>
    <col min="17" max="17" width="9.28515625" customWidth="1"/>
  </cols>
  <sheetData>
    <row r="1" spans="1:20">
      <c r="E1" s="3"/>
      <c r="F1" s="3"/>
    </row>
    <row r="2" spans="1:20">
      <c r="A2" t="s">
        <v>8</v>
      </c>
      <c r="B2" s="7" t="s">
        <v>33</v>
      </c>
      <c r="C2" s="7" t="s">
        <v>30</v>
      </c>
      <c r="D2" s="8"/>
      <c r="E2" s="8"/>
      <c r="F2" s="8"/>
      <c r="G2" s="18">
        <v>0.95047000000000004</v>
      </c>
      <c r="I2" s="11" t="s">
        <v>42</v>
      </c>
      <c r="J2" s="9"/>
      <c r="K2" s="9"/>
      <c r="L2" s="10"/>
      <c r="M2" s="10"/>
      <c r="N2" s="10"/>
      <c r="O2" s="9"/>
      <c r="P2" s="9"/>
      <c r="Q2" s="9"/>
      <c r="R2" s="9"/>
      <c r="S2" s="9"/>
      <c r="T2" s="9"/>
    </row>
    <row r="3" spans="1:20">
      <c r="B3" s="7"/>
      <c r="C3" s="7" t="s">
        <v>31</v>
      </c>
      <c r="D3" s="8"/>
      <c r="E3" s="8"/>
      <c r="F3" s="8"/>
      <c r="G3" s="18">
        <v>1</v>
      </c>
      <c r="I3" s="11" t="s">
        <v>43</v>
      </c>
      <c r="J3" s="9"/>
      <c r="K3" s="9"/>
      <c r="L3" s="10"/>
      <c r="M3" s="10"/>
      <c r="N3" s="10"/>
      <c r="O3" s="9"/>
      <c r="P3" s="9"/>
      <c r="Q3" s="9"/>
      <c r="R3" s="9"/>
      <c r="S3" s="9"/>
      <c r="T3" s="9"/>
    </row>
    <row r="4" spans="1:20">
      <c r="B4" s="7"/>
      <c r="C4" s="7" t="s">
        <v>32</v>
      </c>
      <c r="D4" s="8"/>
      <c r="E4" s="8"/>
      <c r="F4" s="8"/>
      <c r="G4" s="18">
        <v>1.08883</v>
      </c>
      <c r="I4" s="11" t="s">
        <v>44</v>
      </c>
      <c r="J4" s="9"/>
      <c r="K4" s="9"/>
      <c r="L4" s="10"/>
      <c r="M4" s="10"/>
      <c r="N4" s="10"/>
      <c r="O4" s="9"/>
      <c r="P4" s="9"/>
      <c r="Q4" s="9"/>
      <c r="R4" s="9"/>
      <c r="S4" s="9"/>
      <c r="T4" s="9"/>
    </row>
    <row r="5" spans="1:20">
      <c r="E5" s="3"/>
      <c r="F5" s="3"/>
      <c r="G5" s="6"/>
    </row>
    <row r="6" spans="1:20">
      <c r="A6" t="s">
        <v>7</v>
      </c>
      <c r="B6" s="7" t="s">
        <v>41</v>
      </c>
      <c r="C6" s="7" t="s">
        <v>25</v>
      </c>
      <c r="D6" s="8"/>
      <c r="E6" s="8"/>
      <c r="F6" s="8"/>
      <c r="G6" s="18">
        <v>0.58269199999999999</v>
      </c>
    </row>
    <row r="7" spans="1:20">
      <c r="B7" s="7"/>
      <c r="C7" s="7" t="s">
        <v>26</v>
      </c>
      <c r="D7" s="8"/>
      <c r="E7" s="8"/>
      <c r="F7" s="8"/>
      <c r="G7" s="18">
        <v>0.38291900000000001</v>
      </c>
    </row>
    <row r="8" spans="1:20">
      <c r="B8" s="7"/>
      <c r="C8" s="7" t="s">
        <v>29</v>
      </c>
      <c r="D8" s="8"/>
      <c r="E8" s="8"/>
      <c r="F8" s="8"/>
      <c r="G8" s="18">
        <v>0.28323300000000001</v>
      </c>
    </row>
    <row r="9" spans="1:20">
      <c r="B9" s="7"/>
      <c r="C9" s="7" t="s">
        <v>35</v>
      </c>
      <c r="D9" s="8"/>
      <c r="E9" s="8"/>
      <c r="F9" s="8"/>
      <c r="G9" s="18">
        <v>0.52566999999999997</v>
      </c>
    </row>
    <row r="10" spans="1:20">
      <c r="B10" s="7"/>
      <c r="C10" s="7" t="s">
        <v>27</v>
      </c>
      <c r="D10" s="8"/>
      <c r="E10" s="8"/>
      <c r="F10" s="8"/>
      <c r="G10" s="18">
        <v>0.14455999999999999</v>
      </c>
    </row>
    <row r="11" spans="1:20">
      <c r="B11" s="7"/>
      <c r="C11" s="7" t="s">
        <v>28</v>
      </c>
      <c r="D11" s="8"/>
      <c r="E11" s="8"/>
      <c r="F11" s="8"/>
      <c r="G11" s="18">
        <v>0.13417499999999999</v>
      </c>
    </row>
    <row r="12" spans="1:20">
      <c r="F12" s="29"/>
      <c r="J12" s="3"/>
      <c r="K12" s="14"/>
      <c r="L12" s="13"/>
    </row>
    <row r="13" spans="1:20">
      <c r="A13" t="s">
        <v>48</v>
      </c>
      <c r="B13" s="16"/>
      <c r="C13" s="16"/>
      <c r="D13" s="19"/>
      <c r="E13" s="20"/>
      <c r="F13" s="27" t="s">
        <v>45</v>
      </c>
      <c r="G13" s="23">
        <f>G6</f>
        <v>0.58269199999999999</v>
      </c>
      <c r="H13" s="24">
        <f>G8</f>
        <v>0.28323300000000001</v>
      </c>
      <c r="I13" s="24">
        <f>G10</f>
        <v>0.14455999999999999</v>
      </c>
      <c r="J13" s="25" t="s">
        <v>45</v>
      </c>
      <c r="K13" s="4"/>
      <c r="L13" s="4"/>
    </row>
    <row r="14" spans="1:20">
      <c r="B14" s="16"/>
      <c r="C14" s="16"/>
      <c r="D14" s="17"/>
      <c r="E14" s="22" t="s">
        <v>1</v>
      </c>
      <c r="F14" s="27" t="s">
        <v>45</v>
      </c>
      <c r="G14" s="23">
        <f>G8</f>
        <v>0.28323300000000001</v>
      </c>
      <c r="H14" s="24">
        <f>G9</f>
        <v>0.52566999999999997</v>
      </c>
      <c r="I14" s="24">
        <f>G11</f>
        <v>0.13417499999999999</v>
      </c>
      <c r="J14" s="25" t="s">
        <v>45</v>
      </c>
    </row>
    <row r="15" spans="1:20">
      <c r="B15" s="16"/>
      <c r="C15" s="16"/>
      <c r="D15" s="19"/>
      <c r="E15" s="20"/>
      <c r="F15" s="27" t="s">
        <v>45</v>
      </c>
      <c r="G15" s="24">
        <f>1-G13-G14</f>
        <v>0.134075</v>
      </c>
      <c r="H15" s="24">
        <f>1-H13-H14</f>
        <v>0.19109699999999996</v>
      </c>
      <c r="I15" s="24">
        <f>1-I13-I14</f>
        <v>0.72126500000000004</v>
      </c>
      <c r="J15" s="25" t="s">
        <v>45</v>
      </c>
    </row>
  </sheetData>
  <hyperlinks>
    <hyperlink ref="I2" r:id="rId1" xr:uid="{3799D91A-7E87-4ECA-BE08-D4264F896804}"/>
    <hyperlink ref="I3" r:id="rId2" xr:uid="{BFBDD930-061A-4160-9380-6C031B9E0759}"/>
    <hyperlink ref="I4" r:id="rId3" xr:uid="{A15DA26D-7B6F-43C4-8277-FA48DDD45EE6}"/>
  </hyperlinks>
  <pageMargins left="0.7" right="0.7" top="0.75" bottom="0.75" header="0.3" footer="0.3"/>
  <pageSetup paperSize="9" orientation="portrait" verticalDpi="0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7E37-A6F0-45CC-8BAB-ACBF32CDD76E}">
  <dimension ref="A2:AF40"/>
  <sheetViews>
    <sheetView topLeftCell="A7" workbookViewId="0">
      <selection activeCell="H8" sqref="H8"/>
    </sheetView>
  </sheetViews>
  <sheetFormatPr defaultRowHeight="15" outlineLevelCol="2"/>
  <cols>
    <col min="1" max="1" width="12.5703125" bestFit="1" customWidth="1"/>
    <col min="2" max="2" width="5" bestFit="1" customWidth="1"/>
    <col min="3" max="3" width="7.7109375" bestFit="1" customWidth="1"/>
    <col min="4" max="4" width="8.5703125" style="42" bestFit="1" customWidth="1"/>
    <col min="5" max="5" width="12.28515625" style="42" customWidth="1"/>
    <col min="6" max="6" width="12" customWidth="1" outlineLevel="1"/>
    <col min="7" max="7" width="12" customWidth="1" outlineLevel="2"/>
    <col min="8" max="8" width="12" customWidth="1" outlineLevel="1"/>
    <col min="9" max="9" width="10.140625" customWidth="1" outlineLevel="1"/>
    <col min="10" max="10" width="7.28515625" bestFit="1" customWidth="1"/>
    <col min="11" max="13" width="12" customWidth="1" outlineLevel="1"/>
    <col min="14" max="14" width="7.5703125" style="40" bestFit="1" customWidth="1"/>
    <col min="15" max="15" width="7.5703125" style="40" customWidth="1"/>
    <col min="16" max="16" width="8.5703125" style="40" bestFit="1" customWidth="1"/>
    <col min="17" max="17" width="7.5703125" style="40" customWidth="1"/>
    <col min="18" max="18" width="6.5703125" style="40" bestFit="1" customWidth="1"/>
    <col min="19" max="19" width="8.7109375" style="40" bestFit="1" customWidth="1"/>
    <col min="20" max="20" width="12.85546875" customWidth="1" outlineLevel="1"/>
    <col min="21" max="21" width="10.140625" style="36" customWidth="1"/>
    <col min="22" max="22" width="10.42578125" bestFit="1" customWidth="1"/>
    <col min="24" max="24" width="15.85546875" bestFit="1" customWidth="1"/>
    <col min="25" max="25" width="8.7109375" bestFit="1" customWidth="1"/>
    <col min="26" max="26" width="8.7109375" customWidth="1" outlineLevel="2"/>
    <col min="27" max="27" width="10" bestFit="1" customWidth="1" outlineLevel="2"/>
    <col min="28" max="29" width="8.7109375" customWidth="1" outlineLevel="2"/>
    <col min="30" max="31" width="9.140625" style="42" customWidth="1" outlineLevel="2"/>
  </cols>
  <sheetData>
    <row r="2" spans="1:32" s="33" customFormat="1" ht="30">
      <c r="A2" s="46" t="s">
        <v>62</v>
      </c>
      <c r="B2" s="47" t="s">
        <v>63</v>
      </c>
      <c r="C2" s="46" t="s">
        <v>34</v>
      </c>
      <c r="D2" s="57" t="s">
        <v>34</v>
      </c>
      <c r="E2" s="56"/>
      <c r="F2" s="56" t="s">
        <v>69</v>
      </c>
      <c r="G2" s="1374" t="s">
        <v>71</v>
      </c>
      <c r="H2" s="1374"/>
      <c r="I2" s="35" t="s">
        <v>56</v>
      </c>
      <c r="J2" s="48" t="s">
        <v>57</v>
      </c>
      <c r="K2" s="1374" t="s">
        <v>48</v>
      </c>
      <c r="L2" s="1374"/>
      <c r="M2" s="1374"/>
      <c r="N2" s="50" t="s">
        <v>49</v>
      </c>
      <c r="O2" s="1373" t="s">
        <v>64</v>
      </c>
      <c r="P2" s="1373"/>
      <c r="Q2" s="1373"/>
      <c r="R2" s="1372" t="s">
        <v>50</v>
      </c>
      <c r="S2" s="1372"/>
      <c r="T2" s="1377" t="s">
        <v>51</v>
      </c>
      <c r="U2" s="1377"/>
      <c r="V2" s="1377"/>
      <c r="W2" s="1377"/>
      <c r="X2" s="1377"/>
      <c r="Y2" s="1377"/>
      <c r="Z2" s="1372" t="s">
        <v>60</v>
      </c>
      <c r="AA2" s="1372"/>
      <c r="AB2" s="1372"/>
      <c r="AC2" s="1372"/>
      <c r="AD2" s="1372"/>
      <c r="AE2" s="1372"/>
      <c r="AF2" s="1372"/>
    </row>
    <row r="3" spans="1:32" s="33" customFormat="1" ht="30" customHeight="1">
      <c r="A3" s="46"/>
      <c r="B3" s="47"/>
      <c r="C3" s="1376" t="s">
        <v>65</v>
      </c>
      <c r="D3" s="1376"/>
      <c r="E3" s="1376"/>
      <c r="F3" s="1376"/>
      <c r="G3" s="1375" t="s">
        <v>70</v>
      </c>
      <c r="H3" s="1375"/>
      <c r="I3" s="35"/>
      <c r="J3" s="48"/>
      <c r="N3" s="50"/>
      <c r="O3" s="50"/>
      <c r="P3" s="50"/>
      <c r="Q3" s="50"/>
      <c r="R3" s="51"/>
      <c r="S3" s="51"/>
      <c r="T3" s="47"/>
      <c r="U3" s="47"/>
      <c r="V3" s="47"/>
      <c r="W3" s="47"/>
      <c r="X3" s="47"/>
      <c r="Y3" s="47"/>
      <c r="Z3" s="51"/>
      <c r="AA3" s="51"/>
      <c r="AB3" s="51"/>
      <c r="AC3" s="51"/>
      <c r="AD3" s="51"/>
      <c r="AE3" s="51"/>
      <c r="AF3" s="51"/>
    </row>
    <row r="4" spans="1:32" s="33" customFormat="1" ht="30">
      <c r="A4" s="46"/>
      <c r="B4" s="47"/>
      <c r="C4" s="46" t="s">
        <v>66</v>
      </c>
      <c r="D4" s="57"/>
      <c r="E4" s="56"/>
      <c r="F4" s="56"/>
      <c r="I4" s="35"/>
      <c r="J4" s="48"/>
      <c r="N4" s="50"/>
      <c r="O4" s="50"/>
      <c r="P4" s="50"/>
      <c r="Q4" s="50"/>
      <c r="R4" s="51"/>
      <c r="S4" s="51"/>
      <c r="T4" s="47"/>
      <c r="U4" s="47"/>
      <c r="V4" s="47"/>
      <c r="W4" s="47"/>
      <c r="X4" s="47"/>
      <c r="Y4" s="47"/>
      <c r="Z4" s="51"/>
      <c r="AA4" s="51"/>
      <c r="AB4" s="51"/>
      <c r="AC4" s="51"/>
      <c r="AD4" s="51"/>
      <c r="AE4" s="51"/>
      <c r="AF4" s="51"/>
    </row>
    <row r="5" spans="1:32" s="33" customFormat="1">
      <c r="A5" s="47"/>
      <c r="B5" s="47"/>
      <c r="C5" s="56" t="s">
        <v>68</v>
      </c>
      <c r="D5" s="56" t="s">
        <v>67</v>
      </c>
      <c r="E5" s="56" t="s">
        <v>72</v>
      </c>
      <c r="F5" s="56" t="s">
        <v>72</v>
      </c>
      <c r="H5" s="56" t="s">
        <v>67</v>
      </c>
      <c r="J5" s="51"/>
      <c r="N5" s="50"/>
      <c r="O5" s="50"/>
      <c r="P5" s="50"/>
      <c r="Q5" s="50"/>
      <c r="R5" s="51"/>
      <c r="S5" s="51"/>
      <c r="T5" s="47"/>
      <c r="U5" s="47"/>
      <c r="V5" s="47"/>
      <c r="W5" s="47"/>
      <c r="X5" s="47"/>
      <c r="Y5" s="47"/>
      <c r="Z5" s="51"/>
      <c r="AA5" s="51"/>
      <c r="AB5" s="51"/>
      <c r="AC5" s="51"/>
      <c r="AD5" s="51"/>
      <c r="AE5" s="51"/>
      <c r="AF5" s="51"/>
    </row>
    <row r="6" spans="1:32" s="14" customFormat="1">
      <c r="A6" s="1371" t="s">
        <v>53</v>
      </c>
      <c r="B6" s="1371"/>
      <c r="C6" s="1371"/>
      <c r="D6" s="1371"/>
      <c r="E6" s="1371"/>
      <c r="N6" s="39"/>
      <c r="O6" s="39"/>
      <c r="P6" s="39"/>
      <c r="Q6" s="39"/>
      <c r="R6" s="39"/>
      <c r="S6" s="39" t="s">
        <v>61</v>
      </c>
      <c r="T6" s="1371" t="s">
        <v>52</v>
      </c>
      <c r="U6" s="1371"/>
      <c r="V6" s="14" t="s">
        <v>55</v>
      </c>
      <c r="W6" s="14" t="s">
        <v>53</v>
      </c>
      <c r="X6" s="14" t="s">
        <v>54</v>
      </c>
      <c r="Y6" s="14" t="s">
        <v>61</v>
      </c>
      <c r="AD6" s="41"/>
      <c r="AE6" s="41"/>
      <c r="AF6" s="14" t="s">
        <v>61</v>
      </c>
    </row>
    <row r="8" spans="1:32">
      <c r="A8">
        <v>154</v>
      </c>
      <c r="B8">
        <v>1</v>
      </c>
      <c r="D8" s="43">
        <v>127.634956</v>
      </c>
      <c r="E8" s="44"/>
      <c r="F8" s="24">
        <f>D8/255</f>
        <v>0.50052923921568626</v>
      </c>
      <c r="G8" s="24">
        <f>IF(F8&gt;0.04045,(((F8+0.055)/1.055 )^2.5)*100, F8/12.92*100)</f>
        <v>20.120378960687532</v>
      </c>
      <c r="H8" s="24">
        <f>F8^(1/2.4)*255</f>
        <v>191.1183786097952</v>
      </c>
      <c r="I8" t="s">
        <v>33</v>
      </c>
      <c r="J8" t="s">
        <v>34</v>
      </c>
      <c r="K8" s="23">
        <v>0.41245643908969243</v>
      </c>
      <c r="L8" s="23">
        <v>0.35757607764390897</v>
      </c>
      <c r="M8" s="24">
        <v>0.18043748326639894</v>
      </c>
      <c r="N8" s="40">
        <f t="array" ref="N8:N10">MMULT(K8:M10,G8:G10)</f>
        <v>11.290282735488917</v>
      </c>
      <c r="R8" s="40">
        <f>N8/($N$8+$N$9+$N$10)</f>
        <v>0.46117817753486873</v>
      </c>
      <c r="S8" s="49">
        <v>0.43</v>
      </c>
      <c r="T8">
        <f>(R8-0.332)/(0.1858-R9)</f>
        <v>-0.63594617918114349</v>
      </c>
      <c r="U8" s="37">
        <f>(449*T8^3) + (3525*T8^2) + (6823.3*T8) + 5520.33</f>
        <v>2491.2053503931274</v>
      </c>
      <c r="V8" s="7">
        <v>2583</v>
      </c>
      <c r="W8" s="7">
        <v>2087</v>
      </c>
      <c r="X8" s="7">
        <v>2805</v>
      </c>
      <c r="Y8" s="7">
        <v>3000</v>
      </c>
      <c r="Z8" s="34">
        <f>N8/100</f>
        <v>0.11290282735488917</v>
      </c>
      <c r="AA8" s="34">
        <v>3.2404541999999998</v>
      </c>
      <c r="AB8" s="34">
        <v>-1.5371385</v>
      </c>
      <c r="AC8" s="34">
        <v>-0.49853140000000001</v>
      </c>
      <c r="AD8" s="42">
        <f t="array" ref="AD8:AD10">MMULT(AA8:AC10, Z8:Z10)</f>
        <v>0.20120379545350242</v>
      </c>
      <c r="AE8" s="42">
        <f>(1.055*(AD8^(1/2.4))-0.055)*255</f>
        <v>123.89938107304525</v>
      </c>
      <c r="AF8" s="7">
        <v>255</v>
      </c>
    </row>
    <row r="9" spans="1:32">
      <c r="D9" s="43">
        <v>79.214554000000007</v>
      </c>
      <c r="E9" s="44"/>
      <c r="F9" s="24">
        <f>D9/255</f>
        <v>0.31064530980392158</v>
      </c>
      <c r="G9" s="24">
        <f>IF(F9&gt;0.04045,(((F9+0.055)/1.055 )^2.5)*100, F9/12.92*100)</f>
        <v>7.071619235666021</v>
      </c>
      <c r="H9" s="24">
        <f>F9^(1/2.4)*255</f>
        <v>156.66927997330831</v>
      </c>
      <c r="K9" s="24">
        <v>0.21267285140562264</v>
      </c>
      <c r="L9" s="24">
        <v>0.71515215528781795</v>
      </c>
      <c r="M9" s="24">
        <v>7.2174993306559576E-2</v>
      </c>
      <c r="N9" s="40">
        <v>9.5214865056316231</v>
      </c>
      <c r="R9" s="40">
        <f>N9/($N$8+$N$9+$N$10)</f>
        <v>0.38892753148576348</v>
      </c>
      <c r="S9" s="49">
        <v>0.4</v>
      </c>
      <c r="T9" s="6"/>
      <c r="U9" s="38"/>
      <c r="Z9" s="34">
        <f>N9/100</f>
        <v>9.5214865056316225E-2</v>
      </c>
      <c r="AA9" s="53">
        <v>-0.96926599999999996</v>
      </c>
      <c r="AB9" s="34">
        <v>1.8760108</v>
      </c>
      <c r="AC9" s="34">
        <v>4.1556000000000003E-2</v>
      </c>
      <c r="AD9" s="42">
        <v>7.0716190830283895E-2</v>
      </c>
      <c r="AE9" s="42">
        <f>(1.055*(AD9^(1/2.4))-0.055)*255</f>
        <v>75.18745650508454</v>
      </c>
      <c r="AF9" s="7">
        <v>179</v>
      </c>
    </row>
    <row r="10" spans="1:32">
      <c r="D10" s="43">
        <v>48.125149</v>
      </c>
      <c r="E10" s="44"/>
      <c r="F10" s="24">
        <f>D10/255</f>
        <v>0.18872607450980391</v>
      </c>
      <c r="G10" s="24">
        <f>IF(F10&gt;0.04045,(((F10+0.055)/1.055 )^2.5)*100, F10/12.92*100)</f>
        <v>2.5652153808004994</v>
      </c>
      <c r="H10" s="24">
        <f>F10^(1/2.4)*255</f>
        <v>127.29269311422193</v>
      </c>
      <c r="K10" s="24">
        <v>1.933389558232931E-2</v>
      </c>
      <c r="L10" s="24">
        <v>0.11919202588130297</v>
      </c>
      <c r="M10" s="24">
        <v>0.95030407853636789</v>
      </c>
      <c r="N10" s="40">
        <v>3.6696205675619895</v>
      </c>
      <c r="R10" s="40">
        <f>N10/($N$8+$N$9+$N$10)</f>
        <v>0.14989429097936785</v>
      </c>
      <c r="T10" s="6"/>
      <c r="U10" s="38"/>
      <c r="Z10" s="34">
        <f>N10/100</f>
        <v>3.6696205675619896E-2</v>
      </c>
      <c r="AA10" s="34">
        <v>5.5643400000000003E-2</v>
      </c>
      <c r="AB10" s="34">
        <v>-0.20402590000000001</v>
      </c>
      <c r="AC10" s="34">
        <v>1.0572252</v>
      </c>
      <c r="AD10" s="42">
        <v>2.5652152031793947E-2</v>
      </c>
      <c r="AE10" s="42">
        <f>(1.055*(AD10^(1/2.4))-0.055)*255</f>
        <v>44.444254822810855</v>
      </c>
      <c r="AF10" s="7">
        <v>104</v>
      </c>
    </row>
    <row r="11" spans="1:32">
      <c r="T11" s="6"/>
      <c r="U11" s="38"/>
    </row>
    <row r="12" spans="1:32">
      <c r="A12" s="59"/>
      <c r="B12" s="59"/>
      <c r="C12" s="59"/>
      <c r="D12" s="44">
        <f>D8</f>
        <v>127.634956</v>
      </c>
      <c r="E12" s="43">
        <f>D12/($D$12+$D$13+$D$14)</f>
        <v>0.50057898498846509</v>
      </c>
      <c r="F12" s="24"/>
      <c r="G12" s="24">
        <f>IF(E12&gt;0.04045,(((E12+0.055)/1.055 )^2.4)*100, E12/12.92*100)</f>
        <v>21.457743071967943</v>
      </c>
      <c r="H12" s="24">
        <f>E12^(1/2.4)*255</f>
        <v>191.12629277936333</v>
      </c>
      <c r="I12" t="s">
        <v>33</v>
      </c>
      <c r="J12" t="s">
        <v>34</v>
      </c>
      <c r="K12" s="23">
        <v>0.41245643908969243</v>
      </c>
      <c r="L12" s="23">
        <v>0.35757607764390897</v>
      </c>
      <c r="M12" s="24">
        <v>0.18043748326639894</v>
      </c>
      <c r="N12" s="40">
        <f t="array" ref="N12:N14">MMULT(K12:M14,G12:G14)</f>
        <v>12.198251318922454</v>
      </c>
      <c r="R12" s="40">
        <f>N12/($N$12+$N$13+$N$14)</f>
        <v>0.45558441153790136</v>
      </c>
      <c r="S12" s="49">
        <v>0.43</v>
      </c>
      <c r="T12">
        <f>(R12-0.332)/(0.1858-R13)</f>
        <v>-0.60974268061982195</v>
      </c>
      <c r="U12" s="37">
        <f>(449*T12^3) + (3525*T12^2) + (6823.3*T12) + 5520.33</f>
        <v>2568.6333486214821</v>
      </c>
      <c r="V12" s="7">
        <v>2583</v>
      </c>
      <c r="W12" s="7">
        <v>2087</v>
      </c>
      <c r="X12" s="7">
        <v>2805</v>
      </c>
      <c r="Y12" s="7">
        <v>3000</v>
      </c>
      <c r="Z12" s="34">
        <f>N12/100</f>
        <v>0.12198251318922454</v>
      </c>
      <c r="AA12" s="53">
        <v>3.2404541999999998</v>
      </c>
      <c r="AB12" s="34">
        <v>-1.5371385</v>
      </c>
      <c r="AC12" s="34">
        <v>-0.49853140000000001</v>
      </c>
      <c r="AD12" s="42">
        <f t="array" ref="AD12:AD14">MMULT(AA12:AC14,Z12:Z14)</f>
        <v>0.21457743707123733</v>
      </c>
      <c r="AE12" s="42">
        <f>(1.055*(AD12^(1/2.4))-0.055)*255</f>
        <v>127.64764291937263</v>
      </c>
      <c r="AF12" s="7">
        <v>255</v>
      </c>
    </row>
    <row r="13" spans="1:32">
      <c r="A13" s="59"/>
      <c r="B13" s="59"/>
      <c r="C13" s="59"/>
      <c r="D13" s="44">
        <f>D9</f>
        <v>79.214554000000007</v>
      </c>
      <c r="E13" s="43">
        <f>D13/($D$12+$D$13+$D$14)</f>
        <v>0.3106761837065542</v>
      </c>
      <c r="F13" s="24"/>
      <c r="G13" s="24">
        <f>IF(E13&gt;0.04045,(((E13+0.055)/1.055 )^2.4)*100, E13/12.92*100)</f>
        <v>7.8636851923776634</v>
      </c>
      <c r="H13" s="24">
        <f t="shared" ref="H13:H22" si="0">E13^(1/2.4)*255</f>
        <v>156.67576761336079</v>
      </c>
      <c r="K13" s="24">
        <v>0.21267285140562264</v>
      </c>
      <c r="L13" s="24">
        <v>0.71515215528781795</v>
      </c>
      <c r="M13" s="24">
        <v>7.2174993306559576E-2</v>
      </c>
      <c r="N13" s="40">
        <v>10.40161134313451</v>
      </c>
      <c r="R13" s="40">
        <f>N13/($N$12+$N$13+$N$14)</f>
        <v>0.38848289471269098</v>
      </c>
      <c r="S13" s="49">
        <v>0.4</v>
      </c>
      <c r="Z13" s="34">
        <f>N13/100</f>
        <v>0.10401611343134511</v>
      </c>
      <c r="AA13" s="53">
        <v>-0.96926599999999996</v>
      </c>
      <c r="AB13" s="34">
        <v>1.8760108</v>
      </c>
      <c r="AC13" s="34">
        <v>4.1556000000000003E-2</v>
      </c>
      <c r="AD13" s="42">
        <v>7.8636850185779525E-2</v>
      </c>
      <c r="AE13" s="42">
        <f>(1.055*(AD13^(1/2.4))-0.055)*255</f>
        <v>79.22242598645731</v>
      </c>
      <c r="AF13" s="7">
        <v>179</v>
      </c>
    </row>
    <row r="14" spans="1:32">
      <c r="A14" s="59"/>
      <c r="B14" s="59"/>
      <c r="C14" s="59"/>
      <c r="D14" s="44">
        <f>D10</f>
        <v>48.125149</v>
      </c>
      <c r="E14" s="43">
        <f>D14/($D$12+$D$13+$D$14)</f>
        <v>0.18874483130498079</v>
      </c>
      <c r="F14" s="24"/>
      <c r="G14" s="24">
        <f>IF(E14&gt;0.04045,(((E14+0.055)/1.055 )^2.4)*100, E14/12.92*100)</f>
        <v>2.9705652281172084</v>
      </c>
      <c r="H14" s="24">
        <f t="shared" si="0"/>
        <v>127.29796427634365</v>
      </c>
      <c r="K14" s="24">
        <v>1.933389558232931E-2</v>
      </c>
      <c r="L14" s="24">
        <v>0.11919202588130297</v>
      </c>
      <c r="M14" s="24">
        <v>0.95030407853636789</v>
      </c>
      <c r="N14" s="40">
        <v>4.1750905847962745</v>
      </c>
      <c r="R14" s="40">
        <f>N14/($N$12+$N$13+$N$14)</f>
        <v>0.15593269374940769</v>
      </c>
      <c r="Z14" s="34">
        <f>N14/100</f>
        <v>4.1750905847962747E-2</v>
      </c>
      <c r="AA14" s="34">
        <v>5.5643400000000003E-2</v>
      </c>
      <c r="AB14" s="34">
        <v>-0.20402590000000001</v>
      </c>
      <c r="AC14" s="34">
        <v>1.0572252</v>
      </c>
      <c r="AD14" s="42">
        <v>2.9705650402354608E-2</v>
      </c>
      <c r="AE14" s="42">
        <f>(1.055*(AD14^(1/2.4))-0.055)*255</f>
        <v>48.129930344785329</v>
      </c>
      <c r="AF14" s="7">
        <v>104</v>
      </c>
    </row>
    <row r="16" spans="1:32">
      <c r="A16" s="42"/>
      <c r="C16" s="45">
        <v>4250</v>
      </c>
      <c r="E16" s="43">
        <f>C16/($C$16+$C$17+$C$18)</f>
        <v>0.50100200400801598</v>
      </c>
      <c r="F16" s="24"/>
      <c r="G16" s="24">
        <f>IF(E16&gt;0.04045,(((E16+0.055)/1.055 )^2.4)*100, E16/12.92*100)</f>
        <v>21.496975103689817</v>
      </c>
      <c r="H16" s="24">
        <f t="shared" si="0"/>
        <v>191.19357331909481</v>
      </c>
      <c r="I16" t="s">
        <v>33</v>
      </c>
      <c r="J16" t="s">
        <v>34</v>
      </c>
      <c r="K16" s="23">
        <v>0.41245643908969243</v>
      </c>
      <c r="L16" s="23">
        <v>0.35757607764390897</v>
      </c>
      <c r="M16" s="24">
        <v>0.18043748326639894</v>
      </c>
      <c r="N16" s="40">
        <f t="array" ref="N16:N18">MMULT(K16:M18,G16:G18)</f>
        <v>12.206822132324254</v>
      </c>
      <c r="R16" s="40">
        <f>N16/($N$16+$N$17+$N$18)</f>
        <v>0.4559102929325457</v>
      </c>
      <c r="S16" s="49">
        <v>0.43</v>
      </c>
      <c r="T16">
        <f>(R16-0.332)/(0.1858-R17)</f>
        <v>-0.6120976773474559</v>
      </c>
      <c r="U16" s="37">
        <f>(449*T16^3) + (3525*T16^2) + (6823.3*T16) + 5520.33</f>
        <v>2561.5235066588389</v>
      </c>
      <c r="V16" s="7">
        <v>2583</v>
      </c>
      <c r="W16" s="7">
        <v>2087</v>
      </c>
      <c r="X16" s="7">
        <v>2805</v>
      </c>
      <c r="Y16" s="7">
        <v>3000</v>
      </c>
      <c r="Z16" s="34">
        <f>N16/100</f>
        <v>0.12206822132324253</v>
      </c>
      <c r="AA16" s="53">
        <v>3.2404541999999998</v>
      </c>
      <c r="AB16" s="34">
        <v>-1.5371385</v>
      </c>
      <c r="AC16" s="34">
        <v>-0.49853140000000001</v>
      </c>
      <c r="AD16" s="42">
        <f t="array" ref="AD16:AD18">MMULT(AA16:AC18,Z16:Z18)</f>
        <v>0.21496975739063268</v>
      </c>
      <c r="AE16" s="42">
        <f>(1.055*(AD16^(1/2.4))-0.055)*255</f>
        <v>127.75551276809537</v>
      </c>
      <c r="AF16" s="7">
        <v>255</v>
      </c>
    </row>
    <row r="17" spans="1:32">
      <c r="C17" s="45">
        <v>2632</v>
      </c>
      <c r="E17" s="43">
        <f>C17/($C$16+$C$17+$C$18)</f>
        <v>0.31026759401155252</v>
      </c>
      <c r="F17" s="24"/>
      <c r="G17" s="24">
        <f>IF(E17&gt;0.04045,(((E17+0.055)/1.055 )^2.4)*100, E17/12.92*100)</f>
        <v>7.842614037984319</v>
      </c>
      <c r="H17" s="24">
        <f t="shared" si="0"/>
        <v>156.58987877851166</v>
      </c>
      <c r="K17" s="24">
        <v>0.21267285140562264</v>
      </c>
      <c r="L17" s="24">
        <v>0.71515215528781795</v>
      </c>
      <c r="M17" s="24">
        <v>7.2174993306559576E-2</v>
      </c>
      <c r="N17" s="40">
        <v>10.394855389724013</v>
      </c>
      <c r="R17" s="40">
        <f>N17/($N$16+$N$17+$N$18)</f>
        <v>0.38823548949493608</v>
      </c>
      <c r="S17" s="49">
        <v>0.4</v>
      </c>
      <c r="Z17" s="34">
        <f>N17/100</f>
        <v>0.10394855389724013</v>
      </c>
      <c r="AA17" s="53">
        <v>-0.96926599999999996</v>
      </c>
      <c r="AB17" s="34">
        <v>1.8760108</v>
      </c>
      <c r="AC17" s="34">
        <v>4.1556000000000003E-2</v>
      </c>
      <c r="AD17" s="42">
        <v>7.8426138647908608E-2</v>
      </c>
      <c r="AE17" s="42">
        <f>(1.055*(AD17^(1/2.4))-0.055)*255</f>
        <v>79.118235615886874</v>
      </c>
      <c r="AF17" s="7">
        <v>179</v>
      </c>
    </row>
    <row r="18" spans="1:32">
      <c r="C18" s="45">
        <v>1601</v>
      </c>
      <c r="E18" s="43">
        <f>C18/($C$16+$C$17+$C$18)</f>
        <v>0.18873040198043145</v>
      </c>
      <c r="F18" s="24"/>
      <c r="G18" s="24">
        <f>IF(E18&gt;0.04045,(((E18+0.055)/1.055 )^2.4)*100, E18/12.92*100)</f>
        <v>2.9701431985051898</v>
      </c>
      <c r="H18" s="24">
        <f t="shared" si="0"/>
        <v>127.29390927656192</v>
      </c>
      <c r="K18" s="24">
        <v>1.933389558232931E-2</v>
      </c>
      <c r="L18" s="24">
        <v>0.11919202588130297</v>
      </c>
      <c r="M18" s="24">
        <v>0.95030407853636789</v>
      </c>
      <c r="N18" s="40">
        <v>4.1729365227597039</v>
      </c>
      <c r="R18" s="40">
        <f>N18/($N$16+$N$17+$N$18)</f>
        <v>0.15585421757251824</v>
      </c>
      <c r="Z18" s="34">
        <f>N18/100</f>
        <v>4.1729365227597043E-2</v>
      </c>
      <c r="AA18" s="34">
        <v>5.5643400000000003E-2</v>
      </c>
      <c r="AB18" s="34">
        <v>-0.20402590000000001</v>
      </c>
      <c r="AC18" s="34">
        <v>1.0572252</v>
      </c>
      <c r="AD18" s="42">
        <v>2.9701430102414113E-2</v>
      </c>
      <c r="AE18" s="42">
        <f>(1.055*(AD18^(1/2.4))-0.055)*255</f>
        <v>48.126250863558589</v>
      </c>
      <c r="AF18" s="7">
        <v>104</v>
      </c>
    </row>
    <row r="19" spans="1:32">
      <c r="C19" s="42"/>
    </row>
    <row r="20" spans="1:32">
      <c r="C20" s="45">
        <f>C16</f>
        <v>4250</v>
      </c>
      <c r="E20" s="43">
        <f>C20/($C$20+$C$21+$C$22)</f>
        <v>0.50100200400801598</v>
      </c>
      <c r="F20" s="6"/>
      <c r="G20" s="6"/>
      <c r="H20" s="24">
        <f t="shared" si="0"/>
        <v>191.19357331909481</v>
      </c>
      <c r="I20" t="s">
        <v>33</v>
      </c>
      <c r="J20" t="s">
        <v>34</v>
      </c>
      <c r="K20" s="54"/>
      <c r="L20" s="54"/>
      <c r="M20" s="6"/>
      <c r="N20" s="55">
        <f>R20/R21</f>
        <v>1.2324074083871557</v>
      </c>
      <c r="O20" s="40">
        <v>0.58269199999999999</v>
      </c>
      <c r="P20" s="40">
        <v>0.28323300000000001</v>
      </c>
      <c r="Q20" s="40">
        <v>0.14455999999999999</v>
      </c>
      <c r="R20" s="40">
        <f t="array" ref="R20:R22">MMULT(O20:Q22,E20:E22)</f>
        <v>0.4070907480844041</v>
      </c>
      <c r="S20" s="49">
        <v>0.43</v>
      </c>
      <c r="T20">
        <f>(R20-0.332)/(0.1858-R21)</f>
        <v>-0.51958160224552097</v>
      </c>
      <c r="U20" s="37">
        <f>(449*T20^3) + (3525*T20^2) + (6823.3*T20) + 5520.33</f>
        <v>2863.7149022332378</v>
      </c>
      <c r="V20" s="7">
        <v>2583</v>
      </c>
      <c r="W20" s="7">
        <v>2087</v>
      </c>
      <c r="X20" s="7">
        <v>2805</v>
      </c>
      <c r="Y20" s="7">
        <v>3000</v>
      </c>
      <c r="Z20" s="34">
        <f>N20/100</f>
        <v>1.2324074083871556E-2</v>
      </c>
      <c r="AA20" s="53">
        <v>3.2404541999999998</v>
      </c>
      <c r="AB20" s="34">
        <v>-1.5371385</v>
      </c>
      <c r="AC20" s="34">
        <v>-0.49853140000000001</v>
      </c>
      <c r="AD20" s="42">
        <f t="array" ref="AD20:AD22">MMULT(AA20:AC22,Z20:Z22)</f>
        <v>2.0601159105583897E-2</v>
      </c>
      <c r="AE20" s="42">
        <f>(1.055*(AD20^(1/2.4))-0.055)*255</f>
        <v>39.338892034499352</v>
      </c>
      <c r="AF20" s="7">
        <v>255</v>
      </c>
    </row>
    <row r="21" spans="1:32">
      <c r="C21" s="45">
        <f>C17</f>
        <v>2632</v>
      </c>
      <c r="E21" s="43">
        <f>C21/($C$20+$C$21+$C$22)</f>
        <v>0.31026759401155252</v>
      </c>
      <c r="F21" s="6"/>
      <c r="G21" s="6"/>
      <c r="H21" s="24">
        <f t="shared" si="0"/>
        <v>156.58987877851166</v>
      </c>
      <c r="K21" s="6"/>
      <c r="L21" s="6"/>
      <c r="M21" s="6"/>
      <c r="N21" s="55">
        <v>1</v>
      </c>
      <c r="O21" s="40">
        <v>0.28323300000000001</v>
      </c>
      <c r="P21" s="40">
        <v>0.52566999999999997</v>
      </c>
      <c r="Q21" s="40">
        <v>0.13417499999999999</v>
      </c>
      <c r="R21" s="40">
        <v>0.3303215684309796</v>
      </c>
      <c r="S21" s="49">
        <v>0.4</v>
      </c>
      <c r="Z21" s="34">
        <f>N21/100</f>
        <v>0.01</v>
      </c>
      <c r="AA21" s="53">
        <v>-0.96926599999999996</v>
      </c>
      <c r="AB21" s="34">
        <v>1.8760108</v>
      </c>
      <c r="AC21" s="34">
        <v>4.1556000000000003E-2</v>
      </c>
      <c r="AD21" s="42">
        <v>7.1451496102011777E-3</v>
      </c>
      <c r="AE21" s="42">
        <f>(1.055*(AD21^(1/2.4))-0.055)*255</f>
        <v>20.301592378901091</v>
      </c>
      <c r="AF21" s="7">
        <v>179</v>
      </c>
    </row>
    <row r="22" spans="1:32">
      <c r="C22" s="45">
        <f>C18</f>
        <v>1601</v>
      </c>
      <c r="E22" s="43">
        <f>C22/($C$20+$C$21+$C$22)</f>
        <v>0.18873040198043145</v>
      </c>
      <c r="F22" s="6"/>
      <c r="G22" s="6"/>
      <c r="H22" s="24">
        <f t="shared" si="0"/>
        <v>127.29390927656192</v>
      </c>
      <c r="K22" s="6"/>
      <c r="L22" s="6"/>
      <c r="M22" s="6"/>
      <c r="N22" s="55">
        <f>R22/R21</f>
        <v>0.79494561839210853</v>
      </c>
      <c r="O22" s="40">
        <v>0.134075</v>
      </c>
      <c r="P22" s="40">
        <v>0.19109699999999996</v>
      </c>
      <c r="Q22" s="40">
        <v>0.72126500000000004</v>
      </c>
      <c r="R22" s="40">
        <v>0.26258768348461625</v>
      </c>
      <c r="Z22" s="34">
        <f>N22/100</f>
        <v>7.9494561839210855E-3</v>
      </c>
      <c r="AA22" s="34">
        <v>5.5643400000000003E-2</v>
      </c>
      <c r="AB22" s="34">
        <v>-0.20402590000000001</v>
      </c>
      <c r="AC22" s="34">
        <v>1.0572252</v>
      </c>
      <c r="AD22" s="42">
        <v>7.0498597878157054E-3</v>
      </c>
      <c r="AE22" s="42">
        <f>(1.055*(AD22^(1/2.4))-0.055)*255</f>
        <v>20.110099508080339</v>
      </c>
      <c r="AF22" s="7">
        <v>104</v>
      </c>
    </row>
    <row r="24" spans="1:32">
      <c r="D24" s="43">
        <f>D8</f>
        <v>127.634956</v>
      </c>
      <c r="E24" s="44"/>
      <c r="F24" s="24">
        <f>D24/255</f>
        <v>0.50052923921568626</v>
      </c>
      <c r="G24" s="6"/>
      <c r="H24" s="24">
        <f>F24^(1/2.4)*255</f>
        <v>191.1183786097952</v>
      </c>
      <c r="I24" t="s">
        <v>33</v>
      </c>
      <c r="J24" t="s">
        <v>34</v>
      </c>
      <c r="K24" s="54"/>
      <c r="L24" s="54"/>
      <c r="M24" s="6"/>
      <c r="N24" s="55"/>
      <c r="O24" s="40">
        <v>0.58269199999999999</v>
      </c>
      <c r="P24" s="40">
        <v>0.28323300000000001</v>
      </c>
      <c r="Q24" s="40">
        <v>0.14455999999999999</v>
      </c>
      <c r="R24" s="40">
        <f t="array" ref="R24:R26">MMULT(O24:Q26,F24:F26)</f>
        <v>0.4069216278198981</v>
      </c>
      <c r="S24" s="49">
        <v>0.43</v>
      </c>
      <c r="T24">
        <f>(R24-0.332)/(0.1858-R25)</f>
        <v>-0.51818166939372601</v>
      </c>
      <c r="U24" s="37">
        <f>(449*T24^3) + (3525*T24^2) + (6823.3*T24) + 5520.33</f>
        <v>2868.653653214014</v>
      </c>
      <c r="V24" s="7">
        <v>2583</v>
      </c>
      <c r="W24" s="7">
        <v>2087</v>
      </c>
      <c r="X24" s="7">
        <v>2805</v>
      </c>
      <c r="Y24" s="7">
        <v>3000</v>
      </c>
      <c r="Z24" s="34">
        <f>N24/100</f>
        <v>0</v>
      </c>
      <c r="AA24" s="53">
        <v>3.2404541999999998</v>
      </c>
      <c r="AB24" s="34">
        <v>-1.5371385</v>
      </c>
      <c r="AC24" s="34">
        <v>-0.49853140000000001</v>
      </c>
      <c r="AD24" s="42">
        <f t="array" ref="AD24:AD26">MMULT(AA24:AC26,Z24:Z26)</f>
        <v>0</v>
      </c>
      <c r="AE24" s="42">
        <f>(1.055*(AD24^(1/2.4))-0.055)*255</f>
        <v>-14.025</v>
      </c>
      <c r="AF24" s="7">
        <v>255</v>
      </c>
    </row>
    <row r="25" spans="1:32">
      <c r="D25" s="43">
        <f>D9</f>
        <v>79.214554000000007</v>
      </c>
      <c r="E25" s="44"/>
      <c r="F25" s="24">
        <f>D25/255</f>
        <v>0.31064530980392158</v>
      </c>
      <c r="G25" s="6"/>
      <c r="H25" s="24">
        <f>F25^(1/2.4)*255</f>
        <v>156.66927997330831</v>
      </c>
      <c r="K25" s="6"/>
      <c r="L25" s="6"/>
      <c r="M25" s="6"/>
      <c r="N25" s="55"/>
      <c r="O25" s="40">
        <v>0.28323300000000001</v>
      </c>
      <c r="P25" s="40">
        <v>0.52566999999999997</v>
      </c>
      <c r="Q25" s="40">
        <v>0.13417499999999999</v>
      </c>
      <c r="R25" s="40">
        <v>0.33038563906275686</v>
      </c>
      <c r="S25" s="49">
        <v>0.4</v>
      </c>
      <c r="Z25" s="34">
        <f>N25/100</f>
        <v>0</v>
      </c>
      <c r="AA25" s="53">
        <v>-0.96926599999999996</v>
      </c>
      <c r="AB25" s="34">
        <v>1.8760108</v>
      </c>
      <c r="AC25" s="34">
        <v>4.1556000000000003E-2</v>
      </c>
      <c r="AD25" s="42">
        <v>0</v>
      </c>
      <c r="AE25" s="42">
        <f>(1.055*(AD25^(1/2.4))-0.055)*255</f>
        <v>-14.025</v>
      </c>
      <c r="AF25" s="7">
        <v>179</v>
      </c>
    </row>
    <row r="26" spans="1:32">
      <c r="D26" s="43">
        <f>D10</f>
        <v>48.125149</v>
      </c>
      <c r="E26" s="44"/>
      <c r="F26" s="24">
        <f>D26/255</f>
        <v>0.18872607450980391</v>
      </c>
      <c r="G26" s="6"/>
      <c r="H26" s="24">
        <f>F26^(1/2.4)*255</f>
        <v>127.29269311422193</v>
      </c>
      <c r="K26" s="6"/>
      <c r="L26" s="6"/>
      <c r="M26" s="6"/>
      <c r="N26" s="55"/>
      <c r="O26" s="40">
        <v>0.134075</v>
      </c>
      <c r="P26" s="40">
        <v>0.19109699999999996</v>
      </c>
      <c r="Q26" s="40">
        <v>0.72126500000000004</v>
      </c>
      <c r="R26" s="40">
        <v>0.26259335664675687</v>
      </c>
      <c r="Z26" s="34">
        <f>N26/100</f>
        <v>0</v>
      </c>
      <c r="AA26" s="34">
        <v>5.5643400000000003E-2</v>
      </c>
      <c r="AB26" s="34">
        <v>-0.20402590000000001</v>
      </c>
      <c r="AC26" s="34">
        <v>1.0572252</v>
      </c>
      <c r="AD26" s="42">
        <v>0</v>
      </c>
      <c r="AE26" s="42">
        <f>(1.055*(AD26^(1/2.4))-0.055)*255</f>
        <v>-14.025</v>
      </c>
      <c r="AF26" s="7">
        <v>104</v>
      </c>
    </row>
    <row r="29" spans="1:32">
      <c r="A29">
        <v>154</v>
      </c>
      <c r="B29">
        <v>1</v>
      </c>
      <c r="D29" s="43">
        <f>T34</f>
        <v>252.13587561388749</v>
      </c>
      <c r="E29" s="44"/>
      <c r="F29" s="24">
        <f>D29/255</f>
        <v>0.98876813966230392</v>
      </c>
      <c r="G29" s="24">
        <f>IF(F29&gt;0.04045,(((F29+0.055)/1.055 )^2.5)*100, F29/12.92*100)</f>
        <v>97.359635958152637</v>
      </c>
      <c r="H29" s="24">
        <f>F29^(1/2.4)*255</f>
        <v>253.80268201335375</v>
      </c>
      <c r="I29" t="s">
        <v>33</v>
      </c>
      <c r="J29" t="s">
        <v>34</v>
      </c>
      <c r="K29" s="23">
        <v>0.41245643908969243</v>
      </c>
      <c r="L29" s="23">
        <v>0.35757607764390897</v>
      </c>
      <c r="M29" s="24">
        <v>0.18043748326639894</v>
      </c>
      <c r="N29" s="40">
        <f t="array" ref="N29:N31">MMULT(K29:M31,G29:G31)</f>
        <v>58.426318088798624</v>
      </c>
      <c r="R29" s="40">
        <f>N29/($N$29+$N$30+$N$31)</f>
        <v>0.43185392112137372</v>
      </c>
      <c r="S29" s="49">
        <v>0.43</v>
      </c>
      <c r="T29">
        <f>(R29-0.332)/(0.1858-R30)</f>
        <v>-0.50946568072601339</v>
      </c>
      <c r="U29" s="37">
        <f>(449*T29^3) + (3525*T29^2) + (6823.3*T29) + 5520.33</f>
        <v>2899.6518883393055</v>
      </c>
      <c r="V29" s="7">
        <v>2583</v>
      </c>
      <c r="W29" s="7">
        <v>2087</v>
      </c>
      <c r="X29" s="7">
        <v>2805</v>
      </c>
      <c r="Y29" s="7">
        <v>3000</v>
      </c>
      <c r="Z29" s="34">
        <f>N29/100</f>
        <v>0.58426318088798623</v>
      </c>
      <c r="AA29" s="53">
        <v>3.2404541999999998</v>
      </c>
      <c r="AB29" s="34">
        <v>-1.5371385</v>
      </c>
      <c r="AC29" s="34">
        <v>-0.49853140000000001</v>
      </c>
      <c r="AD29" s="42">
        <f t="array" ref="AD29:AD31">MMULT(AA29:AC31, Z29:Z31)</f>
        <v>0.97359639073661353</v>
      </c>
      <c r="AE29" s="42">
        <f>(1.055*(AD29^(1/2.4))-0.055)*255</f>
        <v>252.01720463397501</v>
      </c>
      <c r="AF29" s="7">
        <v>255</v>
      </c>
    </row>
    <row r="30" spans="1:32">
      <c r="D30" s="43">
        <f>T35</f>
        <v>172.12465749665142</v>
      </c>
      <c r="E30" s="44"/>
      <c r="F30" s="24">
        <f>D30/255</f>
        <v>0.67499865684961347</v>
      </c>
      <c r="G30" s="24">
        <f>IF(F30&gt;0.04045,(((F30+0.055)/1.055 )^2.4)*100, F30/12.92*100)</f>
        <v>41.320640367990336</v>
      </c>
      <c r="H30" s="24">
        <f>F30^(1/2.4)*255</f>
        <v>216.47930869046806</v>
      </c>
      <c r="K30" s="24">
        <v>0.21267285140562264</v>
      </c>
      <c r="L30" s="24">
        <v>0.71515215528781795</v>
      </c>
      <c r="M30" s="24">
        <v>7.2174993306559576E-2</v>
      </c>
      <c r="N30" s="40">
        <v>51.654071136838681</v>
      </c>
      <c r="R30" s="40">
        <f>N30/($N$29+$N$30+$N$31)</f>
        <v>0.38179734564863527</v>
      </c>
      <c r="S30" s="49">
        <v>0.4</v>
      </c>
      <c r="T30" s="6"/>
      <c r="U30" s="38"/>
      <c r="Z30" s="34">
        <f>N30/100</f>
        <v>0.51654071136838686</v>
      </c>
      <c r="AA30" s="53">
        <v>-0.96926599999999996</v>
      </c>
      <c r="AB30" s="34">
        <v>1.8760108</v>
      </c>
      <c r="AC30" s="34">
        <v>4.1556000000000003E-2</v>
      </c>
      <c r="AD30" s="42">
        <v>0.41320639360823508</v>
      </c>
      <c r="AE30" s="42">
        <f>(1.055*(AD30^(1/2.4))-0.055)*255</f>
        <v>172.12465560611361</v>
      </c>
      <c r="AF30" s="7">
        <v>179</v>
      </c>
    </row>
    <row r="31" spans="1:32">
      <c r="D31" s="43">
        <f>T36</f>
        <v>121.72202488141906</v>
      </c>
      <c r="E31" s="44"/>
      <c r="F31" s="24">
        <f>D31/255</f>
        <v>0.47734127404478061</v>
      </c>
      <c r="G31" s="24">
        <f>IF(F31&gt;0.04045,(((F31+0.055)/1.055 )^2.4)*100, F31/12.92*100)</f>
        <v>19.366468422475471</v>
      </c>
      <c r="H31" s="24">
        <f>F31^(1/2.4)*255</f>
        <v>187.3781407644004</v>
      </c>
      <c r="K31" s="24">
        <v>1.933389558232931E-2</v>
      </c>
      <c r="L31" s="24">
        <v>0.11919202588130297</v>
      </c>
      <c r="M31" s="24">
        <v>0.95030407853636789</v>
      </c>
      <c r="N31" s="40">
        <v>25.211465800446252</v>
      </c>
      <c r="R31" s="40">
        <f>N31/($N$29+$N$30+$N$31)</f>
        <v>0.1863487332299909</v>
      </c>
      <c r="T31" s="6"/>
      <c r="U31" s="38"/>
      <c r="Z31" s="34">
        <f>N31/100</f>
        <v>0.25211465800446253</v>
      </c>
      <c r="AA31" s="34">
        <v>5.5643400000000003E-2</v>
      </c>
      <c r="AB31" s="34">
        <v>-0.20402590000000001</v>
      </c>
      <c r="AC31" s="34">
        <v>1.0572252</v>
      </c>
      <c r="AD31" s="42">
        <v>0.19366467608754673</v>
      </c>
      <c r="AE31" s="42">
        <f>(1.055*(AD31^(1/2.4))-0.055)*255</f>
        <v>121.72202250488485</v>
      </c>
      <c r="AF31" s="7">
        <v>104</v>
      </c>
    </row>
    <row r="34" spans="8:22">
      <c r="I34" t="s">
        <v>45</v>
      </c>
      <c r="J34">
        <f>AF8/D8</f>
        <v>1.9978852815211532</v>
      </c>
      <c r="K34" s="24">
        <v>0</v>
      </c>
      <c r="L34" s="24">
        <v>0</v>
      </c>
      <c r="M34" t="s">
        <v>45</v>
      </c>
      <c r="O34" t="s">
        <v>45</v>
      </c>
      <c r="P34" s="43">
        <v>126.20137800000001</v>
      </c>
      <c r="Q34" t="s">
        <v>45</v>
      </c>
      <c r="S34" t="s">
        <v>45</v>
      </c>
      <c r="T34">
        <f t="array" ref="T34:T36">MMULT(J34:L36,P34:P36)</f>
        <v>252.13587561388749</v>
      </c>
      <c r="U34" t="s">
        <v>45</v>
      </c>
    </row>
    <row r="35" spans="8:22">
      <c r="H35" t="s">
        <v>1</v>
      </c>
      <c r="I35" t="s">
        <v>45</v>
      </c>
      <c r="J35">
        <v>0</v>
      </c>
      <c r="K35">
        <f>AF9/D9</f>
        <v>2.259685764310432</v>
      </c>
      <c r="L35" s="24">
        <v>0</v>
      </c>
      <c r="M35" t="s">
        <v>45</v>
      </c>
      <c r="N35" s="40" t="s">
        <v>39</v>
      </c>
      <c r="O35" t="s">
        <v>45</v>
      </c>
      <c r="P35" s="43">
        <v>76.171943999999996</v>
      </c>
      <c r="Q35" t="s">
        <v>45</v>
      </c>
      <c r="R35" s="40" t="s">
        <v>1</v>
      </c>
      <c r="S35" t="s">
        <v>45</v>
      </c>
      <c r="T35">
        <v>172.12465749665142</v>
      </c>
      <c r="U35" t="s">
        <v>45</v>
      </c>
    </row>
    <row r="36" spans="8:22">
      <c r="I36" t="s">
        <v>45</v>
      </c>
      <c r="J36">
        <v>0</v>
      </c>
      <c r="K36">
        <v>0</v>
      </c>
      <c r="L36">
        <f>AF10/D10</f>
        <v>2.1610322702585294</v>
      </c>
      <c r="M36" t="s">
        <v>45</v>
      </c>
      <c r="O36" t="s">
        <v>45</v>
      </c>
      <c r="P36" s="43">
        <v>56.325870999999999</v>
      </c>
      <c r="Q36" t="s">
        <v>45</v>
      </c>
      <c r="S36" t="s">
        <v>45</v>
      </c>
      <c r="T36">
        <v>121.72202488141906</v>
      </c>
      <c r="U36" t="s">
        <v>45</v>
      </c>
    </row>
    <row r="37" spans="8:22">
      <c r="V37" s="52"/>
    </row>
    <row r="38" spans="8:22">
      <c r="J38">
        <f>D8*J34</f>
        <v>255</v>
      </c>
      <c r="V38" s="52"/>
    </row>
    <row r="39" spans="8:22">
      <c r="J39">
        <f>D9*K35</f>
        <v>179</v>
      </c>
    </row>
    <row r="40" spans="8:22">
      <c r="J40">
        <f>D10*L36</f>
        <v>104</v>
      </c>
    </row>
  </sheetData>
  <mergeCells count="10">
    <mergeCell ref="T6:U6"/>
    <mergeCell ref="A6:E6"/>
    <mergeCell ref="R2:S2"/>
    <mergeCell ref="Z2:AF2"/>
    <mergeCell ref="O2:Q2"/>
    <mergeCell ref="G2:H2"/>
    <mergeCell ref="G3:H3"/>
    <mergeCell ref="C3:F3"/>
    <mergeCell ref="K2:M2"/>
    <mergeCell ref="T2:Y2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9AA0B-1102-481E-8008-7E3B91AFAE26}">
  <dimension ref="A2:U66"/>
  <sheetViews>
    <sheetView topLeftCell="A40" workbookViewId="0">
      <selection activeCell="H14" sqref="H14"/>
    </sheetView>
  </sheetViews>
  <sheetFormatPr defaultRowHeight="15"/>
  <cols>
    <col min="2" max="2" width="11.140625" customWidth="1"/>
    <col min="4" max="6" width="12.7109375" bestFit="1" customWidth="1"/>
    <col min="7" max="8" width="19" bestFit="1" customWidth="1"/>
    <col min="10" max="10" width="16.85546875" bestFit="1" customWidth="1"/>
    <col min="11" max="11" width="19" bestFit="1" customWidth="1"/>
    <col min="12" max="12" width="12.5703125" customWidth="1"/>
  </cols>
  <sheetData>
    <row r="2" spans="1:21">
      <c r="B2" t="s">
        <v>34</v>
      </c>
      <c r="G2" t="s">
        <v>59</v>
      </c>
      <c r="H2" t="s">
        <v>58</v>
      </c>
      <c r="J2" t="s">
        <v>58</v>
      </c>
      <c r="K2" t="s">
        <v>59</v>
      </c>
      <c r="L2" t="s">
        <v>49</v>
      </c>
    </row>
    <row r="3" spans="1:21" s="31" customFormat="1" ht="30">
      <c r="B3" s="32" t="s">
        <v>89</v>
      </c>
      <c r="G3" s="32" t="s">
        <v>86</v>
      </c>
      <c r="H3" s="32" t="s">
        <v>87</v>
      </c>
      <c r="J3" s="32" t="s">
        <v>87</v>
      </c>
      <c r="K3" s="32" t="s">
        <v>86</v>
      </c>
      <c r="L3" s="32"/>
    </row>
    <row r="4" spans="1:21" s="31" customFormat="1">
      <c r="B4" s="32"/>
      <c r="G4" s="32"/>
      <c r="H4" s="32"/>
      <c r="J4" s="32"/>
      <c r="K4" s="32"/>
      <c r="L4" s="32"/>
    </row>
    <row r="5" spans="1:21" s="2" customFormat="1" ht="36" customHeight="1">
      <c r="G5" s="1"/>
      <c r="H5" s="1"/>
      <c r="J5" s="1378" t="s">
        <v>88</v>
      </c>
      <c r="K5" s="1378"/>
      <c r="L5" s="1378"/>
      <c r="N5" s="63"/>
    </row>
    <row r="6" spans="1:21" s="2" customFormat="1" ht="27" customHeight="1">
      <c r="G6" s="1"/>
      <c r="H6" s="1"/>
      <c r="J6" s="1"/>
      <c r="K6" s="1"/>
      <c r="L6" s="1"/>
      <c r="N6" s="64" t="s">
        <v>82</v>
      </c>
      <c r="O6" s="65"/>
      <c r="P6" s="65"/>
      <c r="Q6" s="65"/>
      <c r="R6" s="65"/>
      <c r="S6" s="65"/>
      <c r="T6" s="65"/>
      <c r="U6" s="65"/>
    </row>
    <row r="7" spans="1:21">
      <c r="N7" s="62"/>
    </row>
    <row r="8" spans="1:21" s="31" customFormat="1" ht="30">
      <c r="B8" s="31" t="s">
        <v>78</v>
      </c>
      <c r="C8" s="31" t="s">
        <v>77</v>
      </c>
      <c r="E8" s="31" t="s">
        <v>76</v>
      </c>
      <c r="G8" s="32" t="s">
        <v>83</v>
      </c>
      <c r="H8" s="32" t="s">
        <v>84</v>
      </c>
      <c r="J8" s="32" t="s">
        <v>84</v>
      </c>
      <c r="K8" s="32" t="s">
        <v>85</v>
      </c>
      <c r="L8" s="32"/>
    </row>
    <row r="9" spans="1:21" s="31" customFormat="1">
      <c r="G9" s="32"/>
      <c r="H9" s="32"/>
      <c r="J9" s="32"/>
      <c r="K9" s="32"/>
      <c r="L9" s="32"/>
    </row>
    <row r="10" spans="1:21" s="31" customFormat="1">
      <c r="G10" t="s">
        <v>80</v>
      </c>
      <c r="H10" t="s">
        <v>80</v>
      </c>
      <c r="I10"/>
      <c r="J10" t="s">
        <v>81</v>
      </c>
      <c r="K10" t="s">
        <v>81</v>
      </c>
      <c r="L10"/>
    </row>
    <row r="12" spans="1:21">
      <c r="A12" t="s">
        <v>2</v>
      </c>
      <c r="B12">
        <v>255</v>
      </c>
      <c r="C12">
        <f>B12*256</f>
        <v>65280</v>
      </c>
      <c r="E12">
        <f>C12</f>
        <v>65280</v>
      </c>
      <c r="G12">
        <f>E12/$E$16*255</f>
        <v>40.982311015916395</v>
      </c>
      <c r="H12">
        <f>E12/$E$16</f>
        <v>0.16071494516045645</v>
      </c>
    </row>
    <row r="13" spans="1:21">
      <c r="A13" t="s">
        <v>4</v>
      </c>
      <c r="B13">
        <v>255</v>
      </c>
      <c r="C13">
        <f>B13*256</f>
        <v>65280</v>
      </c>
      <c r="E13">
        <f>C13</f>
        <v>65280</v>
      </c>
      <c r="G13">
        <f>E13/$E$16*255</f>
        <v>40.982311015916395</v>
      </c>
      <c r="H13">
        <f>E13/$E$16</f>
        <v>0.16071494516045645</v>
      </c>
    </row>
    <row r="14" spans="1:21">
      <c r="A14" t="s">
        <v>6</v>
      </c>
      <c r="B14">
        <v>255</v>
      </c>
      <c r="C14">
        <f>B14*256</f>
        <v>65280</v>
      </c>
      <c r="E14">
        <f>C14</f>
        <v>65280</v>
      </c>
      <c r="G14">
        <f>E14/$E$16*255</f>
        <v>40.982311015916395</v>
      </c>
      <c r="H14">
        <f>E14/$E$16</f>
        <v>0.16071494516045645</v>
      </c>
    </row>
    <row r="15" spans="1:21">
      <c r="A15" t="s">
        <v>75</v>
      </c>
      <c r="C15">
        <v>210345</v>
      </c>
    </row>
    <row r="16" spans="1:21">
      <c r="A16" t="s">
        <v>73</v>
      </c>
      <c r="C16">
        <f>SUM(C12:C15)</f>
        <v>406185</v>
      </c>
      <c r="E16">
        <f>C16</f>
        <v>406185</v>
      </c>
    </row>
    <row r="17" spans="1:11">
      <c r="A17" t="s">
        <v>74</v>
      </c>
      <c r="G17" s="61">
        <f>SUM(G12:G16)</f>
        <v>122.94693304774918</v>
      </c>
      <c r="H17" s="60">
        <f>SUM(H12:H16)</f>
        <v>0.48214483548136933</v>
      </c>
    </row>
    <row r="19" spans="1:11">
      <c r="H19" t="s">
        <v>79</v>
      </c>
    </row>
    <row r="24" spans="1:11">
      <c r="A24" t="s">
        <v>2</v>
      </c>
      <c r="B24">
        <f>B12</f>
        <v>255</v>
      </c>
      <c r="C24">
        <f>B24*256</f>
        <v>65280</v>
      </c>
      <c r="E24">
        <f>C24</f>
        <v>65280</v>
      </c>
      <c r="J24">
        <f>E24/$F$29</f>
        <v>0.33333333333333331</v>
      </c>
      <c r="K24">
        <f>J24*255</f>
        <v>85</v>
      </c>
    </row>
    <row r="25" spans="1:11">
      <c r="A25" t="s">
        <v>4</v>
      </c>
      <c r="B25">
        <f>B13</f>
        <v>255</v>
      </c>
      <c r="C25">
        <f>B25*256</f>
        <v>65280</v>
      </c>
      <c r="E25">
        <f>C25</f>
        <v>65280</v>
      </c>
      <c r="J25">
        <f>E25/$F$29</f>
        <v>0.33333333333333331</v>
      </c>
      <c r="K25">
        <f>J25*255</f>
        <v>85</v>
      </c>
    </row>
    <row r="26" spans="1:11">
      <c r="A26" t="s">
        <v>6</v>
      </c>
      <c r="B26">
        <f>B14</f>
        <v>255</v>
      </c>
      <c r="C26">
        <f>B26*256</f>
        <v>65280</v>
      </c>
      <c r="E26">
        <f>C26</f>
        <v>65280</v>
      </c>
      <c r="J26">
        <f>E26/$F$29</f>
        <v>0.33333333333333331</v>
      </c>
      <c r="K26">
        <f>J26*255</f>
        <v>85</v>
      </c>
    </row>
    <row r="27" spans="1:11">
      <c r="A27" t="s">
        <v>75</v>
      </c>
      <c r="C27">
        <f>C15</f>
        <v>210345</v>
      </c>
    </row>
    <row r="28" spans="1:11">
      <c r="A28" t="s">
        <v>73</v>
      </c>
      <c r="C28">
        <f>SUM(C24:C27)</f>
        <v>406185</v>
      </c>
      <c r="E28">
        <f>C28</f>
        <v>406185</v>
      </c>
    </row>
    <row r="29" spans="1:11">
      <c r="A29" t="s">
        <v>74</v>
      </c>
      <c r="F29">
        <f>SUM(E24:E26)</f>
        <v>195840</v>
      </c>
      <c r="J29" s="5">
        <f>SUM(J24:J28)</f>
        <v>1</v>
      </c>
      <c r="K29" s="5">
        <f>SUM(K24:K28)</f>
        <v>255</v>
      </c>
    </row>
    <row r="33" spans="1:17" ht="82.5">
      <c r="A33" s="67" t="s">
        <v>90</v>
      </c>
    </row>
    <row r="34" spans="1:17">
      <c r="A34" s="68" t="s">
        <v>91</v>
      </c>
      <c r="C34">
        <v>204.91069999999999</v>
      </c>
      <c r="E34">
        <f t="array" ref="E34:E36">MMULT(D64:F66,C34:C36)</f>
        <v>255</v>
      </c>
    </row>
    <row r="35" spans="1:17">
      <c r="A35" s="68" t="s">
        <v>92</v>
      </c>
      <c r="C35">
        <v>25.044599999999999</v>
      </c>
      <c r="E35">
        <v>-3.5527136788005009E-15</v>
      </c>
    </row>
    <row r="36" spans="1:17">
      <c r="A36" s="68" t="s">
        <v>93</v>
      </c>
      <c r="C36">
        <v>25.044599999999999</v>
      </c>
      <c r="E36">
        <v>0</v>
      </c>
    </row>
    <row r="37" spans="1:17" ht="82.5">
      <c r="A37" s="67" t="s">
        <v>94</v>
      </c>
    </row>
    <row r="38" spans="1:17">
      <c r="A38" s="68" t="s">
        <v>95</v>
      </c>
      <c r="C38">
        <v>47.403799999999997</v>
      </c>
      <c r="E38">
        <f t="array" ref="E38:E40">MMULT(D64:F66,C38:C40)</f>
        <v>-5.773159728050814E-15</v>
      </c>
      <c r="G38" s="29"/>
      <c r="P38" s="14"/>
      <c r="Q38" s="14"/>
    </row>
    <row r="39" spans="1:17">
      <c r="A39" s="68" t="s">
        <v>96</v>
      </c>
      <c r="C39">
        <v>155.2885</v>
      </c>
      <c r="E39">
        <v>254.99999999999994</v>
      </c>
      <c r="G39" s="29"/>
      <c r="P39" s="14"/>
      <c r="Q39" s="14"/>
    </row>
    <row r="40" spans="1:17">
      <c r="A40" s="68" t="s">
        <v>97</v>
      </c>
      <c r="C40">
        <v>52.307699999999997</v>
      </c>
      <c r="E40">
        <v>0</v>
      </c>
      <c r="G40" s="29"/>
      <c r="P40" s="14"/>
      <c r="Q40" s="14"/>
    </row>
    <row r="41" spans="1:17" ht="66">
      <c r="A41" s="67" t="s">
        <v>98</v>
      </c>
    </row>
    <row r="42" spans="1:17">
      <c r="A42" s="68" t="s">
        <v>99</v>
      </c>
      <c r="C42">
        <v>7.0833000000000004</v>
      </c>
      <c r="E42">
        <f t="array" ref="E42:E44">MMULT(D64:F66,C42:C44)</f>
        <v>-1.7763568394002505E-15</v>
      </c>
    </row>
    <row r="43" spans="1:17">
      <c r="A43" s="68" t="s">
        <v>100</v>
      </c>
      <c r="C43">
        <v>51.944400000000002</v>
      </c>
      <c r="E43">
        <v>1.4210854715202004E-14</v>
      </c>
    </row>
    <row r="44" spans="1:17">
      <c r="A44" s="68" t="s">
        <v>101</v>
      </c>
      <c r="C44">
        <v>195.97219999999999</v>
      </c>
      <c r="E44">
        <v>255.00000000000003</v>
      </c>
    </row>
    <row r="45" spans="1:17">
      <c r="A45" s="68"/>
    </row>
    <row r="46" spans="1:17">
      <c r="A46" s="68" t="s">
        <v>102</v>
      </c>
      <c r="C46">
        <v>77.462299999999999</v>
      </c>
      <c r="E46">
        <f t="array" ref="E46:E48">MMULT(D64:F66,C46:C48)</f>
        <v>67.757597214178958</v>
      </c>
    </row>
    <row r="47" spans="1:17">
      <c r="A47" s="68" t="s">
        <v>103</v>
      </c>
      <c r="C47">
        <v>90.452799999999996</v>
      </c>
      <c r="E47">
        <v>112.65572890893425</v>
      </c>
    </row>
    <row r="48" spans="1:17">
      <c r="A48" s="68" t="s">
        <v>104</v>
      </c>
      <c r="C48">
        <v>87.084900000000005</v>
      </c>
      <c r="E48">
        <v>74.586729698191462</v>
      </c>
    </row>
    <row r="49" spans="1:10">
      <c r="A49" s="68"/>
    </row>
    <row r="50" spans="1:10" ht="17.25">
      <c r="A50" s="68"/>
      <c r="C50" s="58">
        <v>85</v>
      </c>
      <c r="E50">
        <f t="array" ref="E50:E52">MMULT(D64:F66,C50:C52)</f>
        <v>69.439826663173847</v>
      </c>
    </row>
    <row r="51" spans="1:10" ht="17.25">
      <c r="A51" s="68"/>
      <c r="C51" s="58">
        <v>106.25</v>
      </c>
      <c r="E51">
        <v>152.07296161670695</v>
      </c>
    </row>
    <row r="52" spans="1:10" ht="17.25">
      <c r="A52" s="68"/>
      <c r="C52" s="58">
        <v>63.75</v>
      </c>
      <c r="E52">
        <v>33.4872520836795</v>
      </c>
    </row>
    <row r="53" spans="1:10">
      <c r="A53" s="68"/>
    </row>
    <row r="55" spans="1:10">
      <c r="D55">
        <v>255</v>
      </c>
      <c r="E55">
        <v>0</v>
      </c>
      <c r="F55">
        <v>0</v>
      </c>
      <c r="H55">
        <f>C34</f>
        <v>204.91069999999999</v>
      </c>
      <c r="I55">
        <f>C38</f>
        <v>47.403799999999997</v>
      </c>
      <c r="J55">
        <f>C42</f>
        <v>7.0833000000000004</v>
      </c>
    </row>
    <row r="56" spans="1:10" ht="17.25">
      <c r="D56">
        <v>0</v>
      </c>
      <c r="E56" s="58">
        <v>255</v>
      </c>
      <c r="F56">
        <v>0</v>
      </c>
      <c r="H56">
        <f>C35</f>
        <v>25.044599999999999</v>
      </c>
      <c r="I56">
        <f>C39</f>
        <v>155.2885</v>
      </c>
      <c r="J56">
        <f>C43</f>
        <v>51.944400000000002</v>
      </c>
    </row>
    <row r="57" spans="1:10" ht="17.25">
      <c r="D57">
        <v>0</v>
      </c>
      <c r="E57" s="58">
        <v>0</v>
      </c>
      <c r="F57">
        <v>255</v>
      </c>
      <c r="H57">
        <f>C36</f>
        <v>25.044599999999999</v>
      </c>
      <c r="I57">
        <f>C40</f>
        <v>52.307699999999997</v>
      </c>
      <c r="J57">
        <f>C44</f>
        <v>195.97219999999999</v>
      </c>
    </row>
    <row r="58" spans="1:10" ht="17.25">
      <c r="E58" s="58"/>
    </row>
    <row r="59" spans="1:10">
      <c r="H59">
        <f t="array" ref="H59:J61" xml:space="preserve"> MINVERSE(H55:J57)</f>
        <v>5.0484155860374726E-3</v>
      </c>
      <c r="I59">
        <v>-1.6246866577133315E-3</v>
      </c>
      <c r="J59">
        <v>2.4816750285165521E-4</v>
      </c>
    </row>
    <row r="60" spans="1:10">
      <c r="H60">
        <v>-6.5705011799019298E-4</v>
      </c>
      <c r="I60">
        <v>7.2823972814545865E-3</v>
      </c>
      <c r="J60">
        <v>-1.9065238551489942E-3</v>
      </c>
    </row>
    <row r="61" spans="1:10">
      <c r="H61">
        <v>-4.6979504505883222E-4</v>
      </c>
      <c r="I61">
        <v>-1.7361433142628127E-3</v>
      </c>
      <c r="J61">
        <v>5.57992726527568E-3</v>
      </c>
    </row>
    <row r="64" spans="1:10">
      <c r="D64">
        <f t="array" ref="D64:F66">MMULT(D55:F57,H59:J61)</f>
        <v>1.2873459744395555</v>
      </c>
      <c r="E64">
        <v>-0.41429509771689954</v>
      </c>
      <c r="F64">
        <v>6.3282713227172077E-2</v>
      </c>
    </row>
    <row r="65" spans="4:6">
      <c r="D65">
        <v>-0.16754778008749921</v>
      </c>
      <c r="E65">
        <v>1.8570113067709195</v>
      </c>
      <c r="F65">
        <v>-0.48616358306299351</v>
      </c>
    </row>
    <row r="66" spans="4:6">
      <c r="D66">
        <v>-0.11979773649000222</v>
      </c>
      <c r="E66">
        <v>-0.44271654513701725</v>
      </c>
      <c r="F66">
        <v>1.4228814526452984</v>
      </c>
    </row>
  </sheetData>
  <mergeCells count="1">
    <mergeCell ref="J5:L5"/>
  </mergeCells>
  <hyperlinks>
    <hyperlink ref="N6" r:id="rId1" xr:uid="{5CC7D012-31C5-428C-90FB-F4550EF488D3}"/>
    <hyperlink ref="J5" r:id="rId2" xr:uid="{0BE87ECB-AF24-4FF8-AFF8-0765CE1A3C7C}"/>
  </hyperlinks>
  <pageMargins left="0.7" right="0.7" top="0.75" bottom="0.75" header="0.3" footer="0.3"/>
  <pageSetup paperSize="9" orientation="portrait" verticalDpi="0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8282-46CD-4664-A479-FD849EC972F7}">
  <dimension ref="A1:CE119"/>
  <sheetViews>
    <sheetView topLeftCell="A13" workbookViewId="0">
      <selection activeCell="D3" sqref="D3"/>
    </sheetView>
  </sheetViews>
  <sheetFormatPr defaultRowHeight="15"/>
  <cols>
    <col min="1" max="1" width="7.5703125" customWidth="1"/>
    <col min="2" max="2" width="3.7109375" customWidth="1"/>
    <col min="3" max="3" width="9.7109375" customWidth="1"/>
    <col min="4" max="4" width="9.7109375" style="73" customWidth="1"/>
    <col min="5" max="5" width="3.28515625" customWidth="1"/>
    <col min="6" max="7" width="9.7109375" customWidth="1"/>
    <col min="8" max="8" width="3.140625" customWidth="1"/>
    <col min="9" max="10" width="9.7109375" customWidth="1"/>
    <col min="11" max="11" width="3" customWidth="1"/>
    <col min="12" max="13" width="9.7109375" customWidth="1"/>
    <col min="14" max="14" width="3.140625" customWidth="1"/>
    <col min="15" max="16" width="9.7109375" customWidth="1"/>
    <col min="17" max="17" width="3.42578125" customWidth="1"/>
    <col min="18" max="19" width="9.7109375" customWidth="1"/>
    <col min="21" max="78" width="9.140625" style="101"/>
  </cols>
  <sheetData>
    <row r="1" spans="1:78" ht="45.75" customHeight="1">
      <c r="A1" s="104"/>
      <c r="B1" s="103"/>
      <c r="C1" s="103"/>
      <c r="D1" s="105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</row>
    <row r="2" spans="1:78" ht="31.5" customHeight="1">
      <c r="A2" s="104"/>
      <c r="B2" s="103"/>
      <c r="C2" s="317" t="s">
        <v>153</v>
      </c>
      <c r="D2" s="105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BW2"/>
      <c r="BX2"/>
      <c r="BY2"/>
      <c r="BZ2"/>
    </row>
    <row r="3" spans="1:78" ht="45">
      <c r="A3" s="104"/>
      <c r="B3" s="103"/>
      <c r="C3" s="310" t="s">
        <v>150</v>
      </c>
      <c r="D3" s="309" t="s">
        <v>149</v>
      </c>
      <c r="E3" s="186"/>
      <c r="F3" s="310" t="s">
        <v>150</v>
      </c>
      <c r="G3" s="309" t="s">
        <v>149</v>
      </c>
      <c r="H3" s="186"/>
      <c r="I3" s="310" t="s">
        <v>150</v>
      </c>
      <c r="J3" s="309" t="s">
        <v>149</v>
      </c>
      <c r="K3" s="186"/>
      <c r="L3" s="310" t="s">
        <v>150</v>
      </c>
      <c r="M3" s="309" t="s">
        <v>149</v>
      </c>
      <c r="N3" s="186"/>
      <c r="O3" s="310" t="s">
        <v>150</v>
      </c>
      <c r="P3" s="309" t="s">
        <v>149</v>
      </c>
      <c r="Q3" s="186"/>
      <c r="R3" s="310" t="s">
        <v>150</v>
      </c>
      <c r="S3" s="309" t="s">
        <v>149</v>
      </c>
      <c r="T3" s="103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  <c r="AJ3" s="104"/>
      <c r="AK3" s="104"/>
      <c r="AL3" s="104"/>
      <c r="BW3"/>
      <c r="BX3"/>
      <c r="BY3"/>
      <c r="BZ3"/>
    </row>
    <row r="4" spans="1:78" s="102" customFormat="1">
      <c r="B4" s="103"/>
      <c r="C4" s="103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0"/>
      <c r="BA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0"/>
      <c r="BM4" s="90"/>
      <c r="BN4" s="90"/>
      <c r="BO4" s="90"/>
      <c r="BP4" s="90"/>
      <c r="BQ4" s="90"/>
      <c r="BR4" s="90"/>
      <c r="BS4" s="90"/>
      <c r="BT4" s="90"/>
      <c r="BU4" s="90"/>
      <c r="BV4" s="90"/>
    </row>
    <row r="5" spans="1:78" ht="30" customHeight="1">
      <c r="A5" s="104"/>
      <c r="B5" s="103">
        <v>1</v>
      </c>
      <c r="C5" s="151"/>
      <c r="D5" s="187"/>
      <c r="E5" s="103">
        <v>2</v>
      </c>
      <c r="F5" s="152"/>
      <c r="G5" s="188"/>
      <c r="H5" s="103">
        <v>3</v>
      </c>
      <c r="I5" s="153"/>
      <c r="J5" s="189"/>
      <c r="K5" s="103">
        <v>4</v>
      </c>
      <c r="L5" s="154"/>
      <c r="M5" s="190"/>
      <c r="N5" s="103">
        <v>5</v>
      </c>
      <c r="O5" s="155"/>
      <c r="P5" s="191"/>
      <c r="Q5" s="103">
        <v>6</v>
      </c>
      <c r="R5" s="156"/>
      <c r="S5" s="192"/>
      <c r="T5" s="103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BW5"/>
      <c r="BX5"/>
      <c r="BY5"/>
      <c r="BZ5"/>
    </row>
    <row r="6" spans="1:78" s="104" customFormat="1">
      <c r="B6" s="103"/>
      <c r="C6" s="103"/>
      <c r="D6" s="105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1"/>
      <c r="BO6" s="101"/>
      <c r="BP6" s="101"/>
      <c r="BQ6" s="101"/>
      <c r="BR6" s="101"/>
      <c r="BS6" s="101"/>
      <c r="BT6" s="101"/>
      <c r="BU6" s="101"/>
      <c r="BV6" s="101"/>
    </row>
    <row r="7" spans="1:78" ht="30" customHeight="1">
      <c r="A7" s="104"/>
      <c r="B7" s="103">
        <v>7</v>
      </c>
      <c r="C7" s="157"/>
      <c r="D7" s="193"/>
      <c r="E7" s="103">
        <v>8</v>
      </c>
      <c r="F7" s="158"/>
      <c r="G7" s="194"/>
      <c r="H7" s="103">
        <v>9</v>
      </c>
      <c r="I7" s="159"/>
      <c r="J7" s="195"/>
      <c r="K7" s="103">
        <v>10</v>
      </c>
      <c r="L7" s="160"/>
      <c r="M7" s="196"/>
      <c r="N7" s="103">
        <v>11</v>
      </c>
      <c r="O7" s="161"/>
      <c r="P7" s="197"/>
      <c r="Q7" s="103">
        <v>12</v>
      </c>
      <c r="R7" s="162"/>
      <c r="S7" s="198"/>
      <c r="T7" s="103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BW7"/>
      <c r="BX7"/>
      <c r="BY7"/>
      <c r="BZ7"/>
    </row>
    <row r="8" spans="1:78" s="104" customFormat="1">
      <c r="B8" s="103"/>
      <c r="C8" s="103"/>
      <c r="D8" s="105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1"/>
      <c r="BI8" s="101"/>
      <c r="BJ8" s="101"/>
      <c r="BK8" s="101"/>
      <c r="BL8" s="101"/>
      <c r="BM8" s="101"/>
      <c r="BN8" s="101"/>
      <c r="BO8" s="101"/>
      <c r="BP8" s="101"/>
      <c r="BQ8" s="101"/>
      <c r="BR8" s="101"/>
      <c r="BS8" s="101"/>
      <c r="BT8" s="101"/>
      <c r="BU8" s="101"/>
      <c r="BV8" s="101"/>
    </row>
    <row r="9" spans="1:78" ht="30" customHeight="1">
      <c r="A9" s="104"/>
      <c r="B9" s="103">
        <v>13</v>
      </c>
      <c r="C9" s="163"/>
      <c r="D9" s="199"/>
      <c r="E9" s="103">
        <v>14</v>
      </c>
      <c r="F9" s="164"/>
      <c r="G9" s="200"/>
      <c r="H9" s="103">
        <v>15</v>
      </c>
      <c r="I9" s="165"/>
      <c r="J9" s="201"/>
      <c r="K9" s="103">
        <v>16</v>
      </c>
      <c r="L9" s="166"/>
      <c r="M9" s="202"/>
      <c r="N9" s="103">
        <v>17</v>
      </c>
      <c r="O9" s="167"/>
      <c r="P9" s="203"/>
      <c r="Q9" s="103">
        <v>18</v>
      </c>
      <c r="R9" s="168"/>
      <c r="S9" s="204"/>
      <c r="T9" s="103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BW9"/>
      <c r="BX9"/>
      <c r="BY9"/>
      <c r="BZ9"/>
    </row>
    <row r="10" spans="1:78" s="104" customFormat="1">
      <c r="B10" s="103"/>
      <c r="C10" s="103"/>
      <c r="D10" s="105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1"/>
      <c r="BI10" s="101"/>
      <c r="BJ10" s="101"/>
      <c r="BK10" s="101"/>
      <c r="BL10" s="101"/>
      <c r="BM10" s="101"/>
      <c r="BN10" s="101"/>
      <c r="BO10" s="101"/>
      <c r="BP10" s="101"/>
      <c r="BQ10" s="101"/>
      <c r="BR10" s="101"/>
      <c r="BS10" s="101"/>
      <c r="BT10" s="101"/>
      <c r="BU10" s="101"/>
      <c r="BV10" s="101"/>
    </row>
    <row r="11" spans="1:78" ht="30" customHeight="1">
      <c r="A11" s="104"/>
      <c r="B11" s="103">
        <v>19</v>
      </c>
      <c r="C11" s="169"/>
      <c r="D11" s="205"/>
      <c r="E11" s="103">
        <v>20</v>
      </c>
      <c r="F11" s="170"/>
      <c r="G11" s="205"/>
      <c r="H11" s="103">
        <v>21</v>
      </c>
      <c r="I11" s="171"/>
      <c r="J11" s="206"/>
      <c r="K11" s="103">
        <v>22</v>
      </c>
      <c r="L11" s="172"/>
      <c r="M11" s="205"/>
      <c r="N11" s="103">
        <v>23</v>
      </c>
      <c r="O11" s="173"/>
      <c r="P11" s="207"/>
      <c r="Q11" s="103">
        <v>24</v>
      </c>
      <c r="R11" s="174"/>
      <c r="S11" s="208"/>
      <c r="T11" s="103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BW11"/>
      <c r="BX11"/>
      <c r="BY11"/>
      <c r="BZ11"/>
    </row>
    <row r="12" spans="1:78" ht="18" customHeight="1">
      <c r="A12" s="104"/>
      <c r="B12" s="103"/>
      <c r="C12" s="103"/>
      <c r="D12" s="105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BW12"/>
      <c r="BX12"/>
      <c r="BY12"/>
      <c r="BZ12"/>
    </row>
    <row r="13" spans="1:78" ht="29.25" customHeight="1">
      <c r="A13" s="104"/>
      <c r="B13" s="103"/>
      <c r="C13" s="317" t="s">
        <v>154</v>
      </c>
      <c r="D13" s="105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BW13"/>
      <c r="BX13"/>
      <c r="BY13"/>
      <c r="BZ13"/>
    </row>
    <row r="14" spans="1:78" ht="45.75">
      <c r="A14" s="104"/>
      <c r="B14" s="103"/>
      <c r="C14" s="311" t="s">
        <v>150</v>
      </c>
      <c r="D14" s="311" t="s">
        <v>151</v>
      </c>
      <c r="E14" s="312"/>
      <c r="F14" s="311" t="s">
        <v>150</v>
      </c>
      <c r="G14" s="311" t="s">
        <v>151</v>
      </c>
      <c r="H14" s="312"/>
      <c r="I14" s="311" t="s">
        <v>150</v>
      </c>
      <c r="J14" s="311" t="s">
        <v>151</v>
      </c>
      <c r="K14" s="312"/>
      <c r="L14" s="311" t="s">
        <v>150</v>
      </c>
      <c r="M14" s="311" t="s">
        <v>151</v>
      </c>
      <c r="N14" s="312"/>
      <c r="O14" s="311" t="s">
        <v>150</v>
      </c>
      <c r="P14" s="311" t="s">
        <v>151</v>
      </c>
      <c r="Q14" s="312"/>
      <c r="R14" s="311" t="s">
        <v>150</v>
      </c>
      <c r="S14" s="311" t="s">
        <v>151</v>
      </c>
      <c r="T14" s="103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BW14"/>
      <c r="BX14"/>
      <c r="BY14"/>
      <c r="BZ14"/>
    </row>
    <row r="15" spans="1:78" s="102" customFormat="1">
      <c r="B15" s="103"/>
      <c r="C15" s="103"/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</row>
    <row r="16" spans="1:78" ht="30" customHeight="1">
      <c r="A16" s="104"/>
      <c r="B16" s="103">
        <v>1</v>
      </c>
      <c r="C16" s="151"/>
      <c r="D16" s="106"/>
      <c r="E16" s="103">
        <v>2</v>
      </c>
      <c r="F16" s="152"/>
      <c r="G16" s="107"/>
      <c r="H16" s="103">
        <v>3</v>
      </c>
      <c r="I16" s="153"/>
      <c r="J16" s="108"/>
      <c r="K16" s="103">
        <v>4</v>
      </c>
      <c r="L16" s="154"/>
      <c r="M16" s="109"/>
      <c r="N16" s="103">
        <v>5</v>
      </c>
      <c r="O16" s="155"/>
      <c r="P16" s="110"/>
      <c r="Q16" s="103">
        <v>6</v>
      </c>
      <c r="R16" s="156"/>
      <c r="S16" s="111"/>
      <c r="T16" s="103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BW16"/>
      <c r="BX16"/>
      <c r="BY16"/>
      <c r="BZ16"/>
    </row>
    <row r="17" spans="1:83" s="104" customFormat="1">
      <c r="B17" s="103"/>
      <c r="C17" s="103"/>
      <c r="D17" s="105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1"/>
      <c r="BO17" s="101"/>
      <c r="BP17" s="101"/>
      <c r="BQ17" s="101"/>
      <c r="BR17" s="101"/>
      <c r="BS17" s="101"/>
      <c r="BT17" s="101"/>
      <c r="BU17" s="101"/>
      <c r="BV17" s="101"/>
    </row>
    <row r="18" spans="1:83" ht="30" customHeight="1">
      <c r="A18" s="104"/>
      <c r="B18" s="103">
        <v>7</v>
      </c>
      <c r="C18" s="157"/>
      <c r="D18" s="112"/>
      <c r="E18" s="103">
        <v>8</v>
      </c>
      <c r="F18" s="158"/>
      <c r="G18" s="113"/>
      <c r="H18" s="103">
        <v>9</v>
      </c>
      <c r="I18" s="159"/>
      <c r="J18" s="114"/>
      <c r="K18" s="103">
        <v>10</v>
      </c>
      <c r="L18" s="160"/>
      <c r="M18" s="115"/>
      <c r="N18" s="103">
        <v>11</v>
      </c>
      <c r="O18" s="161"/>
      <c r="P18" s="116"/>
      <c r="Q18" s="103">
        <v>12</v>
      </c>
      <c r="R18" s="162"/>
      <c r="S18" s="117"/>
      <c r="T18" s="103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BW18"/>
      <c r="BX18"/>
      <c r="BY18"/>
      <c r="BZ18"/>
    </row>
    <row r="19" spans="1:83" s="104" customFormat="1">
      <c r="B19" s="103"/>
      <c r="C19" s="103"/>
      <c r="D19" s="105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1"/>
      <c r="BO19" s="101"/>
      <c r="BP19" s="101"/>
      <c r="BQ19" s="101"/>
      <c r="BR19" s="101"/>
      <c r="BS19" s="101"/>
      <c r="BT19" s="101"/>
      <c r="BU19" s="101"/>
      <c r="BV19" s="101"/>
    </row>
    <row r="20" spans="1:83" ht="30" customHeight="1">
      <c r="A20" s="104"/>
      <c r="B20" s="103">
        <v>13</v>
      </c>
      <c r="C20" s="163"/>
      <c r="D20" s="118"/>
      <c r="E20" s="103">
        <v>14</v>
      </c>
      <c r="F20" s="164"/>
      <c r="G20" s="119"/>
      <c r="H20" s="103">
        <v>15</v>
      </c>
      <c r="I20" s="165"/>
      <c r="J20" s="120"/>
      <c r="K20" s="103">
        <v>16</v>
      </c>
      <c r="L20" s="166"/>
      <c r="M20" s="121"/>
      <c r="N20" s="103">
        <v>17</v>
      </c>
      <c r="O20" s="167"/>
      <c r="P20" s="122"/>
      <c r="Q20" s="103">
        <v>18</v>
      </c>
      <c r="R20" s="168"/>
      <c r="S20" s="123"/>
      <c r="T20" s="103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BW20"/>
      <c r="BX20"/>
      <c r="BY20"/>
      <c r="BZ20"/>
    </row>
    <row r="21" spans="1:83" s="104" customFormat="1">
      <c r="B21" s="103"/>
      <c r="C21" s="103"/>
      <c r="D21" s="105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1"/>
      <c r="BI21" s="101"/>
      <c r="BJ21" s="101"/>
      <c r="BK21" s="101"/>
      <c r="BL21" s="101"/>
      <c r="BM21" s="101"/>
      <c r="BN21" s="101"/>
      <c r="BO21" s="101"/>
      <c r="BP21" s="101"/>
      <c r="BQ21" s="101"/>
      <c r="BR21" s="101"/>
      <c r="BS21" s="101"/>
      <c r="BT21" s="101"/>
      <c r="BU21" s="101"/>
      <c r="BV21" s="101"/>
      <c r="BW21" s="101"/>
      <c r="BX21" s="101"/>
      <c r="BY21" s="101"/>
      <c r="BZ21" s="101"/>
      <c r="CA21" s="101"/>
      <c r="CB21" s="101"/>
      <c r="CC21" s="101"/>
      <c r="CD21" s="101"/>
      <c r="CE21" s="101"/>
    </row>
    <row r="22" spans="1:83" ht="30" customHeight="1">
      <c r="A22" s="104"/>
      <c r="B22" s="103">
        <v>19</v>
      </c>
      <c r="C22" s="169"/>
      <c r="D22" s="124"/>
      <c r="E22" s="103">
        <v>20</v>
      </c>
      <c r="F22" s="170"/>
      <c r="G22" s="125"/>
      <c r="H22" s="103">
        <v>21</v>
      </c>
      <c r="I22" s="171"/>
      <c r="J22" s="126"/>
      <c r="K22" s="103">
        <v>22</v>
      </c>
      <c r="L22" s="172"/>
      <c r="M22" s="124"/>
      <c r="N22" s="103">
        <v>23</v>
      </c>
      <c r="O22" s="173"/>
      <c r="P22" s="127"/>
      <c r="Q22" s="103">
        <v>24</v>
      </c>
      <c r="R22" s="174"/>
      <c r="S22" s="128"/>
      <c r="T22" s="103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CA22" s="101"/>
      <c r="CB22" s="101"/>
      <c r="CC22" s="101"/>
      <c r="CD22" s="101"/>
      <c r="CE22" s="101"/>
    </row>
    <row r="23" spans="1:83" s="104" customFormat="1" ht="12.75" customHeight="1">
      <c r="B23" s="103"/>
      <c r="C23" s="103"/>
      <c r="D23" s="105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  <c r="BZ23" s="101"/>
      <c r="CA23" s="101"/>
      <c r="CB23" s="101"/>
      <c r="CC23" s="101"/>
      <c r="CD23" s="101"/>
      <c r="CE23" s="101"/>
    </row>
    <row r="24" spans="1:83" s="101" customFormat="1" ht="30" customHeight="1">
      <c r="A24" s="104"/>
      <c r="B24" s="103"/>
      <c r="C24" s="317" t="s">
        <v>155</v>
      </c>
      <c r="D24" s="105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</row>
    <row r="25" spans="1:83" s="213" customFormat="1" ht="45">
      <c r="A25" s="212"/>
      <c r="B25" s="212"/>
      <c r="C25" s="310" t="s">
        <v>150</v>
      </c>
      <c r="D25" s="310" t="s">
        <v>152</v>
      </c>
      <c r="E25" s="315"/>
      <c r="F25" s="310" t="s">
        <v>150</v>
      </c>
      <c r="G25" s="310" t="s">
        <v>152</v>
      </c>
      <c r="H25" s="315"/>
      <c r="I25" s="310" t="s">
        <v>150</v>
      </c>
      <c r="J25" s="310" t="s">
        <v>152</v>
      </c>
      <c r="K25" s="315"/>
      <c r="L25" s="310" t="s">
        <v>150</v>
      </c>
      <c r="M25" s="310" t="s">
        <v>152</v>
      </c>
      <c r="N25" s="315"/>
      <c r="O25" s="310" t="s">
        <v>150</v>
      </c>
      <c r="P25" s="310" t="s">
        <v>152</v>
      </c>
      <c r="Q25" s="315"/>
      <c r="R25" s="310" t="s">
        <v>150</v>
      </c>
      <c r="S25" s="310" t="s">
        <v>152</v>
      </c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316"/>
      <c r="AN25" s="316"/>
      <c r="AO25" s="316"/>
      <c r="AP25" s="316"/>
      <c r="AQ25" s="316"/>
      <c r="AR25" s="316"/>
      <c r="AS25" s="316"/>
      <c r="AT25" s="316"/>
      <c r="AU25" s="316"/>
      <c r="AV25" s="316"/>
      <c r="AW25" s="316"/>
      <c r="AX25" s="316"/>
      <c r="AY25" s="316"/>
      <c r="AZ25" s="316"/>
      <c r="BA25" s="316"/>
      <c r="BB25" s="316"/>
      <c r="BC25" s="316"/>
      <c r="BD25" s="316"/>
      <c r="BE25" s="316"/>
      <c r="BF25" s="316"/>
      <c r="BG25" s="316"/>
      <c r="BH25" s="316"/>
      <c r="BI25" s="316"/>
      <c r="BJ25" s="316"/>
      <c r="BK25" s="316"/>
      <c r="BL25" s="316"/>
      <c r="BM25" s="316"/>
      <c r="BN25" s="316"/>
      <c r="BO25" s="316"/>
      <c r="BP25" s="316"/>
      <c r="BQ25" s="316"/>
      <c r="BR25" s="316"/>
      <c r="BS25" s="316"/>
      <c r="BT25" s="316"/>
      <c r="BU25" s="316"/>
      <c r="BV25" s="316"/>
      <c r="BW25" s="316"/>
      <c r="BX25" s="316"/>
      <c r="BY25" s="316"/>
      <c r="BZ25" s="316"/>
      <c r="CA25" s="316"/>
      <c r="CB25" s="316"/>
      <c r="CC25" s="316"/>
      <c r="CD25" s="316"/>
      <c r="CE25" s="316"/>
    </row>
    <row r="26" spans="1:83" s="104" customFormat="1">
      <c r="B26" s="103"/>
      <c r="C26" s="103"/>
      <c r="D26" s="105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  <c r="BZ26" s="101"/>
      <c r="CA26" s="101"/>
      <c r="CB26" s="101"/>
      <c r="CC26" s="101"/>
      <c r="CD26" s="101"/>
      <c r="CE26" s="101"/>
    </row>
    <row r="27" spans="1:83" ht="30" customHeight="1">
      <c r="A27" s="104"/>
      <c r="B27" s="103">
        <v>1</v>
      </c>
      <c r="C27" s="151"/>
      <c r="D27" s="129"/>
      <c r="E27" s="103">
        <v>2</v>
      </c>
      <c r="F27" s="152"/>
      <c r="G27" s="130"/>
      <c r="H27" s="103">
        <v>3</v>
      </c>
      <c r="I27" s="153"/>
      <c r="J27" s="131"/>
      <c r="K27" s="103">
        <v>4</v>
      </c>
      <c r="L27" s="154"/>
      <c r="M27" s="132"/>
      <c r="N27" s="103">
        <v>5</v>
      </c>
      <c r="O27" s="155"/>
      <c r="P27" s="133"/>
      <c r="Q27" s="103">
        <v>6</v>
      </c>
      <c r="R27" s="156"/>
      <c r="S27" s="134"/>
      <c r="T27" s="103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CA27" s="101"/>
      <c r="CB27" s="101"/>
      <c r="CC27" s="101"/>
      <c r="CD27" s="101"/>
      <c r="CE27" s="101"/>
    </row>
    <row r="28" spans="1:83" s="104" customFormat="1">
      <c r="B28" s="103"/>
      <c r="C28" s="103"/>
      <c r="D28" s="105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01"/>
      <c r="CE28" s="101"/>
    </row>
    <row r="29" spans="1:83" ht="30" customHeight="1">
      <c r="A29" s="104"/>
      <c r="B29" s="103">
        <v>7</v>
      </c>
      <c r="C29" s="157"/>
      <c r="D29" s="135"/>
      <c r="E29" s="103">
        <v>8</v>
      </c>
      <c r="F29" s="158"/>
      <c r="G29" s="136"/>
      <c r="H29" s="103">
        <v>9</v>
      </c>
      <c r="I29" s="159"/>
      <c r="J29" s="137"/>
      <c r="K29" s="103">
        <v>10</v>
      </c>
      <c r="L29" s="160"/>
      <c r="M29" s="138"/>
      <c r="N29" s="103">
        <v>11</v>
      </c>
      <c r="O29" s="161"/>
      <c r="P29" s="139"/>
      <c r="Q29" s="103">
        <v>12</v>
      </c>
      <c r="R29" s="162"/>
      <c r="S29" s="140"/>
      <c r="T29" s="103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CA29" s="101"/>
      <c r="CB29" s="101"/>
      <c r="CC29" s="101"/>
      <c r="CD29" s="101"/>
      <c r="CE29" s="101"/>
    </row>
    <row r="30" spans="1:83" s="104" customFormat="1">
      <c r="B30" s="103"/>
      <c r="C30" s="103"/>
      <c r="D30" s="105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101"/>
      <c r="CA30" s="101"/>
      <c r="CB30" s="101"/>
      <c r="CC30" s="101"/>
      <c r="CD30" s="101"/>
      <c r="CE30" s="101"/>
    </row>
    <row r="31" spans="1:83" ht="30" customHeight="1">
      <c r="A31" s="104"/>
      <c r="B31" s="103">
        <v>13</v>
      </c>
      <c r="C31" s="163"/>
      <c r="D31" s="141"/>
      <c r="E31" s="103">
        <v>14</v>
      </c>
      <c r="F31" s="164"/>
      <c r="G31" s="142"/>
      <c r="H31" s="103">
        <v>15</v>
      </c>
      <c r="I31" s="165"/>
      <c r="J31" s="143"/>
      <c r="K31" s="103">
        <v>16</v>
      </c>
      <c r="L31" s="166"/>
      <c r="M31" s="144"/>
      <c r="N31" s="103">
        <v>17</v>
      </c>
      <c r="O31" s="167"/>
      <c r="P31" s="145"/>
      <c r="Q31" s="103">
        <v>18</v>
      </c>
      <c r="R31" s="168"/>
      <c r="S31" s="146"/>
      <c r="T31" s="103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CA31" s="101"/>
      <c r="CB31" s="101"/>
      <c r="CC31" s="101"/>
      <c r="CD31" s="101"/>
      <c r="CE31" s="101"/>
    </row>
    <row r="32" spans="1:83" s="104" customFormat="1">
      <c r="B32" s="103"/>
      <c r="C32" s="103"/>
      <c r="D32" s="105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1"/>
      <c r="BP32" s="101"/>
      <c r="BQ32" s="101"/>
      <c r="BR32" s="101"/>
      <c r="BS32" s="101"/>
      <c r="BT32" s="101"/>
      <c r="BU32" s="101"/>
      <c r="BV32" s="101"/>
      <c r="BW32" s="101"/>
      <c r="BX32" s="101"/>
      <c r="BY32" s="101"/>
      <c r="BZ32" s="101"/>
      <c r="CA32" s="101"/>
      <c r="CB32" s="101"/>
      <c r="CC32" s="101"/>
      <c r="CD32" s="101"/>
      <c r="CE32" s="101"/>
    </row>
    <row r="33" spans="1:83" ht="30" customHeight="1">
      <c r="A33" s="104"/>
      <c r="B33" s="103">
        <v>19</v>
      </c>
      <c r="C33" s="169"/>
      <c r="D33" s="147"/>
      <c r="E33" s="103">
        <v>20</v>
      </c>
      <c r="F33" s="170"/>
      <c r="G33" s="147"/>
      <c r="H33" s="103">
        <v>21</v>
      </c>
      <c r="I33" s="171"/>
      <c r="J33" s="148"/>
      <c r="K33" s="103">
        <v>22</v>
      </c>
      <c r="L33" s="172"/>
      <c r="M33" s="147"/>
      <c r="N33" s="103">
        <v>23</v>
      </c>
      <c r="O33" s="173"/>
      <c r="P33" s="149"/>
      <c r="Q33" s="103">
        <v>24</v>
      </c>
      <c r="R33" s="174"/>
      <c r="S33" s="150"/>
      <c r="T33" s="103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CA33" s="101"/>
      <c r="CB33" s="101"/>
      <c r="CC33" s="101"/>
      <c r="CD33" s="101"/>
      <c r="CE33" s="101"/>
    </row>
    <row r="34" spans="1:83">
      <c r="A34" s="104"/>
      <c r="B34" s="103"/>
      <c r="C34" s="103"/>
      <c r="D34" s="105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CA34" s="101"/>
      <c r="CB34" s="101"/>
      <c r="CC34" s="101"/>
      <c r="CD34" s="101"/>
      <c r="CE34" s="101"/>
    </row>
    <row r="35" spans="1:83">
      <c r="A35" s="104"/>
      <c r="B35" s="104"/>
      <c r="C35" s="104"/>
      <c r="D35" s="210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CA35" s="101"/>
      <c r="CB35" s="101"/>
      <c r="CC35" s="101"/>
      <c r="CD35" s="101"/>
      <c r="CE35" s="101"/>
    </row>
    <row r="36" spans="1:83" s="70" customFormat="1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</row>
    <row r="37" spans="1:83">
      <c r="A37" s="104"/>
      <c r="B37" s="104"/>
      <c r="C37" s="104"/>
      <c r="D37" s="210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CA37" s="101"/>
      <c r="CB37" s="101"/>
      <c r="CC37" s="101"/>
      <c r="CD37" s="101"/>
      <c r="CE37" s="101"/>
    </row>
    <row r="38" spans="1:83">
      <c r="A38" s="104"/>
      <c r="B38" s="104"/>
      <c r="C38" s="104"/>
      <c r="D38" s="210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CA38" s="101"/>
      <c r="CB38" s="101"/>
      <c r="CC38" s="101"/>
      <c r="CD38" s="101"/>
      <c r="CE38" s="101"/>
    </row>
    <row r="39" spans="1:83">
      <c r="A39" s="104"/>
      <c r="B39" s="104"/>
      <c r="C39" s="104"/>
      <c r="D39" s="210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CA39" s="101"/>
      <c r="CB39" s="101"/>
      <c r="CC39" s="101"/>
      <c r="CD39" s="101"/>
      <c r="CE39" s="101"/>
    </row>
    <row r="40" spans="1:83">
      <c r="A40" s="104"/>
      <c r="B40" s="104"/>
      <c r="C40" s="104"/>
      <c r="D40" s="210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CA40" s="101"/>
      <c r="CB40" s="101"/>
      <c r="CC40" s="101"/>
      <c r="CD40" s="101"/>
      <c r="CE40" s="101"/>
    </row>
    <row r="41" spans="1:83">
      <c r="A41" s="104"/>
      <c r="B41" s="104"/>
      <c r="C41" s="104"/>
      <c r="D41" s="210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CA41" s="101"/>
      <c r="CB41" s="101"/>
      <c r="CC41" s="101"/>
      <c r="CD41" s="101"/>
      <c r="CE41" s="101"/>
    </row>
    <row r="42" spans="1:83">
      <c r="A42" s="104"/>
      <c r="B42" s="104"/>
      <c r="C42" s="104"/>
      <c r="D42" s="210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CA42" s="101"/>
      <c r="CB42" s="101"/>
      <c r="CC42" s="101"/>
      <c r="CD42" s="101"/>
      <c r="CE42" s="101"/>
    </row>
    <row r="43" spans="1:83">
      <c r="A43" s="104"/>
      <c r="B43" s="104"/>
      <c r="C43" s="104"/>
      <c r="D43" s="210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CA43" s="101"/>
      <c r="CB43" s="101"/>
      <c r="CC43" s="101"/>
      <c r="CD43" s="101"/>
      <c r="CE43" s="101"/>
    </row>
    <row r="44" spans="1:83">
      <c r="AG44" s="175"/>
      <c r="CA44" s="101"/>
      <c r="CB44" s="101"/>
      <c r="CC44" s="101"/>
      <c r="CD44" s="101"/>
      <c r="CE44" s="101"/>
    </row>
    <row r="45" spans="1:83">
      <c r="AG45" s="104"/>
      <c r="CA45" s="101"/>
      <c r="CB45" s="101"/>
      <c r="CC45" s="101"/>
      <c r="CD45" s="101"/>
      <c r="CE45" s="101"/>
    </row>
    <row r="46" spans="1:83">
      <c r="AG46" s="104"/>
      <c r="CA46" s="101"/>
      <c r="CB46" s="101"/>
      <c r="CC46" s="101"/>
      <c r="CD46" s="101"/>
      <c r="CE46" s="101"/>
    </row>
    <row r="47" spans="1:83">
      <c r="AG47" s="104"/>
      <c r="CA47" s="101"/>
      <c r="CB47" s="101"/>
      <c r="CC47" s="101"/>
      <c r="CD47" s="101"/>
      <c r="CE47" s="101"/>
    </row>
    <row r="48" spans="1:83">
      <c r="AG48" s="104"/>
      <c r="CA48" s="101"/>
      <c r="CB48" s="101"/>
      <c r="CC48" s="101"/>
      <c r="CD48" s="101"/>
      <c r="CE48" s="101"/>
    </row>
    <row r="49" spans="33:83">
      <c r="AG49" s="104"/>
      <c r="CA49" s="101"/>
      <c r="CB49" s="101"/>
      <c r="CC49" s="101"/>
      <c r="CD49" s="101"/>
      <c r="CE49" s="101"/>
    </row>
    <row r="50" spans="33:83">
      <c r="AG50" s="104"/>
      <c r="CA50" s="101"/>
      <c r="CB50" s="101"/>
      <c r="CC50" s="101"/>
      <c r="CD50" s="101"/>
      <c r="CE50" s="101"/>
    </row>
    <row r="51" spans="33:83">
      <c r="AG51" s="104"/>
      <c r="CA51" s="101"/>
      <c r="CB51" s="101"/>
      <c r="CC51" s="101"/>
      <c r="CD51" s="101"/>
      <c r="CE51" s="101"/>
    </row>
    <row r="52" spans="33:83">
      <c r="AG52" s="104"/>
      <c r="CA52" s="101"/>
      <c r="CB52" s="101"/>
      <c r="CC52" s="101"/>
      <c r="CD52" s="101"/>
      <c r="CE52" s="101"/>
    </row>
    <row r="53" spans="33:83">
      <c r="AG53" s="104"/>
      <c r="CA53" s="101"/>
      <c r="CB53" s="101"/>
      <c r="CC53" s="101"/>
      <c r="CD53" s="101"/>
      <c r="CE53" s="101"/>
    </row>
    <row r="54" spans="33:83">
      <c r="AG54" s="104"/>
      <c r="CA54" s="101"/>
      <c r="CB54" s="101"/>
      <c r="CC54" s="101"/>
      <c r="CD54" s="101"/>
      <c r="CE54" s="101"/>
    </row>
    <row r="55" spans="33:83" s="70" customFormat="1">
      <c r="AG55" s="102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</row>
    <row r="56" spans="33:83">
      <c r="AG56" s="104"/>
      <c r="CA56" s="101"/>
      <c r="CB56" s="101"/>
      <c r="CC56" s="101"/>
      <c r="CD56" s="101"/>
      <c r="CE56" s="101"/>
    </row>
    <row r="57" spans="33:83">
      <c r="AG57" s="104"/>
      <c r="CA57" s="101"/>
      <c r="CB57" s="101"/>
      <c r="CC57" s="101"/>
      <c r="CD57" s="101"/>
      <c r="CE57" s="101"/>
    </row>
    <row r="58" spans="33:83">
      <c r="AG58" s="104"/>
      <c r="CA58" s="101"/>
      <c r="CB58" s="101"/>
      <c r="CC58" s="101"/>
      <c r="CD58" s="101"/>
      <c r="CE58" s="101"/>
    </row>
    <row r="59" spans="33:83">
      <c r="AG59" s="104"/>
      <c r="CA59" s="101"/>
      <c r="CB59" s="101"/>
      <c r="CC59" s="101"/>
      <c r="CD59" s="101"/>
      <c r="CE59" s="101"/>
    </row>
    <row r="60" spans="33:83">
      <c r="AG60" s="104"/>
      <c r="CA60" s="101"/>
      <c r="CB60" s="101"/>
      <c r="CC60" s="101"/>
      <c r="CD60" s="101"/>
      <c r="CE60" s="101"/>
    </row>
    <row r="61" spans="33:83">
      <c r="AG61" s="104"/>
      <c r="CA61" s="101"/>
      <c r="CB61" s="101"/>
      <c r="CC61" s="101"/>
      <c r="CD61" s="101"/>
      <c r="CE61" s="101"/>
    </row>
    <row r="62" spans="33:83">
      <c r="AG62" s="104"/>
      <c r="CA62" s="101"/>
      <c r="CB62" s="101"/>
      <c r="CC62" s="101"/>
      <c r="CD62" s="101"/>
      <c r="CE62" s="101"/>
    </row>
    <row r="63" spans="33:83">
      <c r="AG63" s="104"/>
      <c r="CA63" s="101"/>
      <c r="CB63" s="101"/>
      <c r="CC63" s="101"/>
      <c r="CD63" s="101"/>
      <c r="CE63" s="101"/>
    </row>
    <row r="64" spans="33:83">
      <c r="AG64" s="104"/>
      <c r="CA64" s="101"/>
      <c r="CB64" s="101"/>
      <c r="CC64" s="101"/>
      <c r="CD64" s="101"/>
      <c r="CE64" s="101"/>
    </row>
    <row r="65" spans="33:83">
      <c r="AG65" s="104"/>
      <c r="CA65" s="101"/>
      <c r="CB65" s="101"/>
      <c r="CC65" s="101"/>
      <c r="CD65" s="101"/>
      <c r="CE65" s="101"/>
    </row>
    <row r="66" spans="33:83">
      <c r="AG66" s="104"/>
      <c r="CA66" s="101"/>
      <c r="CB66" s="101"/>
      <c r="CC66" s="101"/>
      <c r="CD66" s="101"/>
      <c r="CE66" s="101"/>
    </row>
    <row r="67" spans="33:83">
      <c r="AG67" s="104"/>
      <c r="CA67" s="101"/>
      <c r="CB67" s="101"/>
      <c r="CC67" s="101"/>
      <c r="CD67" s="101"/>
      <c r="CE67" s="101"/>
    </row>
    <row r="68" spans="33:83">
      <c r="AG68" s="104"/>
      <c r="CA68" s="101"/>
      <c r="CB68" s="101"/>
      <c r="CC68" s="101"/>
      <c r="CD68" s="101"/>
      <c r="CE68" s="101"/>
    </row>
    <row r="69" spans="33:83">
      <c r="AG69" s="104"/>
      <c r="CA69" s="101"/>
      <c r="CB69" s="101"/>
      <c r="CC69" s="101"/>
      <c r="CD69" s="101"/>
      <c r="CE69" s="101"/>
    </row>
    <row r="70" spans="33:83">
      <c r="AG70" s="104"/>
      <c r="CA70" s="101"/>
      <c r="CB70" s="101"/>
      <c r="CC70" s="101"/>
      <c r="CD70" s="101"/>
      <c r="CE70" s="101"/>
    </row>
    <row r="71" spans="33:83">
      <c r="AG71" s="104"/>
      <c r="CA71" s="101"/>
      <c r="CB71" s="101"/>
      <c r="CC71" s="101"/>
      <c r="CD71" s="101"/>
      <c r="CE71" s="101"/>
    </row>
    <row r="72" spans="33:83">
      <c r="AG72" s="209"/>
      <c r="CA72" s="101"/>
      <c r="CB72" s="101"/>
      <c r="CC72" s="101"/>
      <c r="CD72" s="101"/>
      <c r="CE72" s="101"/>
    </row>
    <row r="73" spans="33:83">
      <c r="CA73" s="101"/>
      <c r="CB73" s="101"/>
      <c r="CC73" s="101"/>
      <c r="CD73" s="101"/>
      <c r="CE73" s="101"/>
    </row>
    <row r="74" spans="33:83">
      <c r="CA74" s="101"/>
      <c r="CB74" s="101"/>
      <c r="CC74" s="101"/>
      <c r="CD74" s="101"/>
      <c r="CE74" s="101"/>
    </row>
    <row r="75" spans="33:83">
      <c r="CA75" s="101"/>
      <c r="CB75" s="101"/>
      <c r="CC75" s="101"/>
      <c r="CD75" s="101"/>
      <c r="CE75" s="101"/>
    </row>
    <row r="76" spans="33:83">
      <c r="CA76" s="101"/>
      <c r="CB76" s="101"/>
      <c r="CC76" s="101"/>
      <c r="CD76" s="101"/>
      <c r="CE76" s="101"/>
    </row>
    <row r="83" spans="21:32"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</row>
    <row r="119" spans="3:14">
      <c r="C119" s="104"/>
      <c r="D119" s="104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9C122-3681-4ADE-B6E1-7C1013A30F3B}">
  <dimension ref="A1:AK57"/>
  <sheetViews>
    <sheetView zoomScaleNormal="100" workbookViewId="0">
      <selection activeCell="T25" sqref="T25"/>
    </sheetView>
  </sheetViews>
  <sheetFormatPr defaultRowHeight="15"/>
  <cols>
    <col min="1" max="1" width="8.5703125" customWidth="1"/>
    <col min="2" max="2" width="3.7109375" style="13" customWidth="1"/>
    <col min="3" max="6" width="9.7109375" style="30" customWidth="1"/>
    <col min="7" max="7" width="3.7109375" style="30" customWidth="1"/>
    <col min="8" max="11" width="9.7109375" style="30" customWidth="1"/>
    <col min="12" max="12" width="3.7109375" style="30" customWidth="1"/>
    <col min="13" max="16" width="9.7109375" style="30" customWidth="1"/>
    <col min="17" max="17" width="3.7109375" style="30" customWidth="1"/>
    <col min="18" max="21" width="9.7109375" style="30" customWidth="1"/>
    <col min="22" max="22" width="3.7109375" style="30" customWidth="1"/>
    <col min="23" max="26" width="9.7109375" style="30" customWidth="1"/>
    <col min="27" max="27" width="3.7109375" style="30" customWidth="1"/>
    <col min="28" max="31" width="9.7109375" style="30" customWidth="1"/>
  </cols>
  <sheetData>
    <row r="1" spans="1:37">
      <c r="A1" s="104"/>
      <c r="B1" s="103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104"/>
      <c r="AG1" s="104"/>
      <c r="AH1" s="104"/>
      <c r="AI1" s="104"/>
      <c r="AJ1" s="104"/>
      <c r="AK1" s="104"/>
    </row>
    <row r="2" spans="1:37" ht="27.75" customHeight="1">
      <c r="A2" s="104"/>
      <c r="B2" s="103"/>
      <c r="C2" s="317" t="s">
        <v>156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104"/>
      <c r="AG2" s="104"/>
      <c r="AH2" s="104"/>
      <c r="AI2" s="104"/>
      <c r="AJ2" s="104"/>
      <c r="AK2" s="104"/>
    </row>
    <row r="3" spans="1:37" s="31" customFormat="1" ht="45">
      <c r="A3" s="211"/>
      <c r="B3" s="313"/>
      <c r="C3" s="310" t="s">
        <v>152</v>
      </c>
      <c r="D3" s="310" t="s">
        <v>150</v>
      </c>
      <c r="E3" s="310" t="s">
        <v>149</v>
      </c>
      <c r="F3" s="314" t="s">
        <v>151</v>
      </c>
      <c r="G3" s="313"/>
      <c r="H3" s="310" t="s">
        <v>152</v>
      </c>
      <c r="I3" s="310" t="s">
        <v>150</v>
      </c>
      <c r="J3" s="310" t="s">
        <v>149</v>
      </c>
      <c r="K3" s="314" t="s">
        <v>151</v>
      </c>
      <c r="L3" s="313"/>
      <c r="M3" s="310" t="s">
        <v>152</v>
      </c>
      <c r="N3" s="310" t="s">
        <v>150</v>
      </c>
      <c r="O3" s="310" t="s">
        <v>149</v>
      </c>
      <c r="P3" s="314" t="s">
        <v>151</v>
      </c>
      <c r="Q3" s="313"/>
      <c r="R3" s="310" t="s">
        <v>152</v>
      </c>
      <c r="S3" s="310" t="s">
        <v>150</v>
      </c>
      <c r="T3" s="310" t="s">
        <v>149</v>
      </c>
      <c r="U3" s="314" t="s">
        <v>151</v>
      </c>
      <c r="V3" s="313"/>
      <c r="W3" s="310" t="s">
        <v>152</v>
      </c>
      <c r="X3" s="310" t="s">
        <v>150</v>
      </c>
      <c r="Y3" s="310" t="s">
        <v>149</v>
      </c>
      <c r="Z3" s="314" t="s">
        <v>151</v>
      </c>
      <c r="AA3" s="313"/>
      <c r="AB3" s="310" t="s">
        <v>152</v>
      </c>
      <c r="AC3" s="310" t="s">
        <v>150</v>
      </c>
      <c r="AD3" s="310" t="s">
        <v>149</v>
      </c>
      <c r="AE3" s="314" t="s">
        <v>151</v>
      </c>
      <c r="AF3" s="211"/>
      <c r="AG3" s="211"/>
      <c r="AH3" s="211"/>
      <c r="AI3" s="211"/>
      <c r="AJ3" s="211"/>
      <c r="AK3" s="211"/>
    </row>
    <row r="4" spans="1:37" ht="8.25" customHeight="1">
      <c r="A4" s="104"/>
      <c r="B4" s="103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104"/>
      <c r="AG4" s="104"/>
      <c r="AH4" s="104"/>
      <c r="AI4" s="104"/>
      <c r="AJ4" s="104"/>
      <c r="AK4" s="104"/>
    </row>
    <row r="5" spans="1:37" ht="30" customHeight="1">
      <c r="A5" s="104"/>
      <c r="B5" s="103">
        <v>1</v>
      </c>
      <c r="C5" s="215"/>
      <c r="D5" s="216"/>
      <c r="E5" s="217"/>
      <c r="F5" s="218"/>
      <c r="G5" s="103">
        <v>2</v>
      </c>
      <c r="H5" s="219"/>
      <c r="I5" s="220"/>
      <c r="J5" s="221"/>
      <c r="K5" s="222"/>
      <c r="L5" s="103">
        <v>3</v>
      </c>
      <c r="M5" s="223"/>
      <c r="N5" s="224"/>
      <c r="O5" s="225"/>
      <c r="P5" s="226"/>
      <c r="Q5" s="103">
        <v>4</v>
      </c>
      <c r="R5" s="227"/>
      <c r="S5" s="228"/>
      <c r="T5" s="229"/>
      <c r="U5" s="230"/>
      <c r="V5" s="103">
        <v>5</v>
      </c>
      <c r="W5" s="231"/>
      <c r="X5" s="232"/>
      <c r="Y5" s="233"/>
      <c r="Z5" s="234"/>
      <c r="AA5" s="103">
        <v>6</v>
      </c>
      <c r="AB5" s="235"/>
      <c r="AC5" s="236"/>
      <c r="AD5" s="237"/>
      <c r="AE5" s="238"/>
      <c r="AF5" s="104"/>
      <c r="AG5" s="104"/>
      <c r="AH5" s="104"/>
      <c r="AI5" s="104"/>
      <c r="AJ5" s="104"/>
      <c r="AK5" s="104"/>
    </row>
    <row r="6" spans="1:37" ht="13.5" customHeight="1">
      <c r="A6" s="104"/>
      <c r="B6" s="103"/>
      <c r="C6" s="214"/>
      <c r="D6" s="214"/>
      <c r="E6" s="214"/>
      <c r="F6" s="214"/>
      <c r="G6" s="103"/>
      <c r="H6" s="214"/>
      <c r="I6" s="214"/>
      <c r="J6" s="214"/>
      <c r="K6" s="214"/>
      <c r="L6" s="103"/>
      <c r="M6" s="214"/>
      <c r="N6" s="214"/>
      <c r="O6" s="214"/>
      <c r="P6" s="214"/>
      <c r="Q6" s="103"/>
      <c r="R6" s="214"/>
      <c r="S6" s="214"/>
      <c r="T6" s="214"/>
      <c r="U6" s="214"/>
      <c r="V6" s="103"/>
      <c r="W6" s="214"/>
      <c r="X6" s="214"/>
      <c r="Y6" s="214"/>
      <c r="Z6" s="214"/>
      <c r="AA6" s="103"/>
      <c r="AB6" s="214"/>
      <c r="AC6" s="214"/>
      <c r="AD6" s="214"/>
      <c r="AE6" s="214"/>
      <c r="AF6" s="104"/>
      <c r="AG6" s="104"/>
      <c r="AH6" s="104"/>
      <c r="AI6" s="104"/>
      <c r="AJ6" s="104"/>
      <c r="AK6" s="104"/>
    </row>
    <row r="7" spans="1:37" ht="30" customHeight="1">
      <c r="A7" s="104"/>
      <c r="B7" s="103">
        <v>7</v>
      </c>
      <c r="C7" s="239"/>
      <c r="D7" s="240"/>
      <c r="E7" s="241"/>
      <c r="F7" s="242"/>
      <c r="G7" s="103">
        <v>8</v>
      </c>
      <c r="H7" s="243"/>
      <c r="I7" s="244"/>
      <c r="J7" s="245"/>
      <c r="K7" s="246"/>
      <c r="L7" s="103">
        <v>9</v>
      </c>
      <c r="M7" s="247"/>
      <c r="N7" s="248"/>
      <c r="O7" s="249"/>
      <c r="P7" s="250"/>
      <c r="Q7" s="103">
        <v>10</v>
      </c>
      <c r="R7" s="251"/>
      <c r="S7" s="252"/>
      <c r="T7" s="253"/>
      <c r="U7" s="254"/>
      <c r="V7" s="103">
        <v>11</v>
      </c>
      <c r="W7" s="255"/>
      <c r="X7" s="256"/>
      <c r="Y7" s="257"/>
      <c r="Z7" s="258"/>
      <c r="AA7" s="103">
        <v>12</v>
      </c>
      <c r="AB7" s="259"/>
      <c r="AC7" s="260"/>
      <c r="AD7" s="261"/>
      <c r="AE7" s="262"/>
      <c r="AF7" s="104"/>
      <c r="AG7" s="104"/>
      <c r="AH7" s="104"/>
      <c r="AI7" s="104"/>
      <c r="AJ7" s="104"/>
      <c r="AK7" s="104"/>
    </row>
    <row r="8" spans="1:37" ht="13.5" customHeight="1">
      <c r="A8" s="104"/>
      <c r="B8" s="103"/>
      <c r="C8" s="214"/>
      <c r="D8" s="214"/>
      <c r="E8" s="214"/>
      <c r="F8" s="214"/>
      <c r="G8" s="103"/>
      <c r="H8" s="214"/>
      <c r="I8" s="214"/>
      <c r="J8" s="214"/>
      <c r="K8" s="214"/>
      <c r="L8" s="103"/>
      <c r="M8" s="214"/>
      <c r="N8" s="214"/>
      <c r="O8" s="214"/>
      <c r="P8" s="214"/>
      <c r="Q8" s="103"/>
      <c r="R8" s="214"/>
      <c r="S8" s="214"/>
      <c r="T8" s="214"/>
      <c r="U8" s="214"/>
      <c r="V8" s="103"/>
      <c r="W8" s="214"/>
      <c r="X8" s="214"/>
      <c r="Y8" s="214"/>
      <c r="Z8" s="214"/>
      <c r="AA8" s="103"/>
      <c r="AB8" s="214"/>
      <c r="AC8" s="214"/>
      <c r="AD8" s="214"/>
      <c r="AE8" s="214"/>
      <c r="AF8" s="104"/>
      <c r="AG8" s="104"/>
      <c r="AH8" s="104"/>
      <c r="AI8" s="104"/>
      <c r="AJ8" s="104"/>
      <c r="AK8" s="104"/>
    </row>
    <row r="9" spans="1:37" ht="30" customHeight="1">
      <c r="A9" s="104"/>
      <c r="B9" s="103">
        <v>13</v>
      </c>
      <c r="C9" s="263"/>
      <c r="D9" s="264"/>
      <c r="E9" s="265"/>
      <c r="F9" s="266"/>
      <c r="G9" s="103">
        <v>14</v>
      </c>
      <c r="H9" s="267"/>
      <c r="I9" s="268"/>
      <c r="J9" s="269"/>
      <c r="K9" s="270"/>
      <c r="L9" s="103">
        <v>15</v>
      </c>
      <c r="M9" s="271"/>
      <c r="N9" s="272"/>
      <c r="O9" s="273"/>
      <c r="P9" s="274"/>
      <c r="Q9" s="103">
        <v>16</v>
      </c>
      <c r="R9" s="275"/>
      <c r="S9" s="276"/>
      <c r="T9" s="277"/>
      <c r="U9" s="278"/>
      <c r="V9" s="103">
        <v>17</v>
      </c>
      <c r="W9" s="279"/>
      <c r="X9" s="280"/>
      <c r="Y9" s="281"/>
      <c r="Z9" s="282"/>
      <c r="AA9" s="103">
        <v>18</v>
      </c>
      <c r="AB9" s="283"/>
      <c r="AC9" s="284"/>
      <c r="AD9" s="285"/>
      <c r="AE9" s="286"/>
      <c r="AF9" s="104"/>
      <c r="AG9" s="104"/>
      <c r="AH9" s="104"/>
      <c r="AI9" s="104"/>
      <c r="AJ9" s="104"/>
      <c r="AK9" s="104"/>
    </row>
    <row r="10" spans="1:37" ht="13.5" customHeight="1">
      <c r="A10" s="104"/>
      <c r="B10" s="103"/>
      <c r="C10" s="214"/>
      <c r="D10" s="214"/>
      <c r="E10" s="214"/>
      <c r="F10" s="214"/>
      <c r="G10" s="103"/>
      <c r="H10" s="214"/>
      <c r="I10" s="214"/>
      <c r="J10" s="214"/>
      <c r="K10" s="214"/>
      <c r="L10" s="103"/>
      <c r="M10" s="214"/>
      <c r="N10" s="214"/>
      <c r="O10" s="214"/>
      <c r="P10" s="214"/>
      <c r="Q10" s="103"/>
      <c r="R10" s="214"/>
      <c r="S10" s="214"/>
      <c r="T10" s="214"/>
      <c r="U10" s="214"/>
      <c r="V10" s="103"/>
      <c r="W10" s="214"/>
      <c r="X10" s="214"/>
      <c r="Y10" s="214"/>
      <c r="Z10" s="214"/>
      <c r="AA10" s="103"/>
      <c r="AB10" s="214"/>
      <c r="AC10" s="214"/>
      <c r="AD10" s="214"/>
      <c r="AE10" s="214"/>
      <c r="AF10" s="104"/>
      <c r="AG10" s="104"/>
      <c r="AH10" s="104"/>
      <c r="AI10" s="104"/>
      <c r="AJ10" s="104"/>
      <c r="AK10" s="104"/>
    </row>
    <row r="11" spans="1:37" ht="30" customHeight="1">
      <c r="A11" s="104"/>
      <c r="B11" s="103">
        <v>19</v>
      </c>
      <c r="C11" s="287"/>
      <c r="D11" s="288"/>
      <c r="E11" s="289"/>
      <c r="F11" s="290"/>
      <c r="G11" s="103">
        <v>20</v>
      </c>
      <c r="H11" s="287"/>
      <c r="I11" s="291"/>
      <c r="J11" s="289"/>
      <c r="K11" s="292"/>
      <c r="L11" s="103">
        <v>21</v>
      </c>
      <c r="M11" s="293"/>
      <c r="N11" s="294"/>
      <c r="O11" s="295"/>
      <c r="P11" s="296"/>
      <c r="Q11" s="103">
        <v>22</v>
      </c>
      <c r="R11" s="287"/>
      <c r="S11" s="297"/>
      <c r="T11" s="289"/>
      <c r="U11" s="290"/>
      <c r="V11" s="103">
        <v>23</v>
      </c>
      <c r="W11" s="298"/>
      <c r="X11" s="299"/>
      <c r="Y11" s="300"/>
      <c r="Z11" s="301"/>
      <c r="AA11" s="103">
        <v>24</v>
      </c>
      <c r="AB11" s="302"/>
      <c r="AC11" s="303"/>
      <c r="AD11" s="304"/>
      <c r="AE11" s="305"/>
      <c r="AF11" s="104"/>
      <c r="AG11" s="104"/>
      <c r="AH11" s="104"/>
      <c r="AI11" s="104"/>
      <c r="AJ11" s="104"/>
      <c r="AK11" s="104"/>
    </row>
    <row r="12" spans="1:37" ht="8.25" customHeight="1">
      <c r="A12" s="104"/>
      <c r="B12" s="103"/>
      <c r="C12" s="214"/>
      <c r="D12" s="214"/>
      <c r="E12" s="214"/>
      <c r="F12" s="214"/>
      <c r="G12" s="103"/>
      <c r="H12" s="214"/>
      <c r="I12" s="214"/>
      <c r="J12" s="214"/>
      <c r="K12" s="214"/>
      <c r="L12" s="103"/>
      <c r="M12" s="214"/>
      <c r="N12" s="214"/>
      <c r="O12" s="214"/>
      <c r="P12" s="214"/>
      <c r="Q12" s="103"/>
      <c r="R12" s="214"/>
      <c r="S12" s="214"/>
      <c r="T12" s="214"/>
      <c r="U12" s="214"/>
      <c r="V12" s="103"/>
      <c r="W12" s="214"/>
      <c r="X12" s="214"/>
      <c r="Y12" s="214"/>
      <c r="Z12" s="214"/>
      <c r="AA12" s="214"/>
      <c r="AB12" s="214"/>
      <c r="AC12" s="214"/>
      <c r="AD12" s="214"/>
      <c r="AE12" s="214"/>
      <c r="AF12" s="104"/>
      <c r="AG12" s="104"/>
      <c r="AH12" s="104"/>
      <c r="AI12" s="104"/>
      <c r="AJ12" s="104"/>
      <c r="AK12" s="104"/>
    </row>
    <row r="13" spans="1:37" ht="8.25" customHeight="1">
      <c r="A13" s="104"/>
      <c r="B13" s="103"/>
      <c r="C13" s="214"/>
      <c r="D13" s="214"/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104"/>
      <c r="AG13" s="104"/>
      <c r="AH13" s="104"/>
      <c r="AI13" s="104"/>
      <c r="AJ13" s="104"/>
      <c r="AK13" s="104"/>
    </row>
    <row r="14" spans="1:37">
      <c r="A14" s="104"/>
      <c r="B14" s="103"/>
      <c r="C14" s="214"/>
      <c r="D14" s="214"/>
      <c r="E14" s="214"/>
      <c r="F14" s="214"/>
      <c r="G14" s="214"/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104"/>
      <c r="AG14" s="104"/>
      <c r="AH14" s="104"/>
      <c r="AI14" s="104"/>
      <c r="AJ14" s="104"/>
      <c r="AK14" s="104"/>
    </row>
    <row r="15" spans="1:37">
      <c r="A15" s="104"/>
      <c r="B15" s="103"/>
      <c r="C15" s="214"/>
      <c r="D15" s="214"/>
      <c r="E15" s="214"/>
      <c r="F15" s="214"/>
      <c r="G15" s="214"/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104"/>
      <c r="AG15" s="104"/>
      <c r="AH15" s="104"/>
      <c r="AI15" s="104"/>
      <c r="AJ15" s="104"/>
      <c r="AK15" s="104"/>
    </row>
    <row r="16" spans="1:37">
      <c r="A16" s="104"/>
      <c r="B16" s="103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104"/>
      <c r="AG16" s="104"/>
      <c r="AH16" s="104"/>
      <c r="AI16" s="104"/>
      <c r="AJ16" s="104"/>
      <c r="AK16" s="104"/>
    </row>
    <row r="17" spans="1:37">
      <c r="A17" s="104"/>
      <c r="B17" s="103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104"/>
      <c r="AG17" s="104"/>
      <c r="AH17" s="104"/>
      <c r="AI17" s="104"/>
      <c r="AJ17" s="104"/>
      <c r="AK17" s="104"/>
    </row>
    <row r="18" spans="1:37">
      <c r="A18" s="104"/>
      <c r="B18" s="103"/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104"/>
      <c r="AG18" s="104"/>
      <c r="AH18" s="104"/>
      <c r="AI18" s="104"/>
      <c r="AJ18" s="104"/>
      <c r="AK18" s="104"/>
    </row>
    <row r="19" spans="1:37">
      <c r="A19" s="104"/>
      <c r="B19" s="103"/>
      <c r="C19" s="214"/>
      <c r="D19" s="214"/>
      <c r="E19" s="214"/>
      <c r="F19" s="214"/>
      <c r="G19" s="214"/>
      <c r="H19" s="214"/>
      <c r="I19" s="214"/>
      <c r="J19" s="214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104"/>
      <c r="AG19" s="104"/>
      <c r="AH19" s="104"/>
      <c r="AI19" s="104"/>
      <c r="AJ19" s="104"/>
      <c r="AK19" s="104"/>
    </row>
    <row r="20" spans="1:37">
      <c r="A20" s="104"/>
      <c r="B20" s="103"/>
      <c r="C20" s="214"/>
      <c r="D20" s="214"/>
      <c r="E20" s="214"/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104"/>
      <c r="AG20" s="104"/>
      <c r="AH20" s="104"/>
      <c r="AI20" s="104"/>
      <c r="AJ20" s="104"/>
      <c r="AK20" s="104"/>
    </row>
    <row r="21" spans="1:37">
      <c r="A21" s="104"/>
      <c r="B21" s="103"/>
      <c r="C21" s="21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104"/>
      <c r="AG21" s="104"/>
      <c r="AH21" s="104"/>
      <c r="AI21" s="104"/>
      <c r="AJ21" s="104"/>
      <c r="AK21" s="104"/>
    </row>
    <row r="22" spans="1:37">
      <c r="A22" s="104"/>
      <c r="B22" s="103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104"/>
      <c r="AG22" s="104"/>
      <c r="AH22" s="104"/>
      <c r="AI22" s="104"/>
      <c r="AJ22" s="104"/>
      <c r="AK22" s="104"/>
    </row>
    <row r="23" spans="1:37">
      <c r="A23" s="104"/>
      <c r="B23" s="103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104"/>
      <c r="AG23" s="104"/>
      <c r="AH23" s="104"/>
      <c r="AI23" s="104"/>
      <c r="AJ23" s="104"/>
      <c r="AK23" s="104"/>
    </row>
    <row r="24" spans="1:37">
      <c r="A24" s="104"/>
      <c r="B24" s="103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104"/>
      <c r="AG24" s="104"/>
      <c r="AH24" s="104"/>
      <c r="AI24" s="104"/>
      <c r="AJ24" s="104"/>
      <c r="AK24" s="104"/>
    </row>
    <row r="25" spans="1:37">
      <c r="A25" s="104"/>
      <c r="B25" s="103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/>
      <c r="Z25" s="214"/>
      <c r="AA25" s="214"/>
      <c r="AB25" s="214"/>
      <c r="AC25" s="214"/>
      <c r="AD25" s="214"/>
      <c r="AE25" s="214"/>
      <c r="AF25" s="104"/>
      <c r="AG25" s="104"/>
      <c r="AH25" s="104"/>
      <c r="AI25" s="104"/>
      <c r="AJ25" s="104"/>
      <c r="AK25" s="104"/>
    </row>
    <row r="26" spans="1:37">
      <c r="A26" s="104"/>
      <c r="B26" s="103"/>
      <c r="C26" s="214"/>
      <c r="D26" s="214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/>
      <c r="Z26" s="214"/>
      <c r="AA26" s="214"/>
      <c r="AB26" s="214"/>
      <c r="AC26" s="214"/>
      <c r="AD26" s="214"/>
      <c r="AE26" s="214"/>
      <c r="AF26" s="104"/>
      <c r="AG26" s="104"/>
      <c r="AH26" s="104"/>
      <c r="AI26" s="104"/>
      <c r="AJ26" s="104"/>
      <c r="AK26" s="104"/>
    </row>
    <row r="27" spans="1:37">
      <c r="A27" s="104"/>
      <c r="B27" s="103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104"/>
      <c r="AG27" s="104"/>
      <c r="AH27" s="104"/>
      <c r="AI27" s="104"/>
      <c r="AJ27" s="104"/>
      <c r="AK27" s="104"/>
    </row>
    <row r="28" spans="1:37">
      <c r="A28" s="104"/>
      <c r="B28" s="103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104"/>
      <c r="AG28" s="104"/>
      <c r="AH28" s="104"/>
      <c r="AI28" s="104"/>
      <c r="AJ28" s="104"/>
      <c r="AK28" s="104"/>
    </row>
    <row r="29" spans="1:37">
      <c r="A29" s="104"/>
      <c r="B29" s="103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  <c r="AA29" s="214"/>
      <c r="AB29" s="214"/>
      <c r="AC29" s="214"/>
      <c r="AD29" s="214"/>
      <c r="AE29" s="214"/>
      <c r="AF29" s="104"/>
      <c r="AG29" s="104"/>
      <c r="AH29" s="104"/>
      <c r="AI29" s="104"/>
      <c r="AJ29" s="104"/>
      <c r="AK29" s="104"/>
    </row>
    <row r="30" spans="1:37">
      <c r="A30" s="104"/>
      <c r="B30" s="103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104"/>
      <c r="AG30" s="104"/>
      <c r="AH30" s="104"/>
      <c r="AI30" s="104"/>
      <c r="AJ30" s="104"/>
      <c r="AK30" s="104"/>
    </row>
    <row r="31" spans="1:37">
      <c r="A31" s="104"/>
      <c r="B31" s="103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104"/>
      <c r="AG31" s="104"/>
      <c r="AH31" s="104"/>
      <c r="AI31" s="104"/>
      <c r="AJ31" s="104"/>
      <c r="AK31" s="104"/>
    </row>
    <row r="32" spans="1:37">
      <c r="A32" s="104"/>
      <c r="B32" s="103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104"/>
      <c r="AG32" s="104"/>
      <c r="AH32" s="104"/>
      <c r="AI32" s="104"/>
      <c r="AJ32" s="104"/>
      <c r="AK32" s="104"/>
    </row>
    <row r="33" spans="1:37">
      <c r="A33" s="104"/>
      <c r="B33" s="103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104"/>
      <c r="AG33" s="104"/>
      <c r="AH33" s="104"/>
      <c r="AI33" s="104"/>
      <c r="AJ33" s="104"/>
      <c r="AK33" s="104"/>
    </row>
    <row r="34" spans="1:37">
      <c r="A34" s="104"/>
      <c r="B34" s="103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104"/>
      <c r="AG34" s="104"/>
      <c r="AH34" s="104"/>
      <c r="AI34" s="104"/>
      <c r="AJ34" s="104"/>
      <c r="AK34" s="104"/>
    </row>
    <row r="35" spans="1:37">
      <c r="A35" s="104"/>
      <c r="B35" s="103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104"/>
      <c r="AG35" s="104"/>
      <c r="AH35" s="104"/>
      <c r="AI35" s="104"/>
      <c r="AJ35" s="104"/>
      <c r="AK35" s="104"/>
    </row>
    <row r="36" spans="1:37">
      <c r="A36" s="104"/>
      <c r="B36" s="103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104"/>
      <c r="AG36" s="104"/>
      <c r="AH36" s="104"/>
      <c r="AI36" s="104"/>
      <c r="AJ36" s="104"/>
      <c r="AK36" s="104"/>
    </row>
    <row r="37" spans="1:37">
      <c r="A37" s="104"/>
      <c r="B37" s="103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104"/>
      <c r="AG37" s="104"/>
      <c r="AH37" s="104"/>
      <c r="AI37" s="104"/>
      <c r="AJ37" s="104"/>
      <c r="AK37" s="104"/>
    </row>
    <row r="38" spans="1:37">
      <c r="A38" s="104"/>
      <c r="B38" s="103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104"/>
      <c r="AG38" s="104"/>
      <c r="AH38" s="104"/>
      <c r="AI38" s="104"/>
      <c r="AJ38" s="104"/>
      <c r="AK38" s="104"/>
    </row>
    <row r="39" spans="1:37">
      <c r="A39" s="104"/>
      <c r="B39" s="103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104"/>
      <c r="AG39" s="104"/>
      <c r="AH39" s="104"/>
      <c r="AI39" s="104"/>
      <c r="AJ39" s="104"/>
      <c r="AK39" s="104"/>
    </row>
    <row r="40" spans="1:37">
      <c r="A40" s="104"/>
      <c r="B40" s="103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104"/>
      <c r="AG40" s="104"/>
      <c r="AH40" s="104"/>
      <c r="AI40" s="104"/>
      <c r="AJ40" s="104"/>
      <c r="AK40" s="104"/>
    </row>
    <row r="41" spans="1:37">
      <c r="A41" s="104"/>
      <c r="B41" s="103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104"/>
      <c r="AG41" s="104"/>
      <c r="AH41" s="104"/>
      <c r="AI41" s="104"/>
      <c r="AJ41" s="104"/>
      <c r="AK41" s="104"/>
    </row>
    <row r="42" spans="1:37">
      <c r="A42" s="104"/>
      <c r="B42" s="103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104"/>
      <c r="AG42" s="104"/>
      <c r="AH42" s="104"/>
      <c r="AI42" s="104"/>
      <c r="AJ42" s="104"/>
      <c r="AK42" s="104"/>
    </row>
    <row r="43" spans="1:37">
      <c r="A43" s="104"/>
      <c r="B43" s="103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104"/>
      <c r="AG43" s="104"/>
      <c r="AH43" s="104"/>
      <c r="AI43" s="104"/>
      <c r="AJ43" s="104"/>
      <c r="AK43" s="104"/>
    </row>
    <row r="44" spans="1:37">
      <c r="A44" s="104"/>
      <c r="B44" s="103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104"/>
      <c r="AG44" s="104"/>
      <c r="AH44" s="104"/>
      <c r="AI44" s="104"/>
      <c r="AJ44" s="104"/>
      <c r="AK44" s="104"/>
    </row>
    <row r="45" spans="1:37">
      <c r="A45" s="104"/>
      <c r="B45" s="103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104"/>
      <c r="AG45" s="104"/>
      <c r="AH45" s="104"/>
      <c r="AI45" s="104"/>
      <c r="AJ45" s="104"/>
      <c r="AK45" s="104"/>
    </row>
    <row r="46" spans="1:37">
      <c r="A46" s="104"/>
      <c r="B46" s="103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104"/>
      <c r="AG46" s="104"/>
      <c r="AH46" s="104"/>
      <c r="AI46" s="104"/>
      <c r="AJ46" s="104"/>
      <c r="AK46" s="104"/>
    </row>
    <row r="47" spans="1:37">
      <c r="A47" s="104"/>
      <c r="B47" s="103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104"/>
      <c r="AG47" s="104"/>
      <c r="AH47" s="104"/>
      <c r="AI47" s="104"/>
      <c r="AJ47" s="104"/>
      <c r="AK47" s="104"/>
    </row>
    <row r="48" spans="1:37">
      <c r="A48" s="104"/>
      <c r="B48" s="103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104"/>
      <c r="AG48" s="104"/>
      <c r="AH48" s="104"/>
      <c r="AI48" s="104"/>
      <c r="AJ48" s="104"/>
      <c r="AK48" s="104"/>
    </row>
    <row r="49" spans="1:37">
      <c r="A49" s="104"/>
      <c r="B49" s="103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14"/>
      <c r="AB49" s="214"/>
      <c r="AC49" s="214"/>
      <c r="AD49" s="214"/>
      <c r="AE49" s="214"/>
      <c r="AF49" s="104"/>
      <c r="AG49" s="104"/>
      <c r="AH49" s="104"/>
      <c r="AI49" s="104"/>
      <c r="AJ49" s="104"/>
      <c r="AK49" s="104"/>
    </row>
    <row r="50" spans="1:37">
      <c r="A50" s="104"/>
      <c r="B50" s="103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14"/>
      <c r="AB50" s="214"/>
      <c r="AC50" s="214"/>
      <c r="AD50" s="214"/>
      <c r="AE50" s="214"/>
      <c r="AF50" s="104"/>
      <c r="AG50" s="104"/>
      <c r="AH50" s="104"/>
      <c r="AI50" s="104"/>
      <c r="AJ50" s="104"/>
      <c r="AK50" s="104"/>
    </row>
    <row r="51" spans="1:37">
      <c r="A51" s="104"/>
      <c r="B51" s="103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14"/>
      <c r="AB51" s="214"/>
      <c r="AC51" s="214"/>
      <c r="AD51" s="214"/>
      <c r="AE51" s="214"/>
      <c r="AF51" s="104"/>
      <c r="AG51" s="104"/>
      <c r="AH51" s="104"/>
      <c r="AI51" s="104"/>
      <c r="AJ51" s="104"/>
      <c r="AK51" s="104"/>
    </row>
    <row r="52" spans="1:37">
      <c r="A52" s="104"/>
      <c r="B52" s="103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14"/>
      <c r="AB52" s="214"/>
      <c r="AC52" s="214"/>
      <c r="AD52" s="214"/>
      <c r="AE52" s="214"/>
      <c r="AF52" s="104"/>
      <c r="AG52" s="104"/>
      <c r="AH52" s="104"/>
      <c r="AI52" s="104"/>
      <c r="AJ52" s="104"/>
      <c r="AK52" s="104"/>
    </row>
    <row r="53" spans="1:37">
      <c r="A53" s="104"/>
      <c r="B53" s="103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104"/>
      <c r="AG53" s="104"/>
      <c r="AH53" s="104"/>
      <c r="AI53" s="104"/>
      <c r="AJ53" s="104"/>
      <c r="AK53" s="104"/>
    </row>
    <row r="54" spans="1:37">
      <c r="A54" s="104"/>
      <c r="B54" s="103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14"/>
      <c r="AB54" s="214"/>
      <c r="AC54" s="214"/>
      <c r="AD54" s="214"/>
      <c r="AE54" s="214"/>
      <c r="AF54" s="104"/>
      <c r="AG54" s="104"/>
      <c r="AH54" s="104"/>
      <c r="AI54" s="104"/>
      <c r="AJ54" s="104"/>
      <c r="AK54" s="104"/>
    </row>
    <row r="55" spans="1:37">
      <c r="A55" s="104"/>
      <c r="B55" s="103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14"/>
      <c r="AB55" s="214"/>
      <c r="AC55" s="214"/>
      <c r="AD55" s="214"/>
      <c r="AE55" s="214"/>
      <c r="AF55" s="104"/>
      <c r="AG55" s="104"/>
      <c r="AH55" s="104"/>
      <c r="AI55" s="104"/>
      <c r="AJ55" s="104"/>
      <c r="AK55" s="104"/>
    </row>
    <row r="56" spans="1:37">
      <c r="A56" s="104"/>
      <c r="B56" s="103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104"/>
      <c r="AG56" s="104"/>
      <c r="AH56" s="104"/>
      <c r="AI56" s="104"/>
      <c r="AJ56" s="104"/>
      <c r="AK56" s="104"/>
    </row>
    <row r="57" spans="1:37">
      <c r="A57" s="104"/>
      <c r="B57" s="103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104"/>
      <c r="AG57" s="104"/>
      <c r="AH57" s="104"/>
      <c r="AI57" s="104"/>
      <c r="AJ57" s="104"/>
      <c r="AK57" s="104"/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068D-2B50-4026-B86C-EF470F2CED51}">
  <dimension ref="A1:AO16"/>
  <sheetViews>
    <sheetView topLeftCell="B1" workbookViewId="0">
      <selection activeCell="O24" sqref="O24"/>
    </sheetView>
  </sheetViews>
  <sheetFormatPr defaultRowHeight="15"/>
  <cols>
    <col min="1" max="1" width="8.5703125" customWidth="1"/>
    <col min="2" max="2" width="3.7109375" style="13" customWidth="1"/>
    <col min="3" max="4" width="9.7109375" style="30" customWidth="1"/>
    <col min="5" max="5" width="9.7109375" style="66" customWidth="1"/>
    <col min="6" max="7" width="9.7109375" style="30" customWidth="1"/>
    <col min="8" max="8" width="3.7109375" style="30" customWidth="1"/>
    <col min="9" max="10" width="9.7109375" style="30" customWidth="1"/>
    <col min="11" max="11" width="9.7109375" style="66" customWidth="1"/>
    <col min="12" max="13" width="9.7109375" style="30" customWidth="1"/>
    <col min="14" max="14" width="3.7109375" style="30" customWidth="1"/>
    <col min="15" max="16" width="9.7109375" style="30" customWidth="1"/>
    <col min="17" max="17" width="9.7109375" style="66" customWidth="1"/>
    <col min="18" max="19" width="9.7109375" style="30" customWidth="1"/>
    <col min="20" max="20" width="3.7109375" style="30" customWidth="1"/>
    <col min="21" max="22" width="9.7109375" style="30" customWidth="1"/>
    <col min="23" max="23" width="9.7109375" style="66" customWidth="1"/>
    <col min="24" max="25" width="9.7109375" style="30" customWidth="1"/>
    <col min="26" max="26" width="3.7109375" style="30" customWidth="1"/>
    <col min="27" max="30" width="7.7109375" style="30" customWidth="1"/>
    <col min="31" max="31" width="3.7109375" style="30" customWidth="1"/>
    <col min="32" max="35" width="7.7109375" style="30" customWidth="1"/>
  </cols>
  <sheetData>
    <row r="1" spans="1:41" ht="18" customHeight="1">
      <c r="A1" s="104"/>
      <c r="B1" s="103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04"/>
      <c r="AK1" s="104"/>
      <c r="AL1" s="104"/>
      <c r="AM1" s="104"/>
      <c r="AN1" s="104"/>
      <c r="AO1" s="104"/>
    </row>
    <row r="2" spans="1:41" ht="30" customHeight="1">
      <c r="A2" s="104"/>
      <c r="B2" s="103"/>
      <c r="C2" s="317" t="s">
        <v>156</v>
      </c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104"/>
      <c r="AK2" s="104"/>
      <c r="AL2" s="104"/>
      <c r="AM2" s="104"/>
      <c r="AN2" s="104"/>
      <c r="AO2" s="104"/>
    </row>
    <row r="3" spans="1:41" ht="45">
      <c r="A3" s="104"/>
      <c r="B3" s="103"/>
      <c r="C3" s="310" t="s">
        <v>152</v>
      </c>
      <c r="D3" s="310" t="s">
        <v>150</v>
      </c>
      <c r="E3" s="314"/>
      <c r="F3" s="314" t="s">
        <v>151</v>
      </c>
      <c r="G3" s="310" t="s">
        <v>149</v>
      </c>
      <c r="H3" s="214"/>
      <c r="I3" s="310" t="s">
        <v>152</v>
      </c>
      <c r="J3" s="310" t="s">
        <v>150</v>
      </c>
      <c r="K3" s="314"/>
      <c r="L3" s="314" t="s">
        <v>151</v>
      </c>
      <c r="M3" s="310" t="s">
        <v>149</v>
      </c>
      <c r="N3" s="214"/>
      <c r="O3" s="310" t="s">
        <v>152</v>
      </c>
      <c r="P3" s="310" t="s">
        <v>150</v>
      </c>
      <c r="Q3" s="314"/>
      <c r="R3" s="314" t="s">
        <v>151</v>
      </c>
      <c r="S3" s="310" t="s">
        <v>149</v>
      </c>
      <c r="T3" s="214"/>
      <c r="U3" s="310" t="s">
        <v>152</v>
      </c>
      <c r="V3" s="310" t="s">
        <v>150</v>
      </c>
      <c r="W3" s="314"/>
      <c r="X3" s="314" t="s">
        <v>151</v>
      </c>
      <c r="Y3" s="310" t="s">
        <v>149</v>
      </c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104"/>
      <c r="AN3" s="104"/>
      <c r="AO3" s="104"/>
    </row>
    <row r="4" spans="1:41" ht="8.25" customHeight="1">
      <c r="A4" s="104"/>
      <c r="B4" s="103"/>
      <c r="C4" s="539"/>
      <c r="D4" s="539"/>
      <c r="E4" s="539"/>
      <c r="F4" s="539"/>
      <c r="G4" s="539"/>
      <c r="H4" s="214"/>
      <c r="I4" s="539"/>
      <c r="J4" s="539"/>
      <c r="K4" s="539"/>
      <c r="L4" s="539"/>
      <c r="M4" s="539"/>
      <c r="N4" s="214"/>
      <c r="O4" s="539"/>
      <c r="P4" s="539"/>
      <c r="Q4" s="539"/>
      <c r="R4" s="539"/>
      <c r="S4" s="539"/>
      <c r="T4" s="214"/>
      <c r="U4" s="539"/>
      <c r="V4" s="539"/>
      <c r="W4" s="539"/>
      <c r="X4" s="539"/>
      <c r="Y4" s="539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104"/>
      <c r="AN4" s="104"/>
      <c r="AO4" s="104"/>
    </row>
    <row r="5" spans="1:41" ht="30" customHeight="1">
      <c r="A5" s="104"/>
      <c r="B5" s="103">
        <v>17</v>
      </c>
      <c r="C5" s="279"/>
      <c r="D5" s="280"/>
      <c r="E5" s="558"/>
      <c r="F5" s="282"/>
      <c r="G5" s="281"/>
      <c r="H5" s="537">
        <v>18</v>
      </c>
      <c r="I5" s="283"/>
      <c r="J5" s="284"/>
      <c r="K5" s="552"/>
      <c r="L5" s="286"/>
      <c r="M5" s="285"/>
      <c r="N5" s="537">
        <v>12</v>
      </c>
      <c r="O5" s="259"/>
      <c r="P5" s="260"/>
      <c r="Q5" s="541"/>
      <c r="R5" s="262"/>
      <c r="S5" s="261"/>
      <c r="T5" s="537">
        <v>19</v>
      </c>
      <c r="U5" s="287"/>
      <c r="V5" s="288"/>
      <c r="W5" s="546"/>
      <c r="X5" s="290"/>
      <c r="Y5" s="289"/>
      <c r="Z5" s="209"/>
      <c r="AA5" s="10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104"/>
      <c r="AN5" s="104"/>
      <c r="AO5" s="104"/>
    </row>
    <row r="6" spans="1:41" s="6" customFormat="1" ht="13.5" customHeight="1">
      <c r="A6" s="104"/>
      <c r="B6" s="104"/>
      <c r="C6" s="104"/>
      <c r="D6" s="104"/>
      <c r="E6" s="104"/>
      <c r="F6" s="104"/>
      <c r="G6" s="104"/>
      <c r="H6" s="209"/>
      <c r="I6" s="104"/>
      <c r="J6" s="104"/>
      <c r="K6" s="104"/>
      <c r="L6" s="104"/>
      <c r="M6" s="104"/>
      <c r="N6" s="209"/>
      <c r="O6" s="104"/>
      <c r="P6" s="104"/>
      <c r="Q6" s="104"/>
      <c r="R6" s="104"/>
      <c r="S6" s="104"/>
      <c r="T6" s="537"/>
      <c r="U6" s="214"/>
      <c r="V6" s="214"/>
      <c r="W6" s="104"/>
      <c r="X6" s="214"/>
      <c r="Y6" s="214"/>
      <c r="Z6" s="209"/>
      <c r="AA6" s="10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306"/>
      <c r="AN6" s="306"/>
      <c r="AO6" s="306"/>
    </row>
    <row r="7" spans="1:41" ht="30" customHeight="1">
      <c r="A7" s="104"/>
      <c r="B7" s="103">
        <v>10</v>
      </c>
      <c r="C7" s="251"/>
      <c r="D7" s="252"/>
      <c r="E7" s="559"/>
      <c r="F7" s="254"/>
      <c r="G7" s="253"/>
      <c r="H7" s="537">
        <v>6</v>
      </c>
      <c r="I7" s="235"/>
      <c r="J7" s="236"/>
      <c r="K7" s="553"/>
      <c r="L7" s="238"/>
      <c r="M7" s="237"/>
      <c r="N7" s="537">
        <v>7</v>
      </c>
      <c r="O7" s="239"/>
      <c r="P7" s="240"/>
      <c r="Q7" s="542"/>
      <c r="R7" s="242"/>
      <c r="S7" s="241"/>
      <c r="T7" s="537">
        <v>20</v>
      </c>
      <c r="U7" s="287"/>
      <c r="V7" s="291"/>
      <c r="W7" s="547"/>
      <c r="X7" s="292"/>
      <c r="Y7" s="289"/>
      <c r="Z7" s="209"/>
      <c r="AA7" s="10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104"/>
      <c r="AN7" s="104"/>
      <c r="AO7" s="104"/>
    </row>
    <row r="8" spans="1:41" ht="13.5" customHeight="1">
      <c r="A8" s="104"/>
      <c r="B8" s="104"/>
      <c r="C8" s="104"/>
      <c r="D8" s="104"/>
      <c r="E8" s="104"/>
      <c r="F8" s="104"/>
      <c r="G8" s="104"/>
      <c r="H8" s="209"/>
      <c r="I8" s="104"/>
      <c r="J8" s="104"/>
      <c r="K8" s="104"/>
      <c r="L8" s="104"/>
      <c r="M8" s="104"/>
      <c r="N8" s="209"/>
      <c r="O8" s="104"/>
      <c r="P8" s="104"/>
      <c r="Q8" s="104"/>
      <c r="R8" s="104"/>
      <c r="S8" s="104"/>
      <c r="T8" s="537"/>
      <c r="U8" s="214"/>
      <c r="V8" s="214"/>
      <c r="W8" s="104"/>
      <c r="X8" s="214"/>
      <c r="Y8" s="214"/>
      <c r="Z8" s="209"/>
      <c r="AA8" s="10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104"/>
      <c r="AN8" s="104"/>
      <c r="AO8" s="104"/>
    </row>
    <row r="9" spans="1:41" ht="30" customHeight="1">
      <c r="A9" s="104"/>
      <c r="B9" s="103">
        <v>5</v>
      </c>
      <c r="C9" s="231"/>
      <c r="D9" s="232"/>
      <c r="E9" s="560"/>
      <c r="F9" s="234"/>
      <c r="G9" s="233"/>
      <c r="H9" s="537">
        <v>4</v>
      </c>
      <c r="I9" s="227"/>
      <c r="J9" s="228"/>
      <c r="K9" s="554"/>
      <c r="L9" s="230"/>
      <c r="M9" s="229"/>
      <c r="N9" s="537">
        <v>1</v>
      </c>
      <c r="O9" s="215"/>
      <c r="P9" s="216"/>
      <c r="Q9" s="538"/>
      <c r="R9" s="218"/>
      <c r="S9" s="217"/>
      <c r="T9" s="537">
        <v>21</v>
      </c>
      <c r="U9" s="293"/>
      <c r="V9" s="294"/>
      <c r="W9" s="548"/>
      <c r="X9" s="296"/>
      <c r="Y9" s="295"/>
      <c r="Z9" s="209"/>
      <c r="AA9" s="10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104"/>
      <c r="AN9" s="104"/>
      <c r="AO9" s="104"/>
    </row>
    <row r="10" spans="1:41" ht="13.5" customHeight="1">
      <c r="A10" s="104"/>
      <c r="B10" s="104"/>
      <c r="C10" s="104"/>
      <c r="D10" s="104"/>
      <c r="E10" s="104"/>
      <c r="F10" s="104"/>
      <c r="G10" s="104"/>
      <c r="H10" s="209"/>
      <c r="I10" s="104"/>
      <c r="J10" s="104"/>
      <c r="K10" s="104"/>
      <c r="L10" s="104"/>
      <c r="M10" s="104"/>
      <c r="N10" s="209"/>
      <c r="O10" s="104"/>
      <c r="P10" s="104"/>
      <c r="Q10" s="104"/>
      <c r="R10" s="104"/>
      <c r="S10" s="104"/>
      <c r="T10" s="537"/>
      <c r="U10" s="214"/>
      <c r="V10" s="214"/>
      <c r="W10" s="104"/>
      <c r="X10" s="214"/>
      <c r="Y10" s="214"/>
      <c r="Z10" s="209"/>
      <c r="AA10" s="10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104"/>
      <c r="AN10" s="104"/>
      <c r="AO10" s="104"/>
    </row>
    <row r="11" spans="1:41" ht="30" customHeight="1">
      <c r="A11" s="104"/>
      <c r="B11" s="103">
        <v>13</v>
      </c>
      <c r="C11" s="263"/>
      <c r="D11" s="264"/>
      <c r="E11" s="565"/>
      <c r="F11" s="266"/>
      <c r="G11" s="265"/>
      <c r="H11" s="537">
        <v>14</v>
      </c>
      <c r="I11" s="267"/>
      <c r="J11" s="268"/>
      <c r="K11" s="555"/>
      <c r="L11" s="270"/>
      <c r="M11" s="269"/>
      <c r="N11" s="537">
        <v>2</v>
      </c>
      <c r="O11" s="219"/>
      <c r="P11" s="220"/>
      <c r="Q11" s="543"/>
      <c r="R11" s="222"/>
      <c r="S11" s="221"/>
      <c r="T11" s="537">
        <v>22</v>
      </c>
      <c r="U11" s="287"/>
      <c r="V11" s="297"/>
      <c r="W11" s="549"/>
      <c r="X11" s="290"/>
      <c r="Y11" s="289"/>
      <c r="Z11" s="209"/>
      <c r="AA11" s="10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104"/>
      <c r="AN11" s="104"/>
      <c r="AO11" s="104"/>
    </row>
    <row r="12" spans="1:41" ht="13.5" customHeight="1">
      <c r="A12" s="104"/>
      <c r="B12" s="104"/>
      <c r="C12" s="104"/>
      <c r="D12" s="104"/>
      <c r="E12" s="104"/>
      <c r="F12" s="104"/>
      <c r="G12" s="104"/>
      <c r="H12" s="209"/>
      <c r="I12" s="104"/>
      <c r="J12" s="104"/>
      <c r="K12" s="104"/>
      <c r="L12" s="104"/>
      <c r="M12" s="104"/>
      <c r="N12" s="209"/>
      <c r="O12" s="104"/>
      <c r="P12" s="104"/>
      <c r="Q12" s="104"/>
      <c r="R12" s="104"/>
      <c r="S12" s="104"/>
      <c r="T12" s="540"/>
      <c r="U12" s="307"/>
      <c r="V12" s="307"/>
      <c r="W12" s="104"/>
      <c r="X12" s="307"/>
      <c r="Y12" s="307"/>
      <c r="Z12" s="209"/>
      <c r="AA12" s="10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104"/>
      <c r="AN12" s="104"/>
      <c r="AO12" s="104"/>
    </row>
    <row r="13" spans="1:41" ht="30" customHeight="1">
      <c r="A13" s="104"/>
      <c r="B13" s="103">
        <v>8</v>
      </c>
      <c r="C13" s="243"/>
      <c r="D13" s="244"/>
      <c r="E13" s="561"/>
      <c r="F13" s="246"/>
      <c r="G13" s="245"/>
      <c r="H13" s="537">
        <v>11</v>
      </c>
      <c r="I13" s="255"/>
      <c r="J13" s="256"/>
      <c r="K13" s="556"/>
      <c r="L13" s="258"/>
      <c r="M13" s="257"/>
      <c r="N13" s="537">
        <v>9</v>
      </c>
      <c r="O13" s="247"/>
      <c r="P13" s="248"/>
      <c r="Q13" s="544"/>
      <c r="R13" s="250"/>
      <c r="S13" s="249"/>
      <c r="T13" s="537">
        <v>23</v>
      </c>
      <c r="U13" s="298"/>
      <c r="V13" s="299"/>
      <c r="W13" s="550"/>
      <c r="X13" s="301"/>
      <c r="Y13" s="300"/>
      <c r="Z13" s="209"/>
      <c r="AA13" s="10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104"/>
      <c r="AN13" s="104"/>
      <c r="AO13" s="104"/>
    </row>
    <row r="14" spans="1:41" s="6" customFormat="1" ht="13.5" customHeight="1">
      <c r="A14" s="104"/>
      <c r="B14" s="104"/>
      <c r="C14" s="104"/>
      <c r="D14" s="104"/>
      <c r="E14" s="104"/>
      <c r="F14" s="104"/>
      <c r="G14" s="104"/>
      <c r="H14" s="209"/>
      <c r="I14" s="104"/>
      <c r="J14" s="104"/>
      <c r="K14" s="104"/>
      <c r="L14" s="104"/>
      <c r="M14" s="104"/>
      <c r="N14" s="209"/>
      <c r="O14" s="104"/>
      <c r="P14" s="104"/>
      <c r="Q14" s="104"/>
      <c r="R14" s="104"/>
      <c r="S14" s="104"/>
      <c r="T14" s="537"/>
      <c r="U14" s="214"/>
      <c r="V14" s="214"/>
      <c r="W14" s="104"/>
      <c r="X14" s="214"/>
      <c r="Y14" s="214"/>
      <c r="Z14" s="209"/>
      <c r="AA14" s="10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306"/>
      <c r="AN14" s="306"/>
      <c r="AO14" s="306"/>
    </row>
    <row r="15" spans="1:41" ht="30" customHeight="1">
      <c r="A15" s="104"/>
      <c r="B15" s="103">
        <v>3</v>
      </c>
      <c r="C15" s="223"/>
      <c r="D15" s="224"/>
      <c r="E15" s="562"/>
      <c r="F15" s="226"/>
      <c r="G15" s="225"/>
      <c r="H15" s="537">
        <v>16</v>
      </c>
      <c r="I15" s="275"/>
      <c r="J15" s="276"/>
      <c r="K15" s="557"/>
      <c r="L15" s="278"/>
      <c r="M15" s="277"/>
      <c r="N15" s="537">
        <v>15</v>
      </c>
      <c r="O15" s="271"/>
      <c r="P15" s="272"/>
      <c r="Q15" s="545"/>
      <c r="R15" s="274"/>
      <c r="S15" s="273"/>
      <c r="T15" s="537">
        <v>24</v>
      </c>
      <c r="U15" s="302"/>
      <c r="V15" s="303"/>
      <c r="W15" s="551"/>
      <c r="X15" s="305"/>
      <c r="Y15" s="304"/>
      <c r="Z15" s="209"/>
      <c r="AA15" s="10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104"/>
      <c r="AN15" s="104"/>
      <c r="AO15" s="104"/>
    </row>
    <row r="16" spans="1:41" ht="13.5" customHeight="1">
      <c r="A16" s="104"/>
      <c r="B16" s="104"/>
      <c r="C16" s="175"/>
      <c r="D16" s="175"/>
      <c r="E16" s="175"/>
      <c r="F16" s="175"/>
      <c r="G16" s="175"/>
      <c r="H16" s="104"/>
      <c r="I16" s="175"/>
      <c r="J16" s="175"/>
      <c r="K16" s="175"/>
      <c r="L16" s="175"/>
      <c r="M16" s="175"/>
      <c r="N16" s="104"/>
      <c r="O16" s="175"/>
      <c r="P16" s="175"/>
      <c r="Q16" s="175"/>
      <c r="R16" s="175"/>
      <c r="S16" s="175"/>
      <c r="T16" s="104"/>
      <c r="U16" s="175"/>
      <c r="V16" s="175"/>
      <c r="W16" s="175"/>
      <c r="X16" s="175"/>
      <c r="Y16" s="175"/>
      <c r="Z16" s="104"/>
      <c r="AA16" s="10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104"/>
      <c r="AN16" s="104"/>
      <c r="AO16" s="104"/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3C29-6825-4E9C-9BBB-6E704389B03B}">
  <dimension ref="A1:BD106"/>
  <sheetViews>
    <sheetView zoomScale="90" zoomScaleNormal="90" workbookViewId="0">
      <pane ySplit="3" topLeftCell="A4" activePane="bottomLeft" state="frozen"/>
      <selection pane="bottomLeft" activeCell="AM18" sqref="AM18"/>
    </sheetView>
  </sheetViews>
  <sheetFormatPr defaultRowHeight="15" outlineLevelCol="2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hidden="1" customWidth="1" outlineLevel="1"/>
    <col min="7" max="7" width="10.42578125" style="81" hidden="1" customWidth="1" outlineLevel="1" collapsed="1"/>
    <col min="8" max="8" width="10.42578125" style="81" hidden="1" customWidth="1" outlineLevel="1"/>
    <col min="9" max="9" width="10.42578125" style="81" customWidth="1" collapsed="1"/>
    <col min="10" max="10" width="10.42578125" style="81" hidden="1" customWidth="1" outlineLevel="1"/>
    <col min="11" max="12" width="9.28515625" style="81" hidden="1" customWidth="1" outlineLevel="1"/>
    <col min="13" max="13" width="11.140625" style="81" bestFit="1" customWidth="1" collapsed="1"/>
    <col min="14" max="14" width="10" style="81" hidden="1" customWidth="1" outlineLevel="1"/>
    <col min="15" max="15" width="12.140625" style="81" bestFit="1" customWidth="1" collapsed="1"/>
    <col min="16" max="16" width="3.140625" customWidth="1"/>
    <col min="17" max="17" width="10" style="73" customWidth="1"/>
    <col min="18" max="19" width="10" style="183" hidden="1" customWidth="1" outlineLevel="2"/>
    <col min="20" max="20" width="10" style="183" hidden="1" customWidth="1" outlineLevel="1"/>
    <col min="21" max="22" width="10" style="183" hidden="1" customWidth="1" outlineLevel="2"/>
    <col min="23" max="23" width="10" style="183" hidden="1" customWidth="1" outlineLevel="1"/>
    <col min="24" max="24" width="10" style="347" customWidth="1" collapsed="1"/>
    <col min="25" max="25" width="10" style="385" customWidth="1"/>
    <col min="26" max="26" width="2.28515625" style="29" customWidth="1"/>
    <col min="27" max="27" width="10.85546875" style="76" bestFit="1" customWidth="1"/>
    <col min="28" max="42" width="12" style="73" bestFit="1" customWidth="1"/>
    <col min="43" max="45" width="12" style="75" bestFit="1" customWidth="1"/>
    <col min="46" max="49" width="11.85546875" style="75" bestFit="1" customWidth="1"/>
    <col min="50" max="51" width="10.85546875" style="75" bestFit="1" customWidth="1"/>
    <col min="52" max="52" width="11.5703125" style="42" bestFit="1" customWidth="1"/>
    <col min="53" max="53" width="12.7109375" style="42" bestFit="1" customWidth="1"/>
    <col min="54" max="54" width="10.28515625" style="42" bestFit="1" customWidth="1"/>
  </cols>
  <sheetData>
    <row r="1" spans="1:54" ht="15.75" thickBot="1"/>
    <row r="2" spans="1:54" ht="52.5" customHeight="1" thickBot="1">
      <c r="A2" s="1387" t="s">
        <v>158</v>
      </c>
      <c r="B2" s="1388"/>
      <c r="C2" s="1388"/>
      <c r="D2" s="1388"/>
      <c r="E2" s="1389"/>
      <c r="F2" s="1384" t="s">
        <v>199</v>
      </c>
      <c r="G2" s="1385"/>
      <c r="H2" s="1385"/>
      <c r="I2" s="1385"/>
      <c r="J2" s="1385"/>
      <c r="K2" s="1385"/>
      <c r="L2" s="1385"/>
      <c r="M2" s="1385"/>
      <c r="N2" s="1385"/>
      <c r="O2" s="1386"/>
      <c r="Q2" s="1435"/>
      <c r="R2" s="1436"/>
      <c r="S2" s="1436"/>
      <c r="T2" s="1436"/>
      <c r="U2" s="1436"/>
      <c r="V2" s="1436"/>
      <c r="W2" s="1436"/>
      <c r="X2" s="1436"/>
      <c r="Y2" s="1437"/>
      <c r="Z2" s="13"/>
      <c r="AA2" s="1425"/>
      <c r="AB2" s="1426"/>
      <c r="AC2" s="1426"/>
      <c r="AD2" s="1426"/>
      <c r="AE2" s="1426"/>
      <c r="AF2" s="1426"/>
      <c r="AG2" s="1426"/>
      <c r="AH2" s="1426"/>
      <c r="AI2" s="1426"/>
      <c r="AJ2" s="1426"/>
      <c r="AK2" s="1426"/>
      <c r="AL2" s="1426"/>
      <c r="AM2" s="1426"/>
      <c r="AN2" s="1426"/>
      <c r="AO2" s="1426"/>
      <c r="AP2" s="1426"/>
      <c r="AQ2" s="1426"/>
      <c r="AR2" s="1426"/>
      <c r="AS2" s="1426"/>
      <c r="AT2" s="1426"/>
      <c r="AU2" s="1426"/>
      <c r="AV2" s="1426"/>
      <c r="AW2" s="1426"/>
      <c r="AX2" s="1426"/>
      <c r="AY2" s="1427"/>
    </row>
    <row r="3" spans="1:54" s="13" customFormat="1" ht="45.75" thickBot="1">
      <c r="A3" s="91" t="s">
        <v>105</v>
      </c>
      <c r="B3" s="91" t="s">
        <v>106</v>
      </c>
      <c r="C3" s="1428" t="s">
        <v>140</v>
      </c>
      <c r="D3" s="1429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1331" t="s">
        <v>195</v>
      </c>
      <c r="R3" s="1227" t="s">
        <v>195</v>
      </c>
      <c r="S3" s="1227"/>
      <c r="T3" s="1227" t="s">
        <v>196</v>
      </c>
      <c r="U3" s="1227"/>
      <c r="V3" s="1227"/>
      <c r="W3" s="1227" t="s">
        <v>197</v>
      </c>
      <c r="X3" s="1228" t="s">
        <v>198</v>
      </c>
      <c r="Y3" s="1229" t="s">
        <v>150</v>
      </c>
      <c r="AA3" s="1430" t="s">
        <v>138</v>
      </c>
      <c r="AB3" s="1432" t="s">
        <v>157</v>
      </c>
      <c r="AC3" s="1433"/>
      <c r="AD3" s="1433"/>
      <c r="AE3" s="1433"/>
      <c r="AF3" s="1433"/>
      <c r="AG3" s="1433"/>
      <c r="AH3" s="1433"/>
      <c r="AI3" s="1433"/>
      <c r="AJ3" s="1433"/>
      <c r="AK3" s="1433"/>
      <c r="AL3" s="1433"/>
      <c r="AM3" s="1433"/>
      <c r="AN3" s="1433"/>
      <c r="AO3" s="1433"/>
      <c r="AP3" s="1433"/>
      <c r="AQ3" s="1433"/>
      <c r="AR3" s="1433"/>
      <c r="AS3" s="1433"/>
      <c r="AT3" s="1433"/>
      <c r="AU3" s="1433"/>
      <c r="AV3" s="1433"/>
      <c r="AW3" s="1433"/>
      <c r="AX3" s="1433"/>
      <c r="AY3" s="1434"/>
      <c r="AZ3" s="72"/>
      <c r="BA3" s="72"/>
      <c r="BB3" s="72"/>
    </row>
    <row r="4" spans="1:54" ht="15.75" customHeight="1" thickBot="1">
      <c r="A4" s="1390" t="s">
        <v>107</v>
      </c>
      <c r="B4" s="1391"/>
      <c r="C4" s="1391"/>
      <c r="D4" s="1391"/>
      <c r="E4" s="1391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1230"/>
      <c r="R4" s="330"/>
      <c r="S4" s="330"/>
      <c r="T4" s="330"/>
      <c r="U4" s="330"/>
      <c r="V4" s="330"/>
      <c r="W4" s="330"/>
      <c r="X4" s="349"/>
      <c r="Y4" s="1327"/>
      <c r="AA4" s="1431"/>
      <c r="AB4" s="77">
        <v>1</v>
      </c>
      <c r="AC4" s="77">
        <v>2</v>
      </c>
      <c r="AD4" s="77">
        <v>3</v>
      </c>
      <c r="AE4" s="77">
        <v>4</v>
      </c>
      <c r="AF4" s="77">
        <v>5</v>
      </c>
      <c r="AG4" s="77">
        <v>6</v>
      </c>
      <c r="AH4" s="362">
        <v>7</v>
      </c>
      <c r="AI4" s="364">
        <v>8</v>
      </c>
      <c r="AJ4" s="364">
        <v>9</v>
      </c>
      <c r="AK4" s="364">
        <v>10</v>
      </c>
      <c r="AL4" s="364">
        <v>11</v>
      </c>
      <c r="AM4" s="364">
        <v>12</v>
      </c>
      <c r="AN4" s="78">
        <v>13</v>
      </c>
      <c r="AO4" s="77">
        <v>14</v>
      </c>
      <c r="AP4" s="77">
        <v>15</v>
      </c>
      <c r="AQ4" s="77">
        <v>16</v>
      </c>
      <c r="AR4" s="77">
        <v>17</v>
      </c>
      <c r="AS4" s="77">
        <v>18</v>
      </c>
      <c r="AT4" s="362">
        <v>19</v>
      </c>
      <c r="AU4" s="364">
        <v>20</v>
      </c>
      <c r="AV4" s="364">
        <v>21</v>
      </c>
      <c r="AW4" s="364">
        <v>22</v>
      </c>
      <c r="AX4" s="364">
        <v>23</v>
      </c>
      <c r="AY4" s="364">
        <v>24</v>
      </c>
    </row>
    <row r="5" spans="1:54" ht="15.75" thickBot="1">
      <c r="A5" s="92">
        <v>1</v>
      </c>
      <c r="B5" s="93" t="s">
        <v>108</v>
      </c>
      <c r="C5" s="1393"/>
      <c r="D5" s="382">
        <f>O5</f>
        <v>115.49937887293277</v>
      </c>
      <c r="E5" s="370">
        <v>37.985999999999997</v>
      </c>
      <c r="F5" s="1206">
        <f xml:space="preserve"> E6 / 500 + F6</f>
        <v>0.49250655172413793</v>
      </c>
      <c r="G5" s="1206">
        <f>IF(F5^3&gt;0.008856,F5^3*$AI$37, (F5- 16 / 116 ) / 7.787*$AI$37)</f>
        <v>11.518930874764393</v>
      </c>
      <c r="H5" s="1207">
        <f>G5/SUM(G5:G7)</f>
        <v>0.43160133720790084</v>
      </c>
      <c r="I5" s="1207">
        <f t="array" ref="I5:I7">MMULT($AI$48:$AK$50,G5:G7)</f>
        <v>11.096462537410472</v>
      </c>
      <c r="J5" s="1207">
        <f>I5/SUM(I5:I7)</f>
        <v>0.39970041178632115</v>
      </c>
      <c r="K5" s="1207">
        <f>I5/$AI$41</f>
        <v>0.11674710971846006</v>
      </c>
      <c r="L5" s="1207">
        <f>IF(K5&gt;0.008856,K5^(1/3),7.787*K5+16/116)</f>
        <v>0.48874468310491292</v>
      </c>
      <c r="M5" s="1207">
        <f xml:space="preserve"> 116 * L6  - 16</f>
        <v>37.773205820821701</v>
      </c>
      <c r="N5" s="1206">
        <f>I5/100*  3.2406 + I6/100 * -1.5372 + I7/100 * -0.4986</f>
        <v>0.17303792868395071</v>
      </c>
      <c r="O5" s="1208">
        <f>IF(N5&gt; 0.0031308,(1.055 * (N5^ ( 1 / 2.4 ) ) - 0.055)*255, 12.92 * N5*255)</f>
        <v>115.49937887293277</v>
      </c>
      <c r="Q5" s="1231">
        <v>163</v>
      </c>
      <c r="R5" s="1232">
        <f t="shared" ref="R5:R22" si="0">Q5/255</f>
        <v>0.63921568627450975</v>
      </c>
      <c r="S5" s="1232">
        <f>IF(R5&gt;0.04045,(((R5+0.055)/1.055 )^2.4)*100, R5/12.92*100)</f>
        <v>36.625259559883951</v>
      </c>
      <c r="T5" s="1232">
        <f t="array" ref="T5:T7">MMULT($AI$25:$AK$27,S5:S7)</f>
        <v>23.440488196528182</v>
      </c>
      <c r="U5" s="1232">
        <f>T5/$AI$41</f>
        <v>0.24661996903140745</v>
      </c>
      <c r="V5" s="1232">
        <f>IF(U5&gt;0.008856,U5^(1/3),7.787*U5+16/116)</f>
        <v>0.62710858509698397</v>
      </c>
      <c r="W5" s="1232">
        <f xml:space="preserve"> 116 * V6  - 16</f>
        <v>52.874317728253359</v>
      </c>
      <c r="X5" s="1233">
        <f>SQRT(( ( M5-W5 ) ^ 2 ) + ( ( M6 - W6 ) ^ 2 ) + ( (M7 - W7 ) ^ 2 ))</f>
        <v>15.97165580552106</v>
      </c>
      <c r="Y5" s="786">
        <f t="shared" ref="Y5:Y22" si="1">O5</f>
        <v>115.49937887293277</v>
      </c>
    </row>
    <row r="6" spans="1:54">
      <c r="A6" s="94"/>
      <c r="B6" s="95"/>
      <c r="C6" s="1394"/>
      <c r="D6" s="383">
        <f t="shared" ref="D6:D69" si="2">O6</f>
        <v>80.924531967466507</v>
      </c>
      <c r="E6" s="371">
        <v>13.555</v>
      </c>
      <c r="F6" s="1209">
        <f xml:space="preserve"> (E5  + 16 ) / 116</f>
        <v>0.46539655172413791</v>
      </c>
      <c r="G6" s="1209">
        <f>IF(F6^3&gt;0.008856,F6^3*$AI$38, (F6- 16 / 116 ) / 7.787*$AI$38)</f>
        <v>10.080207762032574</v>
      </c>
      <c r="H6" s="1210">
        <f>G6/SUM(G5:G7)</f>
        <v>0.37769400621702293</v>
      </c>
      <c r="I6" s="1210">
        <v>9.9614788827959391</v>
      </c>
      <c r="J6" s="1210">
        <f>I6/SUM(I5:I7)</f>
        <v>0.35881770411342706</v>
      </c>
      <c r="K6" s="1210">
        <f>I6/$AI$42</f>
        <v>9.9614788827959391E-2</v>
      </c>
      <c r="L6" s="1210">
        <f t="shared" ref="L6:L22" si="3">IF(K6&gt;0.008856,K6^(1/3),7.787*K6+16/116)</f>
        <v>0.46356211914501466</v>
      </c>
      <c r="M6" s="1210">
        <f xml:space="preserve"> 500 * (L5 - L6 )</f>
        <v>12.591281979949132</v>
      </c>
      <c r="N6" s="1209">
        <f xml:space="preserve"> I5/100 * -0.9689 + I6/100*  1.8758 + I7/100 *  0.0415</f>
        <v>8.2125958597699694E-2</v>
      </c>
      <c r="O6" s="1211">
        <f t="shared" ref="O6:O22" si="4">IF(N6&gt; 0.0031308,(1.055 * (N6^ ( 1 / 2.4 ) ) - 0.055)*255, 12.92 * N6*255)</f>
        <v>80.924531967466507</v>
      </c>
      <c r="Q6" s="1234">
        <v>115</v>
      </c>
      <c r="R6" s="1235">
        <f t="shared" si="0"/>
        <v>0.45098039215686275</v>
      </c>
      <c r="S6" s="1235">
        <f t="shared" ref="S6:S22" si="5">IF(R6&gt;0.04045,(((R6+0.055)/1.055 )^2.4)*100, R6/12.92*100)</f>
        <v>17.144110073282263</v>
      </c>
      <c r="T6" s="1235">
        <v>20.931384788370366</v>
      </c>
      <c r="U6" s="1235">
        <f>T6/$AI$42</f>
        <v>0.20931384788370366</v>
      </c>
      <c r="V6" s="1235">
        <f t="shared" ref="V6:V22" si="6">IF(U6&gt;0.008856,U6^(1/3),7.787*U6+16/116)</f>
        <v>0.59374411834701168</v>
      </c>
      <c r="W6" s="1235">
        <f xml:space="preserve"> 500 * (V5 - V6 )</f>
        <v>16.682233374986144</v>
      </c>
      <c r="X6" s="1236"/>
      <c r="Y6" s="787">
        <f t="shared" si="1"/>
        <v>80.924531967466507</v>
      </c>
      <c r="AA6" s="1411" t="s">
        <v>135</v>
      </c>
      <c r="AB6" s="82">
        <f>D5</f>
        <v>115.49937887293277</v>
      </c>
      <c r="AC6" s="82">
        <f>D8</f>
        <v>198.5664405575157</v>
      </c>
      <c r="AD6" s="82">
        <f>D11</f>
        <v>90.590111987322274</v>
      </c>
      <c r="AE6" s="82">
        <f>D14</f>
        <v>89.727149578766344</v>
      </c>
      <c r="AF6" s="82">
        <f>D17</f>
        <v>129.55778390505861</v>
      </c>
      <c r="AG6" s="82">
        <f>D20</f>
        <v>92.422098428867557</v>
      </c>
      <c r="AH6" s="83">
        <f>D24</f>
        <v>224.26557253285961</v>
      </c>
      <c r="AI6" s="83">
        <f>D27</f>
        <v>67.856400699023411</v>
      </c>
      <c r="AJ6" s="83">
        <f>D30</f>
        <v>198.324194853623</v>
      </c>
      <c r="AK6" s="83">
        <f>D33</f>
        <v>93.621713838781943</v>
      </c>
      <c r="AL6" s="83">
        <f>D36</f>
        <v>158.74592602769013</v>
      </c>
      <c r="AM6" s="83">
        <f>D39</f>
        <v>230.43061395257749</v>
      </c>
      <c r="AN6" s="82">
        <f>D43</f>
        <v>35.342853388950573</v>
      </c>
      <c r="AO6" s="82">
        <f>D46</f>
        <v>66.910103142073083</v>
      </c>
      <c r="AP6" s="82">
        <f>D49</f>
        <v>179.90529060715122</v>
      </c>
      <c r="AQ6" s="82">
        <f>D52</f>
        <v>238.29785697467756</v>
      </c>
      <c r="AR6" s="82">
        <f>D55</f>
        <v>193.03598609620454</v>
      </c>
      <c r="AS6" s="82">
        <f>D58</f>
        <v>0</v>
      </c>
      <c r="AT6" s="83">
        <f>D62</f>
        <v>244.94459763984261</v>
      </c>
      <c r="AU6" s="83">
        <f>D65</f>
        <v>200.34536911982687</v>
      </c>
      <c r="AV6" s="83">
        <f>D68</f>
        <v>160.69389383573181</v>
      </c>
      <c r="AW6" s="83">
        <f>D71</f>
        <v>120.66757106732852</v>
      </c>
      <c r="AX6" s="83">
        <f>D74</f>
        <v>82.432760070363386</v>
      </c>
      <c r="AY6" s="83">
        <f>D77</f>
        <v>48.661691226720095</v>
      </c>
    </row>
    <row r="7" spans="1:54" ht="15.75" thickBot="1">
      <c r="A7" s="96"/>
      <c r="B7" s="97"/>
      <c r="C7" s="1394"/>
      <c r="D7" s="384">
        <f t="shared" si="2"/>
        <v>67.355100176800789</v>
      </c>
      <c r="E7" s="372">
        <v>14.058999999999999</v>
      </c>
      <c r="F7" s="1212">
        <f>F6 - E7 / 200</f>
        <v>0.39510155172413791</v>
      </c>
      <c r="G7" s="1212">
        <f>IF(F7^3&gt;0.008856,F7^3*$AI$39, (F7- 16 / 116 ) / 7.787*$AI$39)</f>
        <v>5.0896824620490859</v>
      </c>
      <c r="H7" s="1213">
        <f>G6</f>
        <v>10.080207762032574</v>
      </c>
      <c r="I7" s="1213">
        <v>6.7040078052615222</v>
      </c>
      <c r="J7" s="1213">
        <f>I6</f>
        <v>9.9614788827959391</v>
      </c>
      <c r="K7" s="1213">
        <f>I7/$AI$43</f>
        <v>6.1570748466349405E-2</v>
      </c>
      <c r="L7" s="1213">
        <f t="shared" si="3"/>
        <v>0.39487364107882977</v>
      </c>
      <c r="M7" s="1213">
        <f xml:space="preserve"> 200 * ( L6 - L7 )</f>
        <v>13.737695613236978</v>
      </c>
      <c r="N7" s="1212">
        <f xml:space="preserve"> I5/100 *  0.0557 + I6/100 * -0.204 + I7/100 *  1.057</f>
        <v>5.6720675214048208E-2</v>
      </c>
      <c r="O7" s="1214">
        <f t="shared" si="4"/>
        <v>67.355100176800789</v>
      </c>
      <c r="Q7" s="1234">
        <v>98</v>
      </c>
      <c r="R7" s="1235">
        <f t="shared" si="0"/>
        <v>0.3843137254901961</v>
      </c>
      <c r="S7" s="1235">
        <f t="shared" si="5"/>
        <v>12.213877222960189</v>
      </c>
      <c r="T7" s="1235">
        <v>14.358447475535183</v>
      </c>
      <c r="U7" s="1235">
        <f>T7/$AI$43</f>
        <v>0.13187042491054787</v>
      </c>
      <c r="V7" s="1235">
        <f t="shared" si="6"/>
        <v>0.50899767884988456</v>
      </c>
      <c r="W7" s="1235">
        <f xml:space="preserve"> 200 * ( V6 - V7 )</f>
        <v>16.949287899425425</v>
      </c>
      <c r="X7" s="1236"/>
      <c r="Y7" s="787">
        <f t="shared" si="1"/>
        <v>67.355100176800789</v>
      </c>
      <c r="AA7" s="1412"/>
      <c r="AB7" s="84">
        <f>D6</f>
        <v>80.924531967466507</v>
      </c>
      <c r="AC7" s="84">
        <f>D9</f>
        <v>147.22394537812542</v>
      </c>
      <c r="AD7" s="84">
        <f>D12</f>
        <v>122.36943007700241</v>
      </c>
      <c r="AE7" s="84">
        <f>D15</f>
        <v>107.64968923603281</v>
      </c>
      <c r="AF7" s="84">
        <f>D18</f>
        <v>128.00022677459134</v>
      </c>
      <c r="AG7" s="84">
        <f>D21</f>
        <v>189.90953390734151</v>
      </c>
      <c r="AH7" s="85">
        <f>D25</f>
        <v>123.75545165140458</v>
      </c>
      <c r="AI7" s="85">
        <f>D28</f>
        <v>91.231366881754894</v>
      </c>
      <c r="AJ7" s="85">
        <f>D31</f>
        <v>81.965589373165727</v>
      </c>
      <c r="AK7" s="85">
        <f>D34</f>
        <v>58.004664131651644</v>
      </c>
      <c r="AL7" s="85">
        <f>D37</f>
        <v>188.97701415884313</v>
      </c>
      <c r="AM7" s="85">
        <f>D40</f>
        <v>161.63210798319847</v>
      </c>
      <c r="AN7" s="84">
        <f>D44</f>
        <v>63.330751517613386</v>
      </c>
      <c r="AO7" s="84">
        <f>D47</f>
        <v>148.92451179357417</v>
      </c>
      <c r="AP7" s="84">
        <f>D50</f>
        <v>48.716578063950486</v>
      </c>
      <c r="AQ7" s="84">
        <f>D53</f>
        <v>198.45859080039978</v>
      </c>
      <c r="AR7" s="84">
        <f>D56</f>
        <v>84.003503526946432</v>
      </c>
      <c r="AS7" s="84">
        <f>D59</f>
        <v>136.1986469903801</v>
      </c>
      <c r="AT7" s="85">
        <f>D63</f>
        <v>245.22561578043522</v>
      </c>
      <c r="AU7" s="85">
        <f>D66</f>
        <v>202.21765470389457</v>
      </c>
      <c r="AV7" s="85">
        <f>D69</f>
        <v>162.84331466380013</v>
      </c>
      <c r="AW7" s="85">
        <f>D72</f>
        <v>121.19947386215865</v>
      </c>
      <c r="AX7" s="85">
        <f>D75</f>
        <v>84.106225276765315</v>
      </c>
      <c r="AY7" s="85">
        <f>D78</f>
        <v>49.363641330697085</v>
      </c>
    </row>
    <row r="8" spans="1:54" ht="15.75" thickBot="1">
      <c r="A8" s="92">
        <v>2</v>
      </c>
      <c r="B8" s="93" t="s">
        <v>109</v>
      </c>
      <c r="C8" s="1420"/>
      <c r="D8" s="382">
        <f t="shared" si="2"/>
        <v>198.5664405575157</v>
      </c>
      <c r="E8" s="370">
        <v>65.710999999999999</v>
      </c>
      <c r="F8" s="1206">
        <f xml:space="preserve"> E9 / 500 + F9</f>
        <v>0.74066517241379304</v>
      </c>
      <c r="G8" s="1206">
        <f>IF(F8^3&gt;0.008856,F8^3*$AI$37, (F8- 16 / 116 ) / 7.787*$AI$37)</f>
        <v>39.177967948419948</v>
      </c>
      <c r="H8" s="1207">
        <f>G8/SUM(G8:G10)</f>
        <v>0.41965319885542374</v>
      </c>
      <c r="I8" s="1207">
        <f t="array" ref="I8:I10">MMULT($AI$48:$AK$50,G8:G10)</f>
        <v>37.846819885568948</v>
      </c>
      <c r="J8" s="1207">
        <f>I8/SUM(I8:I10)</f>
        <v>0.38706319116865656</v>
      </c>
      <c r="K8" s="1207">
        <f>I8/$AI$41</f>
        <v>0.39819057819361947</v>
      </c>
      <c r="L8" s="1207">
        <f t="shared" si="3"/>
        <v>0.7356936258024972</v>
      </c>
      <c r="M8" s="1207">
        <f t="shared" ref="M8" si="7" xml:space="preserve"> 116 * L9  - 16</f>
        <v>65.431919053115664</v>
      </c>
      <c r="N8" s="1206">
        <f>I8/100*  3.2406 + I9/100 * -1.5372 + I10/100 * -0.4986</f>
        <v>0.56833908448621961</v>
      </c>
      <c r="O8" s="1208">
        <f t="shared" si="4"/>
        <v>198.5664405575157</v>
      </c>
      <c r="Q8" s="1237">
        <v>230</v>
      </c>
      <c r="R8" s="1238">
        <f t="shared" si="0"/>
        <v>0.90196078431372551</v>
      </c>
      <c r="S8" s="1238">
        <f t="shared" si="5"/>
        <v>79.129794033263025</v>
      </c>
      <c r="T8" s="1238">
        <f t="array" ref="T8:T10">MMULT($AI$25:$AK$27,S8:S10)</f>
        <v>56.032775469005166</v>
      </c>
      <c r="U8" s="1238">
        <f>T8/$AI$41</f>
        <v>0.58952702840705307</v>
      </c>
      <c r="V8" s="1238">
        <f t="shared" si="6"/>
        <v>0.83849647350447254</v>
      </c>
      <c r="W8" s="1238">
        <f xml:space="preserve"> 116 * V9  - 16</f>
        <v>78.233651087477654</v>
      </c>
      <c r="X8" s="1239">
        <f>SQRT(( ( M8-W8 ) ^ 2 ) + ( ( M9 - W9 ) ^ 2 ) + ( (M10 - W10 ) ^ 2 ))</f>
        <v>13.445984431833317</v>
      </c>
      <c r="Y8" s="788">
        <f t="shared" si="1"/>
        <v>198.5664405575157</v>
      </c>
      <c r="AA8" s="1413"/>
      <c r="AB8" s="86">
        <f>D7</f>
        <v>67.355100176800789</v>
      </c>
      <c r="AC8" s="86">
        <f>D10</f>
        <v>128.67442122465755</v>
      </c>
      <c r="AD8" s="86">
        <f>D13</f>
        <v>155.7634429623528</v>
      </c>
      <c r="AE8" s="86">
        <f>D16</f>
        <v>64.383828506381079</v>
      </c>
      <c r="AF8" s="86">
        <f>D19</f>
        <v>176.06897196090145</v>
      </c>
      <c r="AG8" s="86">
        <f>D22</f>
        <v>172.00470214339384</v>
      </c>
      <c r="AH8" s="87">
        <f>D26</f>
        <v>46.703112372096498</v>
      </c>
      <c r="AI8" s="87">
        <f>D29</f>
        <v>170.17236470319924</v>
      </c>
      <c r="AJ8" s="87">
        <f>D32</f>
        <v>97.056852604465689</v>
      </c>
      <c r="AK8" s="87">
        <f>D35</f>
        <v>105.57259954157003</v>
      </c>
      <c r="AL8" s="87">
        <f>D38</f>
        <v>62.832253035292226</v>
      </c>
      <c r="AM8" s="87">
        <f>D41</f>
        <v>39.272644590202006</v>
      </c>
      <c r="AN8" s="86">
        <f>D45</f>
        <v>147.08684100238494</v>
      </c>
      <c r="AO8" s="86">
        <f>D48</f>
        <v>74.120275922324538</v>
      </c>
      <c r="AP8" s="86">
        <f>D51</f>
        <v>56.959990730530549</v>
      </c>
      <c r="AQ8" s="86">
        <f>D54</f>
        <v>19.759840938184311</v>
      </c>
      <c r="AR8" s="86">
        <f>D57</f>
        <v>150.55196979242695</v>
      </c>
      <c r="AS8" s="86">
        <f>D60</f>
        <v>169.68590110948557</v>
      </c>
      <c r="AT8" s="87">
        <f>D64</f>
        <v>242.67159053813759</v>
      </c>
      <c r="AU8" s="87">
        <f>D67</f>
        <v>202.39139072207513</v>
      </c>
      <c r="AV8" s="87">
        <f>D70</f>
        <v>163.24947770284862</v>
      </c>
      <c r="AW8" s="87">
        <f>D73</f>
        <v>121.54290035174313</v>
      </c>
      <c r="AX8" s="87">
        <f>D76</f>
        <v>85.776392403274841</v>
      </c>
      <c r="AY8" s="87">
        <f>D79</f>
        <v>50.702931476399115</v>
      </c>
    </row>
    <row r="9" spans="1:54" ht="15.75" thickBot="1">
      <c r="A9" s="94"/>
      <c r="B9" s="95"/>
      <c r="C9" s="1420"/>
      <c r="D9" s="383">
        <f t="shared" si="2"/>
        <v>147.22394537812542</v>
      </c>
      <c r="E9" s="371">
        <v>18.13</v>
      </c>
      <c r="F9" s="1209">
        <f xml:space="preserve"> (E8  + 16 ) / 116</f>
        <v>0.70440517241379308</v>
      </c>
      <c r="G9" s="1209">
        <f>IF(F9^3&gt;0.008856,F9^3*$AI$38, (F9- 16 / 116 ) / 7.787*$AI$38)</f>
        <v>34.951644057543291</v>
      </c>
      <c r="H9" s="1210">
        <f>G9/SUM(G8:G10)</f>
        <v>0.37438310361872018</v>
      </c>
      <c r="I9" s="1210">
        <v>34.594737633856717</v>
      </c>
      <c r="J9" s="1210">
        <f>I9/SUM(I8:I10)</f>
        <v>0.35380382253222714</v>
      </c>
      <c r="K9" s="1210">
        <f>I9/$AI$42</f>
        <v>0.34594737633856715</v>
      </c>
      <c r="L9" s="1210">
        <f t="shared" si="3"/>
        <v>0.70199930218203155</v>
      </c>
      <c r="M9" s="1210">
        <f t="shared" ref="M9" si="8" xml:space="preserve"> 500 * (L8 - L9 )</f>
        <v>16.847161810232826</v>
      </c>
      <c r="N9" s="1209">
        <f xml:space="preserve"> I8/100 * -0.9689 + I9/100*  1.8758 + I10/100 *  0.0415</f>
        <v>0.29274546954435426</v>
      </c>
      <c r="O9" s="1211">
        <f t="shared" si="4"/>
        <v>147.22394537812542</v>
      </c>
      <c r="Q9" s="1237">
        <v>184</v>
      </c>
      <c r="R9" s="1238">
        <f t="shared" si="0"/>
        <v>0.72156862745098038</v>
      </c>
      <c r="S9" s="1238">
        <f t="shared" si="5"/>
        <v>47.932018310082682</v>
      </c>
      <c r="T9" s="1238">
        <v>53.609787645095082</v>
      </c>
      <c r="U9" s="1238">
        <f>T9/$AI$42</f>
        <v>0.53609787645095086</v>
      </c>
      <c r="V9" s="1238">
        <f t="shared" si="6"/>
        <v>0.81235906109894529</v>
      </c>
      <c r="W9" s="1238">
        <f xml:space="preserve"> 500 * (V8 - V9 )</f>
        <v>13.068706202763625</v>
      </c>
      <c r="X9" s="1239"/>
      <c r="Y9" s="788">
        <f t="shared" si="1"/>
        <v>147.22394537812542</v>
      </c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9"/>
      <c r="AO9" s="79"/>
      <c r="AP9" s="79"/>
      <c r="AQ9" s="79"/>
    </row>
    <row r="10" spans="1:54" ht="15.75" thickBot="1">
      <c r="A10" s="96"/>
      <c r="B10" s="97"/>
      <c r="C10" s="1420"/>
      <c r="D10" s="384">
        <f t="shared" si="2"/>
        <v>128.67442122465755</v>
      </c>
      <c r="E10" s="372">
        <v>17.809999999999999</v>
      </c>
      <c r="F10" s="1212">
        <f>F9 - E10 / 200</f>
        <v>0.61535517241379312</v>
      </c>
      <c r="G10" s="1212">
        <f>IF(F10^3&gt;0.008856,F10^3*$AI$39, (F10- 16 / 116 ) / 7.787*$AI$39)</f>
        <v>19.228351320124247</v>
      </c>
      <c r="H10" s="1213">
        <f>G9</f>
        <v>34.951644057543291</v>
      </c>
      <c r="I10" s="1213">
        <v>25.337876818668772</v>
      </c>
      <c r="J10" s="1213">
        <f>I9</f>
        <v>34.594737633856717</v>
      </c>
      <c r="K10" s="1213">
        <f>I10/$AI$43</f>
        <v>0.23270737230484806</v>
      </c>
      <c r="L10" s="1213">
        <f t="shared" si="3"/>
        <v>0.61508723490326866</v>
      </c>
      <c r="M10" s="1213">
        <f t="shared" ref="M10" si="9" xml:space="preserve"> 200 * ( L9 - L10 )</f>
        <v>17.382413455752577</v>
      </c>
      <c r="N10" s="1212">
        <f xml:space="preserve"> I8/100 *  0.0557 + I9/100 * -0.204 + I10/100 *  1.057</f>
        <v>0.21832877187652311</v>
      </c>
      <c r="O10" s="1214">
        <f t="shared" si="4"/>
        <v>128.67442122465755</v>
      </c>
      <c r="Q10" s="1237">
        <v>159</v>
      </c>
      <c r="R10" s="1238">
        <f t="shared" si="0"/>
        <v>0.62352941176470589</v>
      </c>
      <c r="S10" s="1238">
        <f t="shared" si="5"/>
        <v>34.670405635502959</v>
      </c>
      <c r="T10" s="1238">
        <v>40.190429275356649</v>
      </c>
      <c r="U10" s="1238">
        <f>T10/$AI$43</f>
        <v>0.36911574144133291</v>
      </c>
      <c r="V10" s="1238">
        <f t="shared" si="6"/>
        <v>0.71733307447765982</v>
      </c>
      <c r="W10" s="1238">
        <f xml:space="preserve"> 200 * ( V9 - V10 )</f>
        <v>19.005197324257097</v>
      </c>
      <c r="X10" s="1239"/>
      <c r="Y10" s="788">
        <f t="shared" si="1"/>
        <v>128.67442122465755</v>
      </c>
      <c r="AA10" s="1411" t="s">
        <v>136</v>
      </c>
      <c r="AB10" s="82">
        <f>Q5</f>
        <v>163</v>
      </c>
      <c r="AC10" s="82">
        <f>Q8</f>
        <v>230</v>
      </c>
      <c r="AD10" s="82">
        <f>Q11</f>
        <v>126</v>
      </c>
      <c r="AE10" s="82">
        <f>Q14</f>
        <v>129</v>
      </c>
      <c r="AF10" s="82">
        <f>Q17</f>
        <v>184</v>
      </c>
      <c r="AG10" s="82">
        <f>Q20</f>
        <v>33</v>
      </c>
      <c r="AH10" s="83">
        <f>Q24</f>
        <v>246</v>
      </c>
      <c r="AI10" s="83">
        <f>Q27</f>
        <v>71</v>
      </c>
      <c r="AJ10" s="83">
        <f>Q30</f>
        <v>255</v>
      </c>
      <c r="AK10" s="83">
        <f>Q33</f>
        <v>136</v>
      </c>
      <c r="AL10" s="83">
        <f>Q36</f>
        <v>204</v>
      </c>
      <c r="AM10" s="83">
        <f>Q39</f>
        <v>243</v>
      </c>
      <c r="AN10" s="82">
        <f>Q43</f>
        <v>7</v>
      </c>
      <c r="AO10" s="82">
        <f>Q46</f>
        <v>36</v>
      </c>
      <c r="AP10" s="82">
        <f>Q49</f>
        <v>232</v>
      </c>
      <c r="AQ10" s="82">
        <f>Q52</f>
        <v>255</v>
      </c>
      <c r="AR10" s="82">
        <f>Q55</f>
        <v>244</v>
      </c>
      <c r="AS10" s="82">
        <f>Q58</f>
        <v>90</v>
      </c>
      <c r="AT10" s="83">
        <f>Q62</f>
        <v>217</v>
      </c>
      <c r="AU10" s="83">
        <f>Q65</f>
        <v>207</v>
      </c>
      <c r="AV10" s="83">
        <f>Q68</f>
        <v>188</v>
      </c>
      <c r="AW10" s="83">
        <f>Q71</f>
        <v>170</v>
      </c>
      <c r="AX10" s="83">
        <f>Q74</f>
        <v>138</v>
      </c>
      <c r="AY10" s="83">
        <f>Q77</f>
        <v>106</v>
      </c>
    </row>
    <row r="11" spans="1:54">
      <c r="A11" s="92">
        <v>3</v>
      </c>
      <c r="B11" s="93" t="s">
        <v>110</v>
      </c>
      <c r="C11" s="1421"/>
      <c r="D11" s="382">
        <f t="shared" si="2"/>
        <v>90.590111987322274</v>
      </c>
      <c r="E11" s="370">
        <v>49.927</v>
      </c>
      <c r="F11" s="1206">
        <f xml:space="preserve"> E12 / 500 + F12</f>
        <v>0.55857620689655163</v>
      </c>
      <c r="G11" s="1206">
        <f>IF(F11^3&gt;0.008856,F11^3*$AI$37, (F11- 16 / 116 ) / 7.787*$AI$37)</f>
        <v>16.804416347693039</v>
      </c>
      <c r="H11" s="1207">
        <f>G11/SUM(G11:G13)</f>
        <v>0.27604076783496151</v>
      </c>
      <c r="I11" s="1207">
        <f t="array" ref="I11:I13">MMULT($AI$48:$AK$50,G11:G13)</f>
        <v>17.259184587792387</v>
      </c>
      <c r="J11" s="1207">
        <f>I11/SUM(I11:I13)</f>
        <v>0.24693798032733721</v>
      </c>
      <c r="K11" s="1207">
        <f>I11/$AI$41</f>
        <v>0.18158579005957459</v>
      </c>
      <c r="L11" s="1207">
        <f t="shared" si="3"/>
        <v>0.56627486686879502</v>
      </c>
      <c r="M11" s="1207">
        <f t="shared" ref="M11" si="10" xml:space="preserve"> 116 * L12  - 16</f>
        <v>50.221743009310785</v>
      </c>
      <c r="N11" s="1206">
        <f>I11/100*  3.2406 + I12/100 * -1.5372 + I13/100 * -0.4986</f>
        <v>0.10363925492524978</v>
      </c>
      <c r="O11" s="1208">
        <f t="shared" si="4"/>
        <v>90.590111987322274</v>
      </c>
      <c r="Q11" s="1240">
        <v>126</v>
      </c>
      <c r="R11" s="1241">
        <f t="shared" si="0"/>
        <v>0.49411764705882355</v>
      </c>
      <c r="S11" s="1241">
        <f t="shared" si="5"/>
        <v>20.863687014525571</v>
      </c>
      <c r="T11" s="1241">
        <f t="array" ref="T11:T13">MMULT($AI$25:$AK$27,S11:S13)</f>
        <v>43.788298984300276</v>
      </c>
      <c r="U11" s="1241">
        <f>T11/$AI$41</f>
        <v>0.46070153696908139</v>
      </c>
      <c r="V11" s="1241">
        <f t="shared" si="6"/>
        <v>0.77233648929153698</v>
      </c>
      <c r="W11" s="1241">
        <f xml:space="preserve"> 116 * V12  - 16</f>
        <v>76.569050912511415</v>
      </c>
      <c r="X11" s="1242">
        <f>SQRT(( ( M11-W11 ) ^ 2 ) + ( ( M12 - W12 ) ^ 2 ) + ( (M13 - W13 ) ^ 2 ))</f>
        <v>28.626512499292367</v>
      </c>
      <c r="Y11" s="789">
        <f t="shared" si="1"/>
        <v>90.590111987322274</v>
      </c>
      <c r="AA11" s="1412"/>
      <c r="AB11" s="84">
        <f>Q6</f>
        <v>115</v>
      </c>
      <c r="AC11" s="84">
        <f>Q9</f>
        <v>184</v>
      </c>
      <c r="AD11" s="84">
        <f>Q12</f>
        <v>198</v>
      </c>
      <c r="AE11" s="84">
        <f>Q15</f>
        <v>160</v>
      </c>
      <c r="AF11" s="84">
        <f>Q18</f>
        <v>189</v>
      </c>
      <c r="AG11" s="84">
        <f>Q21</f>
        <v>246</v>
      </c>
      <c r="AH11" s="85">
        <f>Q25</f>
        <v>176</v>
      </c>
      <c r="AI11" s="85">
        <f>Q28</f>
        <v>138</v>
      </c>
      <c r="AJ11" s="85">
        <f>Q31</f>
        <v>145</v>
      </c>
      <c r="AK11" s="85">
        <f>Q34</f>
        <v>72</v>
      </c>
      <c r="AL11" s="85">
        <f>Q37</f>
        <v>241</v>
      </c>
      <c r="AM11" s="85">
        <f>Q40</f>
        <v>209</v>
      </c>
      <c r="AN11" s="84">
        <f>Q44</f>
        <v>58</v>
      </c>
      <c r="AO11" s="84">
        <f>Q47</f>
        <v>181</v>
      </c>
      <c r="AP11" s="84">
        <f>Q50</f>
        <v>70</v>
      </c>
      <c r="AQ11" s="84">
        <f>Q53</f>
        <v>235</v>
      </c>
      <c r="AR11" s="84">
        <f>Q56</f>
        <v>125</v>
      </c>
      <c r="AS11" s="84">
        <f>Q59</f>
        <v>189</v>
      </c>
      <c r="AT11" s="85">
        <f>Q63</f>
        <v>313</v>
      </c>
      <c r="AU11" s="85">
        <f>Q66</f>
        <v>203</v>
      </c>
      <c r="AV11" s="85">
        <f>Q69</f>
        <v>184</v>
      </c>
      <c r="AW11" s="85">
        <f>Q72</f>
        <v>162</v>
      </c>
      <c r="AX11" s="85">
        <f>Q75</f>
        <v>133</v>
      </c>
      <c r="AY11" s="85">
        <f>Q78</f>
        <v>90</v>
      </c>
    </row>
    <row r="12" spans="1:54" ht="15.75" thickBot="1">
      <c r="A12" s="94"/>
      <c r="B12" s="95"/>
      <c r="C12" s="1421"/>
      <c r="D12" s="383">
        <f t="shared" si="2"/>
        <v>122.36943007700241</v>
      </c>
      <c r="E12" s="371">
        <v>-4.88</v>
      </c>
      <c r="F12" s="1209">
        <f xml:space="preserve"> (E11  + 16 ) / 116</f>
        <v>0.56833620689655162</v>
      </c>
      <c r="G12" s="1209">
        <f>IF(F12^3&gt;0.008856,F12^3*$AI$38, (F12- 16 / 116 ) / 7.787*$AI$38)</f>
        <v>18.357602989115406</v>
      </c>
      <c r="H12" s="1210">
        <f>G12/SUM(G11:G13)</f>
        <v>0.30155446758021298</v>
      </c>
      <c r="I12" s="1210">
        <v>18.604922057669455</v>
      </c>
      <c r="J12" s="1210">
        <f>I12/SUM(I11:I13)</f>
        <v>0.26619229046996778</v>
      </c>
      <c r="K12" s="1210">
        <f>I12/$AI$42</f>
        <v>0.18604922057669454</v>
      </c>
      <c r="L12" s="1210">
        <f t="shared" si="3"/>
        <v>0.57087709490785166</v>
      </c>
      <c r="M12" s="1210">
        <f t="shared" ref="M12" si="11" xml:space="preserve"> 500 * (L11 - L12 )</f>
        <v>-2.3011140195283164</v>
      </c>
      <c r="N12" s="1209">
        <f xml:space="preserve"> I11/100 * -0.9689 + I12/100*  1.8758 + I13/100 *  0.0415</f>
        <v>0.19588879239094442</v>
      </c>
      <c r="O12" s="1211">
        <f t="shared" si="4"/>
        <v>122.36943007700241</v>
      </c>
      <c r="Q12" s="1240">
        <v>198</v>
      </c>
      <c r="R12" s="1241">
        <f t="shared" si="0"/>
        <v>0.77647058823529413</v>
      </c>
      <c r="S12" s="1241">
        <f t="shared" si="5"/>
        <v>56.471150570492924</v>
      </c>
      <c r="T12" s="1241">
        <v>50.818689974711837</v>
      </c>
      <c r="U12" s="1241">
        <f>T12/$AI$42</f>
        <v>0.50818689974711839</v>
      </c>
      <c r="V12" s="1241">
        <f t="shared" si="6"/>
        <v>0.79800905959061563</v>
      </c>
      <c r="W12" s="1241">
        <f xml:space="preserve"> 500 * (V11 - V12 )</f>
        <v>-12.836285149539329</v>
      </c>
      <c r="X12" s="1242"/>
      <c r="Y12" s="789">
        <f t="shared" si="1"/>
        <v>122.36943007700241</v>
      </c>
      <c r="AA12" s="1413"/>
      <c r="AB12" s="86">
        <f>Q7</f>
        <v>98</v>
      </c>
      <c r="AC12" s="86">
        <f>Q10</f>
        <v>159</v>
      </c>
      <c r="AD12" s="86">
        <f>Q13</f>
        <v>235</v>
      </c>
      <c r="AE12" s="86">
        <f>Q16</f>
        <v>70</v>
      </c>
      <c r="AF12" s="86">
        <f>Q19</f>
        <v>226</v>
      </c>
      <c r="AG12" s="86">
        <f>Q22</f>
        <v>223</v>
      </c>
      <c r="AH12" s="87">
        <f>Q26</f>
        <v>55</v>
      </c>
      <c r="AI12" s="87">
        <f>Q29</f>
        <v>251</v>
      </c>
      <c r="AJ12" s="87">
        <f>Q32</f>
        <v>130</v>
      </c>
      <c r="AK12" s="87">
        <f>Q35</f>
        <v>172</v>
      </c>
      <c r="AL12" s="87">
        <f>Q38</f>
        <v>1</v>
      </c>
      <c r="AM12" s="87">
        <f>Q41</f>
        <v>33</v>
      </c>
      <c r="AN12" s="86">
        <f>Q45</f>
        <v>204</v>
      </c>
      <c r="AO12" s="86">
        <f>Q48</f>
        <v>67</v>
      </c>
      <c r="AP12" s="86">
        <f>Q51</f>
        <v>43</v>
      </c>
      <c r="AQ12" s="86">
        <f>Q54</f>
        <v>0</v>
      </c>
      <c r="AR12" s="86">
        <f>Q57</f>
        <v>220</v>
      </c>
      <c r="AS12" s="86">
        <f>Q60</f>
        <v>205</v>
      </c>
      <c r="AT12" s="87">
        <f>Q64</f>
        <v>216</v>
      </c>
      <c r="AU12" s="87">
        <f>Q67</f>
        <v>201</v>
      </c>
      <c r="AV12" s="87">
        <f>Q70</f>
        <v>178</v>
      </c>
      <c r="AW12" s="87">
        <f>Q73</f>
        <v>164</v>
      </c>
      <c r="AX12" s="87">
        <f>Q76</f>
        <v>141</v>
      </c>
      <c r="AY12" s="87">
        <f>Q79</f>
        <v>101</v>
      </c>
    </row>
    <row r="13" spans="1:54" ht="15.75" thickBot="1">
      <c r="A13" s="96"/>
      <c r="B13" s="97"/>
      <c r="C13" s="1421"/>
      <c r="D13" s="384">
        <f t="shared" si="2"/>
        <v>155.7634429623528</v>
      </c>
      <c r="E13" s="372">
        <v>-21.925000000000001</v>
      </c>
      <c r="F13" s="1212">
        <f>F12 - E13 / 200</f>
        <v>0.67796120689655159</v>
      </c>
      <c r="G13" s="1212">
        <f>IF(F13^3&gt;0.008856,F13^3*$AI$39, (F13- 16 / 116 ) / 7.787*$AI$39)</f>
        <v>25.714555089111201</v>
      </c>
      <c r="H13" s="1213">
        <f>G12</f>
        <v>18.357602989115406</v>
      </c>
      <c r="I13" s="1213">
        <v>34.028684106750006</v>
      </c>
      <c r="J13" s="1213">
        <f>I12</f>
        <v>18.604922057669455</v>
      </c>
      <c r="K13" s="1213">
        <f>I13/$AI$43</f>
        <v>0.31252522530376647</v>
      </c>
      <c r="L13" s="1213">
        <f t="shared" si="3"/>
        <v>0.6786226628598292</v>
      </c>
      <c r="M13" s="1213">
        <f t="shared" ref="M13" si="12" xml:space="preserve"> 200 * ( L12 - L13 )</f>
        <v>-21.549113590395507</v>
      </c>
      <c r="N13" s="1212">
        <f xml:space="preserve"> I11/100 *  0.0557 + I12/100 * -0.204 + I13/100 *  1.057</f>
        <v>0.33134251582610225</v>
      </c>
      <c r="O13" s="1214">
        <f t="shared" si="4"/>
        <v>155.7634429623528</v>
      </c>
      <c r="Q13" s="1240">
        <v>235</v>
      </c>
      <c r="R13" s="1241">
        <f t="shared" si="0"/>
        <v>0.92156862745098034</v>
      </c>
      <c r="S13" s="1241">
        <f t="shared" si="5"/>
        <v>83.076987677465468</v>
      </c>
      <c r="T13" s="1241">
        <v>86.08268782271324</v>
      </c>
      <c r="U13" s="1241">
        <f>T13/$AI$43</f>
        <v>0.79059805316452747</v>
      </c>
      <c r="V13" s="1241">
        <f t="shared" si="6"/>
        <v>0.92466676213091126</v>
      </c>
      <c r="W13" s="1241">
        <f xml:space="preserve"> 200 * ( V12 - V13 )</f>
        <v>-25.331540508059124</v>
      </c>
      <c r="X13" s="1242"/>
      <c r="Y13" s="789">
        <f t="shared" si="1"/>
        <v>155.7634429623528</v>
      </c>
      <c r="AE13" s="75"/>
      <c r="AF13" s="75"/>
      <c r="AG13" s="75"/>
      <c r="AH13" s="75"/>
      <c r="AI13" s="75"/>
    </row>
    <row r="14" spans="1:54" ht="15.75" thickBot="1">
      <c r="A14" s="92">
        <v>4</v>
      </c>
      <c r="B14" s="93" t="s">
        <v>111</v>
      </c>
      <c r="C14" s="1422"/>
      <c r="D14" s="382">
        <f t="shared" si="2"/>
        <v>89.727149578766344</v>
      </c>
      <c r="E14" s="370">
        <v>43.139000000000003</v>
      </c>
      <c r="F14" s="1206">
        <f xml:space="preserve"> E15 / 500 + F15</f>
        <v>0.48362896551724138</v>
      </c>
      <c r="G14" s="1206">
        <f>IF(F14^3&gt;0.008856,F14^3*$AI$37, (F14- 16 / 116 ) / 7.787*$AI$37)</f>
        <v>10.907194224055665</v>
      </c>
      <c r="H14" s="1207">
        <f>G14/SUM(G14:G16)</f>
        <v>0.37034842231105086</v>
      </c>
      <c r="I14" s="1207">
        <f t="array" ref="I14:I16">MMULT($AI$48:$AK$50,G14:G16)</f>
        <v>10.451691011485027</v>
      </c>
      <c r="J14" s="1207">
        <f>I14/SUM(I14:I16)</f>
        <v>0.34224113871869855</v>
      </c>
      <c r="K14" s="1207">
        <f>I14/$AI$41</f>
        <v>0.10996339717702849</v>
      </c>
      <c r="L14" s="1207">
        <f t="shared" si="3"/>
        <v>0.47908883450958523</v>
      </c>
      <c r="M14" s="1207">
        <f t="shared" ref="M14" si="13" xml:space="preserve"> 116 * L15  - 16</f>
        <v>43.041203809731833</v>
      </c>
      <c r="N14" s="1206">
        <f>I14/100*  3.2406 + I15/100 * -1.5372 + I16/100 * -0.4986</f>
        <v>0.10159929910228443</v>
      </c>
      <c r="O14" s="1208">
        <f t="shared" si="4"/>
        <v>89.727149578766344</v>
      </c>
      <c r="Q14" s="1243">
        <v>129</v>
      </c>
      <c r="R14" s="1244">
        <f t="shared" si="0"/>
        <v>0.50588235294117645</v>
      </c>
      <c r="S14" s="1244">
        <f t="shared" si="5"/>
        <v>21.952619972926918</v>
      </c>
      <c r="T14" s="1244">
        <f t="array" ref="T14:T16">MMULT($AI$25:$AK$27,S14:S16)</f>
        <v>22.729572690866192</v>
      </c>
      <c r="U14" s="1244">
        <f>T14/$AI$41</f>
        <v>0.23914034836308556</v>
      </c>
      <c r="V14" s="1244">
        <f t="shared" si="6"/>
        <v>0.62070363088395564</v>
      </c>
      <c r="W14" s="1244">
        <f xml:space="preserve"> 116 * V15  - 16</f>
        <v>61.869934261405078</v>
      </c>
      <c r="X14" s="1245">
        <f>SQRT(( ( M14-W14 ) ^ 2 ) + ( ( M15 - W15 ) ^ 2 ) + ( (M16 - W16 ) ^ 2 ))</f>
        <v>29.823979590865495</v>
      </c>
      <c r="Y14" s="790">
        <f t="shared" si="1"/>
        <v>89.727149578766344</v>
      </c>
      <c r="AA14" s="1411" t="s">
        <v>137</v>
      </c>
      <c r="AB14" s="98">
        <v>1</v>
      </c>
      <c r="AC14" s="327">
        <v>6.2167241348E-4</v>
      </c>
      <c r="AD14" s="327">
        <v>-3.5980759444000001E-5</v>
      </c>
      <c r="AE14" s="327">
        <v>-9.7127289350999995E-5</v>
      </c>
      <c r="AF14" s="81"/>
      <c r="AG14" s="1411" t="s">
        <v>217</v>
      </c>
      <c r="AH14" s="71">
        <f t="array" ref="AH14:AJ16">MMULT(AB6:AY8,AC14:AE37)</f>
        <v>1.3767492380272752</v>
      </c>
      <c r="AI14" s="71">
        <v>0.3581108969436283</v>
      </c>
      <c r="AJ14" s="71">
        <v>-0.14116558625929404</v>
      </c>
      <c r="AK14" s="75"/>
      <c r="AL14" s="75"/>
      <c r="AM14" s="75"/>
    </row>
    <row r="15" spans="1:54" ht="15.75" thickBot="1">
      <c r="A15" s="94"/>
      <c r="B15" s="95"/>
      <c r="C15" s="1422"/>
      <c r="D15" s="383">
        <f t="shared" si="2"/>
        <v>107.64968923603281</v>
      </c>
      <c r="E15" s="371">
        <v>-13.095000000000001</v>
      </c>
      <c r="F15" s="1209">
        <f xml:space="preserve"> (E14  + 16 ) / 116</f>
        <v>0.50981896551724137</v>
      </c>
      <c r="G15" s="1209">
        <f>IF(F15^3&gt;0.008856,F15^3*$AI$38, (F15- 16 / 116 ) / 7.787*$AI$38)</f>
        <v>13.250978893060076</v>
      </c>
      <c r="H15" s="1210">
        <f>G15/SUM(G14:G16)</f>
        <v>0.44993047949017512</v>
      </c>
      <c r="I15" s="1210">
        <v>13.185349437594194</v>
      </c>
      <c r="J15" s="1210">
        <f>I15/SUM(I14:I16)</f>
        <v>0.43175491898559493</v>
      </c>
      <c r="K15" s="1210">
        <f>I15/$AI$42</f>
        <v>0.13185349437594193</v>
      </c>
      <c r="L15" s="1210">
        <f t="shared" si="3"/>
        <v>0.50897589491148132</v>
      </c>
      <c r="M15" s="1210">
        <f t="shared" ref="M15" si="14" xml:space="preserve"> 500 * (L14 - L15 )</f>
        <v>-14.943530200948047</v>
      </c>
      <c r="N15" s="1209">
        <f xml:space="preserve"> I14/100 * -0.9689 + I15/100*  1.8758 + I16/100 *  0.0415</f>
        <v>0.14892865026502292</v>
      </c>
      <c r="O15" s="1211">
        <f t="shared" si="4"/>
        <v>107.64968923603281</v>
      </c>
      <c r="Q15" s="1243">
        <v>160</v>
      </c>
      <c r="R15" s="1244">
        <f t="shared" si="0"/>
        <v>0.62745098039215685</v>
      </c>
      <c r="S15" s="1244">
        <f t="shared" si="5"/>
        <v>35.153259950043939</v>
      </c>
      <c r="T15" s="1244">
        <v>30.250701939102804</v>
      </c>
      <c r="U15" s="1244">
        <f>T15/$AI$42</f>
        <v>0.30250701939102803</v>
      </c>
      <c r="V15" s="1244">
        <f t="shared" si="6"/>
        <v>0.67129253673625067</v>
      </c>
      <c r="W15" s="1244">
        <f xml:space="preserve"> 500 * (V14 - V15 )</f>
        <v>-25.294452926147514</v>
      </c>
      <c r="X15" s="1245"/>
      <c r="Y15" s="790">
        <f t="shared" si="1"/>
        <v>107.64968923603281</v>
      </c>
      <c r="AA15" s="1412"/>
      <c r="AB15" s="99">
        <v>2</v>
      </c>
      <c r="AC15" s="328">
        <v>6.3615346800999998E-4</v>
      </c>
      <c r="AD15" s="328">
        <v>3.4686644962999999E-6</v>
      </c>
      <c r="AE15" s="328">
        <v>-1.5152631773E-4</v>
      </c>
      <c r="AF15" s="81"/>
      <c r="AG15" s="1412"/>
      <c r="AH15" s="71">
        <v>0.13569791000447531</v>
      </c>
      <c r="AI15" s="71">
        <v>1.6675433293616773</v>
      </c>
      <c r="AJ15" s="71">
        <v>-0.32778590328731266</v>
      </c>
      <c r="AK15" s="75"/>
      <c r="AL15" s="75"/>
      <c r="AM15" s="75"/>
    </row>
    <row r="16" spans="1:54" ht="15.75" thickBot="1">
      <c r="A16" s="96"/>
      <c r="B16" s="97"/>
      <c r="C16" s="1422"/>
      <c r="D16" s="384">
        <f t="shared" si="2"/>
        <v>64.383828506381079</v>
      </c>
      <c r="E16" s="372">
        <v>21.905000000000001</v>
      </c>
      <c r="F16" s="1212">
        <f>F15 - E16 / 200</f>
        <v>0.40029396551724139</v>
      </c>
      <c r="G16" s="1212">
        <f>IF(F16^3&gt;0.008856,F16^3*$AI$39, (F16- 16 / 116 ) / 7.787*$AI$39)</f>
        <v>5.2929965570859583</v>
      </c>
      <c r="H16" s="1213">
        <f>G15</f>
        <v>13.250978893060076</v>
      </c>
      <c r="I16" s="1213">
        <v>6.901927047974608</v>
      </c>
      <c r="J16" s="1213">
        <f>I15</f>
        <v>13.185349437594194</v>
      </c>
      <c r="K16" s="1213">
        <f>I16/$AI$43</f>
        <v>6.3388472470216728E-2</v>
      </c>
      <c r="L16" s="1213">
        <f t="shared" si="3"/>
        <v>0.39872190484447512</v>
      </c>
      <c r="M16" s="1213">
        <f t="shared" ref="M16" si="15" xml:space="preserve"> 200 * ( L15 - L16 )</f>
        <v>22.050798013401241</v>
      </c>
      <c r="N16" s="1212">
        <f xml:space="preserve"> I14/100 *  0.0557 + I15/100 * -0.204 + I16/100 *  1.057</f>
        <v>5.1876847937796608E-2</v>
      </c>
      <c r="O16" s="1214">
        <f t="shared" si="4"/>
        <v>64.383828506381079</v>
      </c>
      <c r="Q16" s="1243">
        <v>70</v>
      </c>
      <c r="R16" s="1244">
        <f t="shared" si="0"/>
        <v>0.27450980392156865</v>
      </c>
      <c r="S16" s="1244">
        <f t="shared" si="5"/>
        <v>6.1246054231617597</v>
      </c>
      <c r="T16" s="1244">
        <v>10.434654763773064</v>
      </c>
      <c r="U16" s="1244">
        <f>T16/$AI$43</f>
        <v>9.5833644956265576E-2</v>
      </c>
      <c r="V16" s="1244">
        <f t="shared" si="6"/>
        <v>0.45762105939659514</v>
      </c>
      <c r="W16" s="1244">
        <f xml:space="preserve"> 200 * ( V15 - V16 )</f>
        <v>42.734295467931105</v>
      </c>
      <c r="X16" s="1245"/>
      <c r="Y16" s="790">
        <f t="shared" si="1"/>
        <v>64.383828506381079</v>
      </c>
      <c r="AA16" s="1412"/>
      <c r="AB16" s="99">
        <v>3</v>
      </c>
      <c r="AC16" s="328">
        <v>-4.1950116652000001E-4</v>
      </c>
      <c r="AD16" s="328">
        <v>8.9406517748999995E-5</v>
      </c>
      <c r="AE16" s="328">
        <v>8.2535204588E-4</v>
      </c>
      <c r="AG16" s="1413"/>
      <c r="AH16" s="71">
        <v>2.7041583208903295E-2</v>
      </c>
      <c r="AI16" s="71">
        <v>8.9957275365338651E-2</v>
      </c>
      <c r="AJ16" s="71">
        <v>1.2475299644863453</v>
      </c>
      <c r="AK16" s="75"/>
      <c r="AL16" s="75"/>
      <c r="AM16" s="75"/>
    </row>
    <row r="17" spans="1:39">
      <c r="A17" s="92">
        <v>5</v>
      </c>
      <c r="B17" s="93" t="s">
        <v>112</v>
      </c>
      <c r="C17" s="1414"/>
      <c r="D17" s="382">
        <f t="shared" si="2"/>
        <v>129.55778390505861</v>
      </c>
      <c r="E17" s="370">
        <v>55.112000000000002</v>
      </c>
      <c r="F17" s="1206">
        <f xml:space="preserve"> E18 / 500 + F18</f>
        <v>0.63072248275862064</v>
      </c>
      <c r="G17" s="1206">
        <f>IF(F17^3&gt;0.008856,F17^3*$AI$37, (F17- 16 / 116 ) / 7.787*$AI$37)</f>
        <v>24.193075005977811</v>
      </c>
      <c r="H17" s="1207">
        <f>G17/SUM(G17:G19)</f>
        <v>0.29988284284978423</v>
      </c>
      <c r="I17" s="1207">
        <f t="array" ref="I17:I19">MMULT($AI$48:$AK$50,G17:G19)</f>
        <v>24.699955835439631</v>
      </c>
      <c r="J17" s="1207">
        <f>I17/SUM(I17:I19)</f>
        <v>0.26763955287126434</v>
      </c>
      <c r="K17" s="1207">
        <f>I17/$AI$41</f>
        <v>0.2598709673681403</v>
      </c>
      <c r="L17" s="1207">
        <f t="shared" si="3"/>
        <v>0.63814482891133872</v>
      </c>
      <c r="M17" s="1207">
        <f t="shared" ref="M17" si="16" xml:space="preserve"> 116 * L18  - 16</f>
        <v>55.36543670524037</v>
      </c>
      <c r="N17" s="1206">
        <f>I17/100*  3.2406 + I18/100 * -1.5372 + I19/100 * -0.4986</f>
        <v>0.22158652702956053</v>
      </c>
      <c r="O17" s="1208">
        <f t="shared" si="4"/>
        <v>129.55778390505861</v>
      </c>
      <c r="Q17" s="1246">
        <v>184</v>
      </c>
      <c r="R17" s="1247">
        <f t="shared" si="0"/>
        <v>0.72156862745098038</v>
      </c>
      <c r="S17" s="1247">
        <f t="shared" si="5"/>
        <v>47.932018310082682</v>
      </c>
      <c r="T17" s="1247">
        <f t="array" ref="T17:T19">MMULT($AI$25:$AK$27,S17:S19)</f>
        <v>51.688961555561185</v>
      </c>
      <c r="U17" s="1247">
        <f>T17/$AI$41</f>
        <v>0.54382528176124645</v>
      </c>
      <c r="V17" s="1247">
        <f t="shared" si="6"/>
        <v>0.81624361646786325</v>
      </c>
      <c r="W17" s="1247">
        <f xml:space="preserve"> 116 * V18  - 16</f>
        <v>77.326072750006418</v>
      </c>
      <c r="X17" s="1248">
        <f>SQRT(( ( M17-W17 ) ^ 2 ) + ( ( M18 - W18 ) ^ 2 ) + ( (M19 - W19 ) ^ 2 ))</f>
        <v>23.484598765301786</v>
      </c>
      <c r="Y17" s="791">
        <f t="shared" si="1"/>
        <v>129.55778390505861</v>
      </c>
      <c r="AA17" s="1412"/>
      <c r="AB17" s="99">
        <v>4</v>
      </c>
      <c r="AC17" s="328">
        <v>-3.439008155E-4</v>
      </c>
      <c r="AD17" s="328">
        <v>1.9172243801E-3</v>
      </c>
      <c r="AE17" s="328">
        <v>-1.0952949432E-3</v>
      </c>
      <c r="AK17" s="75"/>
      <c r="AL17" s="75"/>
      <c r="AM17" s="75"/>
    </row>
    <row r="18" spans="1:39">
      <c r="A18" s="94"/>
      <c r="B18" s="95"/>
      <c r="C18" s="1414"/>
      <c r="D18" s="383">
        <f t="shared" si="2"/>
        <v>128.00022677459134</v>
      </c>
      <c r="E18" s="371">
        <v>8.8439999999999994</v>
      </c>
      <c r="F18" s="1209">
        <f xml:space="preserve"> (E17  + 16 ) / 116</f>
        <v>0.6130344827586206</v>
      </c>
      <c r="G18" s="1209">
        <f>IF(F18^3&gt;0.008856,F18^3*$AI$38, (F18- 16 / 116 ) / 7.787*$AI$38)</f>
        <v>23.038527184189583</v>
      </c>
      <c r="H18" s="1210">
        <f>G18/SUM(G17:G19)</f>
        <v>0.28557176073565316</v>
      </c>
      <c r="I18" s="1210">
        <v>23.285727746380509</v>
      </c>
      <c r="J18" s="1210">
        <f>I18/SUM(I17:I19)</f>
        <v>0.25231550225613381</v>
      </c>
      <c r="K18" s="1210">
        <f>I18/$AI$42</f>
        <v>0.23285727746380508</v>
      </c>
      <c r="L18" s="1210">
        <f t="shared" si="3"/>
        <v>0.61521928194172737</v>
      </c>
      <c r="M18" s="1210">
        <f t="shared" ref="M18" si="17" xml:space="preserve"> 500 * (L17 - L18 )</f>
        <v>11.462773484805677</v>
      </c>
      <c r="N18" s="1209">
        <f xml:space="preserve"> I17/100 * -0.9689 + I18/100*  1.8758 + I19/100 *  0.0415</f>
        <v>0.2158613273214712</v>
      </c>
      <c r="O18" s="1211">
        <f t="shared" si="4"/>
        <v>128.00022677459134</v>
      </c>
      <c r="Q18" s="1246">
        <v>189</v>
      </c>
      <c r="R18" s="1247">
        <f t="shared" si="0"/>
        <v>0.74117647058823533</v>
      </c>
      <c r="S18" s="1247">
        <f t="shared" si="5"/>
        <v>50.888132085493375</v>
      </c>
      <c r="T18" s="1247">
        <v>52.075686564183485</v>
      </c>
      <c r="U18" s="1247">
        <f>T18/$AI$42</f>
        <v>0.52075686564183488</v>
      </c>
      <c r="V18" s="1247">
        <f t="shared" si="6"/>
        <v>0.80453510991384847</v>
      </c>
      <c r="W18" s="1247">
        <f xml:space="preserve"> 500 * (V17 - V18 )</f>
        <v>5.854253277007393</v>
      </c>
      <c r="X18" s="1248"/>
      <c r="Y18" s="791">
        <f t="shared" si="1"/>
        <v>128.00022677459134</v>
      </c>
      <c r="AA18" s="1412"/>
      <c r="AB18" s="99">
        <v>5</v>
      </c>
      <c r="AC18" s="328">
        <v>-6.8773904591999994E-5</v>
      </c>
      <c r="AD18" s="328">
        <v>-4.9510515028999998E-4</v>
      </c>
      <c r="AE18" s="328">
        <v>1.0618244589000001E-3</v>
      </c>
      <c r="AK18" s="75"/>
      <c r="AL18" s="75"/>
      <c r="AM18" s="75"/>
    </row>
    <row r="19" spans="1:39" ht="15.75" thickBot="1">
      <c r="A19" s="96"/>
      <c r="B19" s="97"/>
      <c r="C19" s="1414"/>
      <c r="D19" s="384">
        <f t="shared" si="2"/>
        <v>176.06897196090145</v>
      </c>
      <c r="E19" s="372">
        <v>-25.399000000000001</v>
      </c>
      <c r="F19" s="1212">
        <f>F18 - E19 / 200</f>
        <v>0.74002948275862057</v>
      </c>
      <c r="G19" s="1212">
        <f>IF(F19^3&gt;0.008856,F19^3*$AI$39, (F19- 16 / 116 ) / 7.787*$AI$39)</f>
        <v>33.443486708121064</v>
      </c>
      <c r="H19" s="1213">
        <f>G18</f>
        <v>23.038527184189583</v>
      </c>
      <c r="I19" s="1213">
        <v>44.302453842024704</v>
      </c>
      <c r="J19" s="1213">
        <f>I18</f>
        <v>23.285727746380509</v>
      </c>
      <c r="K19" s="1213">
        <f>I19/$AI$43</f>
        <v>0.40688127478141406</v>
      </c>
      <c r="L19" s="1213">
        <f t="shared" si="3"/>
        <v>0.74100743888934384</v>
      </c>
      <c r="M19" s="1213">
        <f t="shared" ref="M19" si="18" xml:space="preserve"> 200 * ( L18 - L19 )</f>
        <v>-25.157631389523296</v>
      </c>
      <c r="N19" s="1212">
        <f xml:space="preserve"> I17/100 *  0.0557 + I18/100 * -0.204 + I19/100 *  1.057</f>
        <v>0.43453192790792472</v>
      </c>
      <c r="O19" s="1214">
        <f t="shared" si="4"/>
        <v>176.06897196090145</v>
      </c>
      <c r="Q19" s="1246">
        <v>226</v>
      </c>
      <c r="R19" s="1247">
        <f t="shared" si="0"/>
        <v>0.88627450980392153</v>
      </c>
      <c r="S19" s="1247">
        <f t="shared" si="5"/>
        <v>76.052450467529241</v>
      </c>
      <c r="T19" s="1247">
        <v>79.265126582679386</v>
      </c>
      <c r="U19" s="1247">
        <f>T19/$AI$43</f>
        <v>0.72798441063048769</v>
      </c>
      <c r="V19" s="1247">
        <f t="shared" si="6"/>
        <v>0.89958186775730298</v>
      </c>
      <c r="W19" s="1247">
        <f xml:space="preserve"> 200 * ( V18 - V19 )</f>
        <v>-19.009351568690903</v>
      </c>
      <c r="X19" s="1248"/>
      <c r="Y19" s="791">
        <f t="shared" si="1"/>
        <v>176.06897196090145</v>
      </c>
      <c r="AA19" s="1412"/>
      <c r="AB19" s="99">
        <v>6</v>
      </c>
      <c r="AC19" s="328">
        <v>-9.2494375730999999E-4</v>
      </c>
      <c r="AD19" s="328">
        <v>2.0114411526999999E-3</v>
      </c>
      <c r="AE19" s="328">
        <v>-6.0495458136999999E-4</v>
      </c>
      <c r="AF19" s="81"/>
      <c r="AG19" s="345" t="s">
        <v>48</v>
      </c>
      <c r="AL19" s="75"/>
      <c r="AM19" s="75"/>
    </row>
    <row r="20" spans="1:39" ht="15.75" thickBot="1">
      <c r="A20" s="92">
        <v>6</v>
      </c>
      <c r="B20" s="93" t="s">
        <v>113</v>
      </c>
      <c r="C20" s="1415"/>
      <c r="D20" s="382">
        <f t="shared" si="2"/>
        <v>92.422098428867557</v>
      </c>
      <c r="E20" s="370">
        <v>70.718999999999994</v>
      </c>
      <c r="F20" s="1206">
        <f xml:space="preserve"> E21 / 500 + F21</f>
        <v>0.6807835862068965</v>
      </c>
      <c r="G20" s="1206">
        <f>IF(F20^3&gt;0.008856,F20^3*$AI$37, (F20- 16 / 116 ) / 7.787*$AI$37)</f>
        <v>30.423092951763746</v>
      </c>
      <c r="H20" s="1207">
        <f>G20/SUM(G20:G22)</f>
        <v>0.28481166924930046</v>
      </c>
      <c r="I20" s="1207">
        <f t="array" ref="I20:I22">MMULT($AI$48:$AK$50,G20:G22)</f>
        <v>30.295430517119279</v>
      </c>
      <c r="J20" s="1207">
        <f>I20/SUM(I20:I22)</f>
        <v>0.25693525746026269</v>
      </c>
      <c r="K20" s="1207">
        <f>I20/$AI$41</f>
        <v>0.31874157540079412</v>
      </c>
      <c r="L20" s="1207">
        <f t="shared" si="3"/>
        <v>0.68309258584567412</v>
      </c>
      <c r="M20" s="1207">
        <f t="shared" ref="M20" si="19" xml:space="preserve"> 116 * L21  - 16</f>
        <v>70.913594826070963</v>
      </c>
      <c r="N20" s="1206">
        <f>I20/100*  3.2406 + I21/100 * -1.5372 + I22/100 * -0.4986</f>
        <v>0.10804852697667286</v>
      </c>
      <c r="O20" s="1208">
        <f t="shared" si="4"/>
        <v>92.422098428867557</v>
      </c>
      <c r="Q20" s="1249">
        <v>33</v>
      </c>
      <c r="R20" s="1250">
        <f t="shared" si="0"/>
        <v>0.12941176470588237</v>
      </c>
      <c r="S20" s="1250">
        <f t="shared" si="5"/>
        <v>1.5208514422912713</v>
      </c>
      <c r="T20" s="1250">
        <f t="array" ref="T20:T22">MMULT($AI$25:$AK$27,S20:S22)</f>
        <v>46.895520448954784</v>
      </c>
      <c r="U20" s="1250">
        <f>T20/$AI$41</f>
        <v>0.49339295768361741</v>
      </c>
      <c r="V20" s="1250">
        <f t="shared" si="6"/>
        <v>0.79018900444059048</v>
      </c>
      <c r="W20" s="1250">
        <f xml:space="preserve"> 116 * V21  - 16</f>
        <v>87.754649465584279</v>
      </c>
      <c r="X20" s="1251">
        <f>SQRT(( ( M20-W20 ) ^ 2 ) + ( ( M21 - W21 ) ^ 2 ) + ( (M22 - W22 ) ^ 2 ))</f>
        <v>25.564489732736018</v>
      </c>
      <c r="Y20" s="792">
        <f t="shared" si="1"/>
        <v>92.422098428867557</v>
      </c>
      <c r="AA20" s="1412"/>
      <c r="AB20" s="99">
        <v>7</v>
      </c>
      <c r="AC20" s="328">
        <v>1.4186675049999999E-3</v>
      </c>
      <c r="AD20" s="328">
        <v>-4.7785674140999999E-4</v>
      </c>
      <c r="AE20" s="328">
        <v>-4.5421707600999998E-4</v>
      </c>
      <c r="AG20" s="76"/>
    </row>
    <row r="21" spans="1:39">
      <c r="A21" s="94"/>
      <c r="B21" s="95"/>
      <c r="C21" s="1415"/>
      <c r="D21" s="383">
        <f t="shared" si="2"/>
        <v>189.90953390734151</v>
      </c>
      <c r="E21" s="371">
        <v>-33.396999999999998</v>
      </c>
      <c r="F21" s="1209">
        <f xml:space="preserve"> (E20  + 16 ) / 116</f>
        <v>0.74757758620689652</v>
      </c>
      <c r="G21" s="1209">
        <f>IF(F21^3&gt;0.008856,F21^3*$AI$38, (F21- 16 / 116 ) / 7.787*$AI$38)</f>
        <v>41.78003657085155</v>
      </c>
      <c r="H21" s="1210">
        <f>G21/SUM(G20:G22)</f>
        <v>0.39113189365419831</v>
      </c>
      <c r="I21" s="1210">
        <v>42.061927614550903</v>
      </c>
      <c r="J21" s="1210">
        <f>I21/SUM(I20:I22)</f>
        <v>0.35672680719333771</v>
      </c>
      <c r="K21" s="1210">
        <f>I21/$AI$42</f>
        <v>0.42061927614550904</v>
      </c>
      <c r="L21" s="1210">
        <f t="shared" si="3"/>
        <v>0.7492551278109566</v>
      </c>
      <c r="M21" s="1210">
        <f t="shared" ref="M21" si="20" xml:space="preserve"> 500 * (L20 - L21 )</f>
        <v>-33.081270982641243</v>
      </c>
      <c r="N21" s="1209">
        <f xml:space="preserve"> I20/100 * -0.9689 + I21/100*  1.8758 + I22/100 *  0.0415</f>
        <v>0.51436987213683083</v>
      </c>
      <c r="O21" s="1211">
        <f t="shared" si="4"/>
        <v>189.90953390734151</v>
      </c>
      <c r="Q21" s="1249">
        <v>246</v>
      </c>
      <c r="R21" s="1250">
        <f t="shared" si="0"/>
        <v>0.96470588235294119</v>
      </c>
      <c r="S21" s="1250">
        <f t="shared" si="5"/>
        <v>92.158185627729466</v>
      </c>
      <c r="T21" s="1250">
        <v>71.55644146169756</v>
      </c>
      <c r="U21" s="1250">
        <f>T21/$AI$42</f>
        <v>0.71556441461697562</v>
      </c>
      <c r="V21" s="1250">
        <f t="shared" si="6"/>
        <v>0.89443663332400236</v>
      </c>
      <c r="W21" s="1250">
        <f xml:space="preserve"> 500 * (V20 - V21 )</f>
        <v>-52.123814441705939</v>
      </c>
      <c r="X21" s="1251"/>
      <c r="Y21" s="792">
        <f t="shared" si="1"/>
        <v>189.90953390734151</v>
      </c>
      <c r="AA21" s="1412"/>
      <c r="AB21" s="99">
        <v>8</v>
      </c>
      <c r="AC21" s="328">
        <v>-3.0151672246999999E-4</v>
      </c>
      <c r="AD21" s="328">
        <v>-1.4849438195E-3</v>
      </c>
      <c r="AE21" s="328">
        <v>2.2951795443000001E-3</v>
      </c>
      <c r="AG21" s="76" t="s">
        <v>174</v>
      </c>
      <c r="AI21" s="333">
        <v>0.43607469999999998</v>
      </c>
      <c r="AJ21" s="334">
        <v>0.38506489999999999</v>
      </c>
      <c r="AK21" s="335">
        <v>0.1430804</v>
      </c>
    </row>
    <row r="22" spans="1:39" ht="15.75" thickBot="1">
      <c r="A22" s="96"/>
      <c r="B22" s="97"/>
      <c r="C22" s="1416"/>
      <c r="D22" s="384">
        <f t="shared" si="2"/>
        <v>172.00470214339384</v>
      </c>
      <c r="E22" s="372">
        <v>-0.19900000000000001</v>
      </c>
      <c r="F22" s="1212">
        <f>F21 - E22 / 200</f>
        <v>0.74857258620689648</v>
      </c>
      <c r="G22" s="1212">
        <f>IF(F22^3&gt;0.008856,F22^3*$AI$39, (F22- 16 / 116 ) / 7.787*$AI$39)</f>
        <v>34.615151596104958</v>
      </c>
      <c r="H22" s="1213">
        <f>G21</f>
        <v>41.78003657085155</v>
      </c>
      <c r="I22" s="1213">
        <v>45.553398128804254</v>
      </c>
      <c r="J22" s="1213">
        <f>I21</f>
        <v>42.061927614550903</v>
      </c>
      <c r="K22" s="1213">
        <f>I22/$AI$43</f>
        <v>0.41837015997726235</v>
      </c>
      <c r="L22" s="1213">
        <f t="shared" si="3"/>
        <v>0.74791727948495235</v>
      </c>
      <c r="M22" s="1213">
        <f t="shared" ref="M22" si="21" xml:space="preserve"> 200 * ( L21 - L22 )</f>
        <v>0.26756966520085079</v>
      </c>
      <c r="N22" s="1212">
        <f xml:space="preserve"> I20/100 *  0.0557 + I21/100 * -0.204 + I22/100 *  1.057</f>
        <v>0.41256764068581253</v>
      </c>
      <c r="O22" s="1214">
        <f t="shared" si="4"/>
        <v>172.00470214339384</v>
      </c>
      <c r="Q22" s="1252">
        <v>223</v>
      </c>
      <c r="R22" s="1253">
        <f t="shared" si="0"/>
        <v>0.87450980392156863</v>
      </c>
      <c r="S22" s="1253">
        <f t="shared" si="5"/>
        <v>73.79104087727309</v>
      </c>
      <c r="T22" s="1253">
        <v>81.137851139980654</v>
      </c>
      <c r="U22" s="1253">
        <f>T22/$AI$43</f>
        <v>0.74518383163561486</v>
      </c>
      <c r="V22" s="1253">
        <f t="shared" si="6"/>
        <v>0.90661132781358666</v>
      </c>
      <c r="W22" s="1253">
        <f xml:space="preserve"> 200 * ( V21 - V22 )</f>
        <v>-2.4349388979168607</v>
      </c>
      <c r="X22" s="1254"/>
      <c r="Y22" s="793">
        <f t="shared" si="1"/>
        <v>172.00470214339384</v>
      </c>
      <c r="AA22" s="1412"/>
      <c r="AB22" s="99">
        <v>9</v>
      </c>
      <c r="AC22" s="328">
        <v>1.6399558417999999E-3</v>
      </c>
      <c r="AD22" s="328">
        <v>-1.7216948821E-3</v>
      </c>
      <c r="AE22" s="328">
        <v>5.7800437991999999E-4</v>
      </c>
      <c r="AG22" s="89" t="s">
        <v>172</v>
      </c>
      <c r="AH22" s="74"/>
      <c r="AI22" s="336">
        <v>0.22250449999999999</v>
      </c>
      <c r="AJ22" s="337">
        <v>0.71687860000000003</v>
      </c>
      <c r="AK22" s="338">
        <v>6.0616900000000001E-2</v>
      </c>
    </row>
    <row r="23" spans="1:39" ht="15.75" customHeight="1" thickBot="1">
      <c r="A23" s="1390" t="s">
        <v>114</v>
      </c>
      <c r="B23" s="1391"/>
      <c r="C23" s="1391"/>
      <c r="D23" s="1391"/>
      <c r="E23" s="1391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Q23" s="1230"/>
      <c r="R23" s="330"/>
      <c r="S23" s="330"/>
      <c r="T23" s="330"/>
      <c r="U23" s="330"/>
      <c r="V23" s="330"/>
      <c r="W23" s="330"/>
      <c r="X23" s="349"/>
      <c r="Y23" s="1327"/>
      <c r="AA23" s="1412"/>
      <c r="AB23" s="99">
        <v>10</v>
      </c>
      <c r="AC23" s="328">
        <v>3.6650356177E-4</v>
      </c>
      <c r="AD23" s="328">
        <v>-1.3992066108E-3</v>
      </c>
      <c r="AE23" s="328">
        <v>1.5356130632999999E-3</v>
      </c>
      <c r="AG23" s="80"/>
      <c r="AH23" s="74"/>
      <c r="AI23" s="339">
        <v>1.39322E-2</v>
      </c>
      <c r="AJ23" s="340">
        <v>9.7104499999999996E-2</v>
      </c>
      <c r="AK23" s="341">
        <v>0.71417330000000001</v>
      </c>
    </row>
    <row r="24" spans="1:39" ht="15.75" thickBot="1">
      <c r="A24" s="92">
        <v>7</v>
      </c>
      <c r="B24" s="93" t="s">
        <v>115</v>
      </c>
      <c r="C24" s="1417"/>
      <c r="D24" s="382">
        <f t="shared" si="2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IF(F24^3&gt;0.008856,F24^3*$AI$37, (F24- 16 / 116 ) / 7.787*$AI$37)</f>
        <v>40.718082791990795</v>
      </c>
      <c r="H24" s="1216">
        <f>G24/SUM(G24:G26)</f>
        <v>0.52952864462754456</v>
      </c>
      <c r="I24" s="1216">
        <f t="array" ref="I24:I26">MMULT($AI$48:$AK$50,G24:G26)</f>
        <v>38.506327134135688</v>
      </c>
      <c r="J24" s="1217">
        <f>I24/SUM(I24:I26)</f>
        <v>0.51031401695589362</v>
      </c>
      <c r="K24" s="1217">
        <f>I24/$AI$41</f>
        <v>0.4051293269028553</v>
      </c>
      <c r="L24" s="1217">
        <f t="shared" ref="L24:L41" si="22">IF(K24&gt;0.008856,K24^(1/3),7.787*K24+16/116)</f>
        <v>0.73994236640432509</v>
      </c>
      <c r="M24" s="1217">
        <f t="shared" ref="M24" si="23" xml:space="preserve"> 116 * L25  - 16</f>
        <v>62.036354240270256</v>
      </c>
      <c r="N24" s="1215">
        <f>I24/100*  3.2406 + I25/100 * -1.5372 + I26/100 * -0.4986</f>
        <v>0.74740178306099636</v>
      </c>
      <c r="O24" s="1218">
        <f t="shared" ref="O24:O41" si="24">IF(N24&gt; 0.0031308,(1.055 * (N24^ ( 1 / 2.4 ) ) - 0.055)*255, 12.92 * N24*255)</f>
        <v>224.26557253285961</v>
      </c>
      <c r="Q24" s="1255">
        <v>246</v>
      </c>
      <c r="R24" s="1256">
        <f t="shared" ref="R24:R41" si="25">Q24/255</f>
        <v>0.96470588235294119</v>
      </c>
      <c r="S24" s="1256">
        <f t="shared" ref="S24:S41" si="26">IF(R24&gt;0.04045,(((R24+0.055)/1.055 )^2.4)*100, R24/12.92*100)</f>
        <v>92.158185627729466</v>
      </c>
      <c r="T24" s="1256">
        <f t="array" ref="T24:T26">MMULT($AI$25:$AK$27,S24:S26)</f>
        <v>54.224880006937134</v>
      </c>
      <c r="U24" s="1256">
        <f>T24/$AI$41</f>
        <v>0.57050596028214606</v>
      </c>
      <c r="V24" s="1256">
        <f t="shared" ref="V24:V41" si="27">IF(U24&gt;0.008856,U24^(1/3),7.787*U24+16/116)</f>
        <v>0.82937968858715516</v>
      </c>
      <c r="W24" s="1256">
        <f xml:space="preserve"> 116 * V25  - 16</f>
        <v>76.632877589783064</v>
      </c>
      <c r="X24" s="1257">
        <f>SQRT(( ( M24-W24 ) ^ 2 ) + ( ( M25 - W25 ) ^ 2 ) + ( (M26 - W26 ) ^ 2 ))</f>
        <v>25.957198041672857</v>
      </c>
      <c r="Y24" s="777">
        <f t="shared" ref="Y24:Y41" si="28">O24</f>
        <v>224.26557253285961</v>
      </c>
      <c r="AA24" s="1412"/>
      <c r="AB24" s="99">
        <v>11</v>
      </c>
      <c r="AC24" s="328">
        <v>-4.2097514290000002E-4</v>
      </c>
      <c r="AD24" s="328">
        <v>2.7972953433999998E-3</v>
      </c>
      <c r="AE24" s="328">
        <v>-1.9057330014999999E-3</v>
      </c>
      <c r="AG24" s="76"/>
    </row>
    <row r="25" spans="1:39">
      <c r="A25" s="94"/>
      <c r="B25" s="95"/>
      <c r="C25" s="1418"/>
      <c r="D25" s="383">
        <f t="shared" si="2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IF(F25^3&gt;0.008856,F25^3*$AI$38, (F25- 16 / 116 ) / 7.787*$AI$38)</f>
        <v>31.182032647836948</v>
      </c>
      <c r="H25" s="1220">
        <f>G25/SUM(G24:G26)</f>
        <v>0.4055146596437687</v>
      </c>
      <c r="I25" s="1220">
        <v>30.445067890689934</v>
      </c>
      <c r="J25" s="1221">
        <f>I25/SUM(I24:I26)</f>
        <v>0.40348031214900776</v>
      </c>
      <c r="K25" s="1221">
        <f>I25/$AI$42</f>
        <v>0.30445067890689936</v>
      </c>
      <c r="L25" s="1221">
        <f t="shared" si="22"/>
        <v>0.67272719172646778</v>
      </c>
      <c r="M25" s="1221">
        <f t="shared" ref="M25" si="29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24"/>
        <v>123.75545165140458</v>
      </c>
      <c r="Q25" s="1258">
        <v>176</v>
      </c>
      <c r="R25" s="1259">
        <f t="shared" si="25"/>
        <v>0.69019607843137254</v>
      </c>
      <c r="S25" s="1259">
        <f t="shared" si="26"/>
        <v>43.415363617474888</v>
      </c>
      <c r="T25" s="1259">
        <v>50.92388145301409</v>
      </c>
      <c r="U25" s="1259">
        <f>T25/$AI$42</f>
        <v>0.50923881453014086</v>
      </c>
      <c r="V25" s="1259">
        <f t="shared" si="27"/>
        <v>0.79855928956709532</v>
      </c>
      <c r="W25" s="1259">
        <f xml:space="preserve"> 500 * (V24 - V25 )</f>
        <v>15.410199510029921</v>
      </c>
      <c r="X25" s="1260"/>
      <c r="Y25" s="778">
        <f t="shared" si="28"/>
        <v>123.75545165140458</v>
      </c>
      <c r="AA25" s="1412"/>
      <c r="AB25" s="99">
        <v>12</v>
      </c>
      <c r="AC25" s="328">
        <v>8.7261170815999996E-4</v>
      </c>
      <c r="AD25" s="328">
        <v>6.4114759348999999E-4</v>
      </c>
      <c r="AE25" s="328">
        <v>-1.0332552544E-3</v>
      </c>
      <c r="AG25" s="76" t="s">
        <v>174</v>
      </c>
      <c r="AH25" s="74"/>
      <c r="AI25" s="333">
        <v>0.4124564</v>
      </c>
      <c r="AJ25" s="334">
        <v>0.35757610000000001</v>
      </c>
      <c r="AK25" s="335">
        <v>0.1804375</v>
      </c>
    </row>
    <row r="26" spans="1:39" ht="15.75" thickBot="1">
      <c r="A26" s="96"/>
      <c r="B26" s="97"/>
      <c r="C26" s="1418"/>
      <c r="D26" s="384">
        <f t="shared" si="2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IF(F26^3&gt;0.008856,F26^3*$AI$39, (F26- 16 / 116 ) / 7.787*$AI$39)</f>
        <v>4.9948423780458118</v>
      </c>
      <c r="H26" s="1224">
        <f>G25</f>
        <v>31.182032647836948</v>
      </c>
      <c r="I26" s="1224">
        <v>6.5047473790852468</v>
      </c>
      <c r="J26" s="1225">
        <f>I25</f>
        <v>30.445067890689934</v>
      </c>
      <c r="K26" s="1225">
        <f>I26/$AI$43</f>
        <v>5.9740706805334595E-2</v>
      </c>
      <c r="L26" s="1225">
        <f t="shared" si="22"/>
        <v>0.39092200615817502</v>
      </c>
      <c r="M26" s="1225">
        <f t="shared" ref="M26" si="30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24"/>
        <v>46.703112372096498</v>
      </c>
      <c r="Q26" s="1258">
        <v>55</v>
      </c>
      <c r="R26" s="1259">
        <f t="shared" si="25"/>
        <v>0.21568627450980393</v>
      </c>
      <c r="S26" s="1259">
        <f t="shared" si="26"/>
        <v>3.82043715953465</v>
      </c>
      <c r="T26" s="1259">
        <v>10.587118261900159</v>
      </c>
      <c r="U26" s="1259">
        <f>T26/$AI$43</f>
        <v>9.7233895666909972E-2</v>
      </c>
      <c r="V26" s="1259">
        <f t="shared" si="27"/>
        <v>0.45983909884058427</v>
      </c>
      <c r="W26" s="1259">
        <f xml:space="preserve"> 200 * ( V25 - V26 )</f>
        <v>67.744038145302213</v>
      </c>
      <c r="X26" s="1260"/>
      <c r="Y26" s="778">
        <f t="shared" si="28"/>
        <v>46.703112372096498</v>
      </c>
      <c r="AA26" s="1412"/>
      <c r="AB26" s="99">
        <v>13</v>
      </c>
      <c r="AC26" s="328">
        <v>-3.7202177272999999E-4</v>
      </c>
      <c r="AD26" s="328">
        <v>-1.8100273348000001E-3</v>
      </c>
      <c r="AE26" s="328">
        <v>2.6942617345000002E-3</v>
      </c>
      <c r="AG26" s="80" t="s">
        <v>173</v>
      </c>
      <c r="AI26" s="336">
        <v>0.2126729</v>
      </c>
      <c r="AJ26" s="337">
        <v>0.71515220000000002</v>
      </c>
      <c r="AK26" s="338">
        <v>7.2175000000000003E-2</v>
      </c>
    </row>
    <row r="27" spans="1:39" ht="15.75" thickBot="1">
      <c r="A27" s="92">
        <v>8</v>
      </c>
      <c r="B27" s="93" t="s">
        <v>116</v>
      </c>
      <c r="C27" s="1419"/>
      <c r="D27" s="382">
        <f t="shared" si="2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IF(F27^3&gt;0.008856,F27^3*$AI$37, (F27- 16 / 116 ) / 7.787*$AI$37)</f>
        <v>12.326051798005418</v>
      </c>
      <c r="H27" s="1216">
        <f>G27/SUM(G27:G29)</f>
        <v>0.23052745763339449</v>
      </c>
      <c r="I27" s="1216">
        <f t="array" ref="I27:I29">MMULT($AI$48:$AK$50,G27:G29)</f>
        <v>13.406311599853042</v>
      </c>
      <c r="J27" s="1217">
        <f>I27/SUM(I27:I29)</f>
        <v>0.20714746526211641</v>
      </c>
      <c r="K27" s="1217">
        <f>I27/$AI$41</f>
        <v>0.14104928719321014</v>
      </c>
      <c r="L27" s="1217">
        <f t="shared" si="22"/>
        <v>0.5205434249852271</v>
      </c>
      <c r="M27" s="1217">
        <f t="shared" ref="M27" si="31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24"/>
        <v>67.856400699023411</v>
      </c>
      <c r="Q27" s="1261">
        <v>71</v>
      </c>
      <c r="R27" s="1262">
        <f t="shared" si="25"/>
        <v>0.27843137254901962</v>
      </c>
      <c r="S27" s="1262">
        <f t="shared" si="26"/>
        <v>6.3010017653167658</v>
      </c>
      <c r="T27" s="1262">
        <f t="array" ref="T27:T29">MMULT($AI$25:$AK$27,S27:S29)</f>
        <v>29.093317459726869</v>
      </c>
      <c r="U27" s="1262">
        <f>T27/$AI$41</f>
        <v>0.30609401096012362</v>
      </c>
      <c r="V27" s="1262">
        <f t="shared" si="27"/>
        <v>0.67393541263135415</v>
      </c>
      <c r="W27" s="1262">
        <f xml:space="preserve"> 116 * V28  - 16</f>
        <v>58.488403904151554</v>
      </c>
      <c r="X27" s="1263">
        <f>SQRT(( ( M27-W27 ) ^ 2 ) + ( ( M28 - W28 ) ^ 2 ) + ( (M29 - W29 ) ^ 2 ))</f>
        <v>24.929825488062946</v>
      </c>
      <c r="Y27" s="779">
        <f t="shared" si="28"/>
        <v>67.856400699023411</v>
      </c>
      <c r="AA27" s="1412"/>
      <c r="AB27" s="99">
        <v>14</v>
      </c>
      <c r="AC27" s="328">
        <v>-1.0780894928E-3</v>
      </c>
      <c r="AD27" s="328">
        <v>3.4738704111999998E-3</v>
      </c>
      <c r="AE27" s="328">
        <v>-1.9264149726000001E-3</v>
      </c>
      <c r="AG27" s="76"/>
      <c r="AI27" s="339">
        <v>1.9333900000000001E-2</v>
      </c>
      <c r="AJ27" s="340">
        <v>0.11919200000000001</v>
      </c>
      <c r="AK27" s="341">
        <v>0.95030409999999998</v>
      </c>
    </row>
    <row r="28" spans="1:39">
      <c r="A28" s="94"/>
      <c r="B28" s="95"/>
      <c r="C28" s="1419"/>
      <c r="D28" s="383">
        <f t="shared" si="2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IF(F28^3&gt;0.008856,F28^3*$AI$38, (F28- 16 / 116 ) / 7.787*$AI$38)</f>
        <v>11.263032720181233</v>
      </c>
      <c r="H28" s="1220">
        <f>G28/SUM(G27:G29)</f>
        <v>0.21064638870374264</v>
      </c>
      <c r="I28" s="1220">
        <v>11.654013845803803</v>
      </c>
      <c r="J28" s="1221">
        <f>I28/SUM(I27:I29)</f>
        <v>0.18007185722240932</v>
      </c>
      <c r="K28" s="1221">
        <f>I28/$AI$42</f>
        <v>0.11654013845803803</v>
      </c>
      <c r="L28" s="1221">
        <f t="shared" si="22"/>
        <v>0.48845569396887573</v>
      </c>
      <c r="M28" s="1221">
        <f t="shared" ref="M28" si="32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24"/>
        <v>91.231366881754894</v>
      </c>
      <c r="Q28" s="1261">
        <v>138</v>
      </c>
      <c r="R28" s="1262">
        <f t="shared" si="25"/>
        <v>0.54117647058823526</v>
      </c>
      <c r="S28" s="1262">
        <f t="shared" si="26"/>
        <v>25.415209433082676</v>
      </c>
      <c r="T28" s="1262">
        <v>26.47841825204317</v>
      </c>
      <c r="U28" s="1262">
        <f>T28/$AI$42</f>
        <v>0.26478418252043168</v>
      </c>
      <c r="V28" s="1262">
        <f t="shared" si="27"/>
        <v>0.6421414129668237</v>
      </c>
      <c r="W28" s="1262">
        <f xml:space="preserve"> 500 * (V27 - V28 )</f>
        <v>15.896999832265223</v>
      </c>
      <c r="X28" s="1263"/>
      <c r="Y28" s="779">
        <f t="shared" si="28"/>
        <v>91.231366881754894</v>
      </c>
      <c r="AA28" s="1412"/>
      <c r="AB28" s="99">
        <v>15</v>
      </c>
      <c r="AC28" s="328">
        <v>2.1129838934999998E-3</v>
      </c>
      <c r="AD28" s="328">
        <v>-2.1799187480999998E-3</v>
      </c>
      <c r="AE28" s="328">
        <v>5.6381670015000001E-4</v>
      </c>
      <c r="AG28" s="76"/>
    </row>
    <row r="29" spans="1:39" ht="15.75" thickBot="1">
      <c r="A29" s="96"/>
      <c r="B29" s="97"/>
      <c r="C29" s="1419"/>
      <c r="D29" s="384">
        <f t="shared" si="2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IF(F29^3&gt;0.008856,F29^3*$AI$39, (F29- 16 / 116 ) / 7.787*$AI$39)</f>
        <v>29.879825105617961</v>
      </c>
      <c r="H29" s="1224">
        <f>G28</f>
        <v>11.263032720181233</v>
      </c>
      <c r="I29" s="1224">
        <v>39.658359781262121</v>
      </c>
      <c r="J29" s="1225">
        <f>I28</f>
        <v>11.654013845803803</v>
      </c>
      <c r="K29" s="1225">
        <f>I29/$AI$43</f>
        <v>0.36422912466833318</v>
      </c>
      <c r="L29" s="1225">
        <f t="shared" si="22"/>
        <v>0.7141534798282988</v>
      </c>
      <c r="M29" s="1225">
        <f t="shared" ref="M29" si="33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24"/>
        <v>170.17236470319924</v>
      </c>
      <c r="Q29" s="1261">
        <v>251</v>
      </c>
      <c r="R29" s="1262">
        <f t="shared" si="25"/>
        <v>0.98431372549019602</v>
      </c>
      <c r="S29" s="1262">
        <f t="shared" si="26"/>
        <v>96.468624789446508</v>
      </c>
      <c r="T29" s="1262">
        <v>94.825642239551101</v>
      </c>
      <c r="U29" s="1262">
        <f>T29/$AI$43</f>
        <v>0.87089483426752667</v>
      </c>
      <c r="V29" s="1262">
        <f t="shared" si="27"/>
        <v>0.95496745565568975</v>
      </c>
      <c r="W29" s="1262">
        <f xml:space="preserve"> 200 * ( V28 - V29 )</f>
        <v>-62.565208537773209</v>
      </c>
      <c r="X29" s="1263"/>
      <c r="Y29" s="779">
        <f t="shared" si="28"/>
        <v>170.17236470319924</v>
      </c>
      <c r="AA29" s="1412"/>
      <c r="AB29" s="99">
        <v>16</v>
      </c>
      <c r="AC29" s="328">
        <v>4.181507217E-4</v>
      </c>
      <c r="AD29" s="328">
        <v>1.5891818107E-3</v>
      </c>
      <c r="AE29" s="328">
        <v>-1.532049149E-3</v>
      </c>
      <c r="AG29" s="76" t="s">
        <v>49</v>
      </c>
      <c r="AI29" s="346">
        <v>1.0144664999999999</v>
      </c>
      <c r="AJ29" s="331">
        <v>0</v>
      </c>
      <c r="AK29" s="331">
        <v>0</v>
      </c>
    </row>
    <row r="30" spans="1:39">
      <c r="A30" s="92">
        <v>9</v>
      </c>
      <c r="B30" s="93" t="s">
        <v>117</v>
      </c>
      <c r="C30" s="1392"/>
      <c r="D30" s="382">
        <f t="shared" si="2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IF(F30^3&gt;0.008856,F30^3*$AI$37, (F30- 16 / 116 ) / 7.787*$AI$37)</f>
        <v>29.671839945112154</v>
      </c>
      <c r="H30" s="1216">
        <f>G30/SUM(G30:G32)</f>
        <v>0.50118296689010589</v>
      </c>
      <c r="I30" s="1216">
        <f t="array" ref="I30:I32">MMULT($AI$48:$AK$50,G30:G32)</f>
        <v>28.548799048791913</v>
      </c>
      <c r="J30" s="1217">
        <f>I30/SUM(I30:I32)</f>
        <v>0.46827612618607922</v>
      </c>
      <c r="K30" s="1217">
        <f>I30/$AI$41</f>
        <v>0.30036507253034722</v>
      </c>
      <c r="L30" s="1217">
        <f t="shared" si="22"/>
        <v>0.66970438620871597</v>
      </c>
      <c r="M30" s="1217">
        <f t="shared" ref="M30" si="34" xml:space="preserve"> 116 * L31  - 16</f>
        <v>50.619717045587052</v>
      </c>
      <c r="N30" s="1215">
        <f>I30/100*  3.2406 + I31/100 * -1.5372 + I32/100 * -0.4986</f>
        <v>0.5667860447179659</v>
      </c>
      <c r="O30" s="1218">
        <f t="shared" si="24"/>
        <v>198.324194853623</v>
      </c>
      <c r="Q30" s="1264">
        <v>255</v>
      </c>
      <c r="R30" s="1265">
        <f t="shared" si="25"/>
        <v>1</v>
      </c>
      <c r="S30" s="1265">
        <f t="shared" si="26"/>
        <v>100</v>
      </c>
      <c r="T30" s="1265">
        <f t="array" ref="T30:T32">MMULT($AI$25:$AK$27,S30:S32)</f>
        <v>55.398231687122056</v>
      </c>
      <c r="U30" s="1265">
        <f>T30/$AI$41</f>
        <v>0.58285092309196562</v>
      </c>
      <c r="V30" s="1265">
        <f t="shared" si="27"/>
        <v>0.83531926218409958</v>
      </c>
      <c r="W30" s="1265">
        <f xml:space="preserve"> 116 * V31  - 16</f>
        <v>71.641681271768078</v>
      </c>
      <c r="X30" s="1266">
        <f>SQRT(( ( M30-W30 ) ^ 2 ) + ( ( M31 - W31 ) ^ 2 ) + ( (M32 - W32 ) ^ 2 ))</f>
        <v>24.979624384569462</v>
      </c>
      <c r="Y30" s="780">
        <f t="shared" si="28"/>
        <v>198.324194853623</v>
      </c>
      <c r="AA30" s="1412"/>
      <c r="AB30" s="99">
        <v>17</v>
      </c>
      <c r="AC30" s="328">
        <v>1.2143140056999999E-3</v>
      </c>
      <c r="AD30" s="328">
        <v>-2.1082279818000001E-3</v>
      </c>
      <c r="AE30" s="328">
        <v>1.3969057927E-3</v>
      </c>
      <c r="AG30" s="76" t="s">
        <v>172</v>
      </c>
      <c r="AI30" s="346">
        <v>0</v>
      </c>
      <c r="AJ30" s="331">
        <v>1</v>
      </c>
      <c r="AK30" s="331">
        <v>0</v>
      </c>
    </row>
    <row r="31" spans="1:39">
      <c r="A31" s="94"/>
      <c r="B31" s="95"/>
      <c r="C31" s="1392"/>
      <c r="D31" s="383">
        <f t="shared" si="2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IF(F31^3&gt;0.008856,F31^3*$AI$38, (F31- 16 / 116 ) / 7.787*$AI$38)</f>
        <v>19.375794446434863</v>
      </c>
      <c r="H31" s="1220">
        <f>G31/SUM(G30:G32)</f>
        <v>0.32727387868364144</v>
      </c>
      <c r="I31" s="1220">
        <v>18.942372976704565</v>
      </c>
      <c r="J31" s="1221">
        <f>I31/SUM(I30:I32)</f>
        <v>0.31070522522307092</v>
      </c>
      <c r="K31" s="1221">
        <f>I31/$AI$42</f>
        <v>0.18942372976704566</v>
      </c>
      <c r="L31" s="1221">
        <f t="shared" si="22"/>
        <v>0.57430790556540567</v>
      </c>
      <c r="M31" s="1221">
        <f t="shared" ref="M31" si="35" xml:space="preserve"> 500 * (L30 - L31 )</f>
        <v>47.698240321655149</v>
      </c>
      <c r="N31" s="1219">
        <f xml:space="preserve"> I30/100 * -0.9689 + I31/100*  1.8758 + I32/100 *  0.0415</f>
        <v>8.4303662685842981E-2</v>
      </c>
      <c r="O31" s="1222">
        <f t="shared" si="24"/>
        <v>81.965589373165727</v>
      </c>
      <c r="Q31" s="1264">
        <v>145</v>
      </c>
      <c r="R31" s="1265">
        <f t="shared" si="25"/>
        <v>0.56862745098039214</v>
      </c>
      <c r="S31" s="1265">
        <f t="shared" si="26"/>
        <v>28.314874042999211</v>
      </c>
      <c r="T31" s="1265">
        <v>43.127882246507845</v>
      </c>
      <c r="U31" s="1265">
        <f>T31/$AI$42</f>
        <v>0.43127882246507843</v>
      </c>
      <c r="V31" s="1265">
        <f t="shared" si="27"/>
        <v>0.755531735101449</v>
      </c>
      <c r="W31" s="1265">
        <f xml:space="preserve"> 500 * (V30 - V31 )</f>
        <v>39.893763541325292</v>
      </c>
      <c r="X31" s="1266"/>
      <c r="Y31" s="780">
        <f t="shared" si="28"/>
        <v>81.965589373165727</v>
      </c>
      <c r="AA31" s="1412"/>
      <c r="AB31" s="99">
        <v>18</v>
      </c>
      <c r="AC31" s="328">
        <v>-9.1971999474999998E-4</v>
      </c>
      <c r="AD31" s="328">
        <v>5.9091183698000002E-4</v>
      </c>
      <c r="AE31" s="328">
        <v>8.2325919637000003E-4</v>
      </c>
      <c r="AG31" s="76"/>
      <c r="AI31" s="346">
        <v>0</v>
      </c>
      <c r="AJ31" s="331">
        <v>0</v>
      </c>
      <c r="AK31" s="331">
        <v>0.75788690000000003</v>
      </c>
    </row>
    <row r="32" spans="1:39" ht="15.75" thickBot="1">
      <c r="A32" s="96"/>
      <c r="B32" s="97"/>
      <c r="C32" s="1392"/>
      <c r="D32" s="384">
        <f t="shared" si="2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IF(F32^3&gt;0.008856,F32^3*$AI$39, (F32- 16 / 116 ) / 7.787*$AI$39)</f>
        <v>10.15597368242466</v>
      </c>
      <c r="H32" s="1224">
        <f>G31</f>
        <v>19.375794446434863</v>
      </c>
      <c r="I32" s="1224">
        <v>13.474564753165298</v>
      </c>
      <c r="J32" s="1225">
        <f>I31</f>
        <v>18.942372976704565</v>
      </c>
      <c r="K32" s="1225">
        <f>I32/$AI$43</f>
        <v>0.12375269558301387</v>
      </c>
      <c r="L32" s="1225">
        <f t="shared" si="22"/>
        <v>0.49833136495291397</v>
      </c>
      <c r="M32" s="1225">
        <f t="shared" ref="M32" si="36" xml:space="preserve"> 200 * ( L31 - L32 )</f>
        <v>15.195308122498341</v>
      </c>
      <c r="N32" s="1223">
        <f xml:space="preserve"> I30/100 *  0.0557 + I31/100 * -0.204 + I32/100 *  1.057</f>
        <v>0.11968538963865696</v>
      </c>
      <c r="O32" s="1226">
        <f t="shared" si="24"/>
        <v>97.056852604465689</v>
      </c>
      <c r="Q32" s="1264">
        <v>130</v>
      </c>
      <c r="R32" s="1265">
        <f t="shared" si="25"/>
        <v>0.50980392156862742</v>
      </c>
      <c r="S32" s="1265">
        <f t="shared" si="26"/>
        <v>22.322795731680849</v>
      </c>
      <c r="T32" s="1265">
        <v>26.52174077421197</v>
      </c>
      <c r="U32" s="1265">
        <f>T32/$AI$43</f>
        <v>0.2435801803239438</v>
      </c>
      <c r="V32" s="1265">
        <f t="shared" si="27"/>
        <v>0.62452138745804342</v>
      </c>
      <c r="W32" s="1265">
        <f xml:space="preserve"> 200 * ( V31 - V32 )</f>
        <v>26.202069528681115</v>
      </c>
      <c r="X32" s="1266"/>
      <c r="Y32" s="780">
        <f t="shared" si="28"/>
        <v>97.056852604465689</v>
      </c>
      <c r="AA32" s="1412"/>
      <c r="AB32" s="99">
        <v>19</v>
      </c>
      <c r="AC32" s="328">
        <v>-7.5749008248000003E-5</v>
      </c>
      <c r="AD32" s="328">
        <v>5.3479866350000002E-4</v>
      </c>
      <c r="AE32" s="328">
        <v>2.9561093656999999E-5</v>
      </c>
      <c r="AG32" s="76"/>
    </row>
    <row r="33" spans="1:42">
      <c r="A33" s="92">
        <v>10</v>
      </c>
      <c r="B33" s="93" t="s">
        <v>118</v>
      </c>
      <c r="C33" s="1423"/>
      <c r="D33" s="382">
        <f t="shared" si="2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IF(F33^3&gt;0.008856,F33^3*$AI$37, (F33- 16 / 116 ) / 7.787*$AI$37)</f>
        <v>8.5143237847005686</v>
      </c>
      <c r="H33" s="1216">
        <f>G33/SUM(G33:G35)</f>
        <v>0.33186275702243384</v>
      </c>
      <c r="I33" s="1216">
        <f t="array" ref="I33:I35">MMULT($AI$48:$AK$50,G33:G35)</f>
        <v>8.6698010004617139</v>
      </c>
      <c r="J33" s="1217">
        <f>I33/SUM(I33:I35)</f>
        <v>0.29500443423613082</v>
      </c>
      <c r="K33" s="1217">
        <f>I33/$AI$41</f>
        <v>9.1215935278985277E-2</v>
      </c>
      <c r="L33" s="1217">
        <f t="shared" si="22"/>
        <v>0.4501496379376016</v>
      </c>
      <c r="M33" s="1217">
        <f t="shared" ref="M33" si="37" xml:space="preserve"> 116 * L34  - 16</f>
        <v>30.442928764338248</v>
      </c>
      <c r="N33" s="1215">
        <f>I33/100*  3.2406 + I34/100 * -1.5372 + I35/100 * -0.4986</f>
        <v>0.11099400632354926</v>
      </c>
      <c r="O33" s="1218">
        <f t="shared" si="24"/>
        <v>93.621713838781943</v>
      </c>
      <c r="Q33" s="1267">
        <v>136</v>
      </c>
      <c r="R33" s="1268">
        <f t="shared" si="25"/>
        <v>0.53333333333333333</v>
      </c>
      <c r="S33" s="1268">
        <f t="shared" si="26"/>
        <v>24.620132670783544</v>
      </c>
      <c r="T33" s="1268">
        <f t="array" ref="T33:T35">MMULT($AI$25:$AK$27,S33:S35)</f>
        <v>19.915757008094868</v>
      </c>
      <c r="U33" s="1268">
        <f>T33/$AI$41</f>
        <v>0.20953588233289708</v>
      </c>
      <c r="V33" s="1268">
        <f t="shared" si="27"/>
        <v>0.59395398670591315</v>
      </c>
      <c r="W33" s="1268">
        <f xml:space="preserve"> 116 * V34  - 16</f>
        <v>42.533292432529485</v>
      </c>
      <c r="X33" s="1269">
        <f>SQRT(( ( M33-W33 ) ^ 2 ) + ( ( M34 - W34 ) ^ 2 ) + ( (M35 - W35 ) ^ 2 ))</f>
        <v>31.4659916495104</v>
      </c>
      <c r="Y33" s="781">
        <f t="shared" si="28"/>
        <v>93.621713838781943</v>
      </c>
      <c r="AA33" s="1412"/>
      <c r="AB33" s="99">
        <v>20</v>
      </c>
      <c r="AC33" s="328">
        <v>-1.0209345388999999E-4</v>
      </c>
      <c r="AD33" s="328">
        <v>5.1531568379000001E-4</v>
      </c>
      <c r="AE33" s="328">
        <v>7.5764368983999999E-5</v>
      </c>
      <c r="AG33" s="1395" t="s">
        <v>162</v>
      </c>
      <c r="AH33" s="1395"/>
      <c r="AI33" s="1395"/>
      <c r="AJ33" s="1395"/>
      <c r="AK33" s="1395"/>
    </row>
    <row r="34" spans="1:42">
      <c r="A34" s="94"/>
      <c r="B34" s="95"/>
      <c r="C34" s="1423"/>
      <c r="D34" s="383">
        <f t="shared" si="2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IF(F34^3&gt;0.008856,F34^3*$AI$38, (F34- 16 / 116 ) / 7.787*$AI$38)</f>
        <v>6.3690156537094742</v>
      </c>
      <c r="H34" s="1220">
        <f>G34/SUM(G33:G35)</f>
        <v>0.24824509236506528</v>
      </c>
      <c r="I34" s="1220">
        <v>6.4177800664010629</v>
      </c>
      <c r="J34" s="1221">
        <f>I34/SUM(I33:I35)</f>
        <v>0.21837566715080733</v>
      </c>
      <c r="K34" s="1221">
        <f>I34/$AI$42</f>
        <v>6.4177800664010631E-2</v>
      </c>
      <c r="L34" s="1221">
        <f t="shared" si="22"/>
        <v>0.40037007555464005</v>
      </c>
      <c r="M34" s="1221">
        <f t="shared" ref="M34" si="38" xml:space="preserve"> 500 * (L33 - L34 )</f>
        <v>24.889781191480775</v>
      </c>
      <c r="N34" s="1219">
        <f xml:space="preserve"> I33/100 * -0.9689 + I34/100*  1.8758 + I35/100 *  0.0415</f>
        <v>4.2317986835244223E-2</v>
      </c>
      <c r="O34" s="1222">
        <f t="shared" si="24"/>
        <v>58.004664131651644</v>
      </c>
      <c r="Q34" s="1267">
        <v>72</v>
      </c>
      <c r="R34" s="1268">
        <f t="shared" si="25"/>
        <v>0.28235294117647058</v>
      </c>
      <c r="S34" s="1268">
        <f t="shared" si="26"/>
        <v>6.4803266692905801</v>
      </c>
      <c r="T34" s="1268">
        <v>12.847981200562188</v>
      </c>
      <c r="U34" s="1268">
        <f>T34/$AI$42</f>
        <v>0.12847981200562189</v>
      </c>
      <c r="V34" s="1268">
        <f t="shared" si="27"/>
        <v>0.50459734855628868</v>
      </c>
      <c r="W34" s="1268">
        <f xml:space="preserve"> 500 * (V33 - V34 )</f>
        <v>44.678319074812237</v>
      </c>
      <c r="X34" s="1269"/>
      <c r="Y34" s="781">
        <f t="shared" si="28"/>
        <v>58.004664131651644</v>
      </c>
      <c r="AA34" s="1412"/>
      <c r="AB34" s="99">
        <v>21</v>
      </c>
      <c r="AC34" s="328">
        <v>-1.091958794E-4</v>
      </c>
      <c r="AD34" s="328">
        <v>4.7085533262999999E-4</v>
      </c>
      <c r="AE34" s="328">
        <v>1.277858345E-4</v>
      </c>
      <c r="AG34" s="318"/>
      <c r="AH34" s="318"/>
      <c r="AI34" s="318"/>
      <c r="AJ34" s="318"/>
      <c r="AK34" s="318"/>
    </row>
    <row r="35" spans="1:42" ht="15.75" thickBot="1">
      <c r="A35" s="96"/>
      <c r="B35" s="97"/>
      <c r="C35" s="1423"/>
      <c r="D35" s="384">
        <f t="shared" si="2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IF(F35^3&gt;0.008856,F35^3*$AI$39, (F35- 16 / 116 ) / 7.787*$AI$39)</f>
        <v>10.772819936307023</v>
      </c>
      <c r="H35" s="1224">
        <f>G34</f>
        <v>6.3690156537094742</v>
      </c>
      <c r="I35" s="1224">
        <v>14.301133116064159</v>
      </c>
      <c r="J35" s="1225">
        <f>I34</f>
        <v>6.4177800664010629</v>
      </c>
      <c r="K35" s="1225">
        <f>I35/$AI$43</f>
        <v>0.13134404008030784</v>
      </c>
      <c r="L35" s="1225">
        <f t="shared" si="22"/>
        <v>0.50831952339290942</v>
      </c>
      <c r="M35" s="1225">
        <f t="shared" ref="M35" si="39" xml:space="preserve"> 200 * ( L34 - L35 )</f>
        <v>-21.589889567653874</v>
      </c>
      <c r="N35" s="1223">
        <f xml:space="preserve"> I33/100 *  0.0557 + I34/100 * -0.204 + I35/100 *  1.057</f>
        <v>0.14289978485859717</v>
      </c>
      <c r="O35" s="1226">
        <f t="shared" si="24"/>
        <v>105.57259954157003</v>
      </c>
      <c r="Q35" s="1267">
        <v>172</v>
      </c>
      <c r="R35" s="1268">
        <f t="shared" si="25"/>
        <v>0.67450980392156867</v>
      </c>
      <c r="S35" s="1268">
        <f t="shared" si="26"/>
        <v>41.254261348390372</v>
      </c>
      <c r="T35" s="1268">
        <v>40.452499981256643</v>
      </c>
      <c r="U35" s="1268">
        <f>T35/$AI$43</f>
        <v>0.37152264339939794</v>
      </c>
      <c r="V35" s="1268">
        <f t="shared" si="27"/>
        <v>0.71888887476642072</v>
      </c>
      <c r="W35" s="1268">
        <f xml:space="preserve"> 200 * ( V34 - V35 )</f>
        <v>-42.858305242026404</v>
      </c>
      <c r="X35" s="1269"/>
      <c r="Y35" s="781">
        <f t="shared" si="28"/>
        <v>105.57259954157003</v>
      </c>
      <c r="AA35" s="1412"/>
      <c r="AB35" s="99">
        <v>22</v>
      </c>
      <c r="AC35" s="328">
        <v>-9.0227922543000002E-5</v>
      </c>
      <c r="AD35" s="328">
        <v>4.169045376E-4</v>
      </c>
      <c r="AE35" s="328">
        <v>1.6311766079000001E-4</v>
      </c>
      <c r="AG35" s="1396" t="s">
        <v>166</v>
      </c>
      <c r="AH35" s="1396"/>
      <c r="AI35" s="1396"/>
      <c r="AJ35" s="1396"/>
      <c r="AK35" s="1396"/>
    </row>
    <row r="36" spans="1:42" ht="15.75" thickBot="1">
      <c r="A36" s="92">
        <v>11</v>
      </c>
      <c r="B36" s="93" t="s">
        <v>119</v>
      </c>
      <c r="C36" s="1424"/>
      <c r="D36" s="382">
        <f t="shared" si="2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IF(F36^3&gt;0.008856,F36^3*$AI$37, (F36- 16 / 116 ) / 7.787*$AI$37)</f>
        <v>35.361526716483262</v>
      </c>
      <c r="H36" s="1216">
        <f>G36/SUM(G36:G38)</f>
        <v>0.39835246185045525</v>
      </c>
      <c r="I36" s="1216">
        <f t="array" ref="I36:I38">MMULT($AI$48:$AK$50,G36:G38)</f>
        <v>33.331878806276151</v>
      </c>
      <c r="J36" s="1217">
        <f>I36/SUM(I36:I38)</f>
        <v>0.37515956001437456</v>
      </c>
      <c r="K36" s="1217">
        <f>I36/$AI$41</f>
        <v>0.3506883837078093</v>
      </c>
      <c r="L36" s="1217">
        <f t="shared" si="22"/>
        <v>0.70519159402631204</v>
      </c>
      <c r="M36" s="1217">
        <f t="shared" ref="M36" si="40" xml:space="preserve"> 116 * L37  - 16</f>
        <v>72.285478736290671</v>
      </c>
      <c r="N36" s="1215">
        <f>I36/100*  3.2406 + I37/100 * -1.5372 + I38/100 * -0.4986</f>
        <v>0.34548345195153179</v>
      </c>
      <c r="O36" s="1218">
        <f t="shared" si="24"/>
        <v>158.74592602769013</v>
      </c>
      <c r="Q36" s="1270">
        <v>204</v>
      </c>
      <c r="R36" s="1271">
        <f t="shared" si="25"/>
        <v>0.8</v>
      </c>
      <c r="S36" s="1271">
        <f t="shared" si="26"/>
        <v>60.382733885533781</v>
      </c>
      <c r="T36" s="1271">
        <f t="array" ref="T36:T38">MMULT($AI$25:$AK$27,S36:S38)</f>
        <v>56.363916420774991</v>
      </c>
      <c r="U36" s="1271">
        <f>T36/$AI$41</f>
        <v>0.59301099898760601</v>
      </c>
      <c r="V36" s="1271">
        <f t="shared" si="27"/>
        <v>0.84014500472321685</v>
      </c>
      <c r="W36" s="1271">
        <f xml:space="preserve"> 116 * V37  - 16</f>
        <v>89.743303149467337</v>
      </c>
      <c r="X36" s="1272">
        <f>SQRT(( ( M36-W36 ) ^ 2 ) + ( ( M37 - W37 ) ^ 2 ) + ( (M38 - W38 ) ^ 2 ))</f>
        <v>35.077512127339872</v>
      </c>
      <c r="Y36" s="782">
        <f t="shared" si="28"/>
        <v>158.74592602769013</v>
      </c>
      <c r="AA36" s="1412"/>
      <c r="AB36" s="99">
        <v>23</v>
      </c>
      <c r="AC36" s="328">
        <v>-1.0803158722E-4</v>
      </c>
      <c r="AD36" s="328">
        <v>3.4616680876999999E-4</v>
      </c>
      <c r="AE36" s="328">
        <v>2.5243778833000002E-4</v>
      </c>
      <c r="AG36" s="76"/>
    </row>
    <row r="37" spans="1:42" ht="15.75" thickBot="1">
      <c r="A37" s="94"/>
      <c r="B37" s="95"/>
      <c r="C37" s="1424"/>
      <c r="D37" s="383">
        <f t="shared" si="2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IF(F37^3&gt;0.008856,F37^3*$AI$38, (F37- 16 / 116 ) / 7.787*$AI$38)</f>
        <v>44.455639126807164</v>
      </c>
      <c r="H37" s="1220">
        <f>G37/SUM(G36:G38)</f>
        <v>0.50079888889650959</v>
      </c>
      <c r="I37" s="1220">
        <v>44.085306181079623</v>
      </c>
      <c r="J37" s="1221">
        <f>I37/SUM(I36:I38)</f>
        <v>0.49619237385678483</v>
      </c>
      <c r="K37" s="1221">
        <f>I37/$AI$42</f>
        <v>0.44085306181079625</v>
      </c>
      <c r="L37" s="1221">
        <f t="shared" si="22"/>
        <v>0.76108171324388507</v>
      </c>
      <c r="M37" s="1221">
        <f t="shared" ref="M37" si="41" xml:space="preserve"> 500 * (L36 - L37 )</f>
        <v>-27.945059608786515</v>
      </c>
      <c r="N37" s="1219">
        <f xml:space="preserve"> I36/100 * -0.9689 + I37/100*  1.8758 + I38/100 *  0.0415</f>
        <v>0.50874305841580747</v>
      </c>
      <c r="O37" s="1222">
        <f t="shared" si="24"/>
        <v>188.97701415884313</v>
      </c>
      <c r="Q37" s="1270">
        <v>241</v>
      </c>
      <c r="R37" s="1271">
        <f t="shared" si="25"/>
        <v>0.94509803921568625</v>
      </c>
      <c r="S37" s="1271">
        <f t="shared" si="26"/>
        <v>87.962239688783171</v>
      </c>
      <c r="T37" s="1271">
        <v>75.750351061729091</v>
      </c>
      <c r="U37" s="1271">
        <f>T37/$AI$42</f>
        <v>0.75750351061729093</v>
      </c>
      <c r="V37" s="1271">
        <f t="shared" si="27"/>
        <v>0.91158019956437364</v>
      </c>
      <c r="W37" s="1271">
        <f xml:space="preserve"> 500 * (V36 - V37 )</f>
        <v>-35.717597420578393</v>
      </c>
      <c r="X37" s="1272"/>
      <c r="Y37" s="782">
        <f t="shared" si="28"/>
        <v>188.97701415884313</v>
      </c>
      <c r="AA37" s="1413"/>
      <c r="AB37" s="100">
        <v>24</v>
      </c>
      <c r="AC37" s="329">
        <v>-4.4703882724999997E-5</v>
      </c>
      <c r="AD37" s="329">
        <v>2.3654192585999999E-4</v>
      </c>
      <c r="AE37" s="329">
        <v>2.9925754723000001E-4</v>
      </c>
      <c r="AG37" s="320" t="s">
        <v>146</v>
      </c>
      <c r="AH37" s="320" t="s">
        <v>163</v>
      </c>
      <c r="AI37" s="319">
        <v>96.421999999999997</v>
      </c>
      <c r="AJ37" s="321"/>
      <c r="AK37" s="321"/>
    </row>
    <row r="38" spans="1:42" ht="15.75" thickBot="1">
      <c r="A38" s="96"/>
      <c r="B38" s="97"/>
      <c r="C38" s="1424"/>
      <c r="D38" s="384">
        <f t="shared" si="2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IF(F38^3&gt;0.008856,F38^3*$AI$39, (F38- 16 / 116 ) / 7.787*$AI$39)</f>
        <v>8.9522785633523227</v>
      </c>
      <c r="H38" s="1224">
        <f>G37</f>
        <v>44.455639126807164</v>
      </c>
      <c r="I38" s="1224">
        <v>11.430021265362438</v>
      </c>
      <c r="J38" s="1225">
        <f>I37</f>
        <v>44.085306181079623</v>
      </c>
      <c r="K38" s="1225">
        <f>I38/$AI$43</f>
        <v>0.10497526028271115</v>
      </c>
      <c r="L38" s="1225">
        <f t="shared" si="22"/>
        <v>0.47173234292589566</v>
      </c>
      <c r="M38" s="1225">
        <f t="shared" ref="M38" si="42" xml:space="preserve"> 200 * ( L37 - L38 )</f>
        <v>57.869874063597884</v>
      </c>
      <c r="N38" s="1223">
        <f xml:space="preserve"> I36/100 *  0.0557 + I37/100 * -0.204 + I38/100 *  1.057</f>
        <v>4.9447156660574337E-2</v>
      </c>
      <c r="O38" s="1226">
        <f t="shared" si="24"/>
        <v>62.832253035292226</v>
      </c>
      <c r="Q38" s="1270">
        <v>1</v>
      </c>
      <c r="R38" s="1271">
        <f t="shared" si="25"/>
        <v>3.9215686274509803E-3</v>
      </c>
      <c r="S38" s="1271">
        <f t="shared" si="26"/>
        <v>3.0352698354883752E-2</v>
      </c>
      <c r="T38" s="1271">
        <v>11.680673305347675</v>
      </c>
      <c r="U38" s="1271">
        <f>T38/$AI$43</f>
        <v>0.1072772912699657</v>
      </c>
      <c r="V38" s="1271">
        <f t="shared" si="27"/>
        <v>0.47515568860675789</v>
      </c>
      <c r="W38" s="1271">
        <f xml:space="preserve"> 200 * ( V37 - V38 )</f>
        <v>87.284902191523145</v>
      </c>
      <c r="X38" s="1272"/>
      <c r="Y38" s="782">
        <f t="shared" si="28"/>
        <v>62.832253035292226</v>
      </c>
      <c r="AG38" s="322"/>
      <c r="AH38" s="320" t="s">
        <v>164</v>
      </c>
      <c r="AI38" s="319">
        <v>100</v>
      </c>
      <c r="AJ38" s="321"/>
      <c r="AK38" s="321"/>
    </row>
    <row r="39" spans="1:42" ht="15.75" thickBot="1">
      <c r="A39" s="92">
        <v>12</v>
      </c>
      <c r="B39" s="93" t="s">
        <v>120</v>
      </c>
      <c r="C39" s="1403"/>
      <c r="D39" s="382">
        <f t="shared" si="2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IF(F39^3&gt;0.008856,F39^3*$AI$37, (F39- 16 / 116 ) / 7.787*$AI$37)</f>
        <v>48.785005521306303</v>
      </c>
      <c r="H39" s="1216">
        <f>G39/SUM(G39:G41)</f>
        <v>0.49568679631414136</v>
      </c>
      <c r="I39" s="1216">
        <f t="array" ref="I39:I41">MMULT($AI$48:$AK$50,G39:G41)</f>
        <v>45.996902394099358</v>
      </c>
      <c r="J39" s="1217">
        <f>I39/SUM(I39:I41)</f>
        <v>0.47655804287629788</v>
      </c>
      <c r="K39" s="1217">
        <f>I39/$AI$41</f>
        <v>0.48393849773374603</v>
      </c>
      <c r="L39" s="1217">
        <f t="shared" si="22"/>
        <v>0.78510918341971647</v>
      </c>
      <c r="M39" s="1217">
        <f t="shared" ref="M39" si="43" xml:space="preserve"> 116 * L40  - 16</f>
        <v>71.386119196075384</v>
      </c>
      <c r="N39" s="1215">
        <f>I39/100*  3.2406 + I40/100 * -1.5372 + I41/100 * -0.4986</f>
        <v>0.79465331720385057</v>
      </c>
      <c r="O39" s="1218">
        <f t="shared" si="24"/>
        <v>230.43061395257749</v>
      </c>
      <c r="Q39" s="1273">
        <v>243</v>
      </c>
      <c r="R39" s="1274">
        <f t="shared" si="25"/>
        <v>0.95294117647058818</v>
      </c>
      <c r="S39" s="1274">
        <f t="shared" si="26"/>
        <v>89.626935337426644</v>
      </c>
      <c r="T39" s="1274">
        <f t="array" ref="T39:T41">MMULT($AI$25:$AK$27,S39:S41)</f>
        <v>60.040562081923973</v>
      </c>
      <c r="U39" s="1274">
        <f>T39/$AI$41</f>
        <v>0.63169339465658014</v>
      </c>
      <c r="V39" s="1274">
        <f t="shared" si="27"/>
        <v>0.85802928715555171</v>
      </c>
      <c r="W39" s="1274">
        <f xml:space="preserve"> 116 * V40  - 16</f>
        <v>84.364492388108161</v>
      </c>
      <c r="X39" s="1275">
        <f>SQRT(( ( M39-W39 ) ^ 2 ) + ( ( M40 - W40 ) ^ 2 ) + ( (M41 - W41 ) ^ 2 ))</f>
        <v>26.688060563580812</v>
      </c>
      <c r="Y39" s="783">
        <f t="shared" si="28"/>
        <v>230.43061395257749</v>
      </c>
      <c r="AA39" s="366" t="s">
        <v>139</v>
      </c>
      <c r="AB39" s="308"/>
      <c r="AC39" s="308"/>
      <c r="AD39" s="308"/>
      <c r="AE39" s="308"/>
      <c r="AG39" s="322"/>
      <c r="AH39" s="320" t="s">
        <v>165</v>
      </c>
      <c r="AI39" s="319">
        <v>82.521000000000001</v>
      </c>
      <c r="AJ39" s="321"/>
      <c r="AK39" s="321"/>
    </row>
    <row r="40" spans="1:42" ht="15.75" thickBot="1">
      <c r="A40" s="94"/>
      <c r="B40" s="95"/>
      <c r="C40" s="1403"/>
      <c r="D40" s="383">
        <f t="shared" si="2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IF(F40^3&gt;0.008856,F40^3*$AI$38, (F40- 16 / 116 ) / 7.787*$AI$38)</f>
        <v>43.571271294091417</v>
      </c>
      <c r="H40" s="1220">
        <f>G40/SUM(G39:G41)</f>
        <v>0.44271192855907199</v>
      </c>
      <c r="I40" s="1220">
        <v>42.751700185521585</v>
      </c>
      <c r="J40" s="1221">
        <f>I40/SUM(I39:I41)</f>
        <v>0.44293562195744796</v>
      </c>
      <c r="K40" s="1221">
        <f>I40/$AI$42</f>
        <v>0.42751700185521585</v>
      </c>
      <c r="L40" s="1221">
        <f t="shared" si="22"/>
        <v>0.75332861375927052</v>
      </c>
      <c r="M40" s="1221">
        <f t="shared" ref="M40" si="44" xml:space="preserve"> 500 * (L39 - L40 )</f>
        <v>15.890284830222978</v>
      </c>
      <c r="N40" s="1219">
        <f xml:space="preserve"> I39/100 * -0.9689 + I40/100*  1.8758 + I41/100 *  0.0415</f>
        <v>0.35949711679901047</v>
      </c>
      <c r="O40" s="1222">
        <f t="shared" si="24"/>
        <v>161.63210798319847</v>
      </c>
      <c r="Q40" s="1273">
        <v>209</v>
      </c>
      <c r="R40" s="1274">
        <f t="shared" si="25"/>
        <v>0.81960784313725488</v>
      </c>
      <c r="S40" s="1274">
        <f t="shared" si="26"/>
        <v>63.759687399403262</v>
      </c>
      <c r="T40" s="1274">
        <v>64.768868424165916</v>
      </c>
      <c r="U40" s="1274">
        <f>T40/$AI$42</f>
        <v>0.64768868424165915</v>
      </c>
      <c r="V40" s="1274">
        <f t="shared" si="27"/>
        <v>0.86521114127679455</v>
      </c>
      <c r="W40" s="1274">
        <f xml:space="preserve"> 500 * (V39 - V40 )</f>
        <v>-3.5909270606214183</v>
      </c>
      <c r="X40" s="1275"/>
      <c r="Y40" s="783">
        <f t="shared" si="28"/>
        <v>161.63210798319847</v>
      </c>
      <c r="AG40" s="323"/>
      <c r="AH40" s="321"/>
      <c r="AI40" s="321"/>
      <c r="AJ40" s="321"/>
      <c r="AK40" s="321"/>
    </row>
    <row r="41" spans="1:42" ht="15.75" thickBot="1">
      <c r="A41" s="96"/>
      <c r="B41" s="97"/>
      <c r="C41" s="1404"/>
      <c r="D41" s="384">
        <f t="shared" si="2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IF(F41^3&gt;0.008856,F41^3*$AI$39, (F41- 16 / 116 ) / 7.787*$AI$39)</f>
        <v>6.0627367311903075</v>
      </c>
      <c r="H41" s="1224">
        <f>G40</f>
        <v>43.571271294091417</v>
      </c>
      <c r="I41" s="1224">
        <v>7.770390398615211</v>
      </c>
      <c r="J41" s="1225">
        <f>I40</f>
        <v>42.751700185521585</v>
      </c>
      <c r="K41" s="1225">
        <f>I41/$AI$43</f>
        <v>7.1364587663962337E-2</v>
      </c>
      <c r="L41" s="1225">
        <f t="shared" si="22"/>
        <v>0.41478934034612885</v>
      </c>
      <c r="M41" s="1225">
        <f t="shared" ref="M41" si="45" xml:space="preserve"> 200 * ( L40 - L41 )</f>
        <v>67.707854682628337</v>
      </c>
      <c r="N41" s="1223">
        <f xml:space="preserve"> I39/100 *  0.0557 + I40/100 * -0.204 + I41/100 *  1.057</f>
        <v>2.0539832768412099E-2</v>
      </c>
      <c r="O41" s="1226">
        <f t="shared" si="24"/>
        <v>39.272644590202006</v>
      </c>
      <c r="Q41" s="1276">
        <v>33</v>
      </c>
      <c r="R41" s="1277">
        <f t="shared" si="25"/>
        <v>0.12941176470588237</v>
      </c>
      <c r="S41" s="1277">
        <f t="shared" si="26"/>
        <v>1.5208514422912713</v>
      </c>
      <c r="T41" s="1277">
        <v>10.777754226730256</v>
      </c>
      <c r="U41" s="1277">
        <f>T41/$AI$43</f>
        <v>9.8984728807346017E-2</v>
      </c>
      <c r="V41" s="1277">
        <f t="shared" si="27"/>
        <v>0.46258271332138551</v>
      </c>
      <c r="W41" s="1277">
        <f xml:space="preserve"> 200 * ( V40 - V41 )</f>
        <v>80.52568559108181</v>
      </c>
      <c r="X41" s="1278"/>
      <c r="Y41" s="784">
        <f t="shared" si="28"/>
        <v>39.272644590202006</v>
      </c>
      <c r="AG41" s="320" t="s">
        <v>33</v>
      </c>
      <c r="AH41" s="320" t="s">
        <v>163</v>
      </c>
      <c r="AI41" s="319">
        <v>95.046999999999997</v>
      </c>
      <c r="AJ41" s="321"/>
      <c r="AK41" s="321"/>
    </row>
    <row r="42" spans="1:42" ht="15.75" customHeight="1" thickBot="1">
      <c r="A42" s="1390" t="s">
        <v>121</v>
      </c>
      <c r="B42" s="1391"/>
      <c r="C42" s="1391"/>
      <c r="D42" s="1391"/>
      <c r="E42" s="1391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Q42" s="1230"/>
      <c r="R42" s="330"/>
      <c r="S42" s="330"/>
      <c r="T42" s="330"/>
      <c r="U42" s="330"/>
      <c r="V42" s="330"/>
      <c r="W42" s="330"/>
      <c r="X42" s="349"/>
      <c r="Y42" s="1327"/>
      <c r="AG42" s="322"/>
      <c r="AH42" s="320" t="s">
        <v>164</v>
      </c>
      <c r="AI42" s="319">
        <v>100</v>
      </c>
      <c r="AJ42" s="321"/>
      <c r="AK42" s="321"/>
    </row>
    <row r="43" spans="1:42" ht="15.75" thickBot="1">
      <c r="A43" s="92">
        <v>13</v>
      </c>
      <c r="B43" s="93" t="s">
        <v>122</v>
      </c>
      <c r="C43" s="1405"/>
      <c r="D43" s="382">
        <f t="shared" si="2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IF(F43^3&gt;0.008856,F43^3*$AI$37, (F43- 16 / 116 ) / 7.787*$AI$37)</f>
        <v>6.8605278494588378</v>
      </c>
      <c r="H43" s="1216">
        <f>G43/SUM(G43:G45)</f>
        <v>0.20182392493888132</v>
      </c>
      <c r="I43" s="1216">
        <f t="array" ref="I43:I45">MMULT($AI$48:$AK$50,G43:G45)</f>
        <v>7.7736812148504111</v>
      </c>
      <c r="J43" s="1216">
        <f>I43/SUM(I43:I45)</f>
        <v>0.18404429682692211</v>
      </c>
      <c r="K43" s="1216">
        <f>I43/$AI$41</f>
        <v>8.1787759896160966E-2</v>
      </c>
      <c r="L43" s="1216">
        <f t="shared" ref="L43:L60" si="46">IF(K43&gt;0.008856,K43^(1/3),7.787*K43+16/116)</f>
        <v>0.43407299821924528</v>
      </c>
      <c r="M43" s="1216">
        <f t="shared" ref="M43" si="47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ref="O43:O57" si="48">IF(N43&gt; 0.0031308,(1.055 * (N43^ ( 1 / 2.4 ) ) - 0.055)*255, 12.92 * N43*255)</f>
        <v>35.342853388950573</v>
      </c>
      <c r="Q43" s="1279">
        <v>7</v>
      </c>
      <c r="R43" s="1280">
        <f t="shared" ref="R43:R60" si="49">Q43/255</f>
        <v>2.7450980392156862E-2</v>
      </c>
      <c r="S43" s="1280">
        <f t="shared" ref="S43:S60" si="50">IF(R43&gt;0.04045,(((R43+0.055)/1.055 )^2.4)*100, R43/12.92*100)</f>
        <v>0.21246888848418627</v>
      </c>
      <c r="T43" s="1280">
        <f t="array" ref="T43:T45">MMULT($AI$25:$AK$27,S43:S45)</f>
        <v>12.495898617855961</v>
      </c>
      <c r="U43" s="1280">
        <f>T43/$AI$41</f>
        <v>0.13147073151026292</v>
      </c>
      <c r="V43" s="1280">
        <f t="shared" ref="V43:V60" si="51">IF(U43&gt;0.008856,U43^(1/3),7.787*U43+16/116)</f>
        <v>0.50848290863210932</v>
      </c>
      <c r="W43" s="1280">
        <f xml:space="preserve"> 116 * V44  - 16</f>
        <v>32.764719403143154</v>
      </c>
      <c r="X43" s="1281">
        <f>SQRT(( ( M43-W43 ) ^ 2 ) + ( ( M44 - W44 ) ^ 2 ) + ( (M45 - W45 ) ^ 2 ))</f>
        <v>37.228528449353419</v>
      </c>
      <c r="Y43" s="769">
        <f t="shared" ref="Y43:Y60" si="52">O43</f>
        <v>35.342853388950573</v>
      </c>
      <c r="AG43" s="322"/>
      <c r="AH43" s="320" t="s">
        <v>165</v>
      </c>
      <c r="AI43" s="319">
        <v>108.883</v>
      </c>
      <c r="AJ43" s="321"/>
      <c r="AK43" s="321"/>
    </row>
    <row r="44" spans="1:42">
      <c r="A44" s="94"/>
      <c r="B44" s="95"/>
      <c r="C44" s="1406"/>
      <c r="D44" s="383">
        <f t="shared" si="2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IF(F44^3&gt;0.008856,F44^3*$AI$38, (F44- 16 / 116 ) / 7.787*$AI$38)</f>
        <v>5.7520163033893335</v>
      </c>
      <c r="H44" s="1220">
        <f>G44/SUM(G43:G45)</f>
        <v>0.16921358416379614</v>
      </c>
      <c r="I44" s="1220">
        <v>6.0642662674514325</v>
      </c>
      <c r="J44" s="1220">
        <f>I44/SUM(I43:I45)</f>
        <v>0.14357337149768873</v>
      </c>
      <c r="K44" s="1220">
        <f>I44/$AI$42</f>
        <v>6.0642662674514326E-2</v>
      </c>
      <c r="L44" s="1220">
        <f t="shared" si="46"/>
        <v>0.39287954722983948</v>
      </c>
      <c r="M44" s="1220">
        <f t="shared" ref="M44" si="53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48"/>
        <v>63.330751517613386</v>
      </c>
      <c r="Q44" s="1282">
        <v>58</v>
      </c>
      <c r="R44" s="1283">
        <f t="shared" si="49"/>
        <v>0.22745098039215686</v>
      </c>
      <c r="S44" s="1283">
        <f t="shared" si="50"/>
        <v>4.2311410620809671</v>
      </c>
      <c r="T44" s="1283">
        <v>7.42922003191965</v>
      </c>
      <c r="U44" s="1283">
        <f>T44/$AI$42</f>
        <v>7.4292200319196505E-2</v>
      </c>
      <c r="V44" s="1283">
        <f t="shared" si="51"/>
        <v>0.42038551209606168</v>
      </c>
      <c r="W44" s="1283">
        <f xml:space="preserve"> 500 * (V43 - V44 )</f>
        <v>44.04869826802382</v>
      </c>
      <c r="X44" s="1284"/>
      <c r="Y44" s="770">
        <f t="shared" si="52"/>
        <v>63.330751517613386</v>
      </c>
      <c r="Z44" s="69"/>
      <c r="AG44" s="76"/>
      <c r="AL44" s="74"/>
      <c r="AM44" s="74"/>
      <c r="AN44" s="74"/>
      <c r="AO44" s="74"/>
      <c r="AP44" s="74"/>
    </row>
    <row r="45" spans="1:42" ht="15.75" thickBot="1">
      <c r="A45" s="96"/>
      <c r="B45" s="97"/>
      <c r="C45" s="1406"/>
      <c r="D45" s="384">
        <f t="shared" si="2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IF(F45^3&gt;0.008856,F45^3*$AI$39, (F45- 16 / 116 ) / 7.787*$AI$39)</f>
        <v>21.380094983153285</v>
      </c>
      <c r="H45" s="1224">
        <f>G44</f>
        <v>5.7520163033893335</v>
      </c>
      <c r="I45" s="1224">
        <v>28.400151436682279</v>
      </c>
      <c r="J45" s="1224">
        <f>I44</f>
        <v>6.0642662674514325</v>
      </c>
      <c r="K45" s="1224">
        <f>I45/$AI$43</f>
        <v>0.26083182348651562</v>
      </c>
      <c r="L45" s="1224">
        <f t="shared" si="46"/>
        <v>0.63893036131725889</v>
      </c>
      <c r="M45" s="1224">
        <f t="shared" ref="M45" si="54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48"/>
        <v>147.08684100238494</v>
      </c>
      <c r="Q45" s="1282">
        <v>204</v>
      </c>
      <c r="R45" s="1283">
        <f t="shared" si="49"/>
        <v>0.8</v>
      </c>
      <c r="S45" s="1283">
        <f t="shared" si="50"/>
        <v>60.382733885533781</v>
      </c>
      <c r="T45" s="1283">
        <v>57.890385598346299</v>
      </c>
      <c r="U45" s="1283">
        <f>T45/$AI$43</f>
        <v>0.53167515221243267</v>
      </c>
      <c r="V45" s="1283">
        <f t="shared" si="51"/>
        <v>0.81011894418116881</v>
      </c>
      <c r="W45" s="1283">
        <f xml:space="preserve"> 200 * ( V44 - V45 )</f>
        <v>-77.946686417021425</v>
      </c>
      <c r="X45" s="1284"/>
      <c r="Y45" s="770">
        <f t="shared" si="52"/>
        <v>147.08684100238494</v>
      </c>
      <c r="Z45" s="69"/>
      <c r="AG45" s="1402" t="s">
        <v>169</v>
      </c>
      <c r="AH45" s="1402"/>
      <c r="AI45" s="1402"/>
      <c r="AJ45" s="1402"/>
      <c r="AK45" s="1402"/>
      <c r="AL45" s="74"/>
      <c r="AM45" s="74"/>
      <c r="AN45" s="74"/>
      <c r="AO45" s="74"/>
      <c r="AP45" s="74"/>
    </row>
    <row r="46" spans="1:42">
      <c r="A46" s="92">
        <v>14</v>
      </c>
      <c r="B46" s="93" t="s">
        <v>123</v>
      </c>
      <c r="C46" s="1407"/>
      <c r="D46" s="382">
        <f t="shared" si="2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IF(F46^3&gt;0.008856,F46^3*$AI$37, (F46- 16 / 116 ) / 7.787*$AI$37)</f>
        <v>14.984375662794568</v>
      </c>
      <c r="H46" s="1216">
        <f>G46/SUM(G46:G48)</f>
        <v>0.32526343853311385</v>
      </c>
      <c r="I46" s="1216">
        <f t="array" ref="I46:I48">MMULT($AI$48:$AK$50,G46:G48)</f>
        <v>14.283601798249475</v>
      </c>
      <c r="J46" s="1216">
        <f>I46/SUM(I46:I48)</f>
        <v>0.29972281293948838</v>
      </c>
      <c r="K46" s="1216">
        <f>I46/$AI$41</f>
        <v>0.1502793544062356</v>
      </c>
      <c r="L46" s="1216">
        <f t="shared" si="46"/>
        <v>0.53165892265584302</v>
      </c>
      <c r="M46" s="1216">
        <f t="shared" ref="M46" si="55" xml:space="preserve"> 116 * L47  - 16</f>
        <v>55.23286542210424</v>
      </c>
      <c r="N46" s="1215">
        <f>I46/100*  3.2406 + I47/100 * -1.5372 + I48/100 * -0.4986</f>
        <v>5.5979147796490186E-2</v>
      </c>
      <c r="O46" s="1218">
        <f t="shared" si="48"/>
        <v>66.910103142073083</v>
      </c>
      <c r="Q46" s="1285">
        <v>36</v>
      </c>
      <c r="R46" s="1286">
        <f t="shared" si="49"/>
        <v>0.14117647058823529</v>
      </c>
      <c r="S46" s="1286">
        <f t="shared" si="50"/>
        <v>1.7641954488384088</v>
      </c>
      <c r="T46" s="1286">
        <f t="array" ref="T46:T48">MMULT($AI$25:$AK$27,S46:S48)</f>
        <v>18.263191289669173</v>
      </c>
      <c r="U46" s="1286">
        <f>T46/$AI$41</f>
        <v>0.19214905562163112</v>
      </c>
      <c r="V46" s="1286">
        <f t="shared" si="51"/>
        <v>0.57704907798373661</v>
      </c>
      <c r="W46" s="1286">
        <f xml:space="preserve"> 116 * V47  - 16</f>
        <v>64.82409718354873</v>
      </c>
      <c r="X46" s="1287">
        <f>SQRT(( ( M46-W46 ) ^ 2 ) + ( ( M47 - W47 ) ^ 2 ) + ( (M48 - W48 ) ^ 2 ))</f>
        <v>25.563348594439212</v>
      </c>
      <c r="Y46" s="771">
        <f t="shared" si="52"/>
        <v>66.910103142073083</v>
      </c>
      <c r="AG46" s="363" t="s">
        <v>167</v>
      </c>
      <c r="AH46" s="363"/>
      <c r="AI46" s="363"/>
      <c r="AJ46" s="363"/>
      <c r="AK46" s="363"/>
    </row>
    <row r="47" spans="1:42" ht="15.75" thickBot="1">
      <c r="A47" s="94"/>
      <c r="B47" s="95"/>
      <c r="C47" s="1407"/>
      <c r="D47" s="383">
        <f t="shared" si="2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IF(F47^3&gt;0.008856,F47^3*$AI$38, (F47- 16 / 116 ) / 7.787*$AI$38)</f>
        <v>23.183647760810512</v>
      </c>
      <c r="H47" s="1220">
        <f>G47/SUM(G46:G48)</f>
        <v>0.50324372253594474</v>
      </c>
      <c r="I47" s="1220">
        <v>23.156199170786447</v>
      </c>
      <c r="J47" s="1220">
        <f>I47/SUM(I46:I48)</f>
        <v>0.48590273311215859</v>
      </c>
      <c r="K47" s="1220">
        <f>I47/$AI$42</f>
        <v>0.23156199170786448</v>
      </c>
      <c r="L47" s="1220">
        <f t="shared" si="46"/>
        <v>0.6140764260526228</v>
      </c>
      <c r="M47" s="1220">
        <f t="shared" ref="M47" si="56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48"/>
        <v>148.92451179357417</v>
      </c>
      <c r="Q47" s="1285">
        <v>181</v>
      </c>
      <c r="R47" s="1286">
        <f t="shared" si="49"/>
        <v>0.70980392156862748</v>
      </c>
      <c r="S47" s="1286">
        <f t="shared" si="50"/>
        <v>46.20769996544071</v>
      </c>
      <c r="T47" s="1286">
        <v>33.825842226429103</v>
      </c>
      <c r="U47" s="1286">
        <f>T47/$AI$42</f>
        <v>0.33825842226429104</v>
      </c>
      <c r="V47" s="1286">
        <f t="shared" si="51"/>
        <v>0.69675945847886833</v>
      </c>
      <c r="W47" s="1286">
        <f xml:space="preserve"> 500 * (V46 - V47 )</f>
        <v>-59.855190247565858</v>
      </c>
      <c r="X47" s="1287"/>
      <c r="Y47" s="771">
        <f t="shared" si="52"/>
        <v>148.92451179357417</v>
      </c>
      <c r="Z47" s="69"/>
      <c r="AF47" s="74"/>
      <c r="AG47" s="76"/>
      <c r="AL47" s="74"/>
      <c r="AM47" s="74"/>
      <c r="AN47" s="74"/>
      <c r="AO47" s="74"/>
      <c r="AP47" s="74"/>
    </row>
    <row r="48" spans="1:42" ht="15.75" thickBot="1">
      <c r="A48" s="96"/>
      <c r="B48" s="97"/>
      <c r="C48" s="1407"/>
      <c r="D48" s="384">
        <f t="shared" si="2"/>
        <v>74.120275922324538</v>
      </c>
      <c r="E48" s="372">
        <v>31.37</v>
      </c>
      <c r="F48" s="1223">
        <f>F47 - E48 / 200</f>
        <v>0.45746896551724126</v>
      </c>
      <c r="G48" s="1223">
        <f>IF(F48^3&gt;0.008856,F48^3*$AI$39, (F48- 16 / 116 ) / 7.787*$AI$39)</f>
        <v>7.9004056945635952</v>
      </c>
      <c r="H48" s="1224">
        <f>G47</f>
        <v>23.183647760810512</v>
      </c>
      <c r="I48" s="1224">
        <v>10.21623714886743</v>
      </c>
      <c r="J48" s="1224">
        <f>I47</f>
        <v>23.156199170786447</v>
      </c>
      <c r="K48" s="1224">
        <f>I48/$AI$43</f>
        <v>9.382766041409063E-2</v>
      </c>
      <c r="L48" s="1224">
        <f t="shared" si="46"/>
        <v>0.45440555210953226</v>
      </c>
      <c r="M48" s="1224">
        <f t="shared" ref="M48" si="57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48"/>
        <v>74.120275922324538</v>
      </c>
      <c r="Q48" s="1285">
        <v>67</v>
      </c>
      <c r="R48" s="1286">
        <f t="shared" si="49"/>
        <v>0.2627450980392157</v>
      </c>
      <c r="S48" s="1286">
        <f t="shared" si="50"/>
        <v>5.6128490049600099</v>
      </c>
      <c r="T48" s="1286">
        <v>10.875610374763525</v>
      </c>
      <c r="U48" s="1286">
        <f>T48/$AI$43</f>
        <v>9.9883456322506961E-2</v>
      </c>
      <c r="V48" s="1286">
        <f t="shared" si="51"/>
        <v>0.46397849732291774</v>
      </c>
      <c r="W48" s="1286">
        <f xml:space="preserve"> 200 * ( V47 - V48 )</f>
        <v>46.556192231190117</v>
      </c>
      <c r="X48" s="1287"/>
      <c r="Y48" s="771">
        <f t="shared" si="52"/>
        <v>74.120275922324538</v>
      </c>
      <c r="Z48" s="69"/>
      <c r="AF48" s="74"/>
      <c r="AG48" s="89" t="s">
        <v>168</v>
      </c>
      <c r="AH48" s="324" t="s">
        <v>163</v>
      </c>
      <c r="AI48" s="333">
        <v>0.9555766</v>
      </c>
      <c r="AJ48" s="334">
        <v>-2.3039299999999999E-2</v>
      </c>
      <c r="AK48" s="335">
        <v>6.31636E-2</v>
      </c>
      <c r="AL48" s="74"/>
      <c r="AM48" s="74"/>
      <c r="AN48" s="74"/>
      <c r="AO48" s="74"/>
      <c r="AP48" s="74"/>
    </row>
    <row r="49" spans="1:56">
      <c r="A49" s="92">
        <v>15</v>
      </c>
      <c r="B49" s="93" t="s">
        <v>124</v>
      </c>
      <c r="C49" s="1408"/>
      <c r="D49" s="382">
        <f t="shared" si="2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IF(F49^3&gt;0.008856,F49^3*$AI$37, (F49- 16 / 116 ) / 7.787*$AI$37)</f>
        <v>21.631501234234467</v>
      </c>
      <c r="H49" s="1216">
        <f>G49/SUM(G49:G51)</f>
        <v>0.56858460191264737</v>
      </c>
      <c r="I49" s="1216">
        <f t="array" ref="I49:I51">MMULT($AI$48:$AK$50,G49:G51)</f>
        <v>20.62408349598757</v>
      </c>
      <c r="J49" s="1216">
        <f>I49/SUM(I49:I51)</f>
        <v>0.54404393629571024</v>
      </c>
      <c r="K49" s="1216">
        <f>I49/$AI$41</f>
        <v>0.21698826365890109</v>
      </c>
      <c r="L49" s="1216">
        <f t="shared" si="46"/>
        <v>0.6009136669251236</v>
      </c>
      <c r="M49" s="1216">
        <f t="shared" ref="M49" si="58" xml:space="preserve"> 116 * L50  - 16</f>
        <v>41.468062941473491</v>
      </c>
      <c r="N49" s="1215">
        <f>I49/100*  3.2406 + I50/100 * -1.5372 + I51/100 * -0.4986</f>
        <v>0.45587651504853977</v>
      </c>
      <c r="O49" s="1218">
        <f t="shared" si="48"/>
        <v>179.90529060715122</v>
      </c>
      <c r="Q49" s="1288">
        <v>232</v>
      </c>
      <c r="R49" s="1289">
        <f t="shared" si="49"/>
        <v>0.90980392156862744</v>
      </c>
      <c r="S49" s="1289">
        <f t="shared" si="50"/>
        <v>80.695225766925162</v>
      </c>
      <c r="T49" s="1289">
        <f t="array" ref="T49:T51">MMULT($AI$25:$AK$27,S49:S51)</f>
        <v>35.909169118758932</v>
      </c>
      <c r="U49" s="1289">
        <f>T49/$AI$41</f>
        <v>0.3778043401554908</v>
      </c>
      <c r="V49" s="1289">
        <f t="shared" si="51"/>
        <v>0.72291790426627323</v>
      </c>
      <c r="W49" s="1289">
        <f xml:space="preserve"> 116 * V50  - 16</f>
        <v>53.724445601901422</v>
      </c>
      <c r="X49" s="1290">
        <f>SQRT(( ( M49-W49 ) ^ 2 ) + ( ( M50 - W50 ) ^ 2 ) + ( (M51 - W51 ) ^ 2 ))</f>
        <v>27.956951568355166</v>
      </c>
      <c r="Y49" s="772">
        <f t="shared" si="52"/>
        <v>179.90529060715122</v>
      </c>
      <c r="AG49" s="89"/>
      <c r="AH49" s="324" t="s">
        <v>164</v>
      </c>
      <c r="AI49" s="336">
        <v>-2.8289499999999999E-2</v>
      </c>
      <c r="AJ49" s="337">
        <v>1.0099416000000001</v>
      </c>
      <c r="AK49" s="338">
        <v>2.1007700000000001E-2</v>
      </c>
    </row>
    <row r="50" spans="1:56" ht="15.75" thickBot="1">
      <c r="A50" s="94"/>
      <c r="B50" s="95"/>
      <c r="C50" s="1408"/>
      <c r="D50" s="383">
        <f t="shared" si="2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IF(F50^3&gt;0.008856,F50^3*$AI$38, (F50- 16 / 116 ) / 7.787*$AI$38)</f>
        <v>12.565415505216301</v>
      </c>
      <c r="H50" s="1220">
        <f>G50/SUM(G49:G51)</f>
        <v>0.33028229042159035</v>
      </c>
      <c r="I50" s="1220">
        <v>12.159219782354153</v>
      </c>
      <c r="J50" s="1220">
        <f>I50/SUM(I49:I51)</f>
        <v>0.32074878837469817</v>
      </c>
      <c r="K50" s="1220">
        <f>I50/$AI$42</f>
        <v>0.12159219782354153</v>
      </c>
      <c r="L50" s="1220">
        <f t="shared" si="46"/>
        <v>0.49541433570235771</v>
      </c>
      <c r="M50" s="1220">
        <f t="shared" ref="M50" si="59" xml:space="preserve"> 500 * (L49 - L50 )</f>
        <v>52.749665611382945</v>
      </c>
      <c r="N50" s="1219">
        <f xml:space="preserve"> I49/100 * -0.9689 + I50/100*  1.8758 + I51/100 *  0.0415</f>
        <v>3.038300426051882E-2</v>
      </c>
      <c r="O50" s="1222">
        <f t="shared" si="48"/>
        <v>48.716578063950486</v>
      </c>
      <c r="Q50" s="1288">
        <v>70</v>
      </c>
      <c r="R50" s="1289">
        <f t="shared" si="49"/>
        <v>0.27450980392156865</v>
      </c>
      <c r="S50" s="1289">
        <f t="shared" si="50"/>
        <v>6.1246054231617597</v>
      </c>
      <c r="T50" s="1289">
        <v>21.716070434709842</v>
      </c>
      <c r="U50" s="1289">
        <f>T50/$AI$42</f>
        <v>0.21716070434709842</v>
      </c>
      <c r="V50" s="1289">
        <f t="shared" si="51"/>
        <v>0.60107280691294329</v>
      </c>
      <c r="W50" s="1289">
        <f xml:space="preserve"> 500 * (V49 - V50 )</f>
        <v>60.922548676664967</v>
      </c>
      <c r="X50" s="1290"/>
      <c r="Y50" s="772">
        <f t="shared" si="52"/>
        <v>48.716578063950486</v>
      </c>
      <c r="AG50" s="76"/>
      <c r="AH50" s="324" t="s">
        <v>165</v>
      </c>
      <c r="AI50" s="339">
        <v>1.22982E-2</v>
      </c>
      <c r="AJ50" s="340">
        <v>-2.0483000000000001E-2</v>
      </c>
      <c r="AK50" s="341">
        <v>1.3299098</v>
      </c>
    </row>
    <row r="51" spans="1:56" ht="15.75" thickBot="1">
      <c r="A51" s="96"/>
      <c r="B51" s="97"/>
      <c r="C51" s="1408"/>
      <c r="D51" s="384">
        <f t="shared" si="2"/>
        <v>56.959990730530549</v>
      </c>
      <c r="E51" s="372">
        <v>28.19</v>
      </c>
      <c r="F51" s="1223">
        <f>F50 - E51 / 200</f>
        <v>0.35992068965517243</v>
      </c>
      <c r="G51" s="1223">
        <f>IF(F51^3&gt;0.008856,F51^3*$AI$39, (F51- 16 / 116 ) / 7.787*$AI$39)</f>
        <v>3.8475557303783536</v>
      </c>
      <c r="H51" s="1224">
        <f>G50</f>
        <v>12.565415505216301</v>
      </c>
      <c r="I51" s="1224">
        <v>5.1255531945618475</v>
      </c>
      <c r="J51" s="1224">
        <f>I50</f>
        <v>12.159219782354153</v>
      </c>
      <c r="K51" s="1224">
        <f>I51/$AI$43</f>
        <v>4.7073952725052097E-2</v>
      </c>
      <c r="L51" s="1224">
        <f t="shared" si="46"/>
        <v>0.36107178721143929</v>
      </c>
      <c r="M51" s="1224">
        <f t="shared" ref="M51" si="60" xml:space="preserve"> 200 * ( L50 - L51 )</f>
        <v>26.868509698183686</v>
      </c>
      <c r="N51" s="1223">
        <f xml:space="preserve"> I49/100 *  0.0557 + I50/100 * -0.204 + I51/100 *  1.057</f>
        <v>4.0859903417781333E-2</v>
      </c>
      <c r="O51" s="1226">
        <f t="shared" si="48"/>
        <v>56.959990730530549</v>
      </c>
      <c r="Q51" s="1288">
        <v>43</v>
      </c>
      <c r="R51" s="1289">
        <f t="shared" si="49"/>
        <v>0.16862745098039217</v>
      </c>
      <c r="S51" s="1289">
        <f t="shared" si="50"/>
        <v>2.415763244850476</v>
      </c>
      <c r="T51" s="1289">
        <v>4.5858671112633616</v>
      </c>
      <c r="U51" s="1289">
        <f>T51/$AI$43</f>
        <v>4.2117383900731629E-2</v>
      </c>
      <c r="V51" s="1289">
        <f t="shared" si="51"/>
        <v>0.34792619625686316</v>
      </c>
      <c r="W51" s="1289">
        <f xml:space="preserve"> 200 * ( V50 - V51 )</f>
        <v>50.629322131216028</v>
      </c>
      <c r="X51" s="1290"/>
      <c r="Y51" s="772">
        <f t="shared" si="52"/>
        <v>56.959990730530549</v>
      </c>
      <c r="AG51" s="76"/>
    </row>
    <row r="52" spans="1:56">
      <c r="A52" s="92">
        <v>16</v>
      </c>
      <c r="B52" s="93" t="s">
        <v>125</v>
      </c>
      <c r="C52" s="1409"/>
      <c r="D52" s="382">
        <f t="shared" si="2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IF(F52^3&gt;0.008856,F52^3*$AI$37, (F52- 16 / 116 ) / 7.787*$AI$37)</f>
        <v>59.341454392690757</v>
      </c>
      <c r="H52" s="1216">
        <f>G52/SUM(G52:G54)</f>
        <v>0.46968411788557529</v>
      </c>
      <c r="I52" s="1216">
        <f t="array" ref="I52:I54">MMULT($AI$48:$AK$50,G52:G54)</f>
        <v>55.781875161413609</v>
      </c>
      <c r="J52" s="1216">
        <f>I52/SUM(I52:I54)</f>
        <v>0.45083813847108956</v>
      </c>
      <c r="K52" s="1216">
        <f>I52/$AI$41</f>
        <v>0.58688727851919165</v>
      </c>
      <c r="L52" s="1216">
        <f t="shared" si="46"/>
        <v>0.83724307724079261</v>
      </c>
      <c r="M52" s="1216">
        <f t="shared" ref="M52" si="61" xml:space="preserve"> 116 * L53  - 16</f>
        <v>81.222107529224289</v>
      </c>
      <c r="N52" s="1215">
        <f>I52/100*  3.2406 + I53/100 * -1.5372 + I54/100 * -0.4986</f>
        <v>0.85741975999435582</v>
      </c>
      <c r="O52" s="1218">
        <f t="shared" si="48"/>
        <v>238.29785697467756</v>
      </c>
      <c r="Q52" s="1291">
        <v>255</v>
      </c>
      <c r="R52" s="1292">
        <f t="shared" si="49"/>
        <v>1</v>
      </c>
      <c r="S52" s="1292">
        <f t="shared" si="50"/>
        <v>100</v>
      </c>
      <c r="T52" s="1292">
        <f t="array" ref="T52:T54">MMULT($AI$25:$AK$27,S52:S54)</f>
        <v>70.951985253456158</v>
      </c>
      <c r="U52" s="1292">
        <f>T52/$AI$41</f>
        <v>0.74649368473971989</v>
      </c>
      <c r="V52" s="1292">
        <f t="shared" si="51"/>
        <v>0.9071422180873171</v>
      </c>
      <c r="W52" s="1292">
        <f xml:space="preserve"> 116 * V53  - 16</f>
        <v>91.989098937829411</v>
      </c>
      <c r="X52" s="1293">
        <f>SQRT(( ( M52-W52 ) ^ 2 ) + ( ( M53 - W53 ) ^ 2 ) + ( (M54 - W54 ) ^ 2 ))</f>
        <v>18.892927360753813</v>
      </c>
      <c r="Y52" s="773">
        <f t="shared" si="52"/>
        <v>238.29785697467756</v>
      </c>
      <c r="AG52" s="365" t="s">
        <v>159</v>
      </c>
      <c r="AH52" s="308"/>
      <c r="AI52" s="308"/>
      <c r="AJ52" s="308"/>
      <c r="AK52" s="308"/>
    </row>
    <row r="53" spans="1:56">
      <c r="A53" s="94"/>
      <c r="B53" s="95"/>
      <c r="C53" s="1409"/>
      <c r="D53" s="383">
        <f t="shared" si="2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IF(F53^3&gt;0.008856,F53^3*$AI$38, (F53- 16 / 116 ) / 7.787*$AI$38)</f>
        <v>59.806683849009602</v>
      </c>
      <c r="H53" s="1220">
        <f>G53/SUM(G52:G54)</f>
        <v>0.47336638164270384</v>
      </c>
      <c r="I53" s="1220">
        <v>58.873672283415338</v>
      </c>
      <c r="J53" s="1220">
        <f>I53/SUM(I52:I54)</f>
        <v>0.47582654294799287</v>
      </c>
      <c r="K53" s="1220">
        <f>I53/$AI$42</f>
        <v>0.58873672283415335</v>
      </c>
      <c r="L53" s="1220">
        <f t="shared" si="46"/>
        <v>0.83812161663124385</v>
      </c>
      <c r="M53" s="1220">
        <f t="shared" ref="M53" si="62" xml:space="preserve"> 500 * (L52 - L53 )</f>
        <v>-0.43926969522561921</v>
      </c>
      <c r="N53" s="1219">
        <f xml:space="preserve"> I52/100 * -0.9689 + I53/100*  1.8758 + I54/100 *  0.0415</f>
        <v>0.56764735240268382</v>
      </c>
      <c r="O53" s="1222">
        <f t="shared" si="48"/>
        <v>198.45859080039978</v>
      </c>
      <c r="Q53" s="1291">
        <v>235</v>
      </c>
      <c r="R53" s="1292">
        <f t="shared" si="49"/>
        <v>0.92156862745098034</v>
      </c>
      <c r="S53" s="1292">
        <f t="shared" si="50"/>
        <v>83.076987677465468</v>
      </c>
      <c r="T53" s="1292">
        <v>80.679980506912315</v>
      </c>
      <c r="U53" s="1292">
        <f>T53/$AI$42</f>
        <v>0.80679980506912319</v>
      </c>
      <c r="V53" s="1292">
        <f t="shared" si="51"/>
        <v>0.93094050808473627</v>
      </c>
      <c r="W53" s="1292">
        <f xml:space="preserve"> 500 * (V52 - V53 )</f>
        <v>-11.899144998709588</v>
      </c>
      <c r="X53" s="1293"/>
      <c r="Y53" s="773">
        <f t="shared" si="52"/>
        <v>198.45859080039978</v>
      </c>
      <c r="AG53" s="76"/>
    </row>
    <row r="54" spans="1:56" ht="15.75" thickBot="1">
      <c r="A54" s="96"/>
      <c r="B54" s="97"/>
      <c r="C54" s="1409"/>
      <c r="D54" s="384">
        <f t="shared" si="2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IF(F54^3&gt;0.008856,F54^3*$AI$39, (F54- 16 / 116 ) / 7.787*$AI$39)</f>
        <v>7.1951893969564678</v>
      </c>
      <c r="H54" s="1224">
        <f>G53</f>
        <v>59.806683849009602</v>
      </c>
      <c r="I54" s="1224">
        <v>9.0737256610014221</v>
      </c>
      <c r="J54" s="1224">
        <f>I53</f>
        <v>58.873672283415338</v>
      </c>
      <c r="K54" s="1224">
        <f>I54/$AI$43</f>
        <v>8.3334640494856158E-2</v>
      </c>
      <c r="L54" s="1224">
        <f t="shared" si="46"/>
        <v>0.43679251617774939</v>
      </c>
      <c r="M54" s="1224">
        <f t="shared" ref="M54" si="63" xml:space="preserve"> 200 * ( L53 - L54 )</f>
        <v>80.265820090698895</v>
      </c>
      <c r="N54" s="1223">
        <f xml:space="preserve"> I52/100 *  0.0557 + I53/100 * -0.204 + I54/100 *  1.057</f>
        <v>6.8774932435251152E-3</v>
      </c>
      <c r="O54" s="1226">
        <f t="shared" si="48"/>
        <v>19.759840938184311</v>
      </c>
      <c r="Q54" s="1291">
        <v>0</v>
      </c>
      <c r="R54" s="1292">
        <f t="shared" si="49"/>
        <v>0</v>
      </c>
      <c r="S54" s="1292">
        <f t="shared" si="50"/>
        <v>0</v>
      </c>
      <c r="T54" s="1292">
        <v>11.835502315252466</v>
      </c>
      <c r="U54" s="1292">
        <f>T54/$AI$43</f>
        <v>0.10869926724330213</v>
      </c>
      <c r="V54" s="1292">
        <f t="shared" si="51"/>
        <v>0.47724589935185485</v>
      </c>
      <c r="W54" s="1292">
        <f xml:space="preserve"> 200 * ( V53 - V54 )</f>
        <v>90.738921746576281</v>
      </c>
      <c r="X54" s="1293"/>
      <c r="Y54" s="773">
        <f t="shared" si="52"/>
        <v>19.759840938184311</v>
      </c>
    </row>
    <row r="55" spans="1:56">
      <c r="A55" s="92">
        <v>17</v>
      </c>
      <c r="B55" s="93" t="s">
        <v>126</v>
      </c>
      <c r="C55" s="1410"/>
      <c r="D55" s="382">
        <f t="shared" si="2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IF(F55^3&gt;0.008856,F55^3*$AI$37, (F55- 16 / 116 ) / 7.787*$AI$37)</f>
        <v>31.075907250316828</v>
      </c>
      <c r="H55" s="1216">
        <f>G55/SUM(G55:G57)</f>
        <v>0.41585711526606517</v>
      </c>
      <c r="I55" s="1216">
        <f t="array" ref="I55:I57">MMULT($AI$48:$AK$50,G55:G57)</f>
        <v>30.721068603919768</v>
      </c>
      <c r="J55" s="1216">
        <f>I55/SUM(I55:I57)</f>
        <v>0.37495281391466306</v>
      </c>
      <c r="K55" s="1216">
        <f>I55/$AI$41</f>
        <v>0.32321976079118508</v>
      </c>
      <c r="L55" s="1216">
        <f t="shared" si="46"/>
        <v>0.68627677464218007</v>
      </c>
      <c r="M55" s="1216">
        <f t="shared" ref="M55" si="64" xml:space="preserve"> 116 * L56  - 16</f>
        <v>51.726490324936563</v>
      </c>
      <c r="N55" s="1215">
        <f>I55/100*  3.2406 + I56/100 * -1.5372 + I57/100 * -0.4986</f>
        <v>0.53349890318021687</v>
      </c>
      <c r="O55" s="1218">
        <f t="shared" si="48"/>
        <v>193.03598609620454</v>
      </c>
      <c r="Q55" s="1294">
        <v>244</v>
      </c>
      <c r="R55" s="1295">
        <f t="shared" si="49"/>
        <v>0.95686274509803926</v>
      </c>
      <c r="S55" s="1295">
        <f t="shared" si="50"/>
        <v>90.466117439114953</v>
      </c>
      <c r="T55" s="1295">
        <f t="array" ref="T55:T57">MMULT($AI$25:$AK$27,S55:S57)</f>
        <v>57.560249195816148</v>
      </c>
      <c r="U55" s="1295">
        <f>T55/$AI$41</f>
        <v>0.60559774843831105</v>
      </c>
      <c r="V55" s="1295">
        <f t="shared" si="51"/>
        <v>0.84604750800127049</v>
      </c>
      <c r="W55" s="1295">
        <f xml:space="preserve"> 116 * V56  - 16</f>
        <v>68.802997585271626</v>
      </c>
      <c r="X55" s="1296">
        <f>SQRT(( ( M55-W55 ) ^ 2 ) + ( ( M56 - W56 ) ^ 2 ) + ( (M57 - W57 ) ^ 2 ))</f>
        <v>22.33682840050189</v>
      </c>
      <c r="Y55" s="774">
        <f t="shared" si="52"/>
        <v>193.03598609620454</v>
      </c>
    </row>
    <row r="56" spans="1:56">
      <c r="A56" s="94"/>
      <c r="B56" s="95"/>
      <c r="C56" s="1410"/>
      <c r="D56" s="383">
        <f t="shared" si="2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IF(F56^3&gt;0.008856,F56^3*$AI$38, (F56- 16 / 116 ) / 7.787*$AI$38)</f>
        <v>20.08661574027834</v>
      </c>
      <c r="H56" s="1220">
        <f>G56/SUM(G55:G57)</f>
        <v>0.26879865517441731</v>
      </c>
      <c r="I56" s="1220">
        <v>19.902230133562615</v>
      </c>
      <c r="J56" s="1220">
        <f>I56/SUM(I55:I57)</f>
        <v>0.24290812562439182</v>
      </c>
      <c r="K56" s="1220">
        <f>I56/$AI$42</f>
        <v>0.19902230133562615</v>
      </c>
      <c r="L56" s="1220">
        <f t="shared" si="46"/>
        <v>0.58384905452531521</v>
      </c>
      <c r="M56" s="1220">
        <f t="shared" ref="M56" si="65" xml:space="preserve"> 500 * (L55 - L56 )</f>
        <v>51.213860058432424</v>
      </c>
      <c r="N56" s="1219">
        <f xml:space="preserve"> I55/100 * -0.9689 + I56/100*  1.8758 + I57/100 *  0.0415</f>
        <v>8.8663191243852579E-2</v>
      </c>
      <c r="O56" s="1222">
        <f t="shared" si="48"/>
        <v>84.003503526946432</v>
      </c>
      <c r="Q56" s="1294">
        <v>125</v>
      </c>
      <c r="R56" s="1295">
        <f t="shared" si="49"/>
        <v>0.49019607843137253</v>
      </c>
      <c r="S56" s="1295">
        <f t="shared" si="50"/>
        <v>20.50787363903169</v>
      </c>
      <c r="T56" s="1295">
        <v>39.071460337698191</v>
      </c>
      <c r="U56" s="1295">
        <f>T56/$AI$42</f>
        <v>0.39071460337698194</v>
      </c>
      <c r="V56" s="1295">
        <f t="shared" si="51"/>
        <v>0.73106032401096233</v>
      </c>
      <c r="W56" s="1295">
        <f xml:space="preserve"> 500 * (V55 - V56 )</f>
        <v>57.493591995154084</v>
      </c>
      <c r="X56" s="1296"/>
      <c r="Y56" s="774">
        <f t="shared" si="52"/>
        <v>84.003503526946432</v>
      </c>
    </row>
    <row r="57" spans="1:56" ht="15.75" thickBot="1">
      <c r="A57" s="96"/>
      <c r="B57" s="97"/>
      <c r="C57" s="1410"/>
      <c r="D57" s="384">
        <f t="shared" si="2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IF(F57^3&gt;0.008856,F57^3*$AI$39, (F57- 16 / 116 ) / 7.787*$AI$39)</f>
        <v>23.564843957147154</v>
      </c>
      <c r="H57" s="1224">
        <f>G56</f>
        <v>20.08661574027834</v>
      </c>
      <c r="I57" s="1224">
        <v>31.309860486418504</v>
      </c>
      <c r="J57" s="1224">
        <f>I56</f>
        <v>19.902230133562615</v>
      </c>
      <c r="K57" s="1224">
        <f>I57/$AI$43</f>
        <v>0.28755508652791073</v>
      </c>
      <c r="L57" s="1224">
        <f t="shared" si="46"/>
        <v>0.66004521157065177</v>
      </c>
      <c r="M57" s="1224">
        <f t="shared" ref="M57" si="66" xml:space="preserve"> 200 * ( L56 - L57 )</f>
        <v>-15.239231409067312</v>
      </c>
      <c r="N57" s="1223">
        <f xml:space="preserve"> I55/100 *  0.0557 + I56/100 * -0.204 + I57/100 *  1.057</f>
        <v>0.30745631108135918</v>
      </c>
      <c r="O57" s="1226">
        <f t="shared" si="48"/>
        <v>150.55196979242695</v>
      </c>
      <c r="Q57" s="1294">
        <v>220</v>
      </c>
      <c r="R57" s="1295">
        <f t="shared" si="49"/>
        <v>0.86274509803921573</v>
      </c>
      <c r="S57" s="1295">
        <f t="shared" si="50"/>
        <v>71.569350050648069</v>
      </c>
      <c r="T57" s="1295">
        <v>72.206084130205639</v>
      </c>
      <c r="U57" s="1295">
        <f>T57/$AI$43</f>
        <v>0.66315296354991726</v>
      </c>
      <c r="V57" s="1295">
        <f t="shared" si="51"/>
        <v>0.87204300928248757</v>
      </c>
      <c r="W57" s="1295">
        <f xml:space="preserve"> 200 * ( V56 - V57 )</f>
        <v>-28.196537054305047</v>
      </c>
      <c r="X57" s="1296"/>
      <c r="Y57" s="774">
        <f t="shared" si="52"/>
        <v>150.55196979242695</v>
      </c>
    </row>
    <row r="58" spans="1:56">
      <c r="A58" s="92">
        <v>18</v>
      </c>
      <c r="B58" s="93" t="s">
        <v>127</v>
      </c>
      <c r="C58" s="1397"/>
      <c r="D58" s="382">
        <f t="shared" si="2"/>
        <v>0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IF(F58^3&gt;0.008856,F58^3*$AI$37, (F58- 16 / 116 ) / 7.787*$AI$37)</f>
        <v>13.608750149830058</v>
      </c>
      <c r="H58" s="1216">
        <f>G58/SUM(G58:G60)</f>
        <v>0.21312678234962057</v>
      </c>
      <c r="I58" s="1216">
        <f t="array" ref="I58:I60">MMULT($AI$48:$AK$50,G58:G60)</f>
        <v>14.513962671267748</v>
      </c>
      <c r="J58" s="1216">
        <f>I58/SUM(I58:I60)</f>
        <v>0.19301690833904903</v>
      </c>
      <c r="K58" s="1216">
        <f>I58/$AI$41</f>
        <v>0.15270300663111669</v>
      </c>
      <c r="L58" s="1216">
        <f t="shared" si="46"/>
        <v>0.53450182948811376</v>
      </c>
      <c r="M58" s="1216">
        <f t="shared" ref="M58" si="67" xml:space="preserve"> 116 * L59  - 16</f>
        <v>51.562892750533919</v>
      </c>
      <c r="N58" s="1215">
        <f>I58/100*  3.2406 + I59/100 * -1.5372 + I60/100 * -0.4986</f>
        <v>-3.7427884985883397E-2</v>
      </c>
      <c r="O58" s="1218">
        <v>0</v>
      </c>
      <c r="Q58" s="1297">
        <v>90</v>
      </c>
      <c r="R58" s="1298">
        <f t="shared" si="49"/>
        <v>0.35294117647058826</v>
      </c>
      <c r="S58" s="1298">
        <f t="shared" si="50"/>
        <v>10.224173308810132</v>
      </c>
      <c r="T58" s="1298">
        <f t="array" ref="T58:T60">MMULT($AI$25:$AK$27,S58:S60)</f>
        <v>33.429034979107911</v>
      </c>
      <c r="U58" s="1298">
        <f>T58/$AI$41</f>
        <v>0.35171057454846455</v>
      </c>
      <c r="V58" s="1298">
        <f t="shared" si="51"/>
        <v>0.70587609645279914</v>
      </c>
      <c r="W58" s="1298">
        <f xml:space="preserve"> 116 * V59  - 16</f>
        <v>71.536924004673011</v>
      </c>
      <c r="X58" s="1299">
        <f>SQRT(( ( M58-W58 ) ^ 2 ) + ( ( M59 - W59 ) ^ 2 ) + ( (M60 - W60 ) ^ 2 ))</f>
        <v>22.803416013480884</v>
      </c>
      <c r="Y58" s="775">
        <f t="shared" si="52"/>
        <v>0</v>
      </c>
      <c r="BA58"/>
      <c r="BC58" s="42"/>
      <c r="BD58" s="42"/>
    </row>
    <row r="59" spans="1:56">
      <c r="A59" s="94"/>
      <c r="B59" s="95"/>
      <c r="C59" s="1397"/>
      <c r="D59" s="383">
        <f t="shared" si="2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IF(F59^3&gt;0.008856,F59^3*$AI$38, (F59- 16 / 116 ) / 7.787*$AI$38)</f>
        <v>19.301416385132129</v>
      </c>
      <c r="H59" s="1220">
        <f>G59/SUM(G58:G60)</f>
        <v>0.30227968943972605</v>
      </c>
      <c r="I59" s="1220">
        <v>19.758352992191142</v>
      </c>
      <c r="J59" s="1220">
        <f>I59/SUM(I58:I60)</f>
        <v>0.2627605082638137</v>
      </c>
      <c r="K59" s="1220">
        <f>I59/$AI$42</f>
        <v>0.19758352992191142</v>
      </c>
      <c r="L59" s="1220">
        <f t="shared" si="46"/>
        <v>0.58243873060805107</v>
      </c>
      <c r="M59" s="1220">
        <f t="shared" ref="M59" si="68" xml:space="preserve"> 500 * (L58 - L59 )</f>
        <v>-23.968450559968659</v>
      </c>
      <c r="N59" s="1219">
        <f xml:space="preserve"> I58/100 * -0.9689 + I59/100*  1.8758 + I60/100 *  0.0415</f>
        <v>0.24698443604398265</v>
      </c>
      <c r="O59" s="1222">
        <f t="shared" ref="O59:O60" si="69">IF(N59&gt; 0.0031308,(1.055 * (N59^ ( 1 / 2.4 ) ) - 0.055)*255, 12.92 * N59*255)</f>
        <v>136.1986469903801</v>
      </c>
      <c r="Q59" s="1297">
        <v>189</v>
      </c>
      <c r="R59" s="1298">
        <f t="shared" si="49"/>
        <v>0.74117647058823533</v>
      </c>
      <c r="S59" s="1298">
        <f t="shared" si="50"/>
        <v>50.888132085493375</v>
      </c>
      <c r="T59" s="1298">
        <v>42.973415984824193</v>
      </c>
      <c r="U59" s="1298">
        <f>T59/$AI$42</f>
        <v>0.42973415984824193</v>
      </c>
      <c r="V59" s="1298">
        <f t="shared" si="51"/>
        <v>0.7546286552126984</v>
      </c>
      <c r="W59" s="1298">
        <f xml:space="preserve"> 500 * (V58 - V59 )</f>
        <v>-24.376279379949629</v>
      </c>
      <c r="X59" s="1299"/>
      <c r="Y59" s="775">
        <f t="shared" si="52"/>
        <v>136.1986469903801</v>
      </c>
    </row>
    <row r="60" spans="1:56" ht="15.75" thickBot="1">
      <c r="A60" s="96"/>
      <c r="B60" s="97"/>
      <c r="C60" s="1398"/>
      <c r="D60" s="384">
        <f t="shared" si="2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IF(F60^3&gt;0.008856,F60^3*$AI$39, (F60- 16 / 116 ) / 7.787*$AI$39)</f>
        <v>30.942672605197082</v>
      </c>
      <c r="H60" s="1224">
        <f>G59</f>
        <v>19.301416385132129</v>
      </c>
      <c r="I60" s="1224">
        <v>40.922975755119111</v>
      </c>
      <c r="J60" s="1224">
        <f>I59</f>
        <v>19.758352992191142</v>
      </c>
      <c r="K60" s="1224">
        <f>I60/$AI$43</f>
        <v>0.37584357296473381</v>
      </c>
      <c r="L60" s="1224">
        <f t="shared" si="46"/>
        <v>0.72166511030647063</v>
      </c>
      <c r="M60" s="1224">
        <f t="shared" ref="M60" si="70" xml:space="preserve"> 200 * ( L59 - L60 )</f>
        <v>-27.845275939683912</v>
      </c>
      <c r="N60" s="1223">
        <f xml:space="preserve"> I58/100 *  0.0557 + I59/100 * -0.204 + I60/100 *  1.057</f>
        <v>0.40033309083543522</v>
      </c>
      <c r="O60" s="1226">
        <f t="shared" si="69"/>
        <v>169.68590110948557</v>
      </c>
      <c r="Q60" s="1300">
        <v>205</v>
      </c>
      <c r="R60" s="1301">
        <f t="shared" si="49"/>
        <v>0.80392156862745101</v>
      </c>
      <c r="S60" s="1301">
        <f t="shared" si="50"/>
        <v>61.049557080786478</v>
      </c>
      <c r="T60" s="1301">
        <v>64.278775780924747</v>
      </c>
      <c r="U60" s="1301">
        <f>T60/$AI$43</f>
        <v>0.59034721472520735</v>
      </c>
      <c r="V60" s="1301">
        <f t="shared" si="51"/>
        <v>0.83888514929268498</v>
      </c>
      <c r="W60" s="1301">
        <f xml:space="preserve"> 200 * ( V59 - V60 )</f>
        <v>-16.851298815997318</v>
      </c>
      <c r="X60" s="1302"/>
      <c r="Y60" s="776">
        <f t="shared" si="52"/>
        <v>169.68590110948557</v>
      </c>
    </row>
    <row r="61" spans="1:56" ht="15.75" customHeight="1" thickBot="1">
      <c r="A61" s="1390" t="s">
        <v>128</v>
      </c>
      <c r="B61" s="1391"/>
      <c r="C61" s="1391"/>
      <c r="D61" s="1391"/>
      <c r="E61" s="1391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Q61" s="1230"/>
      <c r="R61" s="330"/>
      <c r="S61" s="330"/>
      <c r="T61" s="330"/>
      <c r="U61" s="330"/>
      <c r="V61" s="330"/>
      <c r="W61" s="330"/>
      <c r="X61" s="349"/>
      <c r="Y61" s="1327"/>
    </row>
    <row r="62" spans="1:56">
      <c r="A62" s="92">
        <v>19</v>
      </c>
      <c r="B62" s="93" t="s">
        <v>129</v>
      </c>
      <c r="C62" s="1399"/>
      <c r="D62" s="382">
        <f t="shared" si="2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IF(F62^3&gt;0.008856,F62^3*$AI$37, (F62- 16 / 116 ) / 7.787*$AI$37)</f>
        <v>87.815122906722792</v>
      </c>
      <c r="H62" s="1216">
        <f>G62/SUM(G62:G64)</f>
        <v>0.34694698652697464</v>
      </c>
      <c r="I62" s="1216">
        <f t="array" ref="I62:I64">MMULT($AI$48:$AK$50,G62:G64)</f>
        <v>86.483089485732179</v>
      </c>
      <c r="J62" s="1216">
        <f>I62/SUM(I62:I64)</f>
        <v>0.31406139191257065</v>
      </c>
      <c r="K62" s="1216">
        <f>I62/$AI$41</f>
        <v>0.90989815023864173</v>
      </c>
      <c r="L62" s="1217">
        <f t="shared" ref="L62:L79" si="71">IF(K62&gt;0.008856,K62^(1/3),7.787*K62+16/116)</f>
        <v>0.96901595398130502</v>
      </c>
      <c r="M62" s="1217">
        <f t="shared" ref="M62" si="72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ref="O62:O79" si="73">IF(N62&gt; 0.0031308,(1.055 * (N62^ ( 1 / 2.4 ) ) - 0.055)*255, 12.92 * N62*255)</f>
        <v>244.94459763984261</v>
      </c>
      <c r="Q62" s="1303">
        <v>217</v>
      </c>
      <c r="R62" s="1304">
        <f t="shared" ref="R62:R79" si="74">Q62/255</f>
        <v>0.85098039215686272</v>
      </c>
      <c r="S62" s="1304">
        <f>IF(R62&gt;0.04045,(((R62+0.055)/1.055 )^2.4)*100, R62/12.92*100)</f>
        <v>69.387176129198991</v>
      </c>
      <c r="T62" s="1304">
        <f t="array" ref="T62:T64">MMULT($AI$25:$AK$27,S62:S64)</f>
        <v>98.139064878900896</v>
      </c>
      <c r="U62" s="1304">
        <f>T62/$AI$41</f>
        <v>1.032531956599376</v>
      </c>
      <c r="V62" s="1304">
        <f t="shared" ref="V62:V79" si="75">IF(U62&gt;0.008856,U62^(1/3),7.787*U62+16/116)</f>
        <v>1.0107284737674358</v>
      </c>
      <c r="W62" s="1304">
        <f xml:space="preserve"> 116 * V63  - 16</f>
        <v>111.87802609609025</v>
      </c>
      <c r="X62" s="1305">
        <f>SQRT(( ( M62-W62 ) ^ 2 ) + ( ( M63 - W63 ) ^ 2 ) + ( (M64 - W64 ) ^ 2 ))</f>
        <v>59.079966181593321</v>
      </c>
      <c r="Y62" s="761">
        <f t="shared" ref="Y62:Y79" si="76">O62</f>
        <v>244.94459763984261</v>
      </c>
    </row>
    <row r="63" spans="1:56">
      <c r="A63" s="94"/>
      <c r="B63" s="95"/>
      <c r="C63" s="1400"/>
      <c r="D63" s="383">
        <f t="shared" si="2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IF(F63^3&gt;0.008856,F63^3*$AI$38, (F63- 16 / 116 ) / 7.787*$AI$38)</f>
        <v>91.313541686750369</v>
      </c>
      <c r="H63" s="1220">
        <f>G63/SUM(G62:G64)</f>
        <v>0.36076881827034307</v>
      </c>
      <c r="I63" s="1220">
        <v>91.291238095968254</v>
      </c>
      <c r="J63" s="1220">
        <f>I63/SUM(I62:I64)</f>
        <v>0.33152207531359967</v>
      </c>
      <c r="K63" s="1220">
        <f>I63/$AI$42</f>
        <v>0.91291238095968252</v>
      </c>
      <c r="L63" s="1221">
        <f t="shared" si="71"/>
        <v>0.97008479825486504</v>
      </c>
      <c r="M63" s="1221">
        <f t="shared" ref="M63" si="77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73"/>
        <v>245.22561578043522</v>
      </c>
      <c r="Q63" s="1306">
        <v>313</v>
      </c>
      <c r="R63" s="1307">
        <f t="shared" si="74"/>
        <v>1.2274509803921569</v>
      </c>
      <c r="S63" s="1307">
        <f t="shared" ref="S63:S79" si="78">IF(R63&gt;0.04045,(((R63+0.055)/1.055 )^2.4)*100, R63/12.92*100)</f>
        <v>159.76879299324216</v>
      </c>
      <c r="T63" s="1307">
        <v>133.9719270131711</v>
      </c>
      <c r="U63" s="1307">
        <f>T63/$AI$42</f>
        <v>1.3397192701317109</v>
      </c>
      <c r="V63" s="1307">
        <f t="shared" si="75"/>
        <v>1.1023967766904332</v>
      </c>
      <c r="W63" s="1307">
        <f xml:space="preserve"> 500 * (V62 - V63 )</f>
        <v>-45.83415146149872</v>
      </c>
      <c r="X63" s="1308"/>
      <c r="Y63" s="762">
        <f t="shared" si="76"/>
        <v>245.22561578043522</v>
      </c>
    </row>
    <row r="64" spans="1:56" ht="15.75" thickBot="1">
      <c r="A64" s="96"/>
      <c r="B64" s="97"/>
      <c r="C64" s="1400"/>
      <c r="D64" s="384">
        <f t="shared" si="2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IF(F64^3&gt;0.008856,F64^3*$AI$39, (F64- 16 / 116 ) / 7.787*$AI$39)</f>
        <v>73.979522872784855</v>
      </c>
      <c r="H64" s="1224">
        <f>G63</f>
        <v>91.313541686750369</v>
      </c>
      <c r="I64" s="1224">
        <v>97.595685138002494</v>
      </c>
      <c r="J64" s="1224">
        <f>I63</f>
        <v>91.291238095968254</v>
      </c>
      <c r="K64" s="1224">
        <f>I64/$AI$43</f>
        <v>0.8963353796093283</v>
      </c>
      <c r="L64" s="1225">
        <f t="shared" si="71"/>
        <v>0.96417717527417512</v>
      </c>
      <c r="M64" s="1225">
        <f t="shared" ref="M64" si="79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73"/>
        <v>242.67159053813759</v>
      </c>
      <c r="Q64" s="1306">
        <v>216</v>
      </c>
      <c r="R64" s="1307">
        <f t="shared" si="74"/>
        <v>0.84705882352941175</v>
      </c>
      <c r="S64" s="1307">
        <f t="shared" si="78"/>
        <v>68.668531243531348</v>
      </c>
      <c r="T64" s="1307">
        <v>85.640673480720778</v>
      </c>
      <c r="U64" s="1307">
        <f>T64/$AI$43</f>
        <v>0.78653851823260545</v>
      </c>
      <c r="V64" s="1307">
        <f t="shared" si="75"/>
        <v>0.92308139680115164</v>
      </c>
      <c r="W64" s="1307">
        <f xml:space="preserve"> 200 * ( V63 - V64 )</f>
        <v>35.863075977856319</v>
      </c>
      <c r="X64" s="1308"/>
      <c r="Y64" s="762">
        <f t="shared" si="76"/>
        <v>242.67159053813759</v>
      </c>
    </row>
    <row r="65" spans="1:25">
      <c r="A65" s="92">
        <v>20</v>
      </c>
      <c r="B65" s="93" t="s">
        <v>130</v>
      </c>
      <c r="C65" s="1401"/>
      <c r="D65" s="382">
        <f t="shared" si="2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IF(F65^3&gt;0.008856,F65^3*$AI$37, (F65- 16 / 116 ) / 7.787*$AI$37)</f>
        <v>56.569247128485323</v>
      </c>
      <c r="H65" s="1216">
        <f>G65/SUM(G65:G67)</f>
        <v>0.34402428912881217</v>
      </c>
      <c r="I65" s="1216">
        <f t="array" ref="I65:I67">MMULT($AI$48:$AK$50,G65:G67)</f>
        <v>55.788819575678076</v>
      </c>
      <c r="J65" s="1216">
        <f>I65/SUM(I65:I67)</f>
        <v>0.31115296554234889</v>
      </c>
      <c r="K65" s="1216">
        <f>I65/$AI$41</f>
        <v>0.58696034146977893</v>
      </c>
      <c r="L65" s="1217">
        <f t="shared" si="71"/>
        <v>0.8372778192395478</v>
      </c>
      <c r="M65" s="1217">
        <f t="shared" ref="M65" si="80" xml:space="preserve"> 116 * L66  - 16</f>
        <v>81.264407867823977</v>
      </c>
      <c r="N65" s="1215">
        <f>I65/100*  3.2406 + I66/100 * -1.5372 + I67/100 * -0.4986</f>
        <v>0.57981984786745056</v>
      </c>
      <c r="O65" s="1218">
        <f t="shared" si="73"/>
        <v>200.34536911982687</v>
      </c>
      <c r="Q65" s="1309">
        <v>207</v>
      </c>
      <c r="R65" s="1310">
        <f t="shared" si="74"/>
        <v>0.81176470588235294</v>
      </c>
      <c r="S65" s="1310">
        <f t="shared" si="78"/>
        <v>62.39603916750761</v>
      </c>
      <c r="T65" s="1310">
        <f t="array" ref="T65:T67">MMULT($AI$25:$AK$27,S65:S67)</f>
        <v>57.629119281726865</v>
      </c>
      <c r="U65" s="1310">
        <f>T65/$AI$41</f>
        <v>0.6063223382297902</v>
      </c>
      <c r="V65" s="1310">
        <f t="shared" si="75"/>
        <v>0.8463848017766088</v>
      </c>
      <c r="W65" s="1310">
        <f xml:space="preserve"> 116 * V66  - 16</f>
        <v>81.943821785262642</v>
      </c>
      <c r="X65" s="1311">
        <f>SQRT(( ( M65-W65 ) ^ 2 ) + ( ( M66 - W66 ) ^ 2 ) + ( (M67 - W67 ) ^ 2 ))</f>
        <v>2.5221870817142773</v>
      </c>
      <c r="Y65" s="763">
        <f t="shared" si="76"/>
        <v>200.34536911982687</v>
      </c>
    </row>
    <row r="66" spans="1:25">
      <c r="A66" s="94"/>
      <c r="B66" s="95"/>
      <c r="C66" s="1401"/>
      <c r="D66" s="383">
        <f t="shared" si="2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IF(F66^3&gt;0.008856,F66^3*$AI$38, (F66- 16 / 116 ) / 7.787*$AI$38)</f>
        <v>58.937083331214446</v>
      </c>
      <c r="H66" s="1220">
        <f>G66/SUM(G65:G67)</f>
        <v>0.35842421855631845</v>
      </c>
      <c r="I66" s="1220">
        <v>58.950551710216978</v>
      </c>
      <c r="J66" s="1220">
        <f>I66/SUM(I65:I67)</f>
        <v>0.32878700650960413</v>
      </c>
      <c r="K66" s="1220">
        <f>I66/$AI$42</f>
        <v>0.58950551710216981</v>
      </c>
      <c r="L66" s="1221">
        <f t="shared" si="71"/>
        <v>0.83848627472262049</v>
      </c>
      <c r="M66" s="1221">
        <f t="shared" ref="M66" si="81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73"/>
        <v>202.21765470389457</v>
      </c>
      <c r="Q66" s="1309">
        <v>203</v>
      </c>
      <c r="R66" s="1310">
        <f t="shared" si="74"/>
        <v>0.79607843137254897</v>
      </c>
      <c r="S66" s="1310">
        <f t="shared" si="78"/>
        <v>59.720178836376334</v>
      </c>
      <c r="T66" s="1310">
        <v>60.194549858624889</v>
      </c>
      <c r="U66" s="1310">
        <f>T66/$AI$42</f>
        <v>0.60194549858624891</v>
      </c>
      <c r="V66" s="1310">
        <f t="shared" si="75"/>
        <v>0.84434329125226415</v>
      </c>
      <c r="W66" s="1310">
        <f xml:space="preserve"> 500 * (V65 - V66 )</f>
        <v>1.0207552621723237</v>
      </c>
      <c r="X66" s="1311"/>
      <c r="Y66" s="763">
        <f t="shared" si="76"/>
        <v>202.21765470389457</v>
      </c>
    </row>
    <row r="67" spans="1:25" ht="15.75" thickBot="1">
      <c r="A67" s="96"/>
      <c r="B67" s="97"/>
      <c r="C67" s="1401"/>
      <c r="D67" s="384">
        <f t="shared" si="2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IF(F67^3&gt;0.008856,F67^3*$AI$39, (F67- 16 / 116 ) / 7.787*$AI$39)</f>
        <v>48.92754504292278</v>
      </c>
      <c r="H67" s="1224">
        <f>G66</f>
        <v>58.937083331214446</v>
      </c>
      <c r="I67" s="1224">
        <v>64.557713279686695</v>
      </c>
      <c r="J67" s="1224">
        <f>I66</f>
        <v>58.950551710216978</v>
      </c>
      <c r="K67" s="1224">
        <f>I67/$AI$43</f>
        <v>0.59290902417904257</v>
      </c>
      <c r="L67" s="1225">
        <f t="shared" si="71"/>
        <v>0.84009684454997624</v>
      </c>
      <c r="M67" s="1225">
        <f t="shared" ref="M67" si="82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73"/>
        <v>202.39139072207513</v>
      </c>
      <c r="Q67" s="1309">
        <v>201</v>
      </c>
      <c r="R67" s="1310">
        <f t="shared" si="74"/>
        <v>0.78823529411764703</v>
      </c>
      <c r="S67" s="1310">
        <f t="shared" si="78"/>
        <v>58.407841789116411</v>
      </c>
      <c r="T67" s="1310">
        <v>63.829737861874705</v>
      </c>
      <c r="U67" s="1310">
        <f>T67/$AI$43</f>
        <v>0.58622317406642643</v>
      </c>
      <c r="V67" s="1310">
        <f t="shared" si="75"/>
        <v>0.83692715813555585</v>
      </c>
      <c r="W67" s="1310">
        <f xml:space="preserve"> 200 * ( V66 - V67 )</f>
        <v>1.4832266233416602</v>
      </c>
      <c r="X67" s="1311"/>
      <c r="Y67" s="763">
        <f t="shared" si="76"/>
        <v>202.39139072207513</v>
      </c>
    </row>
    <row r="68" spans="1:25">
      <c r="A68" s="92">
        <v>21</v>
      </c>
      <c r="B68" s="93" t="s">
        <v>131</v>
      </c>
      <c r="C68" s="1379"/>
      <c r="D68" s="382">
        <f t="shared" si="2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IF(F68^3&gt;0.008856,F68^3*$AI$37, (F68- 16 / 116 ) / 7.787*$AI$37)</f>
        <v>34.807647454138859</v>
      </c>
      <c r="H68" s="1216">
        <f>G68/SUM(G68:G70)</f>
        <v>0.34319113984126032</v>
      </c>
      <c r="I68" s="1216">
        <f t="array" ref="I68:I70">MMULT($AI$48:$AK$50,G68:G70)</f>
        <v>34.337921099816981</v>
      </c>
      <c r="J68" s="1216">
        <f>I68/SUM(I68:I70)</f>
        <v>0.31034444818578666</v>
      </c>
      <c r="K68" s="1216">
        <f>I68/$AI$41</f>
        <v>0.36127306595491687</v>
      </c>
      <c r="L68" s="1217">
        <f t="shared" si="71"/>
        <v>0.71221622249017846</v>
      </c>
      <c r="M68" s="1217">
        <f t="shared" ref="M68" si="83" xml:space="preserve"> 116 * L69  - 16</f>
        <v>66.775721536939102</v>
      </c>
      <c r="N68" s="1215">
        <f>I68/100*  3.2406 + I69/100 * -1.5372 + I70/100 * -0.4986</f>
        <v>0.35490601129233601</v>
      </c>
      <c r="O68" s="1218">
        <f t="shared" si="73"/>
        <v>160.69389383573181</v>
      </c>
      <c r="Q68" s="1312">
        <v>188</v>
      </c>
      <c r="R68" s="1313">
        <f t="shared" si="74"/>
        <v>0.73725490196078436</v>
      </c>
      <c r="S68" s="1313">
        <f t="shared" si="78"/>
        <v>50.28864580325687</v>
      </c>
      <c r="T68" s="1313">
        <f t="array" ref="T68:T70">MMULT($AI$25:$AK$27,S68:S70)</f>
        <v>45.914317034886572</v>
      </c>
      <c r="U68" s="1313">
        <f>T68/$AI$41</f>
        <v>0.4830696080348309</v>
      </c>
      <c r="V68" s="1313">
        <f t="shared" si="75"/>
        <v>0.78463902590772383</v>
      </c>
      <c r="W68" s="1313">
        <f xml:space="preserve"> 116 * V69  - 16</f>
        <v>74.942697604836297</v>
      </c>
      <c r="X68" s="1314">
        <f>SQRT(( ( M68-W68 ) ^ 2 ) + ( ( M69 - W69 ) ^ 2 ) + ( (M70 - W70 ) ^ 2 ))</f>
        <v>9.1621783156129819</v>
      </c>
      <c r="Y68" s="764">
        <f t="shared" si="76"/>
        <v>160.69389383573181</v>
      </c>
    </row>
    <row r="69" spans="1:25">
      <c r="A69" s="94"/>
      <c r="B69" s="95"/>
      <c r="C69" s="1379"/>
      <c r="D69" s="383">
        <f t="shared" si="2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IF(F69^3&gt;0.008856,F69^3*$AI$38, (F69- 16 / 116 ) / 7.787*$AI$38)</f>
        <v>36.323018537500005</v>
      </c>
      <c r="H69" s="1220">
        <f>G69/SUM(G68:G70)</f>
        <v>0.35813216480039922</v>
      </c>
      <c r="I69" s="1220">
        <v>36.335819338953193</v>
      </c>
      <c r="J69" s="1220">
        <f>I69/SUM(I68:I70)</f>
        <v>0.32840135456499631</v>
      </c>
      <c r="K69" s="1220">
        <f>I69/$AI$42</f>
        <v>0.36335819338953196</v>
      </c>
      <c r="L69" s="1221">
        <f t="shared" si="71"/>
        <v>0.71358380635292329</v>
      </c>
      <c r="M69" s="1221">
        <f t="shared" ref="M69" si="84" xml:space="preserve"> 500 * (L68 - L69 )</f>
        <v>-0.68379193137241279</v>
      </c>
      <c r="N69" s="1219">
        <f xml:space="preserve"> I68/100 * -0.9689 + I69/100*  1.8758 + I70/100 *  0.0415</f>
        <v>0.36547506663615681</v>
      </c>
      <c r="O69" s="1222">
        <f t="shared" si="73"/>
        <v>162.84331466380013</v>
      </c>
      <c r="Q69" s="1312">
        <v>184</v>
      </c>
      <c r="R69" s="1313">
        <f t="shared" si="74"/>
        <v>0.72156862745098038</v>
      </c>
      <c r="S69" s="1313">
        <f t="shared" si="78"/>
        <v>47.932018310082682</v>
      </c>
      <c r="T69" s="1313">
        <v>48.186960106368254</v>
      </c>
      <c r="U69" s="1313">
        <f>T69/$AI$42</f>
        <v>0.48186960106368254</v>
      </c>
      <c r="V69" s="1313">
        <f t="shared" si="75"/>
        <v>0.78398877245548526</v>
      </c>
      <c r="W69" s="1313">
        <f xml:space="preserve"> 500 * (V68 - V69 )</f>
        <v>0.32512672611928473</v>
      </c>
      <c r="X69" s="1314"/>
      <c r="Y69" s="764">
        <f t="shared" si="76"/>
        <v>162.84331466380013</v>
      </c>
    </row>
    <row r="70" spans="1:25" ht="15.75" thickBot="1">
      <c r="A70" s="96"/>
      <c r="B70" s="97"/>
      <c r="C70" s="1379"/>
      <c r="D70" s="384">
        <f t="shared" ref="D70:D79" si="85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IF(F70^3&gt;0.008856,F70^3*$AI$39, (F70- 16 / 116 ) / 7.787*$AI$39)</f>
        <v>30.292836579665259</v>
      </c>
      <c r="H70" s="1224">
        <f>G69</f>
        <v>36.323018537500005</v>
      </c>
      <c r="I70" s="1224">
        <v>39.970807258312185</v>
      </c>
      <c r="J70" s="1224">
        <f>I69</f>
        <v>36.335819338953193</v>
      </c>
      <c r="K70" s="1224">
        <f>I70/$AI$43</f>
        <v>0.36709869546496871</v>
      </c>
      <c r="L70" s="1225">
        <f t="shared" si="71"/>
        <v>0.71602405656155932</v>
      </c>
      <c r="M70" s="1225">
        <f t="shared" ref="M70" si="86" xml:space="preserve"> 200 * ( L69 - L70 )</f>
        <v>-0.48805004172720601</v>
      </c>
      <c r="N70" s="1223">
        <f xml:space="preserve"> I68/100 *  0.0557 + I69/100 * -0.204 + I70/100 *  1.057</f>
        <v>0.36749258332149332</v>
      </c>
      <c r="O70" s="1226">
        <f t="shared" si="73"/>
        <v>163.24947770284862</v>
      </c>
      <c r="Q70" s="1312">
        <v>178</v>
      </c>
      <c r="R70" s="1313">
        <f t="shared" si="74"/>
        <v>0.69803921568627447</v>
      </c>
      <c r="S70" s="1313">
        <f t="shared" si="78"/>
        <v>44.52011945162279</v>
      </c>
      <c r="T70" s="1313">
        <v>48.993040822877852</v>
      </c>
      <c r="U70" s="1313">
        <f>T70/$AI$43</f>
        <v>0.44996042378404211</v>
      </c>
      <c r="V70" s="1313">
        <f t="shared" si="75"/>
        <v>0.76628696682562236</v>
      </c>
      <c r="W70" s="1313">
        <f xml:space="preserve"> 200 * ( V69 - V70 )</f>
        <v>3.5403611259725798</v>
      </c>
      <c r="X70" s="1314"/>
      <c r="Y70" s="764">
        <f t="shared" si="76"/>
        <v>163.24947770284862</v>
      </c>
    </row>
    <row r="71" spans="1:25">
      <c r="A71" s="92">
        <v>22</v>
      </c>
      <c r="B71" s="93" t="s">
        <v>132</v>
      </c>
      <c r="C71" s="1380"/>
      <c r="D71" s="382">
        <f t="shared" si="85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IF(F71^3&gt;0.008856,F71^3*$AI$37, (F71- 16 / 116 ) / 7.787*$AI$37)</f>
        <v>18.43936121807641</v>
      </c>
      <c r="H71" s="1216">
        <f>G71/SUM(G71:G73)</f>
        <v>0.34459067138088834</v>
      </c>
      <c r="I71" s="1216">
        <f t="array" ref="I71:I73">MMULT($AI$48:$AK$50,G71:G73)</f>
        <v>18.184329325516259</v>
      </c>
      <c r="J71" s="1216">
        <f>I71/SUM(I71:I73)</f>
        <v>0.31167001185498577</v>
      </c>
      <c r="K71" s="1216">
        <f>I71/$AI$41</f>
        <v>0.19131934017397981</v>
      </c>
      <c r="L71" s="1217">
        <f t="shared" si="71"/>
        <v>0.57621729778570396</v>
      </c>
      <c r="M71" s="1217">
        <f t="shared" ref="M71" si="87" xml:space="preserve"> 116 * L72  - 16</f>
        <v>50.870690052543708</v>
      </c>
      <c r="N71" s="1215">
        <f>I71/100*  3.2406 + I72/100 * -1.5372 + I73/100 * -0.4986</f>
        <v>0.19007386551273386</v>
      </c>
      <c r="O71" s="1218">
        <f t="shared" si="73"/>
        <v>120.66757106732852</v>
      </c>
      <c r="Q71" s="1315">
        <v>170</v>
      </c>
      <c r="R71" s="1316">
        <f t="shared" si="74"/>
        <v>0.66666666666666663</v>
      </c>
      <c r="S71" s="1316">
        <f t="shared" si="78"/>
        <v>40.197777983219574</v>
      </c>
      <c r="T71" s="1316">
        <f t="array" ref="T71:T73">MMULT($AI$25:$AK$27,S71:S73)</f>
        <v>36.197817613868054</v>
      </c>
      <c r="U71" s="1316">
        <f>T71/$AI$41</f>
        <v>0.38084124289949239</v>
      </c>
      <c r="V71" s="1316">
        <f t="shared" si="75"/>
        <v>0.7248497463652781</v>
      </c>
      <c r="W71" s="1316">
        <f xml:space="preserve"> 116 * V72  - 16</f>
        <v>67.327506142049671</v>
      </c>
      <c r="X71" s="1317">
        <f>SQRT(( ( M71-W71 ) ^ 2 ) + ( ( M72 - W72 ) ^ 2 ) + ( (M73 - W73 ) ^ 2 ))</f>
        <v>16.802714218311497</v>
      </c>
      <c r="Y71" s="765">
        <f t="shared" si="76"/>
        <v>120.66757106732852</v>
      </c>
    </row>
    <row r="72" spans="1:25">
      <c r="A72" s="94"/>
      <c r="B72" s="95"/>
      <c r="C72" s="1380"/>
      <c r="D72" s="383">
        <f t="shared" si="85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IF(F72^3&gt;0.008856,F72^3*$AI$38, (F72- 16 / 116 ) / 7.787*$AI$38)</f>
        <v>19.154091120507889</v>
      </c>
      <c r="H72" s="1220">
        <f>G72/SUM(G71:G73)</f>
        <v>0.35794738444822705</v>
      </c>
      <c r="I72" s="1220">
        <v>19.157262348610743</v>
      </c>
      <c r="J72" s="1220">
        <f>I72/SUM(I71:I73)</f>
        <v>0.32834558131997932</v>
      </c>
      <c r="K72" s="1220">
        <f>I72/$AI$42</f>
        <v>0.19157262348610743</v>
      </c>
      <c r="L72" s="1221">
        <f t="shared" si="71"/>
        <v>0.57647146597020438</v>
      </c>
      <c r="M72" s="1221">
        <f t="shared" ref="M72" si="88" xml:space="preserve"> 500 * (L71 - L72 )</f>
        <v>-0.127084092250207</v>
      </c>
      <c r="N72" s="1219">
        <f xml:space="preserve"> I71/100 * -0.9689 + I72/100*  1.8758 + I73/100 *  0.0415</f>
        <v>0.1918802981706797</v>
      </c>
      <c r="O72" s="1222">
        <f t="shared" si="73"/>
        <v>121.19947386215865</v>
      </c>
      <c r="Q72" s="1315">
        <v>162</v>
      </c>
      <c r="R72" s="1316">
        <f t="shared" si="74"/>
        <v>0.63529411764705879</v>
      </c>
      <c r="S72" s="1316">
        <f t="shared" si="78"/>
        <v>36.130677978350953</v>
      </c>
      <c r="T72" s="1316">
        <v>37.067319819778874</v>
      </c>
      <c r="U72" s="1316">
        <f>T72/$AI$42</f>
        <v>0.37067319819778871</v>
      </c>
      <c r="V72" s="1316">
        <f t="shared" si="75"/>
        <v>0.71834057019008335</v>
      </c>
      <c r="W72" s="1316">
        <f xml:space="preserve"> 500 * (V71 - V72 )</f>
        <v>3.2545880875973765</v>
      </c>
      <c r="X72" s="1317"/>
      <c r="Y72" s="765">
        <f t="shared" si="76"/>
        <v>121.19947386215865</v>
      </c>
    </row>
    <row r="73" spans="1:25" ht="15.75" thickBot="1">
      <c r="A73" s="96"/>
      <c r="B73" s="97"/>
      <c r="C73" s="1380"/>
      <c r="D73" s="384">
        <f t="shared" si="85"/>
        <v>121.54290035174313</v>
      </c>
      <c r="E73" s="372">
        <v>-0.27</v>
      </c>
      <c r="F73" s="1223">
        <f>F72 - E73 / 200</f>
        <v>0.57778965517241365</v>
      </c>
      <c r="G73" s="1223">
        <f>IF(F73^3&gt;0.008856,F73^3*$AI$39, (F73- 16 / 116 ) / 7.787*$AI$39)</f>
        <v>15.917460026465561</v>
      </c>
      <c r="H73" s="1224">
        <f>G72</f>
        <v>19.154091120507889</v>
      </c>
      <c r="I73" s="1224">
        <v>21.003223784015592</v>
      </c>
      <c r="J73" s="1224">
        <f>I72</f>
        <v>19.157262348610743</v>
      </c>
      <c r="K73" s="1224">
        <f>I73/$AI$43</f>
        <v>0.19289718123137306</v>
      </c>
      <c r="L73" s="1225">
        <f t="shared" si="71"/>
        <v>0.57779701491624003</v>
      </c>
      <c r="M73" s="1225">
        <f t="shared" ref="M73" si="89" xml:space="preserve"> 200 * ( L72 - L73 )</f>
        <v>-0.26510978920712969</v>
      </c>
      <c r="N73" s="1223">
        <f xml:space="preserve"> I71/100 *  0.0557 + I72/100 * -0.204 + I73/100 *  1.057</f>
        <v>0.19305193164019147</v>
      </c>
      <c r="O73" s="1226">
        <f t="shared" si="73"/>
        <v>121.54290035174313</v>
      </c>
      <c r="Q73" s="1315">
        <v>164</v>
      </c>
      <c r="R73" s="1316">
        <f t="shared" si="74"/>
        <v>0.64313725490196083</v>
      </c>
      <c r="S73" s="1316">
        <f t="shared" si="78"/>
        <v>37.123768047414913</v>
      </c>
      <c r="T73" s="1316">
        <v>40.362536572252758</v>
      </c>
      <c r="U73" s="1316">
        <f>T73/$AI$43</f>
        <v>0.37069640414254529</v>
      </c>
      <c r="V73" s="1316">
        <f t="shared" si="75"/>
        <v>0.71835556041490656</v>
      </c>
      <c r="W73" s="1316">
        <f xml:space="preserve"> 200 * ( V72 - V73 )</f>
        <v>-2.9980449646416218E-3</v>
      </c>
      <c r="X73" s="1317"/>
      <c r="Y73" s="765">
        <f t="shared" si="76"/>
        <v>121.54290035174313</v>
      </c>
    </row>
    <row r="74" spans="1:25">
      <c r="A74" s="92">
        <v>23</v>
      </c>
      <c r="B74" s="93" t="s">
        <v>133</v>
      </c>
      <c r="C74" s="1381"/>
      <c r="D74" s="382">
        <f t="shared" si="85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IF(F74^3&gt;0.008856,F74^3*$AI$37, (F74- 16 / 116 ) / 7.787*$AI$37)</f>
        <v>8.4663972666156759</v>
      </c>
      <c r="H74" s="1216">
        <f>G74/SUM(G74:G76)</f>
        <v>0.34014730083358202</v>
      </c>
      <c r="I74" s="1216">
        <f t="array" ref="I74:I76">MMULT($AI$48:$AK$50,G74:G76)</f>
        <v>8.3664692366306088</v>
      </c>
      <c r="J74" s="1216">
        <f>I74/SUM(I74:I76)</f>
        <v>0.30728973096477313</v>
      </c>
      <c r="K74" s="1216">
        <f>I74/$AI$41</f>
        <v>8.8024548240666287E-2</v>
      </c>
      <c r="L74" s="1217">
        <f t="shared" si="71"/>
        <v>0.44483737396442985</v>
      </c>
      <c r="M74" s="1217">
        <f t="shared" ref="M74" si="90" xml:space="preserve"> 116 * L75  - 16</f>
        <v>35.671205048177505</v>
      </c>
      <c r="N74" s="1215">
        <f>I74/100*  3.2406 + I75/100 * -1.5372 + I76/100 * -0.4986</f>
        <v>8.5291721079064992E-2</v>
      </c>
      <c r="O74" s="1218">
        <f t="shared" si="73"/>
        <v>82.432760070363386</v>
      </c>
      <c r="Q74" s="1318">
        <v>138</v>
      </c>
      <c r="R74" s="1319">
        <f t="shared" si="74"/>
        <v>0.54117647058823526</v>
      </c>
      <c r="S74" s="1319">
        <f t="shared" si="78"/>
        <v>25.415209433082676</v>
      </c>
      <c r="T74" s="1319">
        <f t="array" ref="T74:T76">MMULT($AI$25:$AK$27,S74:S76)</f>
        <v>23.675687974363154</v>
      </c>
      <c r="U74" s="1319">
        <f>T74/$AI$41</f>
        <v>0.2490945319090887</v>
      </c>
      <c r="V74" s="1319">
        <f t="shared" si="75"/>
        <v>0.62919905935728648</v>
      </c>
      <c r="W74" s="1319">
        <f xml:space="preserve"> 116 * V75  - 16</f>
        <v>56.189259359052954</v>
      </c>
      <c r="X74" s="1320">
        <f>SQRT(( ( M74-W74 ) ^ 2 ) + ( ( M75 - W75 ) ^ 2 ) + ( (M76 - W76 ) ^ 2 ))</f>
        <v>20.994692846105682</v>
      </c>
      <c r="Y74" s="766">
        <f t="shared" si="76"/>
        <v>82.432760070363386</v>
      </c>
    </row>
    <row r="75" spans="1:25">
      <c r="A75" s="94"/>
      <c r="B75" s="95"/>
      <c r="C75" s="1381"/>
      <c r="D75" s="383">
        <f t="shared" si="85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IF(F75^3&gt;0.008856,F75^3*$AI$38, (F75- 16 / 116 ) / 7.787*$AI$38)</f>
        <v>8.830562171241132</v>
      </c>
      <c r="H75" s="1220">
        <f>G75/SUM(G74:G76)</f>
        <v>0.35477804700174326</v>
      </c>
      <c r="I75" s="1220">
        <v>8.8383623483462674</v>
      </c>
      <c r="J75" s="1220">
        <f>I75/SUM(I74:I76)</f>
        <v>0.32462176234407364</v>
      </c>
      <c r="K75" s="1220">
        <f>I75/$AI$42</f>
        <v>8.8383623483462681E-2</v>
      </c>
      <c r="L75" s="1221">
        <f t="shared" si="71"/>
        <v>0.44544142282911642</v>
      </c>
      <c r="M75" s="1221">
        <f t="shared" ref="M75" si="91" xml:space="preserve"> 500 * (L74 - L75 )</f>
        <v>-0.30202443234328413</v>
      </c>
      <c r="N75" s="1219">
        <f xml:space="preserve"> I74/100 * -0.9689 + I75/100*  1.8758 + I76/100 *  0.0415</f>
        <v>8.8886334170558357E-2</v>
      </c>
      <c r="O75" s="1222">
        <f t="shared" si="73"/>
        <v>84.106225276765315</v>
      </c>
      <c r="Q75" s="1318">
        <v>133</v>
      </c>
      <c r="R75" s="1319">
        <f t="shared" si="74"/>
        <v>0.52156862745098043</v>
      </c>
      <c r="S75" s="1319">
        <f t="shared" si="78"/>
        <v>23.455058216100525</v>
      </c>
      <c r="T75" s="1319">
        <v>24.101484356278075</v>
      </c>
      <c r="U75" s="1319">
        <f>T75/$AI$42</f>
        <v>0.24101484356278075</v>
      </c>
      <c r="V75" s="1319">
        <f t="shared" si="75"/>
        <v>0.62232120137114622</v>
      </c>
      <c r="W75" s="1319">
        <f xml:space="preserve"> 500 * (V74 - V75 )</f>
        <v>3.4389289930701339</v>
      </c>
      <c r="X75" s="1320"/>
      <c r="Y75" s="766">
        <f t="shared" si="76"/>
        <v>84.106225276765315</v>
      </c>
    </row>
    <row r="76" spans="1:25" ht="15.75" thickBot="1">
      <c r="A76" s="96"/>
      <c r="B76" s="97"/>
      <c r="C76" s="1381"/>
      <c r="D76" s="384">
        <f t="shared" si="85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IF(F76^3&gt;0.008856,F76^3*$AI$39, (F76- 16 / 116 ) / 7.787*$AI$39)</f>
        <v>7.5934255390855299</v>
      </c>
      <c r="H76" s="1224">
        <f>G75</f>
        <v>8.830562171241132</v>
      </c>
      <c r="I76" s="1224">
        <v>10.02181608191089</v>
      </c>
      <c r="J76" s="1224">
        <f>I75</f>
        <v>8.8383623483462674</v>
      </c>
      <c r="K76" s="1224">
        <f>I76/$AI$43</f>
        <v>9.2042064251636066E-2</v>
      </c>
      <c r="L76" s="1225">
        <f t="shared" si="71"/>
        <v>0.45150453490012216</v>
      </c>
      <c r="M76" s="1225">
        <f t="shared" ref="M76" si="92" xml:space="preserve"> 200 * ( L75 - L76 )</f>
        <v>-1.2126224142011477</v>
      </c>
      <c r="N76" s="1223">
        <f xml:space="preserve"> I74/100 *  0.0557 + I75/100 * -0.204 + I76/100 *  1.057</f>
        <v>9.2560460159974961E-2</v>
      </c>
      <c r="O76" s="1226">
        <f t="shared" si="73"/>
        <v>85.776392403274841</v>
      </c>
      <c r="Q76" s="1318">
        <v>141</v>
      </c>
      <c r="R76" s="1319">
        <f t="shared" si="74"/>
        <v>0.55294117647058827</v>
      </c>
      <c r="S76" s="1319">
        <f t="shared" si="78"/>
        <v>26.635560480286248</v>
      </c>
      <c r="T76" s="1319">
        <v>28.59891274676572</v>
      </c>
      <c r="U76" s="1319">
        <f>T76/$AI$43</f>
        <v>0.2626572811804021</v>
      </c>
      <c r="V76" s="1319">
        <f t="shared" si="75"/>
        <v>0.64041743696347231</v>
      </c>
      <c r="W76" s="1319">
        <f xml:space="preserve"> 200 * ( V75 - V76 )</f>
        <v>-3.6192471184652186</v>
      </c>
      <c r="X76" s="1320"/>
      <c r="Y76" s="766">
        <f t="shared" si="76"/>
        <v>85.776392403274841</v>
      </c>
    </row>
    <row r="77" spans="1:25">
      <c r="A77" s="92">
        <v>24</v>
      </c>
      <c r="B77" s="93" t="s">
        <v>134</v>
      </c>
      <c r="C77" s="1382"/>
      <c r="D77" s="382">
        <f t="shared" si="85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IF(F77^3&gt;0.008856,F77^3*$AI$37, (F77- 16 / 116 ) / 7.787*$AI$37)</f>
        <v>2.9897357488456109</v>
      </c>
      <c r="H77" s="1216">
        <f>G77/SUM(G77:G79)</f>
        <v>0.34057446099560401</v>
      </c>
      <c r="I77" s="1216">
        <f t="array" ref="I77:I79">MMULT($AI$48:$AK$50,G77:G79)</f>
        <v>2.9548703214714056</v>
      </c>
      <c r="J77" s="1216">
        <f>I77/SUM(I77:I79)</f>
        <v>0.30764660220912321</v>
      </c>
      <c r="K77" s="1216">
        <f>I77/$AI$41</f>
        <v>3.1088517485784988E-2</v>
      </c>
      <c r="L77" s="1217">
        <f t="shared" si="71"/>
        <v>0.31443677800446584</v>
      </c>
      <c r="M77" s="1217">
        <f t="shared" ref="M77" si="93" xml:space="preserve"> 116 * L78  - 16</f>
        <v>20.471432931123296</v>
      </c>
      <c r="N77" s="1215">
        <f>I77/100*  3.2406 + I78/100 * -1.5372 + I79/100 * -0.4986</f>
        <v>3.0319253007234818E-2</v>
      </c>
      <c r="O77" s="1218">
        <f t="shared" si="73"/>
        <v>48.661691226720095</v>
      </c>
      <c r="Q77" s="1321">
        <v>106</v>
      </c>
      <c r="R77" s="1322">
        <f t="shared" si="74"/>
        <v>0.41568627450980394</v>
      </c>
      <c r="S77" s="1322">
        <f t="shared" si="78"/>
        <v>14.412847085805778</v>
      </c>
      <c r="T77" s="1322">
        <f t="array" ref="T77:T79">MMULT($AI$25:$AK$27,S77:S79)</f>
        <v>11.948741091532126</v>
      </c>
      <c r="U77" s="1322">
        <f>T77/$AI$41</f>
        <v>0.12571402665557174</v>
      </c>
      <c r="V77" s="1322">
        <f t="shared" si="75"/>
        <v>0.50095022852825866</v>
      </c>
      <c r="W77" s="1322">
        <f xml:space="preserve"> 116 * V78  - 16</f>
        <v>40.108211056848575</v>
      </c>
      <c r="X77" s="1323">
        <f>SQRT(( ( M77-W77 ) ^ 2 ) + ( ( M78 - W78 ) ^ 2 ) + ( (M79 - W79 ) ^ 2 ))</f>
        <v>21.641153436270848</v>
      </c>
      <c r="Y77" s="767">
        <f t="shared" si="76"/>
        <v>48.661691226720095</v>
      </c>
    </row>
    <row r="78" spans="1:25">
      <c r="A78" s="94"/>
      <c r="B78" s="95"/>
      <c r="C78" s="1382"/>
      <c r="D78" s="383">
        <f t="shared" si="85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IF(F78^3&gt;0.008856,F78^3*$AI$38, (F78- 16 / 116 ) / 7.787*$AI$38)</f>
        <v>3.1053586043004144</v>
      </c>
      <c r="H78" s="1220">
        <f>G78/SUM(G77:G79)</f>
        <v>0.3537455888086547</v>
      </c>
      <c r="I78" s="1220">
        <v>3.1080250641062577</v>
      </c>
      <c r="J78" s="1220">
        <f>I78/SUM(I77:I79)</f>
        <v>0.32359232268336802</v>
      </c>
      <c r="K78" s="1220">
        <f>I78/$AI$42</f>
        <v>3.1080250641062578E-2</v>
      </c>
      <c r="L78" s="1221">
        <f t="shared" si="71"/>
        <v>0.31440890457864912</v>
      </c>
      <c r="M78" s="1221">
        <f t="shared" ref="M78" si="94" xml:space="preserve"> 500 * (L77 - L78 )</f>
        <v>1.3936712908363402E-2</v>
      </c>
      <c r="N78" s="1219">
        <f xml:space="preserve"> I77/100 * -0.9689 + I78/100*  1.8758 + I79/100 *  0.0415</f>
        <v>3.1140467456574263E-2</v>
      </c>
      <c r="O78" s="1222">
        <f t="shared" si="73"/>
        <v>49.363641330697085</v>
      </c>
      <c r="Q78" s="1321">
        <v>90</v>
      </c>
      <c r="R78" s="1322">
        <f t="shared" si="74"/>
        <v>0.35294117647058826</v>
      </c>
      <c r="S78" s="1322">
        <f t="shared" si="78"/>
        <v>10.224173308810132</v>
      </c>
      <c r="T78" s="1322">
        <v>11.316322042484414</v>
      </c>
      <c r="U78" s="1322">
        <f>T78/$AI$42</f>
        <v>0.11316322042484414</v>
      </c>
      <c r="V78" s="1322">
        <f t="shared" si="75"/>
        <v>0.48369147462800494</v>
      </c>
      <c r="W78" s="1322">
        <f xml:space="preserve"> 500 * (V77 - V78 )</f>
        <v>8.6293769501268596</v>
      </c>
      <c r="X78" s="1323"/>
      <c r="Y78" s="767">
        <f t="shared" si="76"/>
        <v>49.363641330697085</v>
      </c>
    </row>
    <row r="79" spans="1:25" ht="15.75" thickBot="1">
      <c r="A79" s="96"/>
      <c r="B79" s="97"/>
      <c r="C79" s="1383"/>
      <c r="D79" s="384">
        <f t="shared" si="85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IF(F79^3&gt;0.008856,F79^3*$AI$39, (F79- 16 / 116 ) / 7.787*$AI$39)</f>
        <v>2.6834139945019237</v>
      </c>
      <c r="H79" s="1224">
        <f>G78</f>
        <v>3.1053586043004144</v>
      </c>
      <c r="I79" s="1224">
        <v>3.5418598766398226</v>
      </c>
      <c r="J79" s="1224">
        <f>I78</f>
        <v>3.1080250641062577</v>
      </c>
      <c r="K79" s="1224">
        <f>I79/$AI$43</f>
        <v>3.2529043805183754E-2</v>
      </c>
      <c r="L79" s="1225">
        <f t="shared" si="71"/>
        <v>0.31922024931181825</v>
      </c>
      <c r="M79" s="1225">
        <f t="shared" ref="M79" si="95" xml:space="preserve"> 200 * ( L78 - L79 )</f>
        <v>-0.96226894663382634</v>
      </c>
      <c r="N79" s="1223">
        <f xml:space="preserve"> I77/100 *  0.0557 + I78/100 * -0.204 + I79/100 *  1.057</f>
        <v>3.2742950534365732E-2</v>
      </c>
      <c r="O79" s="1226">
        <f t="shared" si="73"/>
        <v>50.702931476399115</v>
      </c>
      <c r="Q79" s="1324">
        <v>101</v>
      </c>
      <c r="R79" s="1325">
        <f t="shared" si="74"/>
        <v>0.396078431372549</v>
      </c>
      <c r="S79" s="1325">
        <f t="shared" si="78"/>
        <v>13.013647669036432</v>
      </c>
      <c r="T79" s="1325">
        <v>13.864218945136722</v>
      </c>
      <c r="U79" s="1325">
        <f>T79/$AI$43</f>
        <v>0.1273313459873141</v>
      </c>
      <c r="V79" s="1325">
        <f t="shared" si="75"/>
        <v>0.50308933403412737</v>
      </c>
      <c r="W79" s="1325">
        <f xml:space="preserve"> 200 * ( V78 - V79 )</f>
        <v>-3.8795718812244862</v>
      </c>
      <c r="X79" s="1326"/>
      <c r="Y79" s="768">
        <f t="shared" si="76"/>
        <v>50.702931476399115</v>
      </c>
    </row>
    <row r="80" spans="1:25">
      <c r="D80" s="663"/>
    </row>
    <row r="81" spans="4:25">
      <c r="D81" s="663"/>
      <c r="T81" s="183" t="s">
        <v>182</v>
      </c>
      <c r="X81" s="347">
        <f>SUM(X5:X80)</f>
        <v>591.00032554677944</v>
      </c>
      <c r="Y81" s="386"/>
    </row>
    <row r="82" spans="4:25">
      <c r="D82" s="663"/>
      <c r="X82" s="347">
        <f>X81/24</f>
        <v>24.625013564449144</v>
      </c>
      <c r="Y82" s="386"/>
    </row>
    <row r="83" spans="4:25">
      <c r="D83" s="663"/>
    </row>
    <row r="84" spans="4:25">
      <c r="D84" s="663"/>
    </row>
    <row r="85" spans="4:25">
      <c r="D85" s="663"/>
      <c r="T85" s="183" t="s">
        <v>183</v>
      </c>
      <c r="X85" s="347">
        <f>SUM(X5:X60)</f>
        <v>460.79743346717078</v>
      </c>
      <c r="Y85" s="73"/>
    </row>
    <row r="86" spans="4:25">
      <c r="D86" s="663"/>
      <c r="X86" s="347">
        <f t="shared" ref="X86" si="96">X85/18</f>
        <v>25.59985741484282</v>
      </c>
      <c r="Y86" s="73"/>
    </row>
    <row r="87" spans="4:25">
      <c r="D87" s="663"/>
    </row>
    <row r="88" spans="4:25">
      <c r="D88" s="663"/>
    </row>
    <row r="89" spans="4:25">
      <c r="D89" s="663"/>
    </row>
    <row r="90" spans="4:25">
      <c r="D90" s="663"/>
    </row>
    <row r="91" spans="4:25">
      <c r="D91" s="663"/>
    </row>
    <row r="92" spans="4:25">
      <c r="D92" s="663"/>
    </row>
    <row r="93" spans="4:25">
      <c r="D93" s="663"/>
    </row>
    <row r="94" spans="4:25">
      <c r="D94" s="663"/>
    </row>
    <row r="95" spans="4:25">
      <c r="D95" s="663"/>
    </row>
    <row r="96" spans="4:25">
      <c r="D96" s="663"/>
    </row>
    <row r="97" spans="4:15">
      <c r="D97" s="663"/>
    </row>
    <row r="98" spans="4:15">
      <c r="D98" s="663"/>
      <c r="F98" s="379"/>
      <c r="G98" s="379"/>
      <c r="H98" s="379"/>
      <c r="I98" s="380"/>
    </row>
    <row r="99" spans="4:15">
      <c r="D99" s="663"/>
      <c r="I99" s="380"/>
    </row>
    <row r="100" spans="4:15">
      <c r="D100" s="663"/>
      <c r="I100" s="380"/>
    </row>
    <row r="101" spans="4:15">
      <c r="D101" s="663"/>
    </row>
    <row r="102" spans="4:15">
      <c r="D102" s="663"/>
      <c r="F102" s="379"/>
      <c r="G102" s="379"/>
      <c r="H102" s="379"/>
      <c r="J102" s="380"/>
      <c r="K102" s="380"/>
      <c r="L102" s="380"/>
      <c r="M102" s="380"/>
      <c r="N102" s="380"/>
      <c r="O102" s="380"/>
    </row>
    <row r="103" spans="4:15">
      <c r="D103" s="663"/>
      <c r="J103" s="380"/>
      <c r="K103" s="380"/>
      <c r="L103" s="380"/>
      <c r="M103" s="380"/>
      <c r="N103" s="380"/>
      <c r="O103" s="380"/>
    </row>
    <row r="104" spans="4:15">
      <c r="D104" s="663"/>
      <c r="J104" s="380"/>
      <c r="K104" s="380"/>
      <c r="L104" s="380"/>
      <c r="M104" s="380"/>
      <c r="N104" s="380"/>
      <c r="O104" s="380"/>
    </row>
    <row r="105" spans="4:15">
      <c r="D105" s="663"/>
    </row>
    <row r="106" spans="4:15">
      <c r="D106" s="663"/>
    </row>
  </sheetData>
  <mergeCells count="42">
    <mergeCell ref="AA2:AY2"/>
    <mergeCell ref="C3:D3"/>
    <mergeCell ref="AA3:AA4"/>
    <mergeCell ref="AB3:AY3"/>
    <mergeCell ref="Q2:Y2"/>
    <mergeCell ref="AA6:AA8"/>
    <mergeCell ref="C8:C10"/>
    <mergeCell ref="AA10:AA12"/>
    <mergeCell ref="C11:C13"/>
    <mergeCell ref="C14:C16"/>
    <mergeCell ref="AA14:AA37"/>
    <mergeCell ref="C33:C35"/>
    <mergeCell ref="C36:C38"/>
    <mergeCell ref="AG14:AG16"/>
    <mergeCell ref="C17:C19"/>
    <mergeCell ref="C20:C22"/>
    <mergeCell ref="C24:C26"/>
    <mergeCell ref="C27:C29"/>
    <mergeCell ref="AG33:AK33"/>
    <mergeCell ref="AG35:AK35"/>
    <mergeCell ref="C58:C60"/>
    <mergeCell ref="C62:C64"/>
    <mergeCell ref="C65:C67"/>
    <mergeCell ref="AG45:AK45"/>
    <mergeCell ref="C39:C41"/>
    <mergeCell ref="C43:C45"/>
    <mergeCell ref="C46:C48"/>
    <mergeCell ref="C49:C51"/>
    <mergeCell ref="C52:C54"/>
    <mergeCell ref="C55:C57"/>
    <mergeCell ref="C68:C70"/>
    <mergeCell ref="C71:C73"/>
    <mergeCell ref="C74:C76"/>
    <mergeCell ref="C77:C79"/>
    <mergeCell ref="F2:O2"/>
    <mergeCell ref="A2:E2"/>
    <mergeCell ref="A4:E4"/>
    <mergeCell ref="A23:E23"/>
    <mergeCell ref="A42:E42"/>
    <mergeCell ref="A61:E61"/>
    <mergeCell ref="C30:C32"/>
    <mergeCell ref="C5:C7"/>
  </mergeCells>
  <hyperlinks>
    <hyperlink ref="AA39" r:id="rId1" xr:uid="{06F993D7-E81C-485F-BDB3-8B7DDA5547F2}"/>
    <hyperlink ref="AG52" r:id="rId2" xr:uid="{5F674D79-5175-40A3-BEEC-C7191555FE24}"/>
  </hyperlinks>
  <pageMargins left="0.7" right="0.7" top="0.75" bottom="0.75" header="0.3" footer="0.3"/>
  <pageSetup paperSize="9"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90FAE-FD36-404C-9944-55C3825EF3F7}">
  <dimension ref="A1:BM106"/>
  <sheetViews>
    <sheetView topLeftCell="E1" zoomScale="90" zoomScaleNormal="90" workbookViewId="0">
      <pane ySplit="3" topLeftCell="A4" activePane="bottomLeft" state="frozen"/>
      <selection pane="bottomLeft" activeCell="AU18" sqref="AU18"/>
    </sheetView>
  </sheetViews>
  <sheetFormatPr defaultRowHeight="15" outlineLevelCol="2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hidden="1" customWidth="1" outlineLevel="1"/>
    <col min="7" max="7" width="10.42578125" style="81" hidden="1" customWidth="1" outlineLevel="1" collapsed="1"/>
    <col min="8" max="8" width="10.42578125" style="81" hidden="1" customWidth="1" outlineLevel="1"/>
    <col min="9" max="9" width="10.42578125" style="81" customWidth="1" collapsed="1"/>
    <col min="10" max="10" width="10.42578125" style="81" hidden="1" customWidth="1" outlineLevel="1"/>
    <col min="11" max="12" width="9.28515625" style="81" hidden="1" customWidth="1" outlineLevel="1"/>
    <col min="13" max="13" width="11.140625" style="81" bestFit="1" customWidth="1" collapsed="1"/>
    <col min="14" max="14" width="10" style="81" hidden="1" customWidth="1" outlineLevel="1"/>
    <col min="15" max="15" width="12.140625" style="81" bestFit="1" customWidth="1" collapsed="1"/>
    <col min="16" max="16" width="3.140625" customWidth="1"/>
    <col min="17" max="17" width="11.5703125" style="183" bestFit="1" customWidth="1"/>
    <col min="18" max="18" width="11.5703125" style="73" customWidth="1"/>
    <col min="19" max="19" width="9.28515625" style="183" hidden="1" customWidth="1" outlineLevel="2"/>
    <col min="20" max="20" width="10.42578125" style="183" hidden="1" customWidth="1" outlineLevel="2"/>
    <col min="21" max="21" width="10.42578125" style="183" hidden="1" customWidth="1" outlineLevel="1" collapsed="1"/>
    <col min="22" max="23" width="12.7109375" style="183" hidden="1" customWidth="1" outlineLevel="2"/>
    <col min="24" max="24" width="8.85546875" style="183" hidden="1" customWidth="1" outlineLevel="1" collapsed="1"/>
    <col min="25" max="25" width="12.7109375" style="183" customWidth="1" collapsed="1"/>
    <col min="26" max="26" width="12.7109375" style="385" bestFit="1" customWidth="1"/>
    <col min="27" max="27" width="10.85546875" style="73" customWidth="1"/>
    <col min="28" max="29" width="10.85546875" style="183" hidden="1" customWidth="1" outlineLevel="2"/>
    <col min="30" max="30" width="10.85546875" style="183" customWidth="1" outlineLevel="1" collapsed="1"/>
    <col min="31" max="32" width="10.85546875" style="183" hidden="1" customWidth="1" outlineLevel="2"/>
    <col min="33" max="33" width="10.85546875" style="183" customWidth="1" outlineLevel="1" collapsed="1"/>
    <col min="34" max="34" width="10.85546875" style="183" customWidth="1"/>
    <col min="35" max="35" width="2.28515625" style="29" customWidth="1"/>
    <col min="36" max="36" width="10.85546875" style="76" bestFit="1" customWidth="1"/>
    <col min="37" max="51" width="12" style="73" bestFit="1" customWidth="1"/>
    <col min="52" max="54" width="12" style="75" bestFit="1" customWidth="1"/>
    <col min="55" max="58" width="11.85546875" style="75" bestFit="1" customWidth="1"/>
    <col min="59" max="60" width="10.85546875" style="75" bestFit="1" customWidth="1"/>
    <col min="61" max="61" width="11.5703125" style="42" bestFit="1" customWidth="1"/>
    <col min="62" max="62" width="12.7109375" style="42" bestFit="1" customWidth="1"/>
    <col min="63" max="63" width="10.28515625" style="42" bestFit="1" customWidth="1"/>
  </cols>
  <sheetData>
    <row r="1" spans="1:63" ht="15.75" thickBot="1"/>
    <row r="2" spans="1:63" ht="52.5" customHeight="1" thickBot="1">
      <c r="A2" s="1387" t="s">
        <v>158</v>
      </c>
      <c r="B2" s="1388"/>
      <c r="C2" s="1388"/>
      <c r="D2" s="1388"/>
      <c r="E2" s="1389"/>
      <c r="F2" s="1384" t="s">
        <v>199</v>
      </c>
      <c r="G2" s="1385"/>
      <c r="H2" s="1385"/>
      <c r="I2" s="1385"/>
      <c r="J2" s="1385"/>
      <c r="K2" s="1385"/>
      <c r="L2" s="1385"/>
      <c r="M2" s="1385"/>
      <c r="N2" s="1385"/>
      <c r="O2" s="1386"/>
      <c r="Q2" s="1384" t="s">
        <v>200</v>
      </c>
      <c r="R2" s="1385"/>
      <c r="S2" s="1385"/>
      <c r="T2" s="1385"/>
      <c r="U2" s="1385"/>
      <c r="V2" s="1385"/>
      <c r="W2" s="1385"/>
      <c r="X2" s="1385"/>
      <c r="Y2" s="1385"/>
      <c r="Z2" s="1385"/>
      <c r="AA2" s="1385"/>
      <c r="AB2" s="1385"/>
      <c r="AC2" s="1385"/>
      <c r="AD2" s="1385"/>
      <c r="AE2" s="1385"/>
      <c r="AF2" s="1385"/>
      <c r="AG2" s="1385"/>
      <c r="AH2" s="1386"/>
      <c r="AI2" s="13"/>
      <c r="AJ2" s="1435"/>
      <c r="AK2" s="1436"/>
      <c r="AL2" s="1436"/>
      <c r="AM2" s="1436"/>
      <c r="AN2" s="1436"/>
      <c r="AO2" s="1436"/>
      <c r="AP2" s="1436"/>
      <c r="AQ2" s="1436"/>
      <c r="AR2" s="1436"/>
      <c r="AS2" s="1436"/>
      <c r="AT2" s="1436"/>
      <c r="AU2" s="1436"/>
      <c r="AV2" s="1436"/>
      <c r="AW2" s="1436"/>
      <c r="AX2" s="1436"/>
      <c r="AY2" s="1436"/>
      <c r="AZ2" s="1436"/>
      <c r="BA2" s="1436"/>
      <c r="BB2" s="1436"/>
      <c r="BC2" s="1436"/>
      <c r="BD2" s="1436"/>
      <c r="BE2" s="1436"/>
      <c r="BF2" s="1436"/>
      <c r="BG2" s="1436"/>
      <c r="BH2" s="1437"/>
    </row>
    <row r="3" spans="1:63" s="13" customFormat="1" ht="45.75" thickBot="1">
      <c r="A3" s="91" t="s">
        <v>105</v>
      </c>
      <c r="B3" s="91" t="s">
        <v>106</v>
      </c>
      <c r="C3" s="1428" t="s">
        <v>140</v>
      </c>
      <c r="D3" s="1429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654" t="s">
        <v>152</v>
      </c>
      <c r="R3" s="325" t="s">
        <v>152</v>
      </c>
      <c r="S3" s="387" t="s">
        <v>152</v>
      </c>
      <c r="T3" s="387"/>
      <c r="U3" s="387" t="s">
        <v>180</v>
      </c>
      <c r="V3" s="387"/>
      <c r="W3" s="387"/>
      <c r="X3" s="387" t="s">
        <v>181</v>
      </c>
      <c r="Y3" s="388" t="s">
        <v>175</v>
      </c>
      <c r="Z3" s="418" t="s">
        <v>150</v>
      </c>
      <c r="AA3" s="325" t="s">
        <v>171</v>
      </c>
      <c r="AB3" s="325" t="s">
        <v>171</v>
      </c>
      <c r="AC3" s="387"/>
      <c r="AD3" s="387" t="s">
        <v>213</v>
      </c>
      <c r="AE3" s="387"/>
      <c r="AF3" s="387"/>
      <c r="AG3" s="387" t="s">
        <v>214</v>
      </c>
      <c r="AH3" s="387" t="s">
        <v>170</v>
      </c>
      <c r="AJ3" s="1339" t="s">
        <v>138</v>
      </c>
      <c r="AK3" s="1432" t="s">
        <v>157</v>
      </c>
      <c r="AL3" s="1433"/>
      <c r="AM3" s="1433"/>
      <c r="AN3" s="1433"/>
      <c r="AO3" s="1433"/>
      <c r="AP3" s="1433"/>
      <c r="AQ3" s="1433"/>
      <c r="AR3" s="1433"/>
      <c r="AS3" s="1433"/>
      <c r="AT3" s="1433"/>
      <c r="AU3" s="1433"/>
      <c r="AV3" s="1433"/>
      <c r="AW3" s="1433"/>
      <c r="AX3" s="1433"/>
      <c r="AY3" s="1433"/>
      <c r="AZ3" s="1433"/>
      <c r="BA3" s="1433"/>
      <c r="BB3" s="1433"/>
      <c r="BC3" s="1433"/>
      <c r="BD3" s="1433"/>
      <c r="BE3" s="1433"/>
      <c r="BF3" s="1433"/>
      <c r="BG3" s="1433"/>
      <c r="BH3" s="1434"/>
      <c r="BI3" s="72"/>
      <c r="BJ3" s="72"/>
      <c r="BK3" s="72"/>
    </row>
    <row r="4" spans="1:63" ht="15.75" customHeight="1" thickBot="1">
      <c r="A4" s="1390" t="s">
        <v>107</v>
      </c>
      <c r="B4" s="1391"/>
      <c r="C4" s="1391"/>
      <c r="D4" s="1391"/>
      <c r="E4" s="1391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658"/>
      <c r="R4" s="184"/>
      <c r="S4" s="330"/>
      <c r="T4" s="330"/>
      <c r="U4" s="330"/>
      <c r="V4" s="330"/>
      <c r="W4" s="330"/>
      <c r="X4" s="330"/>
      <c r="Y4" s="330"/>
      <c r="Z4" s="419"/>
      <c r="AA4" s="184"/>
      <c r="AB4" s="330"/>
      <c r="AC4" s="330"/>
      <c r="AD4" s="330"/>
      <c r="AE4" s="330"/>
      <c r="AF4" s="330"/>
      <c r="AG4" s="330"/>
      <c r="AH4" s="381"/>
      <c r="AJ4" s="1340"/>
      <c r="AK4" s="1335">
        <v>1</v>
      </c>
      <c r="AL4" s="1335">
        <v>2</v>
      </c>
      <c r="AM4" s="1335">
        <v>3</v>
      </c>
      <c r="AN4" s="1335">
        <v>4</v>
      </c>
      <c r="AO4" s="1335">
        <v>5</v>
      </c>
      <c r="AP4" s="1335">
        <v>6</v>
      </c>
      <c r="AQ4" s="1336">
        <v>7</v>
      </c>
      <c r="AR4" s="1337">
        <v>8</v>
      </c>
      <c r="AS4" s="1337">
        <v>9</v>
      </c>
      <c r="AT4" s="1337">
        <v>10</v>
      </c>
      <c r="AU4" s="1337">
        <v>11</v>
      </c>
      <c r="AV4" s="1337">
        <v>12</v>
      </c>
      <c r="AW4" s="1338">
        <v>13</v>
      </c>
      <c r="AX4" s="1335">
        <v>14</v>
      </c>
      <c r="AY4" s="1335">
        <v>15</v>
      </c>
      <c r="AZ4" s="1335">
        <v>16</v>
      </c>
      <c r="BA4" s="1335">
        <v>17</v>
      </c>
      <c r="BB4" s="1335">
        <v>18</v>
      </c>
      <c r="BC4" s="1336">
        <v>19</v>
      </c>
      <c r="BD4" s="1337">
        <v>20</v>
      </c>
      <c r="BE4" s="1337">
        <v>21</v>
      </c>
      <c r="BF4" s="1337">
        <v>22</v>
      </c>
      <c r="BG4" s="1337">
        <v>23</v>
      </c>
      <c r="BH4" s="1337">
        <v>24</v>
      </c>
    </row>
    <row r="5" spans="1:63" ht="15.75" thickBot="1">
      <c r="A5" s="92">
        <v>1</v>
      </c>
      <c r="B5" s="93" t="s">
        <v>108</v>
      </c>
      <c r="C5" s="1393"/>
      <c r="D5" s="382">
        <f>O5</f>
        <v>115.49937887293277</v>
      </c>
      <c r="E5" s="370">
        <v>37.985999999999997</v>
      </c>
      <c r="F5" s="1215">
        <f xml:space="preserve"> E6 / 500 + F6</f>
        <v>0.49250655172413793</v>
      </c>
      <c r="G5" s="1215">
        <f>IF(F5^3&gt;0.008856,F5^3*$AR$37, (F5- 16 / 116 ) / 7.787*$AR$37)</f>
        <v>11.518930874764393</v>
      </c>
      <c r="H5" s="1216">
        <f>G5/SUM(G5:G7)</f>
        <v>0.43160133720790084</v>
      </c>
      <c r="I5" s="1216">
        <f t="array" ref="I5:I7">MMULT($AR$48:$AT$50,G5:G7)</f>
        <v>11.096462537410472</v>
      </c>
      <c r="J5" s="1216">
        <f>I5/SUM(I5:I7)</f>
        <v>0.39970041178632115</v>
      </c>
      <c r="K5" s="1216">
        <f>I5/$AR$41</f>
        <v>0.11674710971846006</v>
      </c>
      <c r="L5" s="1216">
        <f>IF(K5&gt;0.008856,K5^(1/3),7.787*K5+16/116)</f>
        <v>0.48874468310491292</v>
      </c>
      <c r="M5" s="1216">
        <f xml:space="preserve"> 116 * L6  - 16</f>
        <v>37.773205820821701</v>
      </c>
      <c r="N5" s="1215">
        <f>I5/100*  3.2406 + I6/100 * -1.5372 + I7/100 * -0.4986</f>
        <v>0.17303792868395071</v>
      </c>
      <c r="O5" s="1218">
        <f>IF(N5&gt; 0.0031308,(1.055 * (N5^ ( 1 / 2.4 ) ) - 0.055)*255, 12.92 * N5*255)</f>
        <v>115.49937887293277</v>
      </c>
      <c r="Q5" s="655">
        <v>592.6</v>
      </c>
      <c r="R5" s="704">
        <f>Q5/SUM(Q5:Q7)*255</f>
        <v>109.34370477568741</v>
      </c>
      <c r="S5" s="389">
        <f t="shared" ref="S5:S22" si="0">R5/255</f>
        <v>0.42879884225759768</v>
      </c>
      <c r="T5" s="389">
        <f>IF(S5&gt;0.04045,(((S5+0.055)/1.055 )^2.4)*100, S5/12.92*100)</f>
        <v>15.395353885821345</v>
      </c>
      <c r="U5" s="389">
        <f t="array" ref="U5:U7">MMULT($AR$25:$AT$27,T5:T7)</f>
        <v>10.120833249422821</v>
      </c>
      <c r="V5" s="389">
        <f>U5/$AR$41</f>
        <v>0.10648240606671248</v>
      </c>
      <c r="W5" s="389">
        <f>IF(V5&gt;0.008856,V5^(1/3),7.787*V5+16/116)</f>
        <v>0.47397920183080783</v>
      </c>
      <c r="X5" s="389">
        <f xml:space="preserve"> 116 * W6  - 16</f>
        <v>36.329736062878631</v>
      </c>
      <c r="Y5" s="389">
        <f>SQRT(( ( M5-X5 ) ^ 2 ) + ( ( M6 - X6 ) ^ 2 ) + ( (M7 - X7 ) ^ 2 ))</f>
        <v>2.7753941761000616</v>
      </c>
      <c r="Z5" s="420">
        <f>O5</f>
        <v>115.49937887293277</v>
      </c>
      <c r="AA5" s="865">
        <f t="array" ref="AA5:AA7">MMULT(AQ14:AS16,R5:R7)</f>
        <v>169.09309786874715</v>
      </c>
      <c r="AB5" s="866">
        <f>AA5/255</f>
        <v>0.66311018772057706</v>
      </c>
      <c r="AC5" s="866">
        <f>IF(AB5&gt;0.04045,(((AB5+0.055)/1.055 )^2.4)*100, AB5/12.92*100)</f>
        <v>39.723975757245221</v>
      </c>
      <c r="AD5" s="866">
        <f t="array" ref="AD5:AD7">MMULT($AR$25:$AT$27,AC5:AC7)</f>
        <v>25.537516050212915</v>
      </c>
      <c r="AE5" s="866">
        <f>AD5/$AR$41</f>
        <v>0.26868303102899527</v>
      </c>
      <c r="AF5" s="866">
        <f>IF(AE5&gt;0.008856,AE5^(1/3),7.787*AE5+16/116)</f>
        <v>0.64527783317703924</v>
      </c>
      <c r="AG5" s="866">
        <f xml:space="preserve"> 116 * AF6  - 16</f>
        <v>55.608612068654509</v>
      </c>
      <c r="AH5" s="867">
        <f>SQRT(( ( M5-AG5 ) ^ 2 ) + ( ( M6 - AG6 ) ^ 2 ) + ( (M7 - AG7 ) ^ 2 ))</f>
        <v>20.170331855771121</v>
      </c>
    </row>
    <row r="6" spans="1:63">
      <c r="A6" s="94"/>
      <c r="B6" s="95"/>
      <c r="C6" s="1394"/>
      <c r="D6" s="383">
        <f t="shared" ref="D6:D69" si="1">O6</f>
        <v>80.924531967466507</v>
      </c>
      <c r="E6" s="371">
        <v>13.555</v>
      </c>
      <c r="F6" s="1219">
        <f xml:space="preserve"> (E5  + 16 ) / 116</f>
        <v>0.46539655172413791</v>
      </c>
      <c r="G6" s="1219">
        <f>IF(F6^3&gt;0.008856,F6^3*$AR$38, (F6- 16 / 116 ) / 7.787*$AR$38)</f>
        <v>10.080207762032574</v>
      </c>
      <c r="H6" s="1220">
        <f>G6/SUM(G5:G7)</f>
        <v>0.37769400621702293</v>
      </c>
      <c r="I6" s="1220">
        <v>9.9614788827959391</v>
      </c>
      <c r="J6" s="1220">
        <f>I6/SUM(I5:I7)</f>
        <v>0.35881770411342706</v>
      </c>
      <c r="K6" s="1220">
        <f>I6/$AR$42</f>
        <v>9.9614788827959391E-2</v>
      </c>
      <c r="L6" s="1220">
        <f t="shared" ref="L6:L22" si="2">IF(K6&gt;0.008856,K6^(1/3),7.787*K6+16/116)</f>
        <v>0.46356211914501466</v>
      </c>
      <c r="M6" s="1220">
        <f xml:space="preserve"> 500 * (L5 - L6 )</f>
        <v>12.591281979949132</v>
      </c>
      <c r="N6" s="1219">
        <f xml:space="preserve"> I5/100 * -0.9689 + I6/100*  1.8758 + I7/100 *  0.0415</f>
        <v>8.2125958597699694E-2</v>
      </c>
      <c r="O6" s="1222">
        <f t="shared" ref="O6:O22" si="3">IF(N6&gt; 0.0031308,(1.055 * (N6^ ( 1 / 2.4 ) ) - 0.055)*255, 12.92 * N6*255)</f>
        <v>80.924531967466507</v>
      </c>
      <c r="Q6" s="656">
        <v>424.6</v>
      </c>
      <c r="R6" s="705">
        <f>Q6/SUM(Q5:Q7)*255</f>
        <v>78.345151953690319</v>
      </c>
      <c r="S6" s="390">
        <f t="shared" si="0"/>
        <v>0.30723589001447182</v>
      </c>
      <c r="T6" s="390">
        <f t="shared" ref="T6:T69" si="4">IF(S6&gt;0.04045,(((S6+0.055)/1.055 )^2.4)*100, S6/12.92*100)</f>
        <v>7.6872966946547354</v>
      </c>
      <c r="U6" s="390">
        <v>9.1806126755923199</v>
      </c>
      <c r="V6" s="390">
        <f>U6/$AR$42</f>
        <v>9.1806126755923201E-2</v>
      </c>
      <c r="W6" s="390">
        <f t="shared" ref="W6:W22" si="5">IF(V6&gt;0.008856,V6^(1/3),7.787*V6+16/116)</f>
        <v>0.45111841433516059</v>
      </c>
      <c r="X6" s="390">
        <f xml:space="preserve"> 500 * (W5 - W6 )</f>
        <v>11.430393747823619</v>
      </c>
      <c r="Y6" s="390"/>
      <c r="Z6" s="421">
        <f t="shared" ref="Z6:Z69" si="6">O6</f>
        <v>80.924531967466507</v>
      </c>
      <c r="AA6" s="868">
        <v>123.41800384014775</v>
      </c>
      <c r="AB6" s="869">
        <f t="shared" ref="AB6:AB22" si="7">AA6/255</f>
        <v>0.48399217192214805</v>
      </c>
      <c r="AC6" s="869">
        <f t="shared" ref="AC6:AC22" si="8">IF(AB6&gt;0.04045,(((AB6+0.055)/1.055 )^2.4)*100, AB6/12.92*100)</f>
        <v>19.952255402981013</v>
      </c>
      <c r="AD6" s="869">
        <v>23.524575807222956</v>
      </c>
      <c r="AE6" s="869">
        <f>AD6/$AR$42</f>
        <v>0.23524575807222955</v>
      </c>
      <c r="AF6" s="869">
        <f t="shared" ref="AF6:AF22" si="9">IF(AE6&gt;0.008856,AE6^(1/3),7.787*AE6+16/116)</f>
        <v>0.61731562128150441</v>
      </c>
      <c r="AG6" s="869">
        <f xml:space="preserve"> 500 * (AF5 - AF6 )</f>
        <v>13.981105947767414</v>
      </c>
      <c r="AH6" s="870"/>
      <c r="AJ6" s="1411" t="s">
        <v>135</v>
      </c>
      <c r="AK6" s="82">
        <f>D5</f>
        <v>115.49937887293277</v>
      </c>
      <c r="AL6" s="82">
        <f>D8</f>
        <v>198.5664405575157</v>
      </c>
      <c r="AM6" s="82">
        <f>D11</f>
        <v>90.590111987322274</v>
      </c>
      <c r="AN6" s="82">
        <f>D14</f>
        <v>89.727149578766344</v>
      </c>
      <c r="AO6" s="82">
        <f>D17</f>
        <v>129.55778390505861</v>
      </c>
      <c r="AP6" s="82">
        <f>D20</f>
        <v>92.422098428867557</v>
      </c>
      <c r="AQ6" s="83">
        <f>D24</f>
        <v>224.26557253285961</v>
      </c>
      <c r="AR6" s="83">
        <f>D27</f>
        <v>67.856400699023411</v>
      </c>
      <c r="AS6" s="83">
        <f>D30</f>
        <v>198.324194853623</v>
      </c>
      <c r="AT6" s="83">
        <f>D33</f>
        <v>93.621713838781943</v>
      </c>
      <c r="AU6" s="83">
        <f>D36</f>
        <v>158.74592602769013</v>
      </c>
      <c r="AV6" s="83">
        <f>D39</f>
        <v>230.43061395257749</v>
      </c>
      <c r="AW6" s="82">
        <f>D43</f>
        <v>35.342853388950573</v>
      </c>
      <c r="AX6" s="82">
        <f>D46</f>
        <v>66.910103142073083</v>
      </c>
      <c r="AY6" s="82">
        <f>D49</f>
        <v>179.90529060715122</v>
      </c>
      <c r="AZ6" s="82">
        <f>D52</f>
        <v>238.29785697467756</v>
      </c>
      <c r="BA6" s="82">
        <f>D55</f>
        <v>193.03598609620454</v>
      </c>
      <c r="BB6" s="82">
        <f>D58</f>
        <v>0</v>
      </c>
      <c r="BC6" s="83">
        <f>D62</f>
        <v>244.94459763984261</v>
      </c>
      <c r="BD6" s="83">
        <f>D65</f>
        <v>200.34536911982687</v>
      </c>
      <c r="BE6" s="83">
        <f>D68</f>
        <v>160.69389383573181</v>
      </c>
      <c r="BF6" s="83">
        <f>D71</f>
        <v>120.66757106732852</v>
      </c>
      <c r="BG6" s="83">
        <f>D74</f>
        <v>82.432760070363386</v>
      </c>
      <c r="BH6" s="83">
        <f>D77</f>
        <v>48.661691226720095</v>
      </c>
    </row>
    <row r="7" spans="1:63" ht="15.75" thickBot="1">
      <c r="A7" s="96"/>
      <c r="B7" s="97"/>
      <c r="C7" s="1394"/>
      <c r="D7" s="384">
        <f t="shared" si="1"/>
        <v>67.355100176800789</v>
      </c>
      <c r="E7" s="372">
        <v>14.058999999999999</v>
      </c>
      <c r="F7" s="1223">
        <f>F6 - E7 / 200</f>
        <v>0.39510155172413791</v>
      </c>
      <c r="G7" s="1223">
        <f>IF(F7^3&gt;0.008856,F7^3*$AR$39, (F7- 16 / 116 ) / 7.787*$AR$39)</f>
        <v>5.0896824620490859</v>
      </c>
      <c r="H7" s="1224">
        <f>G6</f>
        <v>10.080207762032574</v>
      </c>
      <c r="I7" s="1224">
        <v>6.7040078052615222</v>
      </c>
      <c r="J7" s="1224">
        <f>I6</f>
        <v>9.9614788827959391</v>
      </c>
      <c r="K7" s="1224">
        <f>I7/$AR$43</f>
        <v>6.1570748466349405E-2</v>
      </c>
      <c r="L7" s="1224">
        <f t="shared" si="2"/>
        <v>0.39487364107882977</v>
      </c>
      <c r="M7" s="1224">
        <f xml:space="preserve"> 200 * ( L6 - L7 )</f>
        <v>13.737695613236978</v>
      </c>
      <c r="N7" s="1223">
        <f xml:space="preserve"> I5/100 *  0.0557 + I6/100 * -0.204 + I7/100 *  1.057</f>
        <v>5.6720675214048208E-2</v>
      </c>
      <c r="O7" s="1226">
        <f t="shared" si="3"/>
        <v>67.355100176800789</v>
      </c>
      <c r="Q7" s="657">
        <v>364.8</v>
      </c>
      <c r="R7" s="705">
        <f>Q7/SUM(Q5:Q7)*255</f>
        <v>67.311143270622296</v>
      </c>
      <c r="S7" s="390">
        <f t="shared" si="0"/>
        <v>0.26396526772793055</v>
      </c>
      <c r="T7" s="390">
        <f t="shared" si="4"/>
        <v>5.6647173527310493</v>
      </c>
      <c r="U7" s="390">
        <v>6.5971206257638313</v>
      </c>
      <c r="V7" s="390">
        <f>U7/$AR$43</f>
        <v>6.0589078421460024E-2</v>
      </c>
      <c r="W7" s="390">
        <f t="shared" si="5"/>
        <v>0.39276379615183943</v>
      </c>
      <c r="X7" s="390">
        <f xml:space="preserve"> 200 * ( W6 - W7 )</f>
        <v>11.670923636664233</v>
      </c>
      <c r="Y7" s="390"/>
      <c r="Z7" s="421">
        <f t="shared" si="6"/>
        <v>67.355100176800789</v>
      </c>
      <c r="AA7" s="868">
        <v>93.977211472833659</v>
      </c>
      <c r="AB7" s="869">
        <f t="shared" si="7"/>
        <v>0.36853808420719081</v>
      </c>
      <c r="AC7" s="869">
        <f t="shared" si="8"/>
        <v>11.187576543071142</v>
      </c>
      <c r="AD7" s="869">
        <v>13.777768458829449</v>
      </c>
      <c r="AE7" s="869">
        <f>AD7/$AR$43</f>
        <v>0.1265373700102812</v>
      </c>
      <c r="AF7" s="869">
        <f t="shared" si="9"/>
        <v>0.5020414800545413</v>
      </c>
      <c r="AG7" s="869">
        <f xml:space="preserve"> 200 * ( AF6 - AF7 )</f>
        <v>23.054828245392621</v>
      </c>
      <c r="AH7" s="870"/>
      <c r="AJ7" s="1412"/>
      <c r="AK7" s="84">
        <f>D6</f>
        <v>80.924531967466507</v>
      </c>
      <c r="AL7" s="84">
        <f>D9</f>
        <v>147.22394537812542</v>
      </c>
      <c r="AM7" s="84">
        <f>D12</f>
        <v>122.36943007700241</v>
      </c>
      <c r="AN7" s="84">
        <f>D15</f>
        <v>107.64968923603281</v>
      </c>
      <c r="AO7" s="84">
        <f>D18</f>
        <v>128.00022677459134</v>
      </c>
      <c r="AP7" s="84">
        <f>D21</f>
        <v>189.90953390734151</v>
      </c>
      <c r="AQ7" s="85">
        <f>D25</f>
        <v>123.75545165140458</v>
      </c>
      <c r="AR7" s="85">
        <f>D28</f>
        <v>91.231366881754894</v>
      </c>
      <c r="AS7" s="85">
        <f>D31</f>
        <v>81.965589373165727</v>
      </c>
      <c r="AT7" s="85">
        <f>D34</f>
        <v>58.004664131651644</v>
      </c>
      <c r="AU7" s="85">
        <f>D37</f>
        <v>188.97701415884313</v>
      </c>
      <c r="AV7" s="85">
        <f>D40</f>
        <v>161.63210798319847</v>
      </c>
      <c r="AW7" s="84">
        <f>D44</f>
        <v>63.330751517613386</v>
      </c>
      <c r="AX7" s="84">
        <f>D47</f>
        <v>148.92451179357417</v>
      </c>
      <c r="AY7" s="84">
        <f>D50</f>
        <v>48.716578063950486</v>
      </c>
      <c r="AZ7" s="84">
        <f>D53</f>
        <v>198.45859080039978</v>
      </c>
      <c r="BA7" s="84">
        <f>D56</f>
        <v>84.003503526946432</v>
      </c>
      <c r="BB7" s="84">
        <f>D59</f>
        <v>136.1986469903801</v>
      </c>
      <c r="BC7" s="85">
        <f>D63</f>
        <v>245.22561578043522</v>
      </c>
      <c r="BD7" s="85">
        <f>D66</f>
        <v>202.21765470389457</v>
      </c>
      <c r="BE7" s="85">
        <f>D69</f>
        <v>162.84331466380013</v>
      </c>
      <c r="BF7" s="85">
        <f>D72</f>
        <v>121.19947386215865</v>
      </c>
      <c r="BG7" s="85">
        <f>D75</f>
        <v>84.106225276765315</v>
      </c>
      <c r="BH7" s="85">
        <f>D78</f>
        <v>49.363641330697085</v>
      </c>
    </row>
    <row r="8" spans="1:63" ht="15.75" thickBot="1">
      <c r="A8" s="92">
        <v>2</v>
      </c>
      <c r="B8" s="93" t="s">
        <v>109</v>
      </c>
      <c r="C8" s="1420"/>
      <c r="D8" s="382">
        <f t="shared" si="1"/>
        <v>198.5664405575157</v>
      </c>
      <c r="E8" s="370">
        <v>65.710999999999999</v>
      </c>
      <c r="F8" s="1215">
        <f xml:space="preserve"> E9 / 500 + F9</f>
        <v>0.74066517241379304</v>
      </c>
      <c r="G8" s="1215">
        <f>IF(F8^3&gt;0.008856,F8^3*$AR$37, (F8- 16 / 116 ) / 7.787*$AR$37)</f>
        <v>39.177967948419948</v>
      </c>
      <c r="H8" s="1216">
        <f>G8/SUM(G8:G10)</f>
        <v>0.41965319885542374</v>
      </c>
      <c r="I8" s="1216">
        <f t="array" ref="I8:I10">MMULT($AR$48:$AT$50,G8:G10)</f>
        <v>37.846819885568948</v>
      </c>
      <c r="J8" s="1216">
        <f>I8/SUM(I8:I10)</f>
        <v>0.38706319116865656</v>
      </c>
      <c r="K8" s="1216">
        <f>I8/$AR$41</f>
        <v>0.39819057819361947</v>
      </c>
      <c r="L8" s="1216">
        <f t="shared" si="2"/>
        <v>0.7356936258024972</v>
      </c>
      <c r="M8" s="1216">
        <f t="shared" ref="M8" si="10" xml:space="preserve"> 116 * L9  - 16</f>
        <v>65.431919053115664</v>
      </c>
      <c r="N8" s="1215">
        <f>I8/100*  3.2406 + I9/100 * -1.5372 + I10/100 * -0.4986</f>
        <v>0.56833908448621961</v>
      </c>
      <c r="O8" s="1218">
        <f t="shared" si="3"/>
        <v>198.5664405575157</v>
      </c>
      <c r="Q8" s="655">
        <v>1977</v>
      </c>
      <c r="R8" s="706">
        <f t="shared" ref="R8" si="11">Q8/SUM(Q8:Q10)*255</f>
        <v>110.73562359970126</v>
      </c>
      <c r="S8" s="391">
        <f t="shared" si="0"/>
        <v>0.43425734744980887</v>
      </c>
      <c r="T8" s="391">
        <f t="shared" si="4"/>
        <v>15.815530072566453</v>
      </c>
      <c r="U8" s="391">
        <f t="array" ref="U8:U10">MMULT($AR$25:$AT$27,T8:T10)</f>
        <v>10.26086716972992</v>
      </c>
      <c r="V8" s="391">
        <f>U8/$AR$41</f>
        <v>0.10795571843119636</v>
      </c>
      <c r="W8" s="391">
        <f t="shared" si="5"/>
        <v>0.47615522094408252</v>
      </c>
      <c r="X8" s="391">
        <f xml:space="preserve"> 116 * W9  - 16</f>
        <v>36.515929981539152</v>
      </c>
      <c r="Y8" s="391">
        <f>SQRT(( ( M8-X8 ) ^ 2 ) + ( ( M9 - X9 ) ^ 2 ) + ( (M10 - X10 ) ^ 2 ))</f>
        <v>29.701942108114636</v>
      </c>
      <c r="Z8" s="422">
        <f t="shared" si="6"/>
        <v>198.5664405575157</v>
      </c>
      <c r="AA8" s="871">
        <f t="array" ref="AA8:AA10">MMULT(AQ14:AS16,R8:R10)</f>
        <v>171.30317276088252</v>
      </c>
      <c r="AB8" s="872">
        <f t="shared" si="7"/>
        <v>0.67177714808189226</v>
      </c>
      <c r="AC8" s="872">
        <f t="shared" si="8"/>
        <v>40.884352970445512</v>
      </c>
      <c r="AD8" s="872">
        <f t="array" ref="AD8:AD10">MMULT($AR$25:$AT$27,AC8:AC10)</f>
        <v>26.060347073165993</v>
      </c>
      <c r="AE8" s="872">
        <f>AD8/$AR$41</f>
        <v>0.27418379405100629</v>
      </c>
      <c r="AF8" s="872">
        <f t="shared" si="9"/>
        <v>0.6496517219431337</v>
      </c>
      <c r="AG8" s="872">
        <f xml:space="preserve"> 116 * AF9  - 16</f>
        <v>56.083993739322167</v>
      </c>
      <c r="AH8" s="873">
        <f>SQRT(( ( M8-AG8 ) ^ 2 ) + ( ( M9 - AG9 ) ^ 2 ) + ( (M10 - AG10 ) ^ 2 ))</f>
        <v>12.250024930012344</v>
      </c>
      <c r="AJ8" s="1413"/>
      <c r="AK8" s="86">
        <f>D7</f>
        <v>67.355100176800789</v>
      </c>
      <c r="AL8" s="86">
        <f>D10</f>
        <v>128.67442122465755</v>
      </c>
      <c r="AM8" s="86">
        <f>D13</f>
        <v>155.7634429623528</v>
      </c>
      <c r="AN8" s="86">
        <f>D16</f>
        <v>64.383828506381079</v>
      </c>
      <c r="AO8" s="86">
        <f>D19</f>
        <v>176.06897196090145</v>
      </c>
      <c r="AP8" s="86">
        <f>D22</f>
        <v>172.00470214339384</v>
      </c>
      <c r="AQ8" s="87">
        <f>D26</f>
        <v>46.703112372096498</v>
      </c>
      <c r="AR8" s="87">
        <f>D29</f>
        <v>170.17236470319924</v>
      </c>
      <c r="AS8" s="87">
        <f>D32</f>
        <v>97.056852604465689</v>
      </c>
      <c r="AT8" s="87">
        <f>D35</f>
        <v>105.57259954157003</v>
      </c>
      <c r="AU8" s="87">
        <f>D38</f>
        <v>62.832253035292226</v>
      </c>
      <c r="AV8" s="87">
        <f>D41</f>
        <v>39.272644590202006</v>
      </c>
      <c r="AW8" s="86">
        <f>D45</f>
        <v>147.08684100238494</v>
      </c>
      <c r="AX8" s="86">
        <f>D48</f>
        <v>74.120275922324538</v>
      </c>
      <c r="AY8" s="86">
        <f>D51</f>
        <v>56.959990730530549</v>
      </c>
      <c r="AZ8" s="86">
        <f>D54</f>
        <v>19.759840938184311</v>
      </c>
      <c r="BA8" s="86">
        <f>D57</f>
        <v>150.55196979242695</v>
      </c>
      <c r="BB8" s="86">
        <f>D60</f>
        <v>169.68590110948557</v>
      </c>
      <c r="BC8" s="87">
        <f>D64</f>
        <v>242.67159053813759</v>
      </c>
      <c r="BD8" s="87">
        <f>D67</f>
        <v>202.39139072207513</v>
      </c>
      <c r="BE8" s="87">
        <f>D70</f>
        <v>163.24947770284862</v>
      </c>
      <c r="BF8" s="87">
        <f>D73</f>
        <v>121.54290035174313</v>
      </c>
      <c r="BG8" s="87">
        <f>D76</f>
        <v>85.776392403274841</v>
      </c>
      <c r="BH8" s="87">
        <f>D79</f>
        <v>50.702931476399115</v>
      </c>
    </row>
    <row r="9" spans="1:63" ht="15.75" thickBot="1">
      <c r="A9" s="94"/>
      <c r="B9" s="95"/>
      <c r="C9" s="1420"/>
      <c r="D9" s="383">
        <f t="shared" si="1"/>
        <v>147.22394537812542</v>
      </c>
      <c r="E9" s="371">
        <v>18.13</v>
      </c>
      <c r="F9" s="1219">
        <f xml:space="preserve"> (E8  + 16 ) / 116</f>
        <v>0.70440517241379308</v>
      </c>
      <c r="G9" s="1219">
        <f>IF(F9^3&gt;0.008856,F9^3*$AR$38, (F9- 16 / 116 ) / 7.787*$AR$38)</f>
        <v>34.951644057543291</v>
      </c>
      <c r="H9" s="1220">
        <f>G9/SUM(G8:G10)</f>
        <v>0.37438310361872018</v>
      </c>
      <c r="I9" s="1220">
        <v>34.594737633856717</v>
      </c>
      <c r="J9" s="1220">
        <f>I9/SUM(I8:I10)</f>
        <v>0.35380382253222714</v>
      </c>
      <c r="K9" s="1220">
        <f>I9/$AR$42</f>
        <v>0.34594737633856715</v>
      </c>
      <c r="L9" s="1220">
        <f t="shared" si="2"/>
        <v>0.70199930218203155</v>
      </c>
      <c r="M9" s="1220">
        <f t="shared" ref="M9" si="12" xml:space="preserve"> 500 * (L8 - L9 )</f>
        <v>16.847161810232826</v>
      </c>
      <c r="N9" s="1219">
        <f xml:space="preserve"> I8/100 * -0.9689 + I9/100*  1.8758 + I10/100 *  0.0415</f>
        <v>0.29274546954435426</v>
      </c>
      <c r="O9" s="1222">
        <f t="shared" si="3"/>
        <v>147.22394537812542</v>
      </c>
      <c r="Q9" s="656">
        <v>1402.2</v>
      </c>
      <c r="R9" s="706">
        <f t="shared" ref="R9" si="13">Q9/SUM(Q8:Q10)*255</f>
        <v>78.539955190440622</v>
      </c>
      <c r="S9" s="391">
        <f t="shared" si="0"/>
        <v>0.30799982427623773</v>
      </c>
      <c r="T9" s="391">
        <f t="shared" si="4"/>
        <v>7.7262630901151734</v>
      </c>
      <c r="U9" s="391">
        <v>9.278958111672619</v>
      </c>
      <c r="V9" s="391">
        <f>U9/$AR$42</f>
        <v>9.2789581116726194E-2</v>
      </c>
      <c r="W9" s="391">
        <f t="shared" si="5"/>
        <v>0.4527235343236134</v>
      </c>
      <c r="X9" s="391">
        <f xml:space="preserve"> 500 * (W8 - W9 )</f>
        <v>11.715843310234565</v>
      </c>
      <c r="Y9" s="391"/>
      <c r="Z9" s="422">
        <f t="shared" si="6"/>
        <v>147.22394537812542</v>
      </c>
      <c r="AA9" s="871">
        <v>124.45183227739685</v>
      </c>
      <c r="AB9" s="872">
        <f t="shared" si="7"/>
        <v>0.48804640108783076</v>
      </c>
      <c r="AC9" s="872">
        <f t="shared" si="8"/>
        <v>20.314341664986809</v>
      </c>
      <c r="AD9" s="872">
        <v>23.996204429720539</v>
      </c>
      <c r="AE9" s="872">
        <f>AD9/$AR$42</f>
        <v>0.23996204429720538</v>
      </c>
      <c r="AF9" s="872">
        <f t="shared" si="9"/>
        <v>0.62141373913208764</v>
      </c>
      <c r="AG9" s="872">
        <f xml:space="preserve"> 500 * (AF8 - AF9 )</f>
        <v>14.11899140552303</v>
      </c>
      <c r="AH9" s="873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9"/>
      <c r="AX9" s="79"/>
      <c r="AY9" s="79"/>
      <c r="AZ9" s="79"/>
    </row>
    <row r="10" spans="1:63" ht="15.75" thickBot="1">
      <c r="A10" s="96"/>
      <c r="B10" s="97"/>
      <c r="C10" s="1420"/>
      <c r="D10" s="384">
        <f t="shared" si="1"/>
        <v>128.67442122465755</v>
      </c>
      <c r="E10" s="372">
        <v>17.809999999999999</v>
      </c>
      <c r="F10" s="1223">
        <f>F9 - E10 / 200</f>
        <v>0.61535517241379312</v>
      </c>
      <c r="G10" s="1223">
        <f>IF(F10^3&gt;0.008856,F10^3*$AR$39, (F10- 16 / 116 ) / 7.787*$AR$39)</f>
        <v>19.228351320124247</v>
      </c>
      <c r="H10" s="1224">
        <f>G9</f>
        <v>34.951644057543291</v>
      </c>
      <c r="I10" s="1224">
        <v>25.337876818668772</v>
      </c>
      <c r="J10" s="1224">
        <f>I9</f>
        <v>34.594737633856717</v>
      </c>
      <c r="K10" s="1224">
        <f>I10/$AR$43</f>
        <v>0.23270737230484806</v>
      </c>
      <c r="L10" s="1224">
        <f t="shared" si="2"/>
        <v>0.61508723490326866</v>
      </c>
      <c r="M10" s="1224">
        <f t="shared" ref="M10" si="14" xml:space="preserve"> 200 * ( L9 - L10 )</f>
        <v>17.382413455752577</v>
      </c>
      <c r="N10" s="1223">
        <f xml:space="preserve"> I8/100 *  0.0557 + I9/100 * -0.204 + I10/100 *  1.057</f>
        <v>0.21832877187652311</v>
      </c>
      <c r="O10" s="1226">
        <f t="shared" si="3"/>
        <v>128.67442122465755</v>
      </c>
      <c r="Q10" s="657">
        <v>1173.4000000000001</v>
      </c>
      <c r="R10" s="706">
        <f t="shared" ref="R10" si="15">Q10/SUM(Q8:Q10)*255</f>
        <v>65.724421209858107</v>
      </c>
      <c r="S10" s="391">
        <f t="shared" si="0"/>
        <v>0.25774282827395334</v>
      </c>
      <c r="T10" s="391">
        <f t="shared" si="4"/>
        <v>5.4031093789821361</v>
      </c>
      <c r="U10" s="391">
        <v>6.3612816227021787</v>
      </c>
      <c r="V10" s="391">
        <f>U10/$AR$43</f>
        <v>5.84230928859618E-2</v>
      </c>
      <c r="W10" s="391">
        <f t="shared" si="5"/>
        <v>0.38802661472488892</v>
      </c>
      <c r="X10" s="391">
        <f xml:space="preserve"> 200 * ( W9 - W10 )</f>
        <v>12.939383919744895</v>
      </c>
      <c r="Y10" s="391"/>
      <c r="Z10" s="422">
        <f t="shared" si="6"/>
        <v>128.67442122465755</v>
      </c>
      <c r="AA10" s="871">
        <v>92.052891813828822</v>
      </c>
      <c r="AB10" s="872">
        <f t="shared" si="7"/>
        <v>0.36099173260325029</v>
      </c>
      <c r="AC10" s="872">
        <f t="shared" si="8"/>
        <v>10.715128307659109</v>
      </c>
      <c r="AD10" s="872">
        <v>13.394391366422916</v>
      </c>
      <c r="AE10" s="872">
        <f>AD10/$AR$43</f>
        <v>0.1230163695565232</v>
      </c>
      <c r="AF10" s="872">
        <f t="shared" si="9"/>
        <v>0.49734104438400978</v>
      </c>
      <c r="AG10" s="872">
        <f xml:space="preserve"> 200 * ( AF9 - AF10 )</f>
        <v>24.814538949615571</v>
      </c>
      <c r="AH10" s="873"/>
      <c r="AJ10" s="1411" t="s">
        <v>136</v>
      </c>
      <c r="AK10" s="82">
        <f>R5</f>
        <v>109.34370477568741</v>
      </c>
      <c r="AL10" s="82">
        <f>R8</f>
        <v>110.73562359970126</v>
      </c>
      <c r="AM10" s="82">
        <f>R11</f>
        <v>49.919621394230774</v>
      </c>
      <c r="AN10" s="82">
        <f>R14</f>
        <v>79.448275862068968</v>
      </c>
      <c r="AO10" s="82">
        <f>R17</f>
        <v>62.49375520399667</v>
      </c>
      <c r="AP10" s="82">
        <f>R20</f>
        <v>46.618506559856137</v>
      </c>
      <c r="AQ10" s="83">
        <f>R24</f>
        <v>150.08371583727433</v>
      </c>
      <c r="AR10" s="83">
        <f>R27</f>
        <v>35.23877905423457</v>
      </c>
      <c r="AS10" s="83">
        <f>R30</f>
        <v>146.00627044711013</v>
      </c>
      <c r="AT10" s="83">
        <f>R33</f>
        <v>75.646551724137936</v>
      </c>
      <c r="AU10" s="83">
        <f>R36</f>
        <v>87.001885606536774</v>
      </c>
      <c r="AV10" s="83">
        <f>R39</f>
        <v>133.37500669425719</v>
      </c>
      <c r="AW10" s="82">
        <f>R43</f>
        <v>26.636080332409971</v>
      </c>
      <c r="AX10" s="82">
        <f>R46</f>
        <v>57.698183476476409</v>
      </c>
      <c r="AY10" s="82">
        <f>R49</f>
        <v>167.49622356495468</v>
      </c>
      <c r="AZ10" s="82">
        <f>R52</f>
        <v>119.69864268016806</v>
      </c>
      <c r="BA10" s="82">
        <f>R55</f>
        <v>115.70393226176807</v>
      </c>
      <c r="BB10" s="82">
        <f>R58</f>
        <v>27.426916712630998</v>
      </c>
      <c r="BC10" s="83">
        <f>R62</f>
        <v>76.220718363145579</v>
      </c>
      <c r="BD10" s="83">
        <f>R65</f>
        <v>74.406157620609505</v>
      </c>
      <c r="BE10" s="83">
        <f>R68</f>
        <v>73.378784338596091</v>
      </c>
      <c r="BF10" s="83">
        <f>R71</f>
        <v>73.752182589174367</v>
      </c>
      <c r="BG10" s="83">
        <f>R74</f>
        <v>71.735668789808912</v>
      </c>
      <c r="BH10" s="83">
        <f>R77</f>
        <v>73.949999999999989</v>
      </c>
    </row>
    <row r="11" spans="1:63">
      <c r="A11" s="92">
        <v>3</v>
      </c>
      <c r="B11" s="93" t="s">
        <v>110</v>
      </c>
      <c r="C11" s="1421"/>
      <c r="D11" s="382">
        <f t="shared" si="1"/>
        <v>90.590111987322274</v>
      </c>
      <c r="E11" s="370">
        <v>49.927</v>
      </c>
      <c r="F11" s="1215">
        <f xml:space="preserve"> E12 / 500 + F12</f>
        <v>0.55857620689655163</v>
      </c>
      <c r="G11" s="1215">
        <f>IF(F11^3&gt;0.008856,F11^3*$AR$37, (F11- 16 / 116 ) / 7.787*$AR$37)</f>
        <v>16.804416347693039</v>
      </c>
      <c r="H11" s="1216">
        <f>G11/SUM(G11:G13)</f>
        <v>0.27604076783496151</v>
      </c>
      <c r="I11" s="1216">
        <f t="array" ref="I11:I13">MMULT($AR$48:$AT$50,G11:G13)</f>
        <v>17.259184587792387</v>
      </c>
      <c r="J11" s="1216">
        <f>I11/SUM(I11:I13)</f>
        <v>0.24693798032733721</v>
      </c>
      <c r="K11" s="1216">
        <f>I11/$AR$41</f>
        <v>0.18158579005957459</v>
      </c>
      <c r="L11" s="1216">
        <f t="shared" si="2"/>
        <v>0.56627486686879502</v>
      </c>
      <c r="M11" s="1216">
        <f t="shared" ref="M11" si="16" xml:space="preserve"> 116 * L12  - 16</f>
        <v>50.221743009310785</v>
      </c>
      <c r="N11" s="1215">
        <f>I11/100*  3.2406 + I12/100 * -1.5372 + I13/100 * -0.4986</f>
        <v>0.10363925492524978</v>
      </c>
      <c r="O11" s="1218">
        <f t="shared" si="3"/>
        <v>90.590111987322274</v>
      </c>
      <c r="Q11" s="655">
        <v>521.20000000000005</v>
      </c>
      <c r="R11" s="707">
        <f t="shared" ref="R11" si="17">Q11/SUM(Q11:Q13)*255</f>
        <v>49.919621394230774</v>
      </c>
      <c r="S11" s="393">
        <f t="shared" si="0"/>
        <v>0.19576322115384617</v>
      </c>
      <c r="T11" s="393">
        <f t="shared" si="4"/>
        <v>3.1800014104674403</v>
      </c>
      <c r="U11" s="393">
        <f t="array" ref="U11:U13">MMULT($AR$25:$AT$27,T11:T13)</f>
        <v>8.0984225276570747</v>
      </c>
      <c r="V11" s="393">
        <f>U11/$AR$41</f>
        <v>8.5204399167328526E-2</v>
      </c>
      <c r="W11" s="393">
        <f t="shared" si="5"/>
        <v>0.44003511973003306</v>
      </c>
      <c r="X11" s="393">
        <f xml:space="preserve"> 116 * W12  - 16</f>
        <v>36.745414207222268</v>
      </c>
      <c r="Y11" s="393">
        <f>SQRT(( ( M11-X11 ) ^ 2 ) + ( ( M12 - X12 ) ^ 2 ) + ( (M13 - X13 ) ^ 2 ))</f>
        <v>14.991226630077433</v>
      </c>
      <c r="Z11" s="423">
        <f t="shared" si="6"/>
        <v>90.590111987322274</v>
      </c>
      <c r="AA11" s="874">
        <f t="array" ref="AA11:AA13">MMULT(AQ14:AS16,R11:R13)</f>
        <v>85.300982647424263</v>
      </c>
      <c r="AB11" s="875">
        <f t="shared" si="7"/>
        <v>0.33451365744087946</v>
      </c>
      <c r="AC11" s="875">
        <f t="shared" si="8"/>
        <v>9.1505785313044843</v>
      </c>
      <c r="AD11" s="875">
        <f t="array" ref="AD11:AD13">MMULT($AR$25:$AT$27,AC11:AC13)</f>
        <v>16.307041826969989</v>
      </c>
      <c r="AE11" s="875">
        <f>AD11/$AR$41</f>
        <v>0.17156819075794069</v>
      </c>
      <c r="AF11" s="875">
        <f t="shared" si="9"/>
        <v>0.55566399522107934</v>
      </c>
      <c r="AG11" s="875">
        <f xml:space="preserve"> 116 * AF12  - 16</f>
        <v>49.487965670203408</v>
      </c>
      <c r="AH11" s="876">
        <f>SQRT(( ( M11-AG11 ) ^ 2 ) + ( ( M12 - AG12 ) ^ 2 ) + ( (M13 - AG13 ) ^ 2 ))</f>
        <v>2.593762170181062</v>
      </c>
      <c r="AJ11" s="1412"/>
      <c r="AK11" s="84">
        <f>R6</f>
        <v>78.345151953690319</v>
      </c>
      <c r="AL11" s="84">
        <f>R9</f>
        <v>78.539955190440622</v>
      </c>
      <c r="AM11" s="84">
        <f>R12</f>
        <v>91.18088942307692</v>
      </c>
      <c r="AN11" s="84">
        <f>R15</f>
        <v>106.89655172413794</v>
      </c>
      <c r="AO11" s="84">
        <f>R18</f>
        <v>81.942547876769353</v>
      </c>
      <c r="AP11" s="84">
        <f>R21</f>
        <v>114.27943760984184</v>
      </c>
      <c r="AQ11" s="85">
        <f>R25</f>
        <v>65.384903543763485</v>
      </c>
      <c r="AR11" s="85">
        <f>R28</f>
        <v>75.587095912369747</v>
      </c>
      <c r="AS11" s="85">
        <f>R31</f>
        <v>51.62568157033806</v>
      </c>
      <c r="AT11" s="85">
        <f>R34</f>
        <v>68.857758620689665</v>
      </c>
      <c r="AU11" s="85">
        <f>R37</f>
        <v>115.73852922690132</v>
      </c>
      <c r="AV11" s="85">
        <f>R40</f>
        <v>81.662101782215274</v>
      </c>
      <c r="AW11" s="84">
        <f>R44</f>
        <v>73.43317174515235</v>
      </c>
      <c r="AX11" s="84">
        <f>R47</f>
        <v>129.25400927263055</v>
      </c>
      <c r="AY11" s="84">
        <f>R50</f>
        <v>42.157603222557903</v>
      </c>
      <c r="AZ11" s="84">
        <f>R53</f>
        <v>95.360605407734568</v>
      </c>
      <c r="BA11" s="84">
        <f>R56</f>
        <v>52.905424799081516</v>
      </c>
      <c r="BB11" s="84">
        <f>R59</f>
        <v>101.34675491818348</v>
      </c>
      <c r="BC11" s="85">
        <f>R63</f>
        <v>91.354745879474578</v>
      </c>
      <c r="BD11" s="85">
        <f>R66</f>
        <v>91.474200567942063</v>
      </c>
      <c r="BE11" s="85">
        <f>R69</f>
        <v>91.151073133282154</v>
      </c>
      <c r="BF11" s="85">
        <f>R72</f>
        <v>90.448989773010723</v>
      </c>
      <c r="BG11" s="85">
        <f>R75</f>
        <v>90.007961783439484</v>
      </c>
      <c r="BH11" s="85">
        <f>R78</f>
        <v>88.30285714285715</v>
      </c>
    </row>
    <row r="12" spans="1:63" ht="15.75" thickBot="1">
      <c r="A12" s="94"/>
      <c r="B12" s="95"/>
      <c r="C12" s="1421"/>
      <c r="D12" s="383">
        <f t="shared" si="1"/>
        <v>122.36943007700241</v>
      </c>
      <c r="E12" s="371">
        <v>-4.88</v>
      </c>
      <c r="F12" s="1219">
        <f xml:space="preserve"> (E11  + 16 ) / 116</f>
        <v>0.56833620689655162</v>
      </c>
      <c r="G12" s="1219">
        <f>IF(F12^3&gt;0.008856,F12^3*$AR$38, (F12- 16 / 116 ) / 7.787*$AR$38)</f>
        <v>18.357602989115406</v>
      </c>
      <c r="H12" s="1220">
        <f>G12/SUM(G11:G13)</f>
        <v>0.30155446758021298</v>
      </c>
      <c r="I12" s="1220">
        <v>18.604922057669455</v>
      </c>
      <c r="J12" s="1220">
        <f>I12/SUM(I11:I13)</f>
        <v>0.26619229046996778</v>
      </c>
      <c r="K12" s="1220">
        <f>I12/$AR$42</f>
        <v>0.18604922057669454</v>
      </c>
      <c r="L12" s="1220">
        <f t="shared" si="2"/>
        <v>0.57087709490785166</v>
      </c>
      <c r="M12" s="1220">
        <f t="shared" ref="M12" si="18" xml:space="preserve"> 500 * (L11 - L12 )</f>
        <v>-2.3011140195283164</v>
      </c>
      <c r="N12" s="1219">
        <f xml:space="preserve"> I11/100 * -0.9689 + I12/100*  1.8758 + I13/100 *  0.0415</f>
        <v>0.19588879239094442</v>
      </c>
      <c r="O12" s="1222">
        <f t="shared" si="3"/>
        <v>122.36943007700241</v>
      </c>
      <c r="Q12" s="656">
        <v>952</v>
      </c>
      <c r="R12" s="707">
        <f t="shared" ref="R12" si="19">Q12/SUM(Q11:Q13)*255</f>
        <v>91.18088942307692</v>
      </c>
      <c r="S12" s="393">
        <f t="shared" si="0"/>
        <v>0.35757211538461536</v>
      </c>
      <c r="T12" s="393">
        <f t="shared" si="4"/>
        <v>10.504945154728777</v>
      </c>
      <c r="U12" s="393">
        <v>9.401132070155402</v>
      </c>
      <c r="V12" s="393">
        <f>U12/$AR$42</f>
        <v>9.4011320701554019E-2</v>
      </c>
      <c r="W12" s="393">
        <f t="shared" si="5"/>
        <v>0.45470184661398505</v>
      </c>
      <c r="X12" s="393">
        <f xml:space="preserve"> 500 * (W11 - W12 )</f>
        <v>-7.333363441975993</v>
      </c>
      <c r="Y12" s="393"/>
      <c r="Z12" s="423">
        <f t="shared" si="6"/>
        <v>122.36943007700241</v>
      </c>
      <c r="AA12" s="874">
        <v>121.48742526841615</v>
      </c>
      <c r="AB12" s="875">
        <f t="shared" si="7"/>
        <v>0.47642127556241626</v>
      </c>
      <c r="AC12" s="875">
        <f t="shared" si="8"/>
        <v>19.28623911171854</v>
      </c>
      <c r="AD12" s="875">
        <v>17.993287996519854</v>
      </c>
      <c r="AE12" s="875">
        <f>AD12/$AR$42</f>
        <v>0.17993287996519855</v>
      </c>
      <c r="AF12" s="875">
        <f t="shared" si="9"/>
        <v>0.56455142819140869</v>
      </c>
      <c r="AG12" s="875">
        <f xml:space="preserve"> 500 * (AF11 - AF12 )</f>
        <v>-4.4437164851646731</v>
      </c>
      <c r="AH12" s="876"/>
      <c r="AJ12" s="1413"/>
      <c r="AK12" s="86">
        <f>R7</f>
        <v>67.311143270622296</v>
      </c>
      <c r="AL12" s="86">
        <f>R10</f>
        <v>65.724421209858107</v>
      </c>
      <c r="AM12" s="86">
        <f>R13</f>
        <v>113.89948918269231</v>
      </c>
      <c r="AN12" s="86">
        <f>R16</f>
        <v>68.65517241379311</v>
      </c>
      <c r="AO12" s="86">
        <f>R19</f>
        <v>110.56369691923398</v>
      </c>
      <c r="AP12" s="86">
        <f>R22</f>
        <v>94.102055830302035</v>
      </c>
      <c r="AQ12" s="87">
        <f>R26</f>
        <v>39.531380618962203</v>
      </c>
      <c r="AR12" s="87">
        <f>R29</f>
        <v>144.17412503339568</v>
      </c>
      <c r="AS12" s="87">
        <f>R32</f>
        <v>57.368047982551801</v>
      </c>
      <c r="AT12" s="87">
        <f>R35</f>
        <v>110.49568965517243</v>
      </c>
      <c r="AU12" s="87">
        <f>R38</f>
        <v>52.259585166561905</v>
      </c>
      <c r="AV12" s="87">
        <f>R41</f>
        <v>39.962891523527553</v>
      </c>
      <c r="AW12" s="86">
        <f>R45</f>
        <v>154.93074792243766</v>
      </c>
      <c r="AX12" s="86">
        <f>R48</f>
        <v>68.047807250893072</v>
      </c>
      <c r="AY12" s="86">
        <f>R51</f>
        <v>45.346173212487408</v>
      </c>
      <c r="AZ12" s="86">
        <f>R54</f>
        <v>39.940751912097383</v>
      </c>
      <c r="BA12" s="86">
        <f>R57</f>
        <v>86.39064293915041</v>
      </c>
      <c r="BB12" s="86">
        <f>R60</f>
        <v>126.22632836918551</v>
      </c>
      <c r="BC12" s="87">
        <f>R64</f>
        <v>87.424535757379829</v>
      </c>
      <c r="BD12" s="87">
        <f>R67</f>
        <v>89.119641811448432</v>
      </c>
      <c r="BE12" s="87">
        <f>R70</f>
        <v>90.470142528121784</v>
      </c>
      <c r="BF12" s="87">
        <f>R73</f>
        <v>90.798827637814924</v>
      </c>
      <c r="BG12" s="87">
        <f>R76</f>
        <v>93.256369426751604</v>
      </c>
      <c r="BH12" s="87">
        <f>R79</f>
        <v>92.747142857142862</v>
      </c>
    </row>
    <row r="13" spans="1:63" ht="15.75" thickBot="1">
      <c r="A13" s="96"/>
      <c r="B13" s="97"/>
      <c r="C13" s="1421"/>
      <c r="D13" s="384">
        <f t="shared" si="1"/>
        <v>155.7634429623528</v>
      </c>
      <c r="E13" s="372">
        <v>-21.925000000000001</v>
      </c>
      <c r="F13" s="1223">
        <f>F12 - E13 / 200</f>
        <v>0.67796120689655159</v>
      </c>
      <c r="G13" s="1223">
        <f>IF(F13^3&gt;0.008856,F13^3*$AR$39, (F13- 16 / 116 ) / 7.787*$AR$39)</f>
        <v>25.714555089111201</v>
      </c>
      <c r="H13" s="1224">
        <f>G12</f>
        <v>18.357602989115406</v>
      </c>
      <c r="I13" s="1224">
        <v>34.028684106750006</v>
      </c>
      <c r="J13" s="1224">
        <f>I12</f>
        <v>18.604922057669455</v>
      </c>
      <c r="K13" s="1224">
        <f>I13/$AR$43</f>
        <v>0.31252522530376647</v>
      </c>
      <c r="L13" s="1224">
        <f t="shared" si="2"/>
        <v>0.6786226628598292</v>
      </c>
      <c r="M13" s="1224">
        <f t="shared" ref="M13" si="20" xml:space="preserve"> 200 * ( L12 - L13 )</f>
        <v>-21.549113590395507</v>
      </c>
      <c r="N13" s="1223">
        <f xml:space="preserve"> I11/100 *  0.0557 + I12/100 * -0.204 + I13/100 *  1.057</f>
        <v>0.33134251582610225</v>
      </c>
      <c r="O13" s="1226">
        <f t="shared" si="3"/>
        <v>155.7634429623528</v>
      </c>
      <c r="Q13" s="657">
        <v>1189.2</v>
      </c>
      <c r="R13" s="707">
        <f t="shared" ref="R13" si="21">Q13/SUM(Q11:Q13)*255</f>
        <v>113.89948918269231</v>
      </c>
      <c r="S13" s="393">
        <f t="shared" si="0"/>
        <v>0.44666466346153844</v>
      </c>
      <c r="T13" s="393">
        <f t="shared" si="4"/>
        <v>16.79525195571286</v>
      </c>
      <c r="U13" s="393">
        <v>17.274184046199217</v>
      </c>
      <c r="V13" s="393">
        <f>U13/$AR$43</f>
        <v>0.15864904572981289</v>
      </c>
      <c r="W13" s="393">
        <f t="shared" si="5"/>
        <v>0.54135126346995854</v>
      </c>
      <c r="X13" s="393">
        <f xml:space="preserve"> 200 * ( W12 - W13 )</f>
        <v>-17.329883371194697</v>
      </c>
      <c r="Y13" s="393"/>
      <c r="Z13" s="423">
        <f t="shared" si="6"/>
        <v>155.7634429623528</v>
      </c>
      <c r="AA13" s="874">
        <v>151.64531566867427</v>
      </c>
      <c r="AB13" s="875">
        <f t="shared" si="7"/>
        <v>0.59468751242617357</v>
      </c>
      <c r="AC13" s="875">
        <f t="shared" si="8"/>
        <v>31.238123908805399</v>
      </c>
      <c r="AD13" s="875">
        <v>32.161399009316142</v>
      </c>
      <c r="AE13" s="875">
        <f>AD13/$AR$43</f>
        <v>0.29537576122366344</v>
      </c>
      <c r="AF13" s="875">
        <f t="shared" si="9"/>
        <v>0.66597554914462898</v>
      </c>
      <c r="AG13" s="875">
        <f xml:space="preserve"> 200 * ( AF12 - AF13 )</f>
        <v>-20.284824190644059</v>
      </c>
      <c r="AH13" s="876"/>
      <c r="AN13" s="75"/>
      <c r="AO13" s="75"/>
      <c r="AP13" s="75"/>
      <c r="AQ13" s="75"/>
      <c r="AR13" s="75"/>
    </row>
    <row r="14" spans="1:63" ht="15.75" thickBot="1">
      <c r="A14" s="92">
        <v>4</v>
      </c>
      <c r="B14" s="93" t="s">
        <v>111</v>
      </c>
      <c r="C14" s="1422"/>
      <c r="D14" s="382">
        <f t="shared" si="1"/>
        <v>89.727149578766344</v>
      </c>
      <c r="E14" s="370">
        <v>43.139000000000003</v>
      </c>
      <c r="F14" s="1215">
        <f xml:space="preserve"> E15 / 500 + F15</f>
        <v>0.48362896551724138</v>
      </c>
      <c r="G14" s="1215">
        <f>IF(F14^3&gt;0.008856,F14^3*$AR$37, (F14- 16 / 116 ) / 7.787*$AR$37)</f>
        <v>10.907194224055665</v>
      </c>
      <c r="H14" s="1216">
        <f>G14/SUM(G14:G16)</f>
        <v>0.37034842231105086</v>
      </c>
      <c r="I14" s="1216">
        <f t="array" ref="I14:I16">MMULT($AR$48:$AT$50,G14:G16)</f>
        <v>10.451691011485027</v>
      </c>
      <c r="J14" s="1216">
        <f>I14/SUM(I14:I16)</f>
        <v>0.34224113871869855</v>
      </c>
      <c r="K14" s="1216">
        <f>I14/$AR$41</f>
        <v>0.10996339717702849</v>
      </c>
      <c r="L14" s="1216">
        <f t="shared" si="2"/>
        <v>0.47908883450958523</v>
      </c>
      <c r="M14" s="1216">
        <f t="shared" ref="M14" si="22" xml:space="preserve"> 116 * L15  - 16</f>
        <v>43.041203809731833</v>
      </c>
      <c r="N14" s="1215">
        <f>I14/100*  3.2406 + I15/100 * -1.5372 + I16/100 * -0.4986</f>
        <v>0.10159929910228443</v>
      </c>
      <c r="O14" s="1218">
        <f t="shared" si="3"/>
        <v>89.727149578766344</v>
      </c>
      <c r="Q14" s="655">
        <v>460.8</v>
      </c>
      <c r="R14" s="708">
        <f t="shared" ref="R14" si="23">Q14/SUM(Q14:Q16)*255</f>
        <v>79.448275862068968</v>
      </c>
      <c r="S14" s="394">
        <f t="shared" si="0"/>
        <v>0.31156186612576064</v>
      </c>
      <c r="T14" s="394">
        <f t="shared" si="4"/>
        <v>7.9094735048350104</v>
      </c>
      <c r="U14" s="394">
        <f t="array" ref="U14:U16">MMULT($AR$25:$AT$27,T14:T16)</f>
        <v>9.5720113334864312</v>
      </c>
      <c r="V14" s="394">
        <f>U14/$AR$41</f>
        <v>0.10070818998481205</v>
      </c>
      <c r="W14" s="394">
        <f t="shared" si="5"/>
        <v>0.46525201583164877</v>
      </c>
      <c r="X14" s="394">
        <f xml:space="preserve"> 116 * W15  - 16</f>
        <v>42.15504675136998</v>
      </c>
      <c r="Y14" s="394">
        <f>SQRT(( ( M14-X14 ) ^ 2 ) + ( ( M15 - X15 ) ^ 2 ) + ( (M16 - X16 ) ^ 2 ))</f>
        <v>4.9607736698632277</v>
      </c>
      <c r="Z14" s="424">
        <f t="shared" si="6"/>
        <v>89.727149578766344</v>
      </c>
      <c r="AA14" s="877">
        <f t="array" ref="AA14:AA16">MMULT(AQ14:AS16,R14:R16)</f>
        <v>137.96942561027021</v>
      </c>
      <c r="AB14" s="878">
        <f t="shared" si="7"/>
        <v>0.54105657102066751</v>
      </c>
      <c r="AC14" s="878">
        <f t="shared" si="8"/>
        <v>25.402943895795989</v>
      </c>
      <c r="AD14" s="878">
        <f t="array" ref="AD14:AD16">MMULT($AR$25:$AT$27,AC14:AC16)</f>
        <v>26.385981293317528</v>
      </c>
      <c r="AE14" s="878">
        <f>AD14/$AR$41</f>
        <v>0.2776098276991123</v>
      </c>
      <c r="AF14" s="878">
        <f t="shared" si="9"/>
        <v>0.65234641321762865</v>
      </c>
      <c r="AG14" s="878">
        <f xml:space="preserve"> 116 * AF15  - 16</f>
        <v>64.7534608399679</v>
      </c>
      <c r="AH14" s="879">
        <f>SQRT(( ( M14-AG14 ) ^ 2 ) + ( ( M15 - AG15 ) ^ 2 ) + ( (M16 - AG16 ) ^ 2 ))</f>
        <v>25.095926544028124</v>
      </c>
      <c r="AJ14" s="1411" t="s">
        <v>137</v>
      </c>
      <c r="AK14" s="98">
        <v>1</v>
      </c>
      <c r="AL14" s="327">
        <v>6.2167241348E-4</v>
      </c>
      <c r="AM14" s="327">
        <v>-3.5980759444000001E-5</v>
      </c>
      <c r="AN14" s="327">
        <v>-9.7127289350999995E-5</v>
      </c>
      <c r="AO14" s="81"/>
      <c r="AP14" s="1411" t="s">
        <v>148</v>
      </c>
      <c r="AQ14" s="71">
        <f t="array" ref="AQ14:AS16">MMULT(AK6:BH8,AL14:AN37)</f>
        <v>1.3767492380272752</v>
      </c>
      <c r="AR14" s="71">
        <v>0.3581108969436283</v>
      </c>
      <c r="AS14" s="71">
        <v>-0.14116558625929404</v>
      </c>
      <c r="AT14" s="75"/>
      <c r="AU14" s="75"/>
      <c r="AV14" s="75"/>
    </row>
    <row r="15" spans="1:63" ht="15.75" thickBot="1">
      <c r="A15" s="94"/>
      <c r="B15" s="95"/>
      <c r="C15" s="1422"/>
      <c r="D15" s="383">
        <f t="shared" si="1"/>
        <v>107.64968923603281</v>
      </c>
      <c r="E15" s="371">
        <v>-13.095000000000001</v>
      </c>
      <c r="F15" s="1219">
        <f xml:space="preserve"> (E14  + 16 ) / 116</f>
        <v>0.50981896551724137</v>
      </c>
      <c r="G15" s="1219">
        <f>IF(F15^3&gt;0.008856,F15^3*$AR$38, (F15- 16 / 116 ) / 7.787*$AR$38)</f>
        <v>13.250978893060076</v>
      </c>
      <c r="H15" s="1220">
        <f>G15/SUM(G14:G16)</f>
        <v>0.44993047949017512</v>
      </c>
      <c r="I15" s="1220">
        <v>13.185349437594194</v>
      </c>
      <c r="J15" s="1220">
        <f>I15/SUM(I14:I16)</f>
        <v>0.43175491898559493</v>
      </c>
      <c r="K15" s="1220">
        <f>I15/$AR$42</f>
        <v>0.13185349437594193</v>
      </c>
      <c r="L15" s="1220">
        <f t="shared" si="2"/>
        <v>0.50897589491148132</v>
      </c>
      <c r="M15" s="1220">
        <f t="shared" ref="M15" si="24" xml:space="preserve"> 500 * (L14 - L15 )</f>
        <v>-14.943530200948047</v>
      </c>
      <c r="N15" s="1219">
        <f xml:space="preserve"> I14/100 * -0.9689 + I15/100*  1.8758 + I16/100 *  0.0415</f>
        <v>0.14892865026502292</v>
      </c>
      <c r="O15" s="1222">
        <f t="shared" si="3"/>
        <v>107.64968923603281</v>
      </c>
      <c r="Q15" s="656">
        <v>620</v>
      </c>
      <c r="R15" s="708">
        <f t="shared" ref="R15" si="25">Q15/SUM(Q14:Q16)*255</f>
        <v>106.89655172413794</v>
      </c>
      <c r="S15" s="394">
        <f t="shared" si="0"/>
        <v>0.41920216362407031</v>
      </c>
      <c r="T15" s="394">
        <f t="shared" si="4"/>
        <v>14.672582892253438</v>
      </c>
      <c r="U15" s="394">
        <v>12.600513962123074</v>
      </c>
      <c r="V15" s="394">
        <f>U15/$AR$42</f>
        <v>0.12600513962123075</v>
      </c>
      <c r="W15" s="394">
        <f t="shared" si="5"/>
        <v>0.50133660992560325</v>
      </c>
      <c r="X15" s="394">
        <f xml:space="preserve"> 500 * (W14 - W15 )</f>
        <v>-18.042297046977239</v>
      </c>
      <c r="Y15" s="394"/>
      <c r="Z15" s="424">
        <f t="shared" si="6"/>
        <v>107.64968923603281</v>
      </c>
      <c r="AA15" s="877">
        <v>166.53139904229212</v>
      </c>
      <c r="AB15" s="878">
        <f t="shared" si="7"/>
        <v>0.65306430996977305</v>
      </c>
      <c r="AC15" s="878">
        <f t="shared" si="8"/>
        <v>38.403303735284261</v>
      </c>
      <c r="AD15" s="878">
        <v>33.737233271563852</v>
      </c>
      <c r="AE15" s="878">
        <f>AD15/$AR$42</f>
        <v>0.33737233271563855</v>
      </c>
      <c r="AF15" s="878">
        <f t="shared" si="9"/>
        <v>0.69615052448248194</v>
      </c>
      <c r="AG15" s="878">
        <f xml:space="preserve"> 500 * (AF14 - AF15 )</f>
        <v>-21.902055632426642</v>
      </c>
      <c r="AH15" s="879"/>
      <c r="AJ15" s="1412"/>
      <c r="AK15" s="99">
        <v>2</v>
      </c>
      <c r="AL15" s="328">
        <v>6.3615346800999998E-4</v>
      </c>
      <c r="AM15" s="328">
        <v>3.4686644962999999E-6</v>
      </c>
      <c r="AN15" s="328">
        <v>-1.5152631773E-4</v>
      </c>
      <c r="AO15" s="81"/>
      <c r="AP15" s="1412"/>
      <c r="AQ15" s="71">
        <v>0.13569791000447531</v>
      </c>
      <c r="AR15" s="71">
        <v>1.6675433293616773</v>
      </c>
      <c r="AS15" s="71">
        <v>-0.32778590328731266</v>
      </c>
      <c r="AT15" s="75"/>
      <c r="AU15" s="75"/>
      <c r="AV15" s="75"/>
    </row>
    <row r="16" spans="1:63" ht="15.75" thickBot="1">
      <c r="A16" s="96"/>
      <c r="B16" s="97"/>
      <c r="C16" s="1422"/>
      <c r="D16" s="384">
        <f t="shared" si="1"/>
        <v>64.383828506381079</v>
      </c>
      <c r="E16" s="372">
        <v>21.905000000000001</v>
      </c>
      <c r="F16" s="1223">
        <f>F15 - E16 / 200</f>
        <v>0.40029396551724139</v>
      </c>
      <c r="G16" s="1223">
        <f>IF(F16^3&gt;0.008856,F16^3*$AR$39, (F16- 16 / 116 ) / 7.787*$AR$39)</f>
        <v>5.2929965570859583</v>
      </c>
      <c r="H16" s="1224">
        <f>G15</f>
        <v>13.250978893060076</v>
      </c>
      <c r="I16" s="1224">
        <v>6.901927047974608</v>
      </c>
      <c r="J16" s="1224">
        <f>I15</f>
        <v>13.185349437594194</v>
      </c>
      <c r="K16" s="1224">
        <f>I16/$AR$43</f>
        <v>6.3388472470216728E-2</v>
      </c>
      <c r="L16" s="1224">
        <f t="shared" si="2"/>
        <v>0.39872190484447512</v>
      </c>
      <c r="M16" s="1224">
        <f t="shared" ref="M16" si="26" xml:space="preserve"> 200 * ( L15 - L16 )</f>
        <v>22.050798013401241</v>
      </c>
      <c r="N16" s="1223">
        <f xml:space="preserve"> I14/100 *  0.0557 + I15/100 * -0.204 + I16/100 *  1.057</f>
        <v>5.1876847937796608E-2</v>
      </c>
      <c r="O16" s="1226">
        <f t="shared" si="3"/>
        <v>64.383828506381079</v>
      </c>
      <c r="Q16" s="657">
        <v>398.2</v>
      </c>
      <c r="R16" s="708">
        <f t="shared" ref="R16" si="27">Q16/SUM(Q14:Q16)*255</f>
        <v>68.65517241379311</v>
      </c>
      <c r="S16" s="394">
        <f t="shared" si="0"/>
        <v>0.26923597025016904</v>
      </c>
      <c r="T16" s="394">
        <f t="shared" si="4"/>
        <v>5.8919758822201418</v>
      </c>
      <c r="U16" s="394">
        <v>7.5009443078635192</v>
      </c>
      <c r="V16" s="394">
        <f>U16/$AR$43</f>
        <v>6.888994891639208E-2</v>
      </c>
      <c r="W16" s="394">
        <f t="shared" si="5"/>
        <v>0.40993841810838882</v>
      </c>
      <c r="X16" s="394">
        <f xml:space="preserve"> 200 * ( W15 - W16 )</f>
        <v>18.279638363442885</v>
      </c>
      <c r="Y16" s="394"/>
      <c r="Z16" s="424">
        <f t="shared" si="6"/>
        <v>64.383828506381079</v>
      </c>
      <c r="AA16" s="877">
        <v>97.413914504764719</v>
      </c>
      <c r="AB16" s="878">
        <f t="shared" si="7"/>
        <v>0.38201535099907735</v>
      </c>
      <c r="AC16" s="878">
        <f t="shared" si="8"/>
        <v>12.06107892138364</v>
      </c>
      <c r="AD16" s="878">
        <v>16.530197305217381</v>
      </c>
      <c r="AE16" s="878">
        <f>AD16/$AR$43</f>
        <v>0.15181614490064915</v>
      </c>
      <c r="AF16" s="878">
        <f t="shared" si="9"/>
        <v>0.53346506781962189</v>
      </c>
      <c r="AG16" s="878">
        <f xml:space="preserve"> 200 * ( AF15 - AF16 )</f>
        <v>32.537091332572011</v>
      </c>
      <c r="AH16" s="879"/>
      <c r="AJ16" s="1412"/>
      <c r="AK16" s="99">
        <v>3</v>
      </c>
      <c r="AL16" s="328">
        <v>-4.1950116652000001E-4</v>
      </c>
      <c r="AM16" s="328">
        <v>8.9406517748999995E-5</v>
      </c>
      <c r="AN16" s="328">
        <v>8.2535204588E-4</v>
      </c>
      <c r="AP16" s="1413"/>
      <c r="AQ16" s="71">
        <v>2.7041583208903295E-2</v>
      </c>
      <c r="AR16" s="71">
        <v>8.9957275365338651E-2</v>
      </c>
      <c r="AS16" s="71">
        <v>1.2475299644863453</v>
      </c>
      <c r="AT16" s="75"/>
      <c r="AU16" s="75"/>
      <c r="AV16" s="75"/>
    </row>
    <row r="17" spans="1:48">
      <c r="A17" s="92">
        <v>5</v>
      </c>
      <c r="B17" s="93" t="s">
        <v>112</v>
      </c>
      <c r="C17" s="1414"/>
      <c r="D17" s="382">
        <f t="shared" si="1"/>
        <v>129.55778390505861</v>
      </c>
      <c r="E17" s="370">
        <v>55.112000000000002</v>
      </c>
      <c r="F17" s="1215">
        <f xml:space="preserve"> E18 / 500 + F18</f>
        <v>0.63072248275862064</v>
      </c>
      <c r="G17" s="1215">
        <f>IF(F17^3&gt;0.008856,F17^3*$AR$37, (F17- 16 / 116 ) / 7.787*$AR$37)</f>
        <v>24.193075005977811</v>
      </c>
      <c r="H17" s="1216">
        <f>G17/SUM(G17:G19)</f>
        <v>0.29988284284978423</v>
      </c>
      <c r="I17" s="1216">
        <f t="array" ref="I17:I19">MMULT($AR$48:$AT$50,G17:G19)</f>
        <v>24.699955835439631</v>
      </c>
      <c r="J17" s="1216">
        <f>I17/SUM(I17:I19)</f>
        <v>0.26763955287126434</v>
      </c>
      <c r="K17" s="1216">
        <f>I17/$AR$41</f>
        <v>0.2598709673681403</v>
      </c>
      <c r="L17" s="1216">
        <f t="shared" si="2"/>
        <v>0.63814482891133872</v>
      </c>
      <c r="M17" s="1216">
        <f t="shared" ref="M17" si="28" xml:space="preserve"> 116 * L18  - 16</f>
        <v>55.36543670524037</v>
      </c>
      <c r="N17" s="1215">
        <f>I17/100*  3.2406 + I18/100 * -1.5372 + I19/100 * -0.4986</f>
        <v>0.22158652702956053</v>
      </c>
      <c r="O17" s="1218">
        <f t="shared" si="3"/>
        <v>129.55778390505861</v>
      </c>
      <c r="Q17" s="655">
        <v>883</v>
      </c>
      <c r="R17" s="709">
        <f t="shared" ref="R17" si="29">Q17/SUM(Q17:Q19)*255</f>
        <v>62.49375520399667</v>
      </c>
      <c r="S17" s="395">
        <f t="shared" si="0"/>
        <v>0.24507354981959478</v>
      </c>
      <c r="T17" s="395">
        <f t="shared" si="4"/>
        <v>4.8926101858758555</v>
      </c>
      <c r="U17" s="395">
        <f t="array" ref="U17:U19">MMULT($AR$25:$AT$27,T17:T19)</f>
        <v>7.8750351798182185</v>
      </c>
      <c r="V17" s="395">
        <f>U17/$AR$41</f>
        <v>8.2854116172190795E-2</v>
      </c>
      <c r="W17" s="395">
        <f t="shared" si="5"/>
        <v>0.43595135278465702</v>
      </c>
      <c r="X17" s="395">
        <f xml:space="preserve"> 116 * W18  - 16</f>
        <v>34.403691273051841</v>
      </c>
      <c r="Y17" s="395">
        <f>SQRT(( ( M17-X17 ) ^ 2 ) + ( ( M18 - X18 ) ^ 2 ) + ( (M19 - X19 ) ^ 2 ))</f>
        <v>24.395308443686805</v>
      </c>
      <c r="Z17" s="425">
        <f t="shared" si="6"/>
        <v>129.55778390505861</v>
      </c>
      <c r="AA17" s="880">
        <f t="array" ref="AA17:AA19">MMULT(AQ14:AS16,R17:R19)</f>
        <v>99.774960081963002</v>
      </c>
      <c r="AB17" s="881">
        <f t="shared" si="7"/>
        <v>0.39127435326260002</v>
      </c>
      <c r="AC17" s="881">
        <f t="shared" si="8"/>
        <v>12.683488724721284</v>
      </c>
      <c r="AD17" s="881">
        <f t="array" ref="AD17:AD19">MMULT($AR$25:$AT$27,AC17:AC19)</f>
        <v>15.951129525544545</v>
      </c>
      <c r="AE17" s="881">
        <f>AD17/$AR$41</f>
        <v>0.16782359806774064</v>
      </c>
      <c r="AF17" s="881">
        <f t="shared" si="9"/>
        <v>0.55159164083383672</v>
      </c>
      <c r="AG17" s="881">
        <f xml:space="preserve"> 116 * AF18  - 16</f>
        <v>46.597549989747165</v>
      </c>
      <c r="AH17" s="882">
        <f>SQRT(( ( M17-AG17 ) ^ 2 ) + ( ( M18 - AG18 ) ^ 2 ) + ( (M19 - AG19 ) ^ 2 ))</f>
        <v>10.840318768618205</v>
      </c>
      <c r="AJ17" s="1412"/>
      <c r="AK17" s="99">
        <v>4</v>
      </c>
      <c r="AL17" s="328">
        <v>-3.439008155E-4</v>
      </c>
      <c r="AM17" s="328">
        <v>1.9172243801E-3</v>
      </c>
      <c r="AN17" s="328">
        <v>-1.0952949432E-3</v>
      </c>
      <c r="AT17" s="75"/>
      <c r="AU17" s="75"/>
      <c r="AV17" s="75"/>
    </row>
    <row r="18" spans="1:48">
      <c r="A18" s="94"/>
      <c r="B18" s="95"/>
      <c r="C18" s="1414"/>
      <c r="D18" s="383">
        <f t="shared" si="1"/>
        <v>128.00022677459134</v>
      </c>
      <c r="E18" s="371">
        <v>8.8439999999999994</v>
      </c>
      <c r="F18" s="1219">
        <f xml:space="preserve"> (E17  + 16 ) / 116</f>
        <v>0.6130344827586206</v>
      </c>
      <c r="G18" s="1219">
        <f>IF(F18^3&gt;0.008856,F18^3*$AR$38, (F18- 16 / 116 ) / 7.787*$AR$38)</f>
        <v>23.038527184189583</v>
      </c>
      <c r="H18" s="1220">
        <f>G18/SUM(G17:G19)</f>
        <v>0.28557176073565316</v>
      </c>
      <c r="I18" s="1220">
        <v>23.285727746380509</v>
      </c>
      <c r="J18" s="1220">
        <f>I18/SUM(I17:I19)</f>
        <v>0.25231550225613381</v>
      </c>
      <c r="K18" s="1220">
        <f>I18/$AR$42</f>
        <v>0.23285727746380508</v>
      </c>
      <c r="L18" s="1220">
        <f t="shared" si="2"/>
        <v>0.61521928194172737</v>
      </c>
      <c r="M18" s="1220">
        <f t="shared" ref="M18" si="30" xml:space="preserve"> 500 * (L17 - L18 )</f>
        <v>11.462773484805677</v>
      </c>
      <c r="N18" s="1219">
        <f xml:space="preserve"> I17/100 * -0.9689 + I18/100*  1.8758 + I19/100 *  0.0415</f>
        <v>0.2158613273214712</v>
      </c>
      <c r="O18" s="1222">
        <f t="shared" si="3"/>
        <v>128.00022677459134</v>
      </c>
      <c r="Q18" s="656">
        <v>1157.8</v>
      </c>
      <c r="R18" s="709">
        <f t="shared" ref="R18" si="31">Q18/SUM(Q17:Q19)*255</f>
        <v>81.942547876769353</v>
      </c>
      <c r="S18" s="395">
        <f t="shared" si="0"/>
        <v>0.32134332500693863</v>
      </c>
      <c r="T18" s="395">
        <f t="shared" si="4"/>
        <v>8.4255104021761014</v>
      </c>
      <c r="U18" s="395">
        <v>8.2037621553704696</v>
      </c>
      <c r="V18" s="395">
        <f>U18/$AR$42</f>
        <v>8.2037621553704698E-2</v>
      </c>
      <c r="W18" s="395">
        <f t="shared" si="5"/>
        <v>0.43451457994010206</v>
      </c>
      <c r="X18" s="395">
        <f xml:space="preserve"> 500 * (W17 - W18 )</f>
        <v>0.71838642227747829</v>
      </c>
      <c r="Y18" s="395"/>
      <c r="Z18" s="425">
        <f t="shared" si="6"/>
        <v>128.00022677459134</v>
      </c>
      <c r="AA18" s="880">
        <v>108.88179980686451</v>
      </c>
      <c r="AB18" s="881">
        <f t="shared" si="7"/>
        <v>0.42698745022299806</v>
      </c>
      <c r="AC18" s="881">
        <f t="shared" si="8"/>
        <v>15.257376029637706</v>
      </c>
      <c r="AD18" s="881">
        <v>15.714408526944078</v>
      </c>
      <c r="AE18" s="881">
        <f>AD18/$AR$42</f>
        <v>0.15714408526944079</v>
      </c>
      <c r="AF18" s="881">
        <f t="shared" si="9"/>
        <v>0.5396340516357514</v>
      </c>
      <c r="AG18" s="881">
        <f xml:space="preserve"> 500 * (AF17 - AF18 )</f>
        <v>5.9787945990426579</v>
      </c>
      <c r="AH18" s="882"/>
      <c r="AJ18" s="1412"/>
      <c r="AK18" s="99">
        <v>5</v>
      </c>
      <c r="AL18" s="328">
        <v>-6.8773904591999994E-5</v>
      </c>
      <c r="AM18" s="328">
        <v>-4.9510515028999998E-4</v>
      </c>
      <c r="AN18" s="328">
        <v>1.0618244589000001E-3</v>
      </c>
      <c r="AT18" s="75"/>
      <c r="AU18" s="75"/>
      <c r="AV18" s="75"/>
    </row>
    <row r="19" spans="1:48" ht="15.75" thickBot="1">
      <c r="A19" s="96"/>
      <c r="B19" s="97"/>
      <c r="C19" s="1414"/>
      <c r="D19" s="384">
        <f t="shared" si="1"/>
        <v>176.06897196090145</v>
      </c>
      <c r="E19" s="372">
        <v>-25.399000000000001</v>
      </c>
      <c r="F19" s="1223">
        <f>F18 - E19 / 200</f>
        <v>0.74002948275862057</v>
      </c>
      <c r="G19" s="1223">
        <f>IF(F19^3&gt;0.008856,F19^3*$AR$39, (F19- 16 / 116 ) / 7.787*$AR$39)</f>
        <v>33.443486708121064</v>
      </c>
      <c r="H19" s="1224">
        <f>G18</f>
        <v>23.038527184189583</v>
      </c>
      <c r="I19" s="1224">
        <v>44.302453842024704</v>
      </c>
      <c r="J19" s="1224">
        <f>I18</f>
        <v>23.285727746380509</v>
      </c>
      <c r="K19" s="1224">
        <f>I19/$AR$43</f>
        <v>0.40688127478141406</v>
      </c>
      <c r="L19" s="1224">
        <f t="shared" si="2"/>
        <v>0.74100743888934384</v>
      </c>
      <c r="M19" s="1224">
        <f t="shared" ref="M19" si="32" xml:space="preserve"> 200 * ( L18 - L19 )</f>
        <v>-25.157631389523296</v>
      </c>
      <c r="N19" s="1223">
        <f xml:space="preserve"> I17/100 *  0.0557 + I18/100 * -0.204 + I19/100 *  1.057</f>
        <v>0.43453192790792472</v>
      </c>
      <c r="O19" s="1226">
        <f t="shared" si="3"/>
        <v>176.06897196090145</v>
      </c>
      <c r="Q19" s="657">
        <v>1562.2</v>
      </c>
      <c r="R19" s="709">
        <f t="shared" ref="R19" si="33">Q19/SUM(Q17:Q19)*255</f>
        <v>110.56369691923398</v>
      </c>
      <c r="S19" s="395">
        <f t="shared" si="0"/>
        <v>0.43358312517346659</v>
      </c>
      <c r="T19" s="395">
        <f t="shared" si="4"/>
        <v>15.763273409512827</v>
      </c>
      <c r="U19" s="395">
        <v>16.078750022409899</v>
      </c>
      <c r="V19" s="395">
        <f>U19/$AR$43</f>
        <v>0.1476699762351322</v>
      </c>
      <c r="W19" s="395">
        <f t="shared" si="5"/>
        <v>0.52856378245105007</v>
      </c>
      <c r="X19" s="395">
        <f xml:space="preserve"> 200 * ( W18 - W19 )</f>
        <v>-18.809840502189601</v>
      </c>
      <c r="Y19" s="395"/>
      <c r="Z19" s="425">
        <f t="shared" si="6"/>
        <v>176.06897196090145</v>
      </c>
      <c r="AA19" s="880">
        <v>146.9927833160047</v>
      </c>
      <c r="AB19" s="881">
        <f t="shared" si="7"/>
        <v>0.57644228751374393</v>
      </c>
      <c r="AC19" s="881">
        <f t="shared" si="8"/>
        <v>29.173926760202708</v>
      </c>
      <c r="AD19" s="881">
        <v>29.787880679699818</v>
      </c>
      <c r="AE19" s="881">
        <f>AD19/$AR$43</f>
        <v>0.27357696499637058</v>
      </c>
      <c r="AF19" s="881">
        <f t="shared" si="9"/>
        <v>0.64917209386835795</v>
      </c>
      <c r="AG19" s="881">
        <f xml:space="preserve"> 200 * ( AF18 - AF19 )</f>
        <v>-21.907608446521309</v>
      </c>
      <c r="AH19" s="882"/>
      <c r="AJ19" s="1412"/>
      <c r="AK19" s="99">
        <v>6</v>
      </c>
      <c r="AL19" s="328">
        <v>-9.2494375730999999E-4</v>
      </c>
      <c r="AM19" s="328">
        <v>2.0114411526999999E-3</v>
      </c>
      <c r="AN19" s="328">
        <v>-6.0495458136999999E-4</v>
      </c>
      <c r="AO19" s="81"/>
      <c r="AP19" s="345" t="s">
        <v>48</v>
      </c>
      <c r="AU19" s="75"/>
      <c r="AV19" s="75"/>
    </row>
    <row r="20" spans="1:48" ht="15.75" thickBot="1">
      <c r="A20" s="92">
        <v>6</v>
      </c>
      <c r="B20" s="93" t="s">
        <v>113</v>
      </c>
      <c r="C20" s="1415"/>
      <c r="D20" s="382">
        <f t="shared" si="1"/>
        <v>92.422098428867557</v>
      </c>
      <c r="E20" s="370">
        <v>70.718999999999994</v>
      </c>
      <c r="F20" s="1215">
        <f xml:space="preserve"> E21 / 500 + F21</f>
        <v>0.6807835862068965</v>
      </c>
      <c r="G20" s="1215">
        <f>IF(F20^3&gt;0.008856,F20^3*$AR$37, (F20- 16 / 116 ) / 7.787*$AR$37)</f>
        <v>30.423092951763746</v>
      </c>
      <c r="H20" s="1216">
        <f>G20/SUM(G20:G22)</f>
        <v>0.28481166924930046</v>
      </c>
      <c r="I20" s="1216">
        <f t="array" ref="I20:I22">MMULT($AR$48:$AT$50,G20:G22)</f>
        <v>30.295430517119279</v>
      </c>
      <c r="J20" s="1216">
        <f>I20/SUM(I20:I22)</f>
        <v>0.25693525746026269</v>
      </c>
      <c r="K20" s="1216">
        <f>I20/$AR$41</f>
        <v>0.31874157540079412</v>
      </c>
      <c r="L20" s="1216">
        <f t="shared" si="2"/>
        <v>0.68309258584567412</v>
      </c>
      <c r="M20" s="1216">
        <f t="shared" ref="M20" si="34" xml:space="preserve"> 116 * L21  - 16</f>
        <v>70.913594826070963</v>
      </c>
      <c r="N20" s="1215">
        <f>I20/100*  3.2406 + I21/100 * -1.5372 + I22/100 * -0.4986</f>
        <v>0.10804852697667286</v>
      </c>
      <c r="O20" s="1218">
        <f t="shared" si="3"/>
        <v>92.422098428867557</v>
      </c>
      <c r="Q20" s="655">
        <v>894.6</v>
      </c>
      <c r="R20" s="710">
        <f t="shared" ref="R20" si="35">Q20/SUM(Q20:Q22)*255</f>
        <v>46.618506559856137</v>
      </c>
      <c r="S20" s="396">
        <f t="shared" si="0"/>
        <v>0.18281767278374955</v>
      </c>
      <c r="T20" s="396">
        <f t="shared" si="4"/>
        <v>2.8001416192967583</v>
      </c>
      <c r="U20" s="396">
        <f t="array" ref="U20:U22">MMULT($AR$25:$AT$27,T20:T22)</f>
        <v>9.2276784349805983</v>
      </c>
      <c r="V20" s="396">
        <f>U20/$AR$41</f>
        <v>9.7085425473508874E-2</v>
      </c>
      <c r="W20" s="396">
        <f t="shared" si="5"/>
        <v>0.45960493091579857</v>
      </c>
      <c r="X20" s="396">
        <f xml:space="preserve"> 116 * W21  - 16</f>
        <v>43.510362032049137</v>
      </c>
      <c r="Y20" s="396">
        <f>SQRT(( ( M20-X20 ) ^ 2 ) + ( ( M21 - X21 ) ^ 2 ) + ( (M22 - X22 ) ^ 2 ))</f>
        <v>28.498175778644768</v>
      </c>
      <c r="Z20" s="426">
        <f t="shared" si="6"/>
        <v>92.422098428867557</v>
      </c>
      <c r="AA20" s="883">
        <f t="array" ref="AA20:AA22">MMULT(AQ14:AS16,R20:R22)</f>
        <v>91.822733409435941</v>
      </c>
      <c r="AB20" s="884">
        <f t="shared" si="7"/>
        <v>0.360089150625239</v>
      </c>
      <c r="AC20" s="884">
        <f t="shared" si="8"/>
        <v>10.659416062589925</v>
      </c>
      <c r="AD20" s="884">
        <f t="array" ref="AD20:AD22">MMULT($AR$25:$AT$27,AC20:AC22)</f>
        <v>21.997153182233745</v>
      </c>
      <c r="AE20" s="884">
        <f>AD20/$AR$41</f>
        <v>0.23143448170098738</v>
      </c>
      <c r="AF20" s="884">
        <f t="shared" si="9"/>
        <v>0.61396369127938044</v>
      </c>
      <c r="AG20" s="884">
        <f xml:space="preserve"> 116 * AF21  - 16</f>
        <v>62.623337899362227</v>
      </c>
      <c r="AH20" s="885">
        <f>SQRT(( ( M20-AG20 ) ^ 2 ) + ( ( M21 - AG21 ) ^ 2 ) + ( (M22 - AG22 ) ^ 2 ))</f>
        <v>14.51781566328671</v>
      </c>
      <c r="AJ20" s="1412"/>
      <c r="AK20" s="99">
        <v>7</v>
      </c>
      <c r="AL20" s="328">
        <v>1.4186675049999999E-3</v>
      </c>
      <c r="AM20" s="328">
        <v>-4.7785674140999999E-4</v>
      </c>
      <c r="AN20" s="328">
        <v>-4.5421707600999998E-4</v>
      </c>
      <c r="AP20" s="76"/>
    </row>
    <row r="21" spans="1:48">
      <c r="A21" s="94"/>
      <c r="B21" s="95"/>
      <c r="C21" s="1415"/>
      <c r="D21" s="383">
        <f t="shared" si="1"/>
        <v>189.90953390734151</v>
      </c>
      <c r="E21" s="371">
        <v>-33.396999999999998</v>
      </c>
      <c r="F21" s="1219">
        <f xml:space="preserve"> (E20  + 16 ) / 116</f>
        <v>0.74757758620689652</v>
      </c>
      <c r="G21" s="1219">
        <f>IF(F21^3&gt;0.008856,F21^3*$AR$38, (F21- 16 / 116 ) / 7.787*$AR$38)</f>
        <v>41.78003657085155</v>
      </c>
      <c r="H21" s="1220">
        <f>G21/SUM(G20:G22)</f>
        <v>0.39113189365419831</v>
      </c>
      <c r="I21" s="1220">
        <v>42.061927614550903</v>
      </c>
      <c r="J21" s="1220">
        <f>I21/SUM(I20:I22)</f>
        <v>0.35672680719333771</v>
      </c>
      <c r="K21" s="1220">
        <f>I21/$AR$42</f>
        <v>0.42061927614550904</v>
      </c>
      <c r="L21" s="1220">
        <f t="shared" si="2"/>
        <v>0.7492551278109566</v>
      </c>
      <c r="M21" s="1220">
        <f t="shared" ref="M21" si="36" xml:space="preserve"> 500 * (L20 - L21 )</f>
        <v>-33.081270982641243</v>
      </c>
      <c r="N21" s="1219">
        <f xml:space="preserve"> I20/100 * -0.9689 + I21/100*  1.8758 + I22/100 *  0.0415</f>
        <v>0.51436987213683083</v>
      </c>
      <c r="O21" s="1222">
        <f t="shared" si="3"/>
        <v>189.90953390734151</v>
      </c>
      <c r="Q21" s="656">
        <v>2193</v>
      </c>
      <c r="R21" s="710">
        <f t="shared" ref="R21" si="37">Q21/SUM(Q20:Q22)*255</f>
        <v>114.27943760984184</v>
      </c>
      <c r="S21" s="396">
        <f t="shared" si="0"/>
        <v>0.4481546572934974</v>
      </c>
      <c r="T21" s="396">
        <f t="shared" si="4"/>
        <v>16.915221517458477</v>
      </c>
      <c r="U21" s="396">
        <v>13.502177385222867</v>
      </c>
      <c r="V21" s="396">
        <f>U21/$AR$42</f>
        <v>0.13502177385222866</v>
      </c>
      <c r="W21" s="396">
        <f t="shared" si="5"/>
        <v>0.51302036234525117</v>
      </c>
      <c r="X21" s="396">
        <f xml:space="preserve"> 500 * (W20 - W21 )</f>
        <v>-26.707715714726298</v>
      </c>
      <c r="Y21" s="396"/>
      <c r="Z21" s="426">
        <f t="shared" si="6"/>
        <v>189.90953390734151</v>
      </c>
      <c r="AA21" s="883">
        <v>166.04662040566947</v>
      </c>
      <c r="AB21" s="884">
        <f t="shared" si="7"/>
        <v>0.65116321727713522</v>
      </c>
      <c r="AC21" s="884">
        <f t="shared" si="8"/>
        <v>38.156305579118367</v>
      </c>
      <c r="AD21" s="884">
        <v>31.137265152142891</v>
      </c>
      <c r="AE21" s="884">
        <f>AD21/$AR$42</f>
        <v>0.3113726515214289</v>
      </c>
      <c r="AF21" s="884">
        <f t="shared" si="9"/>
        <v>0.67778739568415713</v>
      </c>
      <c r="AG21" s="884">
        <f xml:space="preserve"> 500 * (AF20 - AF21 )</f>
        <v>-31.911852202388346</v>
      </c>
      <c r="AH21" s="885"/>
      <c r="AJ21" s="1412"/>
      <c r="AK21" s="99">
        <v>8</v>
      </c>
      <c r="AL21" s="328">
        <v>-3.0151672246999999E-4</v>
      </c>
      <c r="AM21" s="328">
        <v>-1.4849438195E-3</v>
      </c>
      <c r="AN21" s="328">
        <v>2.2951795443000001E-3</v>
      </c>
      <c r="AP21" s="76" t="s">
        <v>174</v>
      </c>
      <c r="AR21" s="333">
        <v>0.43607469999999998</v>
      </c>
      <c r="AS21" s="334">
        <v>0.38506489999999999</v>
      </c>
      <c r="AT21" s="335">
        <v>0.1430804</v>
      </c>
    </row>
    <row r="22" spans="1:48" ht="15.75" thickBot="1">
      <c r="A22" s="96"/>
      <c r="B22" s="97"/>
      <c r="C22" s="1416"/>
      <c r="D22" s="384">
        <f t="shared" si="1"/>
        <v>172.00470214339384</v>
      </c>
      <c r="E22" s="372">
        <v>-0.19900000000000001</v>
      </c>
      <c r="F22" s="1223">
        <f>F21 - E22 / 200</f>
        <v>0.74857258620689648</v>
      </c>
      <c r="G22" s="1223">
        <f>IF(F22^3&gt;0.008856,F22^3*$AR$39, (F22- 16 / 116 ) / 7.787*$AR$39)</f>
        <v>34.615151596104958</v>
      </c>
      <c r="H22" s="1224">
        <f>G21</f>
        <v>41.78003657085155</v>
      </c>
      <c r="I22" s="1224">
        <v>45.553398128804254</v>
      </c>
      <c r="J22" s="1224">
        <f>I21</f>
        <v>42.061927614550903</v>
      </c>
      <c r="K22" s="1224">
        <f>I22/$AR$43</f>
        <v>0.41837015997726235</v>
      </c>
      <c r="L22" s="1224">
        <f t="shared" si="2"/>
        <v>0.74791727948495235</v>
      </c>
      <c r="M22" s="1224">
        <f t="shared" ref="M22" si="38" xml:space="preserve"> 200 * ( L21 - L22 )</f>
        <v>0.26756966520085079</v>
      </c>
      <c r="N22" s="1223">
        <f xml:space="preserve"> I20/100 *  0.0557 + I21/100 * -0.204 + I22/100 *  1.057</f>
        <v>0.41256764068581253</v>
      </c>
      <c r="O22" s="1226">
        <f t="shared" si="3"/>
        <v>172.00470214339384</v>
      </c>
      <c r="Q22" s="657">
        <v>1805.8</v>
      </c>
      <c r="R22" s="711">
        <f t="shared" ref="R22" si="39">Q22/SUM(Q20:Q22)*255</f>
        <v>94.102055830302035</v>
      </c>
      <c r="S22" s="396">
        <f t="shared" si="0"/>
        <v>0.3690276699227531</v>
      </c>
      <c r="T22" s="396">
        <f t="shared" si="4"/>
        <v>11.218638932297349</v>
      </c>
      <c r="U22" s="396">
        <v>12.731415314944027</v>
      </c>
      <c r="V22" s="396">
        <f>U22/$AR$43</f>
        <v>0.11692748468488219</v>
      </c>
      <c r="W22" s="396">
        <f t="shared" si="5"/>
        <v>0.48899625805114155</v>
      </c>
      <c r="X22" s="396">
        <f xml:space="preserve"> 200 * ( W21 - W22 )</f>
        <v>4.8048208588219232</v>
      </c>
      <c r="Y22" s="396"/>
      <c r="Z22" s="427">
        <f t="shared" si="6"/>
        <v>172.00470214339384</v>
      </c>
      <c r="AA22" s="883">
        <v>128.9360394299465</v>
      </c>
      <c r="AB22" s="884">
        <f t="shared" si="7"/>
        <v>0.50563152717626081</v>
      </c>
      <c r="AC22" s="884">
        <f t="shared" si="8"/>
        <v>21.929066117444236</v>
      </c>
      <c r="AD22" s="884">
        <v>25.593295899377125</v>
      </c>
      <c r="AE22" s="884">
        <f>AD22/$AR$43</f>
        <v>0.2350531846052839</v>
      </c>
      <c r="AF22" s="884">
        <f t="shared" si="9"/>
        <v>0.61714712931328675</v>
      </c>
      <c r="AG22" s="884">
        <f xml:space="preserve"> 200 * ( AF21 - AF22 )</f>
        <v>12.128053274174079</v>
      </c>
      <c r="AH22" s="885"/>
      <c r="AJ22" s="1412"/>
      <c r="AK22" s="99">
        <v>9</v>
      </c>
      <c r="AL22" s="328">
        <v>1.6399558417999999E-3</v>
      </c>
      <c r="AM22" s="328">
        <v>-1.7216948821E-3</v>
      </c>
      <c r="AN22" s="328">
        <v>5.7800437991999999E-4</v>
      </c>
      <c r="AP22" s="89" t="s">
        <v>172</v>
      </c>
      <c r="AQ22" s="74"/>
      <c r="AR22" s="336">
        <v>0.22250449999999999</v>
      </c>
      <c r="AS22" s="337">
        <v>0.71687860000000003</v>
      </c>
      <c r="AT22" s="338">
        <v>6.0616900000000001E-2</v>
      </c>
    </row>
    <row r="23" spans="1:48" ht="15.75" customHeight="1" thickBot="1">
      <c r="A23" s="1390" t="s">
        <v>114</v>
      </c>
      <c r="B23" s="1391"/>
      <c r="C23" s="1391"/>
      <c r="D23" s="1391"/>
      <c r="E23" s="1391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Q23" s="658"/>
      <c r="R23" s="419"/>
      <c r="S23" s="330"/>
      <c r="T23" s="330"/>
      <c r="U23" s="330"/>
      <c r="V23" s="330"/>
      <c r="W23" s="330"/>
      <c r="X23" s="330"/>
      <c r="Y23" s="330"/>
      <c r="Z23" s="419"/>
      <c r="AA23" s="184"/>
      <c r="AB23" s="330"/>
      <c r="AC23" s="330"/>
      <c r="AD23" s="330"/>
      <c r="AE23" s="330"/>
      <c r="AF23" s="330"/>
      <c r="AG23" s="330"/>
      <c r="AH23" s="381"/>
      <c r="AJ23" s="1412"/>
      <c r="AK23" s="99">
        <v>10</v>
      </c>
      <c r="AL23" s="328">
        <v>3.6650356177E-4</v>
      </c>
      <c r="AM23" s="328">
        <v>-1.3992066108E-3</v>
      </c>
      <c r="AN23" s="328">
        <v>1.5356130632999999E-3</v>
      </c>
      <c r="AP23" s="80"/>
      <c r="AQ23" s="74"/>
      <c r="AR23" s="339">
        <v>1.39322E-2</v>
      </c>
      <c r="AS23" s="340">
        <v>9.7104499999999996E-2</v>
      </c>
      <c r="AT23" s="341">
        <v>0.71417330000000001</v>
      </c>
    </row>
    <row r="24" spans="1:48" ht="15.75" thickBot="1">
      <c r="A24" s="92">
        <v>7</v>
      </c>
      <c r="B24" s="93" t="s">
        <v>115</v>
      </c>
      <c r="C24" s="1417"/>
      <c r="D24" s="382">
        <f t="shared" si="1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IF(F24^3&gt;0.008856,F24^3*$AR$37, (F24- 16 / 116 ) / 7.787*$AR$37)</f>
        <v>40.718082791990795</v>
      </c>
      <c r="H24" s="1216">
        <f>G24/SUM(G24:G26)</f>
        <v>0.52952864462754456</v>
      </c>
      <c r="I24" s="1216">
        <f t="array" ref="I24:I26">MMULT($AR$48:$AT$50,G24:G26)</f>
        <v>38.506327134135688</v>
      </c>
      <c r="J24" s="1217">
        <f>I24/SUM(I24:I26)</f>
        <v>0.51031401695589362</v>
      </c>
      <c r="K24" s="1217">
        <f>I24/$AR$41</f>
        <v>0.4051293269028553</v>
      </c>
      <c r="L24" s="1217">
        <f t="shared" ref="L24:L41" si="40">IF(K24&gt;0.008856,K24^(1/3),7.787*K24+16/116)</f>
        <v>0.73994236640432509</v>
      </c>
      <c r="M24" s="1217">
        <f t="shared" ref="M24" si="41" xml:space="preserve"> 116 * L25  - 16</f>
        <v>62.036354240270256</v>
      </c>
      <c r="N24" s="1215">
        <f>I24/100*  3.2406 + I25/100 * -1.5372 + I26/100 * -0.4986</f>
        <v>0.74740178306099636</v>
      </c>
      <c r="O24" s="1218">
        <f t="shared" ref="O24:O41" si="42">IF(N24&gt; 0.0031308,(1.055 * (N24^ ( 1 / 2.4 ) ) - 0.055)*255, 12.92 * N24*255)</f>
        <v>224.26557253285961</v>
      </c>
      <c r="Q24" s="655">
        <v>2657.6001000000001</v>
      </c>
      <c r="R24" s="712">
        <f t="shared" ref="R24" si="43">Q24/SUM(Q24:Q26)*255</f>
        <v>150.08371583727433</v>
      </c>
      <c r="S24" s="392">
        <f t="shared" ref="S24:S41" si="44">R24/255</f>
        <v>0.58856359151872284</v>
      </c>
      <c r="T24" s="392">
        <f t="shared" si="4"/>
        <v>30.536103355221002</v>
      </c>
      <c r="U24" s="392">
        <f t="array" ref="U24:U26">MMULT($AR$25:$AT$27,T24:T26)</f>
        <v>14.882100629560394</v>
      </c>
      <c r="V24" s="392">
        <f>U24/$AR$41</f>
        <v>0.15657622680947736</v>
      </c>
      <c r="W24" s="392">
        <f t="shared" ref="W24:W41" si="45">IF(V24&gt;0.008856,V24^(1/3),7.787*V24+16/116)</f>
        <v>0.53898325692599114</v>
      </c>
      <c r="X24" s="392">
        <f xml:space="preserve"> 116 * W25  - 16</f>
        <v>38.671102198225526</v>
      </c>
      <c r="Y24" s="392">
        <f>SQRT(( ( M24-X24 ) ^ 2 ) + ( ( M25 - X25 ) ^ 2 ) + ( (M26 - X26 ) ^ 2 ))</f>
        <v>33.379545325024395</v>
      </c>
      <c r="Z24" s="428">
        <f t="shared" si="6"/>
        <v>224.26557253285961</v>
      </c>
      <c r="AA24" s="886">
        <f t="array" ref="AA24:AA26">MMULT($AQ$14:$AS$16,R24:R26)</f>
        <v>224.4622173531842</v>
      </c>
      <c r="AB24" s="887">
        <f t="shared" ref="AB24:AB41" si="46">AA24/255</f>
        <v>0.88024398962033024</v>
      </c>
      <c r="AC24" s="887">
        <f t="shared" ref="AC24:AC41" si="47">IF(AB24&gt;0.04045,(((AB24+0.055)/1.055 )^2.4)*100, AB24/12.92*100)</f>
        <v>74.888290853869321</v>
      </c>
      <c r="AD24" s="887">
        <f t="array" ref="AD24:AD26">MMULT($AR$25:$AT$27,AC24:AC26)</f>
        <v>37.979835107507171</v>
      </c>
      <c r="AE24" s="887">
        <f>AD24/$AR$41</f>
        <v>0.39959004605623716</v>
      </c>
      <c r="AF24" s="887">
        <f t="shared" ref="AF24:AF41" si="48">IF(AE24&gt;0.008856,AE24^(1/3),7.787*AE24+16/116)</f>
        <v>0.73655449981286636</v>
      </c>
      <c r="AG24" s="887">
        <f xml:space="preserve"> 116 * AF25  - 16</f>
        <v>60.637283789637038</v>
      </c>
      <c r="AH24" s="888">
        <f>SQRT(( ( M24-AG24 ) ^ 2 ) + ( ( M25 - AG25 ) ^ 2 ) + ( (M26 - AG26 ) ^ 2 ))</f>
        <v>8.4108903402364685</v>
      </c>
      <c r="AJ24" s="1412"/>
      <c r="AK24" s="99">
        <v>11</v>
      </c>
      <c r="AL24" s="328">
        <v>-4.2097514290000002E-4</v>
      </c>
      <c r="AM24" s="328">
        <v>2.7972953433999998E-3</v>
      </c>
      <c r="AN24" s="328">
        <v>-1.9057330014999999E-3</v>
      </c>
      <c r="AP24" s="76"/>
    </row>
    <row r="25" spans="1:48">
      <c r="A25" s="94"/>
      <c r="B25" s="95"/>
      <c r="C25" s="1418"/>
      <c r="D25" s="383">
        <f t="shared" si="1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IF(F25^3&gt;0.008856,F25^3*$AR$38, (F25- 16 / 116 ) / 7.787*$AR$38)</f>
        <v>31.182032647836948</v>
      </c>
      <c r="H25" s="1220">
        <f>G25/SUM(G24:G26)</f>
        <v>0.4055146596437687</v>
      </c>
      <c r="I25" s="1220">
        <v>30.445067890689934</v>
      </c>
      <c r="J25" s="1221">
        <f>I25/SUM(I24:I26)</f>
        <v>0.40348031214900776</v>
      </c>
      <c r="K25" s="1221">
        <f>I25/$AR$42</f>
        <v>0.30445067890689936</v>
      </c>
      <c r="L25" s="1221">
        <f t="shared" si="40"/>
        <v>0.67272719172646778</v>
      </c>
      <c r="M25" s="1221">
        <f t="shared" ref="M25" si="49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42"/>
        <v>123.75545165140458</v>
      </c>
      <c r="Q25" s="656">
        <v>1157.8</v>
      </c>
      <c r="R25" s="713">
        <f t="shared" ref="R25" si="50">Q25/SUM(Q24:Q26)*255</f>
        <v>65.384903543763485</v>
      </c>
      <c r="S25" s="392">
        <f t="shared" si="44"/>
        <v>0.25641138644613132</v>
      </c>
      <c r="T25" s="392">
        <f t="shared" si="4"/>
        <v>5.3480673548989524</v>
      </c>
      <c r="U25" s="392">
        <v>10.468863110793121</v>
      </c>
      <c r="V25" s="392">
        <f>U25/$AR$42</f>
        <v>0.10468863110793121</v>
      </c>
      <c r="W25" s="392">
        <f t="shared" si="45"/>
        <v>0.47130260515711658</v>
      </c>
      <c r="X25" s="392">
        <f xml:space="preserve"> 500 * (W24 - W25 )</f>
        <v>33.840325884437277</v>
      </c>
      <c r="Y25" s="392"/>
      <c r="Z25" s="429">
        <f t="shared" si="6"/>
        <v>123.75545165140458</v>
      </c>
      <c r="AA25" s="886">
        <v>116.44037700580209</v>
      </c>
      <c r="AB25" s="887">
        <f t="shared" si="46"/>
        <v>0.45662892943451799</v>
      </c>
      <c r="AC25" s="887">
        <f t="shared" si="47"/>
        <v>17.607038766494291</v>
      </c>
      <c r="AD25" s="887">
        <v>28.836752103317735</v>
      </c>
      <c r="AE25" s="887">
        <f>AD25/$AR$42</f>
        <v>0.28836752103317737</v>
      </c>
      <c r="AF25" s="887">
        <f t="shared" si="48"/>
        <v>0.66066623956583659</v>
      </c>
      <c r="AG25" s="887">
        <f xml:space="preserve"> 500 * (AF24 - AF25 )</f>
        <v>37.944130123514888</v>
      </c>
      <c r="AH25" s="888"/>
      <c r="AJ25" s="1412"/>
      <c r="AK25" s="99">
        <v>12</v>
      </c>
      <c r="AL25" s="328">
        <v>8.7261170815999996E-4</v>
      </c>
      <c r="AM25" s="328">
        <v>6.4114759348999999E-4</v>
      </c>
      <c r="AN25" s="328">
        <v>-1.0332552544E-3</v>
      </c>
      <c r="AP25" s="76" t="s">
        <v>174</v>
      </c>
      <c r="AQ25" s="74"/>
      <c r="AR25" s="333">
        <v>0.4124564</v>
      </c>
      <c r="AS25" s="334">
        <v>0.35757610000000001</v>
      </c>
      <c r="AT25" s="335">
        <v>0.1804375</v>
      </c>
    </row>
    <row r="26" spans="1:48" ht="15.75" thickBot="1">
      <c r="A26" s="96"/>
      <c r="B26" s="97"/>
      <c r="C26" s="1418"/>
      <c r="D26" s="384">
        <f t="shared" si="1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IF(F26^3&gt;0.008856,F26^3*$AR$39, (F26- 16 / 116 ) / 7.787*$AR$39)</f>
        <v>4.9948423780458118</v>
      </c>
      <c r="H26" s="1224">
        <f>G25</f>
        <v>31.182032647836948</v>
      </c>
      <c r="I26" s="1224">
        <v>6.5047473790852468</v>
      </c>
      <c r="J26" s="1225">
        <f>I25</f>
        <v>30.445067890689934</v>
      </c>
      <c r="K26" s="1225">
        <f>I26/$AR$43</f>
        <v>5.9740706805334595E-2</v>
      </c>
      <c r="L26" s="1225">
        <f t="shared" si="40"/>
        <v>0.39092200615817502</v>
      </c>
      <c r="M26" s="1225">
        <f t="shared" ref="M26" si="51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42"/>
        <v>46.703112372096498</v>
      </c>
      <c r="Q26" s="657">
        <v>700</v>
      </c>
      <c r="R26" s="713">
        <f t="shared" ref="R26" si="52">Q26/SUM(Q24:Q26)*255</f>
        <v>39.531380618962203</v>
      </c>
      <c r="S26" s="392">
        <f t="shared" si="44"/>
        <v>0.1550250220351459</v>
      </c>
      <c r="T26" s="392">
        <f t="shared" si="4"/>
        <v>2.0779954407256533</v>
      </c>
      <c r="U26" s="392">
        <v>3.2025563999275186</v>
      </c>
      <c r="V26" s="392">
        <f>U26/$AR$43</f>
        <v>2.9412822937717721E-2</v>
      </c>
      <c r="W26" s="392">
        <f t="shared" si="45"/>
        <v>0.30868266153245927</v>
      </c>
      <c r="X26" s="392">
        <f xml:space="preserve"> 200 * ( W25 - W26 )</f>
        <v>32.523988724931463</v>
      </c>
      <c r="Y26" s="392"/>
      <c r="Z26" s="429">
        <f t="shared" si="6"/>
        <v>46.703112372096498</v>
      </c>
      <c r="AA26" s="886">
        <v>59.256930922607609</v>
      </c>
      <c r="AB26" s="887">
        <f t="shared" si="46"/>
        <v>0.23238012126512789</v>
      </c>
      <c r="AC26" s="887">
        <f t="shared" si="47"/>
        <v>4.4105244480524943</v>
      </c>
      <c r="AD26" s="887">
        <v>7.7378403573301338</v>
      </c>
      <c r="AE26" s="887">
        <f>AD26/$AR$43</f>
        <v>7.1065642545945037E-2</v>
      </c>
      <c r="AF26" s="887">
        <f t="shared" si="48"/>
        <v>0.41420934775661417</v>
      </c>
      <c r="AG26" s="887">
        <f xml:space="preserve"> 200 * ( AF25 - AF26 )</f>
        <v>49.291378361844487</v>
      </c>
      <c r="AH26" s="888"/>
      <c r="AJ26" s="1412"/>
      <c r="AK26" s="99">
        <v>13</v>
      </c>
      <c r="AL26" s="328">
        <v>-3.7202177272999999E-4</v>
      </c>
      <c r="AM26" s="328">
        <v>-1.8100273348000001E-3</v>
      </c>
      <c r="AN26" s="328">
        <v>2.6942617345000002E-3</v>
      </c>
      <c r="AP26" s="80" t="s">
        <v>173</v>
      </c>
      <c r="AR26" s="336">
        <v>0.2126729</v>
      </c>
      <c r="AS26" s="337">
        <v>0.71515220000000002</v>
      </c>
      <c r="AT26" s="338">
        <v>7.2175000000000003E-2</v>
      </c>
    </row>
    <row r="27" spans="1:48" ht="15.75" thickBot="1">
      <c r="A27" s="92">
        <v>8</v>
      </c>
      <c r="B27" s="93" t="s">
        <v>116</v>
      </c>
      <c r="C27" s="1419"/>
      <c r="D27" s="382">
        <f t="shared" si="1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IF(F27^3&gt;0.008856,F27^3*$AR$37, (F27- 16 / 116 ) / 7.787*$AR$37)</f>
        <v>12.326051798005418</v>
      </c>
      <c r="H27" s="1216">
        <f>G27/SUM(G27:G29)</f>
        <v>0.23052745763339449</v>
      </c>
      <c r="I27" s="1216">
        <f t="array" ref="I27:I29">MMULT($AR$48:$AT$50,G27:G29)</f>
        <v>13.406311599853042</v>
      </c>
      <c r="J27" s="1217">
        <f>I27/SUM(I27:I29)</f>
        <v>0.20714746526211641</v>
      </c>
      <c r="K27" s="1217">
        <f>I27/$AR$41</f>
        <v>0.14104928719321014</v>
      </c>
      <c r="L27" s="1217">
        <f t="shared" si="40"/>
        <v>0.5205434249852271</v>
      </c>
      <c r="M27" s="1217">
        <f t="shared" ref="M27" si="53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42"/>
        <v>67.856400699023411</v>
      </c>
      <c r="Q27" s="655">
        <v>413.8</v>
      </c>
      <c r="R27" s="714">
        <f t="shared" ref="R27:R39" si="54">Q27/SUM(Q27:Q29)*255</f>
        <v>35.23877905423457</v>
      </c>
      <c r="S27" s="397">
        <f t="shared" si="44"/>
        <v>0.13819129040876302</v>
      </c>
      <c r="T27" s="397">
        <f t="shared" si="4"/>
        <v>1.7004513094099745</v>
      </c>
      <c r="U27" s="397">
        <f t="array" ref="U27:U29">MMULT($AR$25:$AT$27,T27:T29)</f>
        <v>8.3028916913059785</v>
      </c>
      <c r="V27" s="397">
        <f>U27/$AR$41</f>
        <v>8.7355641854093016E-2</v>
      </c>
      <c r="W27" s="397">
        <f t="shared" si="45"/>
        <v>0.44370772138790998</v>
      </c>
      <c r="X27" s="397">
        <f xml:space="preserve"> 116 * W28  - 16</f>
        <v>32.901069671061435</v>
      </c>
      <c r="Y27" s="397">
        <f>SQRT(( ( M27-X27 ) ^ 2 ) + ( ( M28 - X28 ) ^ 2 ) + ( (M29 - X29 ) ^ 2 ))</f>
        <v>9.7207445250117388</v>
      </c>
      <c r="Z27" s="430">
        <f t="shared" si="6"/>
        <v>67.856400699023411</v>
      </c>
      <c r="AA27" s="889">
        <f t="array" ref="AA27:AA29">MMULT($AQ$14:$AS$16,R27:R29)</f>
        <v>55.231100042711674</v>
      </c>
      <c r="AB27" s="890">
        <f t="shared" si="46"/>
        <v>0.2165925491871046</v>
      </c>
      <c r="AC27" s="890">
        <f t="shared" si="47"/>
        <v>3.8512076916536229</v>
      </c>
      <c r="AD27" s="890">
        <f t="array" ref="AD27:AD29">MMULT($AR$25:$AT$27,AC27:AC29)</f>
        <v>13.757577462496089</v>
      </c>
      <c r="AE27" s="890">
        <f>AD27/$AR$41</f>
        <v>0.14474499418704526</v>
      </c>
      <c r="AF27" s="890">
        <f t="shared" si="48"/>
        <v>0.52505063056625856</v>
      </c>
      <c r="AG27" s="890">
        <f xml:space="preserve"> 116 * AF28  - 16</f>
        <v>39.079851548536858</v>
      </c>
      <c r="AH27" s="891">
        <f>SQRT(( ( M27-AG27 ) ^ 2 ) + ( ( M28 - AG28 ) ^ 2 ) + ( (M29 - AG29 ) ^ 2 ))</f>
        <v>15.79601974240796</v>
      </c>
      <c r="AJ27" s="1412"/>
      <c r="AK27" s="99">
        <v>14</v>
      </c>
      <c r="AL27" s="328">
        <v>-1.0780894928E-3</v>
      </c>
      <c r="AM27" s="328">
        <v>3.4738704111999998E-3</v>
      </c>
      <c r="AN27" s="328">
        <v>-1.9264149726000001E-3</v>
      </c>
      <c r="AP27" s="76"/>
      <c r="AR27" s="339">
        <v>1.9333900000000001E-2</v>
      </c>
      <c r="AS27" s="340">
        <v>0.11919200000000001</v>
      </c>
      <c r="AT27" s="341">
        <v>0.95030409999999998</v>
      </c>
    </row>
    <row r="28" spans="1:48">
      <c r="A28" s="94"/>
      <c r="B28" s="95"/>
      <c r="C28" s="1419"/>
      <c r="D28" s="383">
        <f t="shared" si="1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IF(F28^3&gt;0.008856,F28^3*$AR$38, (F28- 16 / 116 ) / 7.787*$AR$38)</f>
        <v>11.263032720181233</v>
      </c>
      <c r="H28" s="1220">
        <f>G28/SUM(G27:G29)</f>
        <v>0.21064638870374264</v>
      </c>
      <c r="I28" s="1220">
        <v>11.654013845803803</v>
      </c>
      <c r="J28" s="1221">
        <f>I28/SUM(I27:I29)</f>
        <v>0.18007185722240932</v>
      </c>
      <c r="K28" s="1221">
        <f>I28/$AR$42</f>
        <v>0.11654013845803803</v>
      </c>
      <c r="L28" s="1221">
        <f t="shared" si="40"/>
        <v>0.48845569396887573</v>
      </c>
      <c r="M28" s="1221">
        <f t="shared" ref="M28" si="55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42"/>
        <v>91.231366881754894</v>
      </c>
      <c r="Q28" s="656">
        <v>887.6</v>
      </c>
      <c r="R28" s="714">
        <f t="shared" ref="R28:R40" si="56">Q28/SUM(Q27:Q29)*255</f>
        <v>75.587095912369747</v>
      </c>
      <c r="S28" s="397">
        <f t="shared" si="44"/>
        <v>0.29641998397007746</v>
      </c>
      <c r="T28" s="397">
        <f t="shared" si="4"/>
        <v>7.1478855144214775</v>
      </c>
      <c r="U28" s="397">
        <v>7.4917126184109186</v>
      </c>
      <c r="V28" s="397">
        <f>U28/$AR$42</f>
        <v>7.4917126184109187E-2</v>
      </c>
      <c r="W28" s="397">
        <f t="shared" si="45"/>
        <v>0.4215609454401848</v>
      </c>
      <c r="X28" s="397">
        <f xml:space="preserve"> 500 * (W27 - W28 )</f>
        <v>11.073387973862591</v>
      </c>
      <c r="Y28" s="397"/>
      <c r="Z28" s="430">
        <f t="shared" si="6"/>
        <v>91.231366881754894</v>
      </c>
      <c r="AA28" s="889">
        <v>83.568340438533028</v>
      </c>
      <c r="AB28" s="890">
        <f t="shared" si="46"/>
        <v>0.32771898211189421</v>
      </c>
      <c r="AC28" s="890">
        <f t="shared" si="47"/>
        <v>8.7721511019424998</v>
      </c>
      <c r="AD28" s="890">
        <v>10.705434916653294</v>
      </c>
      <c r="AE28" s="890">
        <f>AD28/$AR$42</f>
        <v>0.10705434916653295</v>
      </c>
      <c r="AF28" s="890">
        <f t="shared" si="48"/>
        <v>0.47482630645290397</v>
      </c>
      <c r="AG28" s="890">
        <f xml:space="preserve"> 500 * (AF27 - AF28 )</f>
        <v>25.112162056677295</v>
      </c>
      <c r="AH28" s="891"/>
      <c r="AJ28" s="1412"/>
      <c r="AK28" s="99">
        <v>15</v>
      </c>
      <c r="AL28" s="328">
        <v>2.1129838934999998E-3</v>
      </c>
      <c r="AM28" s="328">
        <v>-2.1799187480999998E-3</v>
      </c>
      <c r="AN28" s="328">
        <v>5.6381670015000001E-4</v>
      </c>
      <c r="AP28" s="76"/>
    </row>
    <row r="29" spans="1:48" ht="15.75" thickBot="1">
      <c r="A29" s="96"/>
      <c r="B29" s="97"/>
      <c r="C29" s="1419"/>
      <c r="D29" s="384">
        <f t="shared" si="1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IF(F29^3&gt;0.008856,F29^3*$AR$39, (F29- 16 / 116 ) / 7.787*$AR$39)</f>
        <v>29.879825105617961</v>
      </c>
      <c r="H29" s="1224">
        <f>G28</f>
        <v>11.263032720181233</v>
      </c>
      <c r="I29" s="1224">
        <v>39.658359781262121</v>
      </c>
      <c r="J29" s="1225">
        <f>I28</f>
        <v>11.654013845803803</v>
      </c>
      <c r="K29" s="1225">
        <f>I29/$AR$43</f>
        <v>0.36422912466833318</v>
      </c>
      <c r="L29" s="1225">
        <f t="shared" si="40"/>
        <v>0.7141534798282988</v>
      </c>
      <c r="M29" s="1225">
        <f t="shared" ref="M29" si="57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42"/>
        <v>170.17236470319924</v>
      </c>
      <c r="Q29" s="657">
        <v>1693</v>
      </c>
      <c r="R29" s="714">
        <f t="shared" ref="R29:R41" si="58">Q29/SUM(Q27:Q29)*255</f>
        <v>144.17412503339568</v>
      </c>
      <c r="S29" s="397">
        <f t="shared" si="44"/>
        <v>0.56538872562115949</v>
      </c>
      <c r="T29" s="397">
        <f t="shared" si="4"/>
        <v>27.963237355639087</v>
      </c>
      <c r="U29" s="397">
        <v>27.458426234142909</v>
      </c>
      <c r="V29" s="397">
        <f>U29/$AR$43</f>
        <v>0.25218285897837961</v>
      </c>
      <c r="W29" s="397">
        <f t="shared" si="45"/>
        <v>0.63178870100995643</v>
      </c>
      <c r="X29" s="397">
        <f xml:space="preserve"> 200 * ( W28 - W29 )</f>
        <v>-42.045551113954325</v>
      </c>
      <c r="Y29" s="397"/>
      <c r="Z29" s="430">
        <f t="shared" si="6"/>
        <v>170.17236470319924</v>
      </c>
      <c r="AA29" s="889">
        <v>187.61406265979258</v>
      </c>
      <c r="AB29" s="890">
        <f t="shared" si="46"/>
        <v>0.73574142219526506</v>
      </c>
      <c r="AC29" s="890">
        <f t="shared" si="47"/>
        <v>50.058389318744844</v>
      </c>
      <c r="AD29" s="890">
        <v>48.690721707531821</v>
      </c>
      <c r="AE29" s="890">
        <f>AD29/$AR$43</f>
        <v>0.44718387358478207</v>
      </c>
      <c r="AF29" s="890">
        <f t="shared" si="48"/>
        <v>0.76470754970306309</v>
      </c>
      <c r="AG29" s="890">
        <f xml:space="preserve"> 200 * ( AF28 - AF29 )</f>
        <v>-57.976248650031827</v>
      </c>
      <c r="AH29" s="891"/>
      <c r="AJ29" s="1412"/>
      <c r="AK29" s="99">
        <v>16</v>
      </c>
      <c r="AL29" s="328">
        <v>4.181507217E-4</v>
      </c>
      <c r="AM29" s="328">
        <v>1.5891818107E-3</v>
      </c>
      <c r="AN29" s="328">
        <v>-1.532049149E-3</v>
      </c>
      <c r="AP29" s="76" t="s">
        <v>49</v>
      </c>
      <c r="AR29" s="346">
        <v>1.0144664999999999</v>
      </c>
      <c r="AS29" s="331">
        <v>0</v>
      </c>
      <c r="AT29" s="331">
        <v>0</v>
      </c>
    </row>
    <row r="30" spans="1:48">
      <c r="A30" s="92">
        <v>9</v>
      </c>
      <c r="B30" s="93" t="s">
        <v>117</v>
      </c>
      <c r="C30" s="1392"/>
      <c r="D30" s="382">
        <f t="shared" si="1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IF(F30^3&gt;0.008856,F30^3*$AR$37, (F30- 16 / 116 ) / 7.787*$AR$37)</f>
        <v>29.671839945112154</v>
      </c>
      <c r="H30" s="1216">
        <f>G30/SUM(G30:G32)</f>
        <v>0.50118296689010589</v>
      </c>
      <c r="I30" s="1216">
        <f t="array" ref="I30:I32">MMULT($AR$48:$AT$50,G30:G32)</f>
        <v>28.548799048791913</v>
      </c>
      <c r="J30" s="1217">
        <f>I30/SUM(I30:I32)</f>
        <v>0.46827612618607922</v>
      </c>
      <c r="K30" s="1217">
        <f>I30/$AR$41</f>
        <v>0.30036507253034722</v>
      </c>
      <c r="L30" s="1217">
        <f t="shared" si="40"/>
        <v>0.66970438620871597</v>
      </c>
      <c r="M30" s="1217">
        <f t="shared" ref="M30" si="59" xml:space="preserve"> 116 * L31  - 16</f>
        <v>50.619717045587052</v>
      </c>
      <c r="N30" s="1215">
        <f>I30/100*  3.2406 + I31/100 * -1.5372 + I32/100 * -0.4986</f>
        <v>0.5667860447179659</v>
      </c>
      <c r="O30" s="1218">
        <f t="shared" si="42"/>
        <v>198.324194853623</v>
      </c>
      <c r="Q30" s="655">
        <v>2100.1999999999998</v>
      </c>
      <c r="R30" s="715">
        <f t="shared" si="54"/>
        <v>146.00627044711013</v>
      </c>
      <c r="S30" s="398">
        <f t="shared" si="44"/>
        <v>0.57257360959651027</v>
      </c>
      <c r="T30" s="398">
        <f t="shared" si="4"/>
        <v>28.746786998324637</v>
      </c>
      <c r="U30" s="398">
        <f t="array" ref="U30:U32">MMULT($AR$25:$AT$27,T30:T32)</f>
        <v>13.815542952048393</v>
      </c>
      <c r="V30" s="398">
        <f>U30/$AR$41</f>
        <v>0.14535485551409716</v>
      </c>
      <c r="W30" s="398">
        <f t="shared" si="45"/>
        <v>0.5257870046969928</v>
      </c>
      <c r="X30" s="398">
        <f xml:space="preserve"> 116 * W31  - 16</f>
        <v>35.665022927419301</v>
      </c>
      <c r="Y30" s="398">
        <f>SQRT(( ( M30-X30 ) ^ 2 ) + ( ( M31 - X31 ) ^ 2 ) + ( (M32 - X32 ) ^ 2 ))</f>
        <v>16.955808998163207</v>
      </c>
      <c r="Z30" s="431">
        <f t="shared" si="6"/>
        <v>198.324194853623</v>
      </c>
      <c r="AA30" s="892">
        <f t="array" ref="AA30:AA32">MMULT($AQ$14:$AS$16,R30:R32)</f>
        <v>211.40334659173482</v>
      </c>
      <c r="AB30" s="893">
        <f t="shared" si="46"/>
        <v>0.82903273173229342</v>
      </c>
      <c r="AC30" s="893">
        <f t="shared" si="47"/>
        <v>65.421142688704066</v>
      </c>
      <c r="AD30" s="893">
        <f t="array" ref="AD30:AD32">MMULT($AR$25:$AT$27,AC30:AC32)</f>
        <v>31.852554640806634</v>
      </c>
      <c r="AE30" s="893">
        <f>AD30/$AR$41</f>
        <v>0.33512425053717249</v>
      </c>
      <c r="AF30" s="893">
        <f t="shared" si="48"/>
        <v>0.69460080972346938</v>
      </c>
      <c r="AG30" s="893">
        <f xml:space="preserve"> 116 * AF31  - 16</f>
        <v>53.304686371041811</v>
      </c>
      <c r="AH30" s="894">
        <f>SQRT(( ( M30-AG30 ) ^ 2 ) + ( ( M31 - AG31 ) ^ 2 ) + ( (M32 - AG32 ) ^ 2 ))</f>
        <v>14.170118941081633</v>
      </c>
      <c r="AJ30" s="1412"/>
      <c r="AK30" s="99">
        <v>17</v>
      </c>
      <c r="AL30" s="328">
        <v>1.2143140056999999E-3</v>
      </c>
      <c r="AM30" s="328">
        <v>-2.1082279818000001E-3</v>
      </c>
      <c r="AN30" s="328">
        <v>1.3969057927E-3</v>
      </c>
      <c r="AP30" s="76" t="s">
        <v>172</v>
      </c>
      <c r="AR30" s="346">
        <v>0</v>
      </c>
      <c r="AS30" s="331">
        <v>1</v>
      </c>
      <c r="AT30" s="331">
        <v>0</v>
      </c>
    </row>
    <row r="31" spans="1:48">
      <c r="A31" s="94"/>
      <c r="B31" s="95"/>
      <c r="C31" s="1392"/>
      <c r="D31" s="383">
        <f t="shared" si="1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IF(F31^3&gt;0.008856,F31^3*$AR$38, (F31- 16 / 116 ) / 7.787*$AR$38)</f>
        <v>19.375794446434863</v>
      </c>
      <c r="H31" s="1220">
        <f>G31/SUM(G30:G32)</f>
        <v>0.32727387868364144</v>
      </c>
      <c r="I31" s="1220">
        <v>18.942372976704565</v>
      </c>
      <c r="J31" s="1221">
        <f>I31/SUM(I30:I32)</f>
        <v>0.31070522522307092</v>
      </c>
      <c r="K31" s="1221">
        <f>I31/$AR$42</f>
        <v>0.18942372976704566</v>
      </c>
      <c r="L31" s="1221">
        <f t="shared" si="40"/>
        <v>0.57430790556540567</v>
      </c>
      <c r="M31" s="1221">
        <f t="shared" ref="M31" si="60" xml:space="preserve"> 500 * (L30 - L31 )</f>
        <v>47.698240321655149</v>
      </c>
      <c r="N31" s="1219">
        <f xml:space="preserve"> I30/100 * -0.9689 + I31/100*  1.8758 + I32/100 *  0.0415</f>
        <v>8.4303662685842981E-2</v>
      </c>
      <c r="O31" s="1222">
        <f t="shared" si="42"/>
        <v>81.965589373165727</v>
      </c>
      <c r="Q31" s="656">
        <v>742.6</v>
      </c>
      <c r="R31" s="715">
        <f t="shared" si="56"/>
        <v>51.62568157033806</v>
      </c>
      <c r="S31" s="398">
        <f t="shared" si="44"/>
        <v>0.202453653217012</v>
      </c>
      <c r="T31" s="398">
        <f t="shared" si="4"/>
        <v>3.387441765823771</v>
      </c>
      <c r="U31" s="398">
        <v>8.8351903716376423</v>
      </c>
      <c r="V31" s="398">
        <f>U31/$AR$42</f>
        <v>8.8351903716376426E-2</v>
      </c>
      <c r="W31" s="398">
        <f t="shared" si="45"/>
        <v>0.44538812868464916</v>
      </c>
      <c r="X31" s="398">
        <f xml:space="preserve"> 500 * (W30 - W31 )</f>
        <v>40.199438006171818</v>
      </c>
      <c r="Y31" s="398"/>
      <c r="Z31" s="431">
        <f t="shared" si="6"/>
        <v>81.965589373165727</v>
      </c>
      <c r="AA31" s="892">
        <v>87.096369245797689</v>
      </c>
      <c r="AB31" s="893">
        <f t="shared" si="46"/>
        <v>0.34155438919920661</v>
      </c>
      <c r="AC31" s="893">
        <f t="shared" si="47"/>
        <v>9.5525808842312667</v>
      </c>
      <c r="AD31" s="893">
        <v>21.326217782364214</v>
      </c>
      <c r="AE31" s="893">
        <f>AD31/$AR$42</f>
        <v>0.21326217782364215</v>
      </c>
      <c r="AF31" s="893">
        <f t="shared" si="48"/>
        <v>0.59745419285380874</v>
      </c>
      <c r="AG31" s="893">
        <f xml:space="preserve"> 500 * (AF30 - AF31 )</f>
        <v>48.573308434830324</v>
      </c>
      <c r="AH31" s="894"/>
      <c r="AJ31" s="1412"/>
      <c r="AK31" s="99">
        <v>18</v>
      </c>
      <c r="AL31" s="328">
        <v>-9.1971999474999998E-4</v>
      </c>
      <c r="AM31" s="328">
        <v>5.9091183698000002E-4</v>
      </c>
      <c r="AN31" s="328">
        <v>8.2325919637000003E-4</v>
      </c>
      <c r="AP31" s="76"/>
      <c r="AR31" s="346">
        <v>0</v>
      </c>
      <c r="AS31" s="331">
        <v>0</v>
      </c>
      <c r="AT31" s="331">
        <v>0.75788690000000003</v>
      </c>
    </row>
    <row r="32" spans="1:48" ht="15.75" thickBot="1">
      <c r="A32" s="96"/>
      <c r="B32" s="97"/>
      <c r="C32" s="1392"/>
      <c r="D32" s="384">
        <f t="shared" si="1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IF(F32^3&gt;0.008856,F32^3*$AR$39, (F32- 16 / 116 ) / 7.787*$AR$39)</f>
        <v>10.15597368242466</v>
      </c>
      <c r="H32" s="1224">
        <f>G31</f>
        <v>19.375794446434863</v>
      </c>
      <c r="I32" s="1224">
        <v>13.474564753165298</v>
      </c>
      <c r="J32" s="1225">
        <f>I31</f>
        <v>18.942372976704565</v>
      </c>
      <c r="K32" s="1225">
        <f>I32/$AR$43</f>
        <v>0.12375269558301387</v>
      </c>
      <c r="L32" s="1225">
        <f t="shared" si="40"/>
        <v>0.49833136495291397</v>
      </c>
      <c r="M32" s="1225">
        <f t="shared" ref="M32" si="61" xml:space="preserve"> 200 * ( L31 - L32 )</f>
        <v>15.195308122498341</v>
      </c>
      <c r="N32" s="1223">
        <f xml:space="preserve"> I30/100 *  0.0557 + I31/100 * -0.204 + I32/100 *  1.057</f>
        <v>0.11968538963865696</v>
      </c>
      <c r="O32" s="1226">
        <f t="shared" si="42"/>
        <v>97.056852604465689</v>
      </c>
      <c r="Q32" s="657">
        <v>825.2</v>
      </c>
      <c r="R32" s="715">
        <f t="shared" si="58"/>
        <v>57.368047982551801</v>
      </c>
      <c r="S32" s="398">
        <f t="shared" si="44"/>
        <v>0.22497273718647764</v>
      </c>
      <c r="T32" s="398">
        <f t="shared" si="4"/>
        <v>4.1425893151491779</v>
      </c>
      <c r="U32" s="398">
        <v>4.896263074901432</v>
      </c>
      <c r="V32" s="398">
        <f>U32/$AR$43</f>
        <v>4.4968113249097032E-2</v>
      </c>
      <c r="W32" s="398">
        <f t="shared" si="45"/>
        <v>0.35560529743388947</v>
      </c>
      <c r="X32" s="398">
        <f xml:space="preserve"> 200 * ( W31 - W32 )</f>
        <v>17.956566250151941</v>
      </c>
      <c r="Y32" s="398"/>
      <c r="Z32" s="431">
        <f t="shared" si="6"/>
        <v>97.056852604465689</v>
      </c>
      <c r="AA32" s="892">
        <v>80.160705226587169</v>
      </c>
      <c r="AB32" s="893">
        <f t="shared" si="46"/>
        <v>0.31435570677093005</v>
      </c>
      <c r="AC32" s="893">
        <f t="shared" si="47"/>
        <v>8.0549277507140555</v>
      </c>
      <c r="AD32" s="893">
        <v>10.058067918089774</v>
      </c>
      <c r="AE32" s="893">
        <f>AD32/$AR$43</f>
        <v>9.2375007283871449E-2</v>
      </c>
      <c r="AF32" s="893">
        <f t="shared" si="48"/>
        <v>0.45204828771825095</v>
      </c>
      <c r="AG32" s="893">
        <f xml:space="preserve"> 200 * ( AF31 - AF32 )</f>
        <v>29.081181027111558</v>
      </c>
      <c r="AH32" s="894"/>
      <c r="AJ32" s="1412"/>
      <c r="AK32" s="99">
        <v>19</v>
      </c>
      <c r="AL32" s="328">
        <v>-7.5749008248000003E-5</v>
      </c>
      <c r="AM32" s="328">
        <v>5.3479866350000002E-4</v>
      </c>
      <c r="AN32" s="328">
        <v>2.9561093656999999E-5</v>
      </c>
      <c r="AP32" s="76"/>
    </row>
    <row r="33" spans="1:51">
      <c r="A33" s="92">
        <v>10</v>
      </c>
      <c r="B33" s="93" t="s">
        <v>118</v>
      </c>
      <c r="C33" s="1423"/>
      <c r="D33" s="382">
        <f t="shared" si="1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IF(F33^3&gt;0.008856,F33^3*$AR$37, (F33- 16 / 116 ) / 7.787*$AR$37)</f>
        <v>8.5143237847005686</v>
      </c>
      <c r="H33" s="1216">
        <f>G33/SUM(G33:G35)</f>
        <v>0.33186275702243384</v>
      </c>
      <c r="I33" s="1216">
        <f t="array" ref="I33:I35">MMULT($AR$48:$AT$50,G33:G35)</f>
        <v>8.6698010004617139</v>
      </c>
      <c r="J33" s="1217">
        <f>I33/SUM(I33:I35)</f>
        <v>0.29500443423613082</v>
      </c>
      <c r="K33" s="1217">
        <f>I33/$AR$41</f>
        <v>9.1215935278985277E-2</v>
      </c>
      <c r="L33" s="1217">
        <f t="shared" si="40"/>
        <v>0.4501496379376016</v>
      </c>
      <c r="M33" s="1217">
        <f t="shared" ref="M33" si="62" xml:space="preserve"> 116 * L34  - 16</f>
        <v>30.442928764338248</v>
      </c>
      <c r="N33" s="1215">
        <f>I33/100*  3.2406 + I34/100 * -1.5372 + I35/100 * -0.4986</f>
        <v>0.11099400632354926</v>
      </c>
      <c r="O33" s="1218">
        <f t="shared" si="42"/>
        <v>93.621713838781943</v>
      </c>
      <c r="Q33" s="655">
        <v>468</v>
      </c>
      <c r="R33" s="716">
        <f t="shared" si="54"/>
        <v>75.646551724137936</v>
      </c>
      <c r="S33" s="399">
        <f t="shared" si="44"/>
        <v>0.29665314401622722</v>
      </c>
      <c r="T33" s="399">
        <f t="shared" si="4"/>
        <v>7.1592727467268</v>
      </c>
      <c r="U33" s="399">
        <f t="array" ref="U33:U35">MMULT($AR$25:$AT$27,T33:T35)</f>
        <v>7.912689159499978</v>
      </c>
      <c r="V33" s="399">
        <f>U33/$AR$41</f>
        <v>8.3250277857270391E-2</v>
      </c>
      <c r="W33" s="399">
        <f t="shared" si="45"/>
        <v>0.43664507284953558</v>
      </c>
      <c r="X33" s="399">
        <f xml:space="preserve"> 116 * W34  - 16</f>
        <v>31.571931522506453</v>
      </c>
      <c r="Y33" s="399">
        <f>SQRT(( ( M33-X33 ) ^ 2 ) + ( ( M34 - X34 ) ^ 2 ) + ( (M35 - X35 ) ^ 2 ))</f>
        <v>11.769271614282834</v>
      </c>
      <c r="Z33" s="432">
        <f t="shared" si="6"/>
        <v>93.621713838781943</v>
      </c>
      <c r="AA33" s="895">
        <f t="array" ref="AA33:AA35">MMULT($AQ$14:$AS$16,R33:R35)</f>
        <v>113.20685733748337</v>
      </c>
      <c r="AB33" s="896">
        <f t="shared" si="46"/>
        <v>0.44394846014699363</v>
      </c>
      <c r="AC33" s="896">
        <f t="shared" si="47"/>
        <v>16.577832406664967</v>
      </c>
      <c r="AD33" s="896">
        <f t="array" ref="AD33:AD35">MMULT($AR$25:$AT$27,AC33:AC35)</f>
        <v>15.592163431660097</v>
      </c>
      <c r="AE33" s="896">
        <f>AD33/$AR$41</f>
        <v>0.16404687608930421</v>
      </c>
      <c r="AF33" s="896">
        <f t="shared" si="48"/>
        <v>0.54742251410170051</v>
      </c>
      <c r="AG33" s="896">
        <f xml:space="preserve"> 116 * AF34  - 16</f>
        <v>42.346734289938979</v>
      </c>
      <c r="AH33" s="897">
        <f>SQRT(( ( M33-AG33 ) ^ 2 ) + ( ( M34 - AG34 ) ^ 2 ) + ( (M35 - AG35 ) ^ 2 ))</f>
        <v>13.722787073632041</v>
      </c>
      <c r="AJ33" s="1412"/>
      <c r="AK33" s="99">
        <v>20</v>
      </c>
      <c r="AL33" s="328">
        <v>-1.0209345388999999E-4</v>
      </c>
      <c r="AM33" s="328">
        <v>5.1531568379000001E-4</v>
      </c>
      <c r="AN33" s="328">
        <v>7.5764368983999999E-5</v>
      </c>
      <c r="AP33" s="1395" t="s">
        <v>162</v>
      </c>
      <c r="AQ33" s="1395"/>
      <c r="AR33" s="1395"/>
      <c r="AS33" s="1395"/>
      <c r="AT33" s="1395"/>
    </row>
    <row r="34" spans="1:51">
      <c r="A34" s="94"/>
      <c r="B34" s="95"/>
      <c r="C34" s="1423"/>
      <c r="D34" s="383">
        <f t="shared" si="1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IF(F34^3&gt;0.008856,F34^3*$AR$38, (F34- 16 / 116 ) / 7.787*$AR$38)</f>
        <v>6.3690156537094742</v>
      </c>
      <c r="H34" s="1220">
        <f>G34/SUM(G33:G35)</f>
        <v>0.24824509236506528</v>
      </c>
      <c r="I34" s="1220">
        <v>6.4177800664010629</v>
      </c>
      <c r="J34" s="1221">
        <f>I34/SUM(I33:I35)</f>
        <v>0.21837566715080733</v>
      </c>
      <c r="K34" s="1221">
        <f>I34/$AR$42</f>
        <v>6.4177800664010631E-2</v>
      </c>
      <c r="L34" s="1221">
        <f t="shared" si="40"/>
        <v>0.40037007555464005</v>
      </c>
      <c r="M34" s="1221">
        <f t="shared" ref="M34" si="63" xml:space="preserve"> 500 * (L33 - L34 )</f>
        <v>24.889781191480775</v>
      </c>
      <c r="N34" s="1219">
        <f xml:space="preserve"> I33/100 * -0.9689 + I34/100*  1.8758 + I35/100 *  0.0415</f>
        <v>4.2317986835244223E-2</v>
      </c>
      <c r="O34" s="1222">
        <f t="shared" si="42"/>
        <v>58.004664131651644</v>
      </c>
      <c r="Q34" s="656">
        <v>426</v>
      </c>
      <c r="R34" s="716">
        <f t="shared" si="56"/>
        <v>68.857758620689665</v>
      </c>
      <c r="S34" s="399">
        <f t="shared" si="44"/>
        <v>0.27003042596348886</v>
      </c>
      <c r="T34" s="399">
        <f t="shared" si="4"/>
        <v>5.9266835310139356</v>
      </c>
      <c r="U34" s="399">
        <v>6.8972884279708335</v>
      </c>
      <c r="V34" s="399">
        <f>U34/$AR$42</f>
        <v>6.8972884279708338E-2</v>
      </c>
      <c r="W34" s="399">
        <f t="shared" si="45"/>
        <v>0.41010285795264184</v>
      </c>
      <c r="X34" s="399">
        <f xml:space="preserve"> 500 * (W33 - W34 )</f>
        <v>13.271107448446868</v>
      </c>
      <c r="Y34" s="399"/>
      <c r="Z34" s="432">
        <f t="shared" si="6"/>
        <v>58.004664131651644</v>
      </c>
      <c r="AA34" s="895">
        <v>88.869445587763266</v>
      </c>
      <c r="AB34" s="896">
        <f t="shared" si="46"/>
        <v>0.34850762975593436</v>
      </c>
      <c r="AC34" s="896">
        <f t="shared" si="47"/>
        <v>9.9595175067586812</v>
      </c>
      <c r="AD34" s="896">
        <v>12.725524521318498</v>
      </c>
      <c r="AE34" s="896">
        <f>AD34/$AR$42</f>
        <v>0.12725524521318499</v>
      </c>
      <c r="AF34" s="896">
        <f t="shared" si="48"/>
        <v>0.50298908870637049</v>
      </c>
      <c r="AG34" s="896">
        <f xml:space="preserve"> 500 * (AF33 - AF34 )</f>
        <v>22.21671269766501</v>
      </c>
      <c r="AH34" s="897"/>
      <c r="AJ34" s="1412"/>
      <c r="AK34" s="99">
        <v>21</v>
      </c>
      <c r="AL34" s="328">
        <v>-1.091958794E-4</v>
      </c>
      <c r="AM34" s="328">
        <v>4.7085533262999999E-4</v>
      </c>
      <c r="AN34" s="328">
        <v>1.277858345E-4</v>
      </c>
      <c r="AP34" s="318"/>
      <c r="AQ34" s="318"/>
      <c r="AR34" s="318"/>
      <c r="AS34" s="318"/>
      <c r="AT34" s="318"/>
    </row>
    <row r="35" spans="1:51" ht="15.75" thickBot="1">
      <c r="A35" s="96"/>
      <c r="B35" s="97"/>
      <c r="C35" s="1423"/>
      <c r="D35" s="384">
        <f t="shared" si="1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IF(F35^3&gt;0.008856,F35^3*$AR$39, (F35- 16 / 116 ) / 7.787*$AR$39)</f>
        <v>10.772819936307023</v>
      </c>
      <c r="H35" s="1224">
        <f>G34</f>
        <v>6.3690156537094742</v>
      </c>
      <c r="I35" s="1224">
        <v>14.301133116064159</v>
      </c>
      <c r="J35" s="1225">
        <f>I34</f>
        <v>6.4177800664010629</v>
      </c>
      <c r="K35" s="1225">
        <f>I35/$AR$43</f>
        <v>0.13134404008030784</v>
      </c>
      <c r="L35" s="1225">
        <f t="shared" si="40"/>
        <v>0.50831952339290942</v>
      </c>
      <c r="M35" s="1225">
        <f t="shared" ref="M35" si="64" xml:space="preserve"> 200 * ( L34 - L35 )</f>
        <v>-21.589889567653874</v>
      </c>
      <c r="N35" s="1223">
        <f xml:space="preserve"> I33/100 *  0.0557 + I34/100 * -0.204 + I35/100 *  1.057</f>
        <v>0.14289978485859717</v>
      </c>
      <c r="O35" s="1226">
        <f t="shared" si="42"/>
        <v>105.57259954157003</v>
      </c>
      <c r="Q35" s="657">
        <v>683.6</v>
      </c>
      <c r="R35" s="716">
        <f t="shared" si="58"/>
        <v>110.49568965517243</v>
      </c>
      <c r="S35" s="399">
        <f t="shared" si="44"/>
        <v>0.43331643002028403</v>
      </c>
      <c r="T35" s="399">
        <f t="shared" si="4"/>
        <v>15.742630621754003</v>
      </c>
      <c r="U35" s="399">
        <v>15.805116351424932</v>
      </c>
      <c r="V35" s="399">
        <f>U35/$AR$43</f>
        <v>0.14515687803812288</v>
      </c>
      <c r="W35" s="399">
        <f t="shared" si="45"/>
        <v>0.5255481839178332</v>
      </c>
      <c r="X35" s="399">
        <f xml:space="preserve"> 200 * ( W34 - W35 )</f>
        <v>-23.089065193038273</v>
      </c>
      <c r="Y35" s="399"/>
      <c r="Z35" s="432">
        <f t="shared" si="6"/>
        <v>105.57259954157003</v>
      </c>
      <c r="AA35" s="895">
        <v>146.08654266760777</v>
      </c>
      <c r="AB35" s="896">
        <f t="shared" si="46"/>
        <v>0.57288840261806973</v>
      </c>
      <c r="AC35" s="896">
        <f t="shared" si="47"/>
        <v>28.781405913156838</v>
      </c>
      <c r="AD35" s="896">
        <v>28.858697007669988</v>
      </c>
      <c r="AE35" s="896">
        <f>AD35/$AR$43</f>
        <v>0.26504318403855504</v>
      </c>
      <c r="AF35" s="896">
        <f t="shared" si="48"/>
        <v>0.64235071726497894</v>
      </c>
      <c r="AG35" s="896">
        <f xml:space="preserve"> 200 * ( AF34 - AF35 )</f>
        <v>-27.87232571172169</v>
      </c>
      <c r="AH35" s="897"/>
      <c r="AJ35" s="1412"/>
      <c r="AK35" s="99">
        <v>22</v>
      </c>
      <c r="AL35" s="328">
        <v>-9.0227922543000002E-5</v>
      </c>
      <c r="AM35" s="328">
        <v>4.169045376E-4</v>
      </c>
      <c r="AN35" s="328">
        <v>1.6311766079000001E-4</v>
      </c>
      <c r="AP35" s="1396" t="s">
        <v>166</v>
      </c>
      <c r="AQ35" s="1396"/>
      <c r="AR35" s="1396"/>
      <c r="AS35" s="1396"/>
      <c r="AT35" s="1396"/>
    </row>
    <row r="36" spans="1:51" ht="15.75" thickBot="1">
      <c r="A36" s="92">
        <v>11</v>
      </c>
      <c r="B36" s="93" t="s">
        <v>119</v>
      </c>
      <c r="C36" s="1424"/>
      <c r="D36" s="382">
        <f t="shared" si="1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IF(F36^3&gt;0.008856,F36^3*$AR$37, (F36- 16 / 116 ) / 7.787*$AR$37)</f>
        <v>35.361526716483262</v>
      </c>
      <c r="H36" s="1216">
        <f>G36/SUM(G36:G38)</f>
        <v>0.39835246185045525</v>
      </c>
      <c r="I36" s="1216">
        <f t="array" ref="I36:I38">MMULT($AR$48:$AT$50,G36:G38)</f>
        <v>33.331878806276151</v>
      </c>
      <c r="J36" s="1217">
        <f>I36/SUM(I36:I38)</f>
        <v>0.37515956001437456</v>
      </c>
      <c r="K36" s="1217">
        <f>I36/$AR$41</f>
        <v>0.3506883837078093</v>
      </c>
      <c r="L36" s="1217">
        <f t="shared" si="40"/>
        <v>0.70519159402631204</v>
      </c>
      <c r="M36" s="1217">
        <f t="shared" ref="M36" si="65" xml:space="preserve"> 116 * L37  - 16</f>
        <v>72.285478736290671</v>
      </c>
      <c r="N36" s="1215">
        <f>I36/100*  3.2406 + I37/100 * -1.5372 + I38/100 * -0.4986</f>
        <v>0.34548345195153179</v>
      </c>
      <c r="O36" s="1218">
        <f t="shared" si="42"/>
        <v>158.74592602769013</v>
      </c>
      <c r="Q36" s="655">
        <v>1845.6</v>
      </c>
      <c r="R36" s="717">
        <f t="shared" si="54"/>
        <v>87.001885606536774</v>
      </c>
      <c r="S36" s="400">
        <f t="shared" si="44"/>
        <v>0.3411838651236736</v>
      </c>
      <c r="T36" s="400">
        <f t="shared" si="4"/>
        <v>9.5311736023216262</v>
      </c>
      <c r="U36" s="400">
        <f t="array" ref="U36:U38">MMULT($AR$25:$AT$27,T36:T38)</f>
        <v>10.771551709618869</v>
      </c>
      <c r="V36" s="400">
        <f>U36/$AR$41</f>
        <v>0.11332868696138615</v>
      </c>
      <c r="W36" s="400">
        <f t="shared" si="45"/>
        <v>0.48392711000980276</v>
      </c>
      <c r="X36" s="400">
        <f xml:space="preserve"> 116 * W37  - 16</f>
        <v>45.230203840156449</v>
      </c>
      <c r="Y36" s="400">
        <f>SQRT(( ( M36-X36 ) ^ 2 ) + ( ( M37 - X37 ) ^ 2 ) + ( (M38 - X38 ) ^ 2 ))</f>
        <v>38.311061595509948</v>
      </c>
      <c r="Z36" s="433">
        <f t="shared" si="6"/>
        <v>158.74592602769013</v>
      </c>
      <c r="AA36" s="898">
        <f t="array" ref="AA36:AA38">MMULT($AQ$14:$AS$16,R36:R38)</f>
        <v>153.84975325041245</v>
      </c>
      <c r="AB36" s="899">
        <f t="shared" si="46"/>
        <v>0.60333236568789195</v>
      </c>
      <c r="AC36" s="899">
        <f t="shared" si="47"/>
        <v>32.245015752363621</v>
      </c>
      <c r="AD36" s="899">
        <f t="array" ref="AD36:AD38">MMULT($AR$25:$AT$27,AC36:AC38)</f>
        <v>32.585560493456363</v>
      </c>
      <c r="AE36" s="899">
        <f>AD36/$AR$41</f>
        <v>0.3428362861895311</v>
      </c>
      <c r="AF36" s="899">
        <f t="shared" si="48"/>
        <v>0.69988861233725796</v>
      </c>
      <c r="AG36" s="899">
        <f xml:space="preserve"> 116 * AF37  - 16</f>
        <v>71.712341805454159</v>
      </c>
      <c r="AH36" s="900">
        <f>SQRT(( ( M36-AG36 ) ^ 2 ) + ( ( M37 - AG37 ) ^ 2 ) + ( (M38 - AG38 ) ^ 2 ))</f>
        <v>7.1936626036080566</v>
      </c>
      <c r="AJ36" s="1412"/>
      <c r="AK36" s="99">
        <v>23</v>
      </c>
      <c r="AL36" s="328">
        <v>-1.0803158722E-4</v>
      </c>
      <c r="AM36" s="328">
        <v>3.4616680876999999E-4</v>
      </c>
      <c r="AN36" s="328">
        <v>2.5243778833000002E-4</v>
      </c>
      <c r="AP36" s="76"/>
    </row>
    <row r="37" spans="1:51" ht="15.75" thickBot="1">
      <c r="A37" s="94"/>
      <c r="B37" s="95"/>
      <c r="C37" s="1424"/>
      <c r="D37" s="383">
        <f t="shared" si="1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IF(F37^3&gt;0.008856,F37^3*$AR$38, (F37- 16 / 116 ) / 7.787*$AR$38)</f>
        <v>44.455639126807164</v>
      </c>
      <c r="H37" s="1220">
        <f>G37/SUM(G36:G38)</f>
        <v>0.50079888889650959</v>
      </c>
      <c r="I37" s="1220">
        <v>44.085306181079623</v>
      </c>
      <c r="J37" s="1221">
        <f>I37/SUM(I36:I38)</f>
        <v>0.49619237385678483</v>
      </c>
      <c r="K37" s="1221">
        <f>I37/$AR$42</f>
        <v>0.44085306181079625</v>
      </c>
      <c r="L37" s="1221">
        <f t="shared" si="40"/>
        <v>0.76108171324388507</v>
      </c>
      <c r="M37" s="1221">
        <f t="shared" ref="M37" si="66" xml:space="preserve"> 500 * (L36 - L37 )</f>
        <v>-27.945059608786515</v>
      </c>
      <c r="N37" s="1219">
        <f xml:space="preserve"> I36/100 * -0.9689 + I37/100*  1.8758 + I38/100 *  0.0415</f>
        <v>0.50874305841580747</v>
      </c>
      <c r="O37" s="1222">
        <f t="shared" si="42"/>
        <v>188.97701415884313</v>
      </c>
      <c r="Q37" s="656">
        <v>2455.1999999999998</v>
      </c>
      <c r="R37" s="717">
        <f t="shared" si="56"/>
        <v>115.73852922690132</v>
      </c>
      <c r="S37" s="400">
        <f t="shared" si="44"/>
        <v>0.45387658520353458</v>
      </c>
      <c r="T37" s="400">
        <f t="shared" si="4"/>
        <v>17.380570222882223</v>
      </c>
      <c r="U37" s="400">
        <v>14.706968019260261</v>
      </c>
      <c r="V37" s="400">
        <f>U37/$AR$42</f>
        <v>0.14706968019260261</v>
      </c>
      <c r="W37" s="400">
        <f t="shared" si="45"/>
        <v>0.52784658482893487</v>
      </c>
      <c r="X37" s="400">
        <f xml:space="preserve"> 500 * (W36 - W37 )</f>
        <v>-21.959737409566056</v>
      </c>
      <c r="Y37" s="400"/>
      <c r="Z37" s="433">
        <f t="shared" si="6"/>
        <v>188.97701415884313</v>
      </c>
      <c r="AA37" s="898">
        <v>187.67503107646456</v>
      </c>
      <c r="AB37" s="899">
        <f t="shared" si="46"/>
        <v>0.73598051402535125</v>
      </c>
      <c r="AC37" s="899">
        <f t="shared" si="47"/>
        <v>50.094723073012162</v>
      </c>
      <c r="AD37" s="899">
        <v>43.232281093162449</v>
      </c>
      <c r="AE37" s="899">
        <f>AD37/$AR$42</f>
        <v>0.4323228109316245</v>
      </c>
      <c r="AF37" s="899">
        <f t="shared" si="48"/>
        <v>0.75614087763322546</v>
      </c>
      <c r="AG37" s="899">
        <f xml:space="preserve"> 500 * (AF36 - AF37 )</f>
        <v>-28.126132647983749</v>
      </c>
      <c r="AH37" s="900"/>
      <c r="AJ37" s="1413"/>
      <c r="AK37" s="100">
        <v>24</v>
      </c>
      <c r="AL37" s="329">
        <v>-4.4703882724999997E-5</v>
      </c>
      <c r="AM37" s="329">
        <v>2.3654192585999999E-4</v>
      </c>
      <c r="AN37" s="329">
        <v>2.9925754723000001E-4</v>
      </c>
      <c r="AP37" s="320" t="s">
        <v>146</v>
      </c>
      <c r="AQ37" s="320" t="s">
        <v>163</v>
      </c>
      <c r="AR37" s="319">
        <v>96.421999999999997</v>
      </c>
      <c r="AS37" s="321"/>
      <c r="AT37" s="321"/>
    </row>
    <row r="38" spans="1:51" ht="15.75" thickBot="1">
      <c r="A38" s="96"/>
      <c r="B38" s="97"/>
      <c r="C38" s="1424"/>
      <c r="D38" s="384">
        <f t="shared" si="1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IF(F38^3&gt;0.008856,F38^3*$AR$39, (F38- 16 / 116 ) / 7.787*$AR$39)</f>
        <v>8.9522785633523227</v>
      </c>
      <c r="H38" s="1224">
        <f>G37</f>
        <v>44.455639126807164</v>
      </c>
      <c r="I38" s="1224">
        <v>11.430021265362438</v>
      </c>
      <c r="J38" s="1225">
        <f>I37</f>
        <v>44.085306181079623</v>
      </c>
      <c r="K38" s="1225">
        <f>I38/$AR$43</f>
        <v>0.10497526028271115</v>
      </c>
      <c r="L38" s="1225">
        <f t="shared" si="40"/>
        <v>0.47173234292589566</v>
      </c>
      <c r="M38" s="1225">
        <f t="shared" ref="M38" si="67" xml:space="preserve"> 200 * ( L37 - L38 )</f>
        <v>57.869874063597884</v>
      </c>
      <c r="N38" s="1223">
        <f xml:space="preserve"> I36/100 *  0.0557 + I37/100 * -0.204 + I38/100 *  1.057</f>
        <v>4.9447156660574337E-2</v>
      </c>
      <c r="O38" s="1226">
        <f t="shared" si="42"/>
        <v>62.832253035292226</v>
      </c>
      <c r="Q38" s="657">
        <v>1108.5999999999999</v>
      </c>
      <c r="R38" s="717">
        <f t="shared" si="58"/>
        <v>52.259585166561905</v>
      </c>
      <c r="S38" s="400">
        <f t="shared" si="44"/>
        <v>0.20493954967279179</v>
      </c>
      <c r="T38" s="400">
        <f t="shared" si="4"/>
        <v>3.4664725556267637</v>
      </c>
      <c r="U38" s="400">
        <v>5.5501027654652955</v>
      </c>
      <c r="V38" s="400">
        <f>U38/$AR$43</f>
        <v>5.097308822741195E-2</v>
      </c>
      <c r="W38" s="400">
        <f t="shared" si="45"/>
        <v>0.37077773641809225</v>
      </c>
      <c r="X38" s="400">
        <f xml:space="preserve"> 200 * ( W37 - W38 )</f>
        <v>31.413769682168525</v>
      </c>
      <c r="Y38" s="400"/>
      <c r="Z38" s="433">
        <f t="shared" si="6"/>
        <v>62.832253035292226</v>
      </c>
      <c r="AA38" s="898">
        <v>77.959589899916409</v>
      </c>
      <c r="AB38" s="899">
        <f t="shared" si="46"/>
        <v>0.30572388196045652</v>
      </c>
      <c r="AC38" s="899">
        <f t="shared" si="47"/>
        <v>7.6105115137677632</v>
      </c>
      <c r="AD38" s="899">
        <v>13.826612437203799</v>
      </c>
      <c r="AE38" s="899">
        <f>AD38/$AR$43</f>
        <v>0.12698596141917287</v>
      </c>
      <c r="AF38" s="899">
        <f t="shared" si="48"/>
        <v>0.50263404777609633</v>
      </c>
      <c r="AG38" s="899">
        <f xml:space="preserve"> 200 * ( AF37 - AF38 )</f>
        <v>50.70136597142583</v>
      </c>
      <c r="AH38" s="900"/>
      <c r="AP38" s="322"/>
      <c r="AQ38" s="320" t="s">
        <v>164</v>
      </c>
      <c r="AR38" s="319">
        <v>100</v>
      </c>
      <c r="AS38" s="321"/>
      <c r="AT38" s="321"/>
    </row>
    <row r="39" spans="1:51" ht="15.75" thickBot="1">
      <c r="A39" s="92">
        <v>12</v>
      </c>
      <c r="B39" s="93" t="s">
        <v>120</v>
      </c>
      <c r="C39" s="1403"/>
      <c r="D39" s="382">
        <f t="shared" si="1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IF(F39^3&gt;0.008856,F39^3*$AR$37, (F39- 16 / 116 ) / 7.787*$AR$37)</f>
        <v>48.785005521306303</v>
      </c>
      <c r="H39" s="1216">
        <f>G39/SUM(G39:G41)</f>
        <v>0.49568679631414136</v>
      </c>
      <c r="I39" s="1216">
        <f t="array" ref="I39:I41">MMULT($AR$48:$AT$50,G39:G41)</f>
        <v>45.996902394099358</v>
      </c>
      <c r="J39" s="1217">
        <f>I39/SUM(I39:I41)</f>
        <v>0.47655804287629788</v>
      </c>
      <c r="K39" s="1217">
        <f>I39/$AR$41</f>
        <v>0.48393849773374603</v>
      </c>
      <c r="L39" s="1217">
        <f t="shared" si="40"/>
        <v>0.78510918341971647</v>
      </c>
      <c r="M39" s="1217">
        <f t="shared" ref="M39" si="68" xml:space="preserve"> 116 * L40  - 16</f>
        <v>71.386119196075384</v>
      </c>
      <c r="N39" s="1215">
        <f>I39/100*  3.2406 + I40/100 * -1.5372 + I41/100 * -0.4986</f>
        <v>0.79465331720385057</v>
      </c>
      <c r="O39" s="1218">
        <f t="shared" si="42"/>
        <v>230.43061395257749</v>
      </c>
      <c r="Q39" s="655">
        <v>2903.6001000000001</v>
      </c>
      <c r="R39" s="718">
        <f t="shared" si="54"/>
        <v>133.37500669425719</v>
      </c>
      <c r="S39" s="401">
        <f t="shared" si="44"/>
        <v>0.52303924193826346</v>
      </c>
      <c r="T39" s="401">
        <f t="shared" si="4"/>
        <v>23.598895200333018</v>
      </c>
      <c r="U39" s="401">
        <f t="array" ref="U39:U41">MMULT($AR$25:$AT$27,T39:T41)</f>
        <v>13.107429304086839</v>
      </c>
      <c r="V39" s="401">
        <f>U39/$AR$41</f>
        <v>0.13790471350055067</v>
      </c>
      <c r="W39" s="401">
        <f t="shared" si="45"/>
        <v>0.51664595891175225</v>
      </c>
      <c r="X39" s="401">
        <f xml:space="preserve"> 116 * W40  - 16</f>
        <v>39.840463482284825</v>
      </c>
      <c r="Y39" s="401">
        <f>SQRT(( ( M39-X39 ) ^ 2 ) + ( ( M40 - X40 ) ^ 2 ) + ( (M41 - X41 ) ^ 2 ))</f>
        <v>47.016839905106949</v>
      </c>
      <c r="Z39" s="434">
        <f t="shared" si="6"/>
        <v>230.43061395257749</v>
      </c>
      <c r="AA39" s="901">
        <f t="array" ref="AA39:AA41">MMULT($AQ$14:$AS$16,R39:R41)</f>
        <v>207.22664234319697</v>
      </c>
      <c r="AB39" s="902">
        <f t="shared" si="46"/>
        <v>0.81265349938508613</v>
      </c>
      <c r="AC39" s="902">
        <f t="shared" si="47"/>
        <v>62.549705801838904</v>
      </c>
      <c r="AD39" s="902">
        <f t="array" ref="AD39:AD41">MMULT($AR$25:$AT$27,AC39:AC41)</f>
        <v>36.185862905492051</v>
      </c>
      <c r="AE39" s="902">
        <f>AD39/$AR$41</f>
        <v>0.38071546609037688</v>
      </c>
      <c r="AF39" s="902">
        <f t="shared" si="48"/>
        <v>0.72476994117237492</v>
      </c>
      <c r="AG39" s="902">
        <f xml:space="preserve"> 116 * AF40  - 16</f>
        <v>63.947675698799429</v>
      </c>
      <c r="AH39" s="903">
        <f>SQRT(( ( M39-AG39 ) ^ 2 ) + ( ( M40 - AG40 ) ^ 2 ) + ( (M41 - AG41 ) ^ 2 ))</f>
        <v>18.051298967421079</v>
      </c>
      <c r="AJ39" s="366" t="s">
        <v>139</v>
      </c>
      <c r="AK39" s="308"/>
      <c r="AL39" s="308"/>
      <c r="AM39" s="308"/>
      <c r="AN39" s="308"/>
      <c r="AP39" s="322"/>
      <c r="AQ39" s="320" t="s">
        <v>165</v>
      </c>
      <c r="AR39" s="319">
        <v>82.521000000000001</v>
      </c>
      <c r="AS39" s="321"/>
      <c r="AT39" s="321"/>
    </row>
    <row r="40" spans="1:51" ht="15.75" thickBot="1">
      <c r="A40" s="94"/>
      <c r="B40" s="95"/>
      <c r="C40" s="1403"/>
      <c r="D40" s="383">
        <f t="shared" si="1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IF(F40^3&gt;0.008856,F40^3*$AR$38, (F40- 16 / 116 ) / 7.787*$AR$38)</f>
        <v>43.571271294091417</v>
      </c>
      <c r="H40" s="1220">
        <f>G40/SUM(G39:G41)</f>
        <v>0.44271192855907199</v>
      </c>
      <c r="I40" s="1220">
        <v>42.751700185521585</v>
      </c>
      <c r="J40" s="1221">
        <f>I40/SUM(I39:I41)</f>
        <v>0.44293562195744796</v>
      </c>
      <c r="K40" s="1221">
        <f>I40/$AR$42</f>
        <v>0.42751700185521585</v>
      </c>
      <c r="L40" s="1221">
        <f t="shared" si="40"/>
        <v>0.75332861375927052</v>
      </c>
      <c r="M40" s="1221">
        <f t="shared" ref="M40" si="69" xml:space="preserve"> 500 * (L39 - L40 )</f>
        <v>15.890284830222978</v>
      </c>
      <c r="N40" s="1219">
        <f xml:space="preserve"> I39/100 * -0.9689 + I40/100*  1.8758 + I41/100 *  0.0415</f>
        <v>0.35949711679901047</v>
      </c>
      <c r="O40" s="1222">
        <f t="shared" si="42"/>
        <v>161.63210798319847</v>
      </c>
      <c r="Q40" s="656">
        <v>1777.8</v>
      </c>
      <c r="R40" s="718">
        <f t="shared" si="56"/>
        <v>81.662101782215274</v>
      </c>
      <c r="S40" s="401">
        <f t="shared" si="44"/>
        <v>0.32024353640084419</v>
      </c>
      <c r="T40" s="401">
        <f t="shared" si="4"/>
        <v>8.3665387223665615</v>
      </c>
      <c r="U40" s="401">
        <v>11.155089916311494</v>
      </c>
      <c r="V40" s="401">
        <f>U40/$AR$42</f>
        <v>0.11155089916311495</v>
      </c>
      <c r="W40" s="401">
        <f t="shared" si="45"/>
        <v>0.48138330588176576</v>
      </c>
      <c r="X40" s="401">
        <f xml:space="preserve"> 500 * (W39 - W40 )</f>
        <v>17.631326514993244</v>
      </c>
      <c r="Y40" s="401"/>
      <c r="Z40" s="434">
        <f t="shared" si="6"/>
        <v>161.63210798319847</v>
      </c>
      <c r="AA40" s="901">
        <v>141.17453024781864</v>
      </c>
      <c r="AB40" s="902">
        <f t="shared" si="46"/>
        <v>0.55362560881497502</v>
      </c>
      <c r="AC40" s="902">
        <f t="shared" si="47"/>
        <v>26.70758563828602</v>
      </c>
      <c r="AD40" s="902">
        <v>32.737352799513417</v>
      </c>
      <c r="AE40" s="902">
        <f>AD40/$AR$42</f>
        <v>0.32737352799513419</v>
      </c>
      <c r="AF40" s="902">
        <f t="shared" si="48"/>
        <v>0.68920410085171924</v>
      </c>
      <c r="AG40" s="902">
        <f xml:space="preserve"> 500 * (AF39 - AF40 )</f>
        <v>17.782920160327841</v>
      </c>
      <c r="AH40" s="903"/>
      <c r="AP40" s="323"/>
      <c r="AQ40" s="321"/>
      <c r="AR40" s="321"/>
      <c r="AS40" s="321"/>
      <c r="AT40" s="321"/>
    </row>
    <row r="41" spans="1:51" ht="15.75" thickBot="1">
      <c r="A41" s="96"/>
      <c r="B41" s="97"/>
      <c r="C41" s="1404"/>
      <c r="D41" s="384">
        <f t="shared" si="1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IF(F41^3&gt;0.008856,F41^3*$AR$39, (F41- 16 / 116 ) / 7.787*$AR$39)</f>
        <v>6.0627367311903075</v>
      </c>
      <c r="H41" s="1224">
        <f>G40</f>
        <v>43.571271294091417</v>
      </c>
      <c r="I41" s="1224">
        <v>7.770390398615211</v>
      </c>
      <c r="J41" s="1225">
        <f>I40</f>
        <v>42.751700185521585</v>
      </c>
      <c r="K41" s="1225">
        <f>I41/$AR$43</f>
        <v>7.1364587663962337E-2</v>
      </c>
      <c r="L41" s="1225">
        <f t="shared" si="40"/>
        <v>0.41478934034612885</v>
      </c>
      <c r="M41" s="1225">
        <f t="shared" ref="M41" si="70" xml:space="preserve"> 200 * ( L40 - L41 )</f>
        <v>67.707854682628337</v>
      </c>
      <c r="N41" s="1223">
        <f xml:space="preserve"> I39/100 *  0.0557 + I40/100 * -0.204 + I41/100 *  1.057</f>
        <v>2.0539832768412099E-2</v>
      </c>
      <c r="O41" s="1226">
        <f t="shared" si="42"/>
        <v>39.272644590202006</v>
      </c>
      <c r="Q41" s="657">
        <v>870</v>
      </c>
      <c r="R41" s="719">
        <f t="shared" si="58"/>
        <v>39.962891523527553</v>
      </c>
      <c r="S41" s="401">
        <f t="shared" si="44"/>
        <v>0.15671722166089236</v>
      </c>
      <c r="T41" s="401">
        <f t="shared" si="4"/>
        <v>2.1184047603041911</v>
      </c>
      <c r="U41" s="401">
        <v>3.466611892486624</v>
      </c>
      <c r="V41" s="401">
        <f>U41/$AR$43</f>
        <v>3.1837953514199865E-2</v>
      </c>
      <c r="W41" s="401">
        <f t="shared" si="45"/>
        <v>0.31694340165913426</v>
      </c>
      <c r="X41" s="401">
        <f xml:space="preserve"> 200 * ( W40 - W41 )</f>
        <v>32.887980844526297</v>
      </c>
      <c r="Y41" s="401"/>
      <c r="Z41" s="435">
        <f t="shared" si="6"/>
        <v>39.272644590202006</v>
      </c>
      <c r="AA41" s="901">
        <v>60.80767616156384</v>
      </c>
      <c r="AB41" s="902">
        <f t="shared" si="46"/>
        <v>0.23846147514338761</v>
      </c>
      <c r="AC41" s="902">
        <f t="shared" si="47"/>
        <v>4.6378503163263805</v>
      </c>
      <c r="AD41" s="902">
        <v>8.8000284751920184</v>
      </c>
      <c r="AE41" s="902">
        <f>AD41/$AR$43</f>
        <v>8.0820958966891232E-2</v>
      </c>
      <c r="AF41" s="902">
        <f t="shared" si="48"/>
        <v>0.43235584350770984</v>
      </c>
      <c r="AG41" s="902">
        <f xml:space="preserve"> 200 * ( AF40 - AF41 )</f>
        <v>51.369651468801877</v>
      </c>
      <c r="AH41" s="903"/>
      <c r="AP41" s="320" t="s">
        <v>33</v>
      </c>
      <c r="AQ41" s="320" t="s">
        <v>163</v>
      </c>
      <c r="AR41" s="319">
        <v>95.046999999999997</v>
      </c>
      <c r="AS41" s="321"/>
      <c r="AT41" s="321"/>
    </row>
    <row r="42" spans="1:51" ht="15.75" customHeight="1" thickBot="1">
      <c r="A42" s="1390" t="s">
        <v>121</v>
      </c>
      <c r="B42" s="1391"/>
      <c r="C42" s="1391"/>
      <c r="D42" s="1391"/>
      <c r="E42" s="1391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Q42" s="658"/>
      <c r="R42" s="419"/>
      <c r="S42" s="330"/>
      <c r="T42" s="330"/>
      <c r="U42" s="330"/>
      <c r="V42" s="330"/>
      <c r="W42" s="330"/>
      <c r="X42" s="330"/>
      <c r="Y42" s="330"/>
      <c r="Z42" s="419"/>
      <c r="AA42" s="184"/>
      <c r="AB42" s="330"/>
      <c r="AC42" s="330"/>
      <c r="AD42" s="330"/>
      <c r="AE42" s="330"/>
      <c r="AF42" s="330"/>
      <c r="AG42" s="330"/>
      <c r="AH42" s="381"/>
      <c r="AP42" s="322"/>
      <c r="AQ42" s="320" t="s">
        <v>164</v>
      </c>
      <c r="AR42" s="319">
        <v>100</v>
      </c>
      <c r="AS42" s="321"/>
      <c r="AT42" s="321"/>
    </row>
    <row r="43" spans="1:51" ht="15.75" thickBot="1">
      <c r="A43" s="92">
        <v>13</v>
      </c>
      <c r="B43" s="93" t="s">
        <v>122</v>
      </c>
      <c r="C43" s="1405"/>
      <c r="D43" s="382">
        <f t="shared" si="1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IF(F43^3&gt;0.008856,F43^3*$AR$37, (F43- 16 / 116 ) / 7.787*$AR$37)</f>
        <v>6.8605278494588378</v>
      </c>
      <c r="H43" s="1216">
        <f>G43/SUM(G43:G45)</f>
        <v>0.20182392493888132</v>
      </c>
      <c r="I43" s="1216">
        <f t="array" ref="I43:I45">MMULT($AR$48:$AT$50,G43:G45)</f>
        <v>7.7736812148504111</v>
      </c>
      <c r="J43" s="1216">
        <f>I43/SUM(I43:I45)</f>
        <v>0.18404429682692211</v>
      </c>
      <c r="K43" s="1216">
        <f>I43/$AR$41</f>
        <v>8.1787759896160966E-2</v>
      </c>
      <c r="L43" s="1216">
        <f t="shared" ref="L43:L60" si="71">IF(K43&gt;0.008856,K43^(1/3),7.787*K43+16/116)</f>
        <v>0.43407299821924528</v>
      </c>
      <c r="M43" s="1216">
        <f t="shared" ref="M43" si="72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ref="O43:O60" si="73">IF(N43&gt; 0.0031308,(1.055 * (N43^ ( 1 / 2.4 ) ) - 0.055)*255, 12.92 * N43*255)</f>
        <v>35.342853388950573</v>
      </c>
      <c r="Q43" s="655">
        <v>181</v>
      </c>
      <c r="R43" s="720">
        <f t="shared" ref="R43" si="74">Q43/SUM(Q43:Q45)*255</f>
        <v>26.636080332409971</v>
      </c>
      <c r="S43" s="402">
        <f t="shared" ref="S43:S60" si="75">R43/255</f>
        <v>0.10445521698984303</v>
      </c>
      <c r="T43" s="402">
        <f t="shared" si="4"/>
        <v>1.0728204805964288</v>
      </c>
      <c r="U43" s="402">
        <f t="array" ref="U43:U45">MMULT($AR$25:$AT$27,T43:T45)</f>
        <v>8.7619675654232161</v>
      </c>
      <c r="V43" s="402">
        <f>U43/$AR$41</f>
        <v>9.2185629903344835E-2</v>
      </c>
      <c r="W43" s="402">
        <f t="shared" ref="W43:W60" si="76">IF(V43&gt;0.008856,V43^(1/3),7.787*V43+16/116)</f>
        <v>0.45173916265975389</v>
      </c>
      <c r="X43" s="402">
        <f xml:space="preserve"> 116 * W44  - 16</f>
        <v>32.730213270746994</v>
      </c>
      <c r="Y43" s="402">
        <f>SQRT(( ( M43-X43 ) ^ 2 ) + ( ( M44 - X44 ) ^ 2 ) + ( (M45 - X45 ) ^ 2 ))</f>
        <v>5.7304434572766709</v>
      </c>
      <c r="Z43" s="436">
        <f t="shared" si="6"/>
        <v>35.342853388950573</v>
      </c>
      <c r="AA43" s="904">
        <f t="array" ref="AA43:AA45">MMULT(AQ14:AS16,R43:R45)</f>
        <v>41.097532440688916</v>
      </c>
      <c r="AB43" s="905">
        <f t="shared" ref="AB43:AB60" si="77">AA43/255</f>
        <v>0.16116679388505456</v>
      </c>
      <c r="AC43" s="905">
        <f t="shared" ref="AC43:AC60" si="78">IF(AB43&gt;0.04045,(((AB43+0.055)/1.055 )^2.4)*100, AB43/12.92*100)</f>
        <v>2.2268330173111863</v>
      </c>
      <c r="AD43" s="905">
        <f t="array" ref="AD43:AD45">MMULT($AR$25:$AT$27,AC43:AC45)</f>
        <v>13.946422237686669</v>
      </c>
      <c r="AE43" s="905">
        <f>AD43/$AR$41</f>
        <v>0.14673185095465052</v>
      </c>
      <c r="AF43" s="905">
        <f t="shared" ref="AF43:AF60" si="79">IF(AE43&gt;0.008856,AE43^(1/3),7.787*AE43+16/116)</f>
        <v>0.52744210824994042</v>
      </c>
      <c r="AG43" s="905">
        <f xml:space="preserve"> 116 * AF44  - 16</f>
        <v>37.373589264817625</v>
      </c>
      <c r="AH43" s="906">
        <f>SQRT(( ( M43-AG43 ) ^ 2 ) + ( ( M44 - AG44 ) ^ 2 ) + ( (M45 - AG45 ) ^ 2 ))</f>
        <v>24.459601177296793</v>
      </c>
      <c r="AP43" s="322"/>
      <c r="AQ43" s="320" t="s">
        <v>165</v>
      </c>
      <c r="AR43" s="319">
        <v>108.883</v>
      </c>
      <c r="AS43" s="321"/>
      <c r="AT43" s="321"/>
    </row>
    <row r="44" spans="1:51">
      <c r="A44" s="94"/>
      <c r="B44" s="95"/>
      <c r="C44" s="1406"/>
      <c r="D44" s="383">
        <f t="shared" si="1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IF(F44^3&gt;0.008856,F44^3*$AR$38, (F44- 16 / 116 ) / 7.787*$AR$38)</f>
        <v>5.7520163033893335</v>
      </c>
      <c r="H44" s="1220">
        <f>G44/SUM(G43:G45)</f>
        <v>0.16921358416379614</v>
      </c>
      <c r="I44" s="1220">
        <v>6.0642662674514325</v>
      </c>
      <c r="J44" s="1220">
        <f>I44/SUM(I43:I45)</f>
        <v>0.14357337149768873</v>
      </c>
      <c r="K44" s="1220">
        <f>I44/$AR$42</f>
        <v>6.0642662674514326E-2</v>
      </c>
      <c r="L44" s="1220">
        <f t="shared" si="71"/>
        <v>0.39287954722983948</v>
      </c>
      <c r="M44" s="1220">
        <f t="shared" ref="M44" si="80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73"/>
        <v>63.330751517613386</v>
      </c>
      <c r="Q44" s="656">
        <v>499</v>
      </c>
      <c r="R44" s="721">
        <f t="shared" ref="R44" si="81">Q44/SUM(Q43:Q45)*255</f>
        <v>73.43317174515235</v>
      </c>
      <c r="S44" s="403">
        <f t="shared" si="75"/>
        <v>0.28797322253000923</v>
      </c>
      <c r="T44" s="403">
        <f t="shared" si="4"/>
        <v>6.7424636002716767</v>
      </c>
      <c r="U44" s="403">
        <v>7.4134603413712625</v>
      </c>
      <c r="V44" s="403">
        <f>U44/$AR$42</f>
        <v>7.4134603413712627E-2</v>
      </c>
      <c r="W44" s="403">
        <f t="shared" si="76"/>
        <v>0.42008804543747408</v>
      </c>
      <c r="X44" s="403">
        <f xml:space="preserve"> 500 * (W43 - W44 )</f>
        <v>15.825558611139906</v>
      </c>
      <c r="Y44" s="403"/>
      <c r="Z44" s="437">
        <f t="shared" si="6"/>
        <v>63.330751517613386</v>
      </c>
      <c r="AA44" s="907">
        <v>75.283340974583382</v>
      </c>
      <c r="AB44" s="908">
        <f t="shared" si="77"/>
        <v>0.29522878813562109</v>
      </c>
      <c r="AC44" s="908">
        <f t="shared" si="78"/>
        <v>7.089873986406575</v>
      </c>
      <c r="AD44" s="908">
        <v>9.7410385020746091</v>
      </c>
      <c r="AE44" s="908">
        <f>AD44/$AR$42</f>
        <v>9.7410385020746088E-2</v>
      </c>
      <c r="AF44" s="908">
        <f t="shared" si="79"/>
        <v>0.46011714883463473</v>
      </c>
      <c r="AG44" s="908">
        <f xml:space="preserve"> 500 * (AF43 - AF44 )</f>
        <v>33.662479707652849</v>
      </c>
      <c r="AH44" s="909"/>
      <c r="AI44" s="69"/>
      <c r="AP44" s="76"/>
      <c r="AU44" s="74"/>
      <c r="AV44" s="74"/>
      <c r="AW44" s="74"/>
      <c r="AX44" s="74"/>
      <c r="AY44" s="74"/>
    </row>
    <row r="45" spans="1:51" ht="15.75" thickBot="1">
      <c r="A45" s="96"/>
      <c r="B45" s="97"/>
      <c r="C45" s="1406"/>
      <c r="D45" s="384">
        <f t="shared" si="1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IF(F45^3&gt;0.008856,F45^3*$AR$39, (F45- 16 / 116 ) / 7.787*$AR$39)</f>
        <v>21.380094983153285</v>
      </c>
      <c r="H45" s="1224">
        <f>G44</f>
        <v>5.7520163033893335</v>
      </c>
      <c r="I45" s="1224">
        <v>28.400151436682279</v>
      </c>
      <c r="J45" s="1224">
        <f>I44</f>
        <v>6.0642662674514325</v>
      </c>
      <c r="K45" s="1224">
        <f>I45/$AR$43</f>
        <v>0.26083182348651562</v>
      </c>
      <c r="L45" s="1224">
        <f t="shared" si="71"/>
        <v>0.63893036131725889</v>
      </c>
      <c r="M45" s="1224">
        <f t="shared" ref="M45" si="82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73"/>
        <v>147.08684100238494</v>
      </c>
      <c r="Q45" s="657">
        <v>1052.8</v>
      </c>
      <c r="R45" s="721">
        <f t="shared" ref="R45" si="83">Q45/SUM(Q43:Q45)*255</f>
        <v>154.93074792243766</v>
      </c>
      <c r="S45" s="403">
        <f t="shared" si="75"/>
        <v>0.60757156048014771</v>
      </c>
      <c r="T45" s="403">
        <f t="shared" si="4"/>
        <v>32.745588104318877</v>
      </c>
      <c r="U45" s="403">
        <v>31.942656157778838</v>
      </c>
      <c r="V45" s="403">
        <f>U45/$AR$43</f>
        <v>0.29336678965291957</v>
      </c>
      <c r="W45" s="403">
        <f t="shared" si="76"/>
        <v>0.66446225557588157</v>
      </c>
      <c r="X45" s="403">
        <f xml:space="preserve"> 200 * ( W44 - W45 )</f>
        <v>-48.874842027681495</v>
      </c>
      <c r="Y45" s="403"/>
      <c r="Z45" s="437">
        <f t="shared" si="6"/>
        <v>147.08684100238494</v>
      </c>
      <c r="AA45" s="907">
        <v>200.60688028781837</v>
      </c>
      <c r="AB45" s="908">
        <f t="shared" si="77"/>
        <v>0.78669364818752308</v>
      </c>
      <c r="AC45" s="908">
        <f t="shared" si="78"/>
        <v>58.151887597725768</v>
      </c>
      <c r="AD45" s="908">
        <v>56.150086833919111</v>
      </c>
      <c r="AE45" s="908">
        <f>AD45/$AR$43</f>
        <v>0.51569195222320396</v>
      </c>
      <c r="AF45" s="908">
        <f t="shared" si="79"/>
        <v>0.80191828831877676</v>
      </c>
      <c r="AG45" s="908">
        <f xml:space="preserve"> 200 * ( AF44 - AF45 )</f>
        <v>-68.360227896828405</v>
      </c>
      <c r="AH45" s="909"/>
      <c r="AI45" s="69"/>
      <c r="AP45" s="1402" t="s">
        <v>169</v>
      </c>
      <c r="AQ45" s="1402"/>
      <c r="AR45" s="1402"/>
      <c r="AS45" s="1402"/>
      <c r="AT45" s="1402"/>
      <c r="AU45" s="74"/>
      <c r="AV45" s="74"/>
      <c r="AW45" s="74"/>
      <c r="AX45" s="74"/>
      <c r="AY45" s="74"/>
    </row>
    <row r="46" spans="1:51">
      <c r="A46" s="92">
        <v>14</v>
      </c>
      <c r="B46" s="93" t="s">
        <v>123</v>
      </c>
      <c r="C46" s="1407"/>
      <c r="D46" s="382">
        <f t="shared" si="1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IF(F46^3&gt;0.008856,F46^3*$AR$37, (F46- 16 / 116 ) / 7.787*$AR$37)</f>
        <v>14.984375662794568</v>
      </c>
      <c r="H46" s="1216">
        <f>G46/SUM(G46:G48)</f>
        <v>0.32526343853311385</v>
      </c>
      <c r="I46" s="1216">
        <f t="array" ref="I46:I48">MMULT($AR$48:$AT$50,G46:G48)</f>
        <v>14.283601798249475</v>
      </c>
      <c r="J46" s="1216">
        <f>I46/SUM(I46:I48)</f>
        <v>0.29972281293948838</v>
      </c>
      <c r="K46" s="1216">
        <f>I46/$AR$41</f>
        <v>0.1502793544062356</v>
      </c>
      <c r="L46" s="1216">
        <f t="shared" si="71"/>
        <v>0.53165892265584302</v>
      </c>
      <c r="M46" s="1216">
        <f t="shared" ref="M46" si="84" xml:space="preserve"> 116 * L47  - 16</f>
        <v>55.23286542210424</v>
      </c>
      <c r="N46" s="1215">
        <f>I46/100*  3.2406 + I47/100 * -1.5372 + I48/100 * -0.4986</f>
        <v>5.5979147796490186E-2</v>
      </c>
      <c r="O46" s="1218">
        <f t="shared" si="73"/>
        <v>66.910103142073083</v>
      </c>
      <c r="Q46" s="655">
        <v>595.4</v>
      </c>
      <c r="R46" s="722">
        <f t="shared" ref="R46:R58" si="85">Q46/SUM(Q46:Q48)*255</f>
        <v>57.698183476476409</v>
      </c>
      <c r="S46" s="404">
        <f t="shared" si="75"/>
        <v>0.22626738618226042</v>
      </c>
      <c r="T46" s="404">
        <f t="shared" si="4"/>
        <v>4.1887129786596748</v>
      </c>
      <c r="U46" s="404">
        <f t="array" ref="U46:U48">MMULT($AR$25:$AT$27,T46:T48)</f>
        <v>10.655379924606921</v>
      </c>
      <c r="V46" s="404">
        <f>U46/$AR$41</f>
        <v>0.11210643076169602</v>
      </c>
      <c r="W46" s="404">
        <f t="shared" si="76"/>
        <v>0.4821810909702553</v>
      </c>
      <c r="X46" s="404">
        <f xml:space="preserve"> 116 * W47  - 16</f>
        <v>48.354503380091572</v>
      </c>
      <c r="Y46" s="404">
        <f>SQRT(( ( M46-X46 ) ^ 2 ) + ( ( M47 - X47 ) ^ 2 ) + ( (M48 - X48 ) ^ 2 ))</f>
        <v>10.066846850045701</v>
      </c>
      <c r="Z46" s="438">
        <f t="shared" si="6"/>
        <v>66.910103142073083</v>
      </c>
      <c r="AA46" s="910">
        <f t="array" ref="AA46:AA48">MMULT(AQ14:AS16,R46:R48)</f>
        <v>116.11719072674683</v>
      </c>
      <c r="AB46" s="911">
        <f t="shared" si="77"/>
        <v>0.45536153226175224</v>
      </c>
      <c r="AC46" s="911">
        <f t="shared" si="78"/>
        <v>17.502542272254015</v>
      </c>
      <c r="AD46" s="911">
        <f t="array" ref="AD46:AD48">MMULT($AR$25:$AT$27,AC46:AC48)</f>
        <v>30.326109088955558</v>
      </c>
      <c r="AE46" s="911">
        <f>AD46/$AR$41</f>
        <v>0.31906434804839245</v>
      </c>
      <c r="AF46" s="911">
        <f t="shared" si="79"/>
        <v>0.68332308524009733</v>
      </c>
      <c r="AG46" s="911">
        <f xml:space="preserve"> 116 * AF47  - 16</f>
        <v>73.807128880762207</v>
      </c>
      <c r="AH46" s="912">
        <f>SQRT(( ( M46-AG46 ) ^ 2 ) + ( ( M47 - AG47 ) ^ 2 ) + ( (M48 - AG48 ) ^ 2 ))</f>
        <v>22.137889286305413</v>
      </c>
      <c r="AP46" s="332" t="s">
        <v>167</v>
      </c>
      <c r="AQ46" s="332"/>
      <c r="AR46" s="332"/>
      <c r="AS46" s="332"/>
      <c r="AT46" s="332"/>
    </row>
    <row r="47" spans="1:51" ht="15.75" thickBot="1">
      <c r="A47" s="94"/>
      <c r="B47" s="95"/>
      <c r="C47" s="1407"/>
      <c r="D47" s="383">
        <f t="shared" si="1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IF(F47^3&gt;0.008856,F47^3*$AR$38, (F47- 16 / 116 ) / 7.787*$AR$38)</f>
        <v>23.183647760810512</v>
      </c>
      <c r="H47" s="1220">
        <f>G47/SUM(G46:G48)</f>
        <v>0.50324372253594474</v>
      </c>
      <c r="I47" s="1220">
        <v>23.156199170786447</v>
      </c>
      <c r="J47" s="1220">
        <f>I47/SUM(I46:I48)</f>
        <v>0.48590273311215859</v>
      </c>
      <c r="K47" s="1220">
        <f>I47/$AR$42</f>
        <v>0.23156199170786448</v>
      </c>
      <c r="L47" s="1220">
        <f t="shared" si="71"/>
        <v>0.6140764260526228</v>
      </c>
      <c r="M47" s="1220">
        <f t="shared" ref="M47" si="86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73"/>
        <v>148.92451179357417</v>
      </c>
      <c r="Q47" s="656">
        <v>1333.8</v>
      </c>
      <c r="R47" s="722">
        <f t="shared" ref="R47:R59" si="87">Q47/SUM(Q46:Q48)*255</f>
        <v>129.25400927263055</v>
      </c>
      <c r="S47" s="405">
        <f t="shared" si="75"/>
        <v>0.50687846773580614</v>
      </c>
      <c r="T47" s="405">
        <f t="shared" si="4"/>
        <v>22.046306020217763</v>
      </c>
      <c r="U47" s="405">
        <v>17.075084517743043</v>
      </c>
      <c r="V47" s="405">
        <f>U47/$AR$42</f>
        <v>0.17075084517743044</v>
      </c>
      <c r="W47" s="405">
        <f t="shared" si="76"/>
        <v>0.55478020155251351</v>
      </c>
      <c r="X47" s="405">
        <f xml:space="preserve"> 500 * (W46 - W47 )</f>
        <v>-36.299555291129103</v>
      </c>
      <c r="Y47" s="405"/>
      <c r="Z47" s="438">
        <f t="shared" si="6"/>
        <v>148.92451179357417</v>
      </c>
      <c r="AA47" s="910">
        <v>201.06107189818516</v>
      </c>
      <c r="AB47" s="911">
        <f t="shared" si="77"/>
        <v>0.78847479175758883</v>
      </c>
      <c r="AC47" s="911">
        <f t="shared" si="78"/>
        <v>58.447663618034085</v>
      </c>
      <c r="AD47" s="911">
        <v>46.404326004448016</v>
      </c>
      <c r="AE47" s="911">
        <f>AD47/$AR$42</f>
        <v>0.46404326004448015</v>
      </c>
      <c r="AF47" s="911">
        <f t="shared" si="79"/>
        <v>0.77419938690312251</v>
      </c>
      <c r="AG47" s="911">
        <f xml:space="preserve"> 500 * (AF46 - AF47 )</f>
        <v>-45.438150831512594</v>
      </c>
      <c r="AH47" s="912"/>
      <c r="AI47" s="69"/>
      <c r="AO47" s="74"/>
      <c r="AP47" s="76"/>
      <c r="AU47" s="74"/>
      <c r="AV47" s="74"/>
      <c r="AW47" s="74"/>
      <c r="AX47" s="74"/>
      <c r="AY47" s="74"/>
    </row>
    <row r="48" spans="1:51" ht="15.75" thickBot="1">
      <c r="A48" s="96"/>
      <c r="B48" s="97"/>
      <c r="C48" s="1407"/>
      <c r="D48" s="384">
        <f t="shared" si="1"/>
        <v>74.120275922324538</v>
      </c>
      <c r="E48" s="372">
        <v>31.37</v>
      </c>
      <c r="F48" s="1223">
        <f>F47 - E48 / 200</f>
        <v>0.45746896551724126</v>
      </c>
      <c r="G48" s="1223">
        <f>IF(F48^3&gt;0.008856,F48^3*$AR$39, (F48- 16 / 116 ) / 7.787*$AR$39)</f>
        <v>7.9004056945635952</v>
      </c>
      <c r="H48" s="1224">
        <f>G47</f>
        <v>23.183647760810512</v>
      </c>
      <c r="I48" s="1224">
        <v>10.21623714886743</v>
      </c>
      <c r="J48" s="1224">
        <f>I47</f>
        <v>23.156199170786447</v>
      </c>
      <c r="K48" s="1224">
        <f>I48/$AR$43</f>
        <v>9.382766041409063E-2</v>
      </c>
      <c r="L48" s="1224">
        <f t="shared" si="71"/>
        <v>0.45440555210953226</v>
      </c>
      <c r="M48" s="1224">
        <f t="shared" ref="M48" si="88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73"/>
        <v>74.120275922324538</v>
      </c>
      <c r="Q48" s="657">
        <v>702.2</v>
      </c>
      <c r="R48" s="722">
        <f t="shared" ref="R48:R60" si="89">Q48/SUM(Q46:Q48)*255</f>
        <v>68.047807250893072</v>
      </c>
      <c r="S48" s="405">
        <f t="shared" si="75"/>
        <v>0.26685414608193364</v>
      </c>
      <c r="T48" s="405">
        <f t="shared" si="4"/>
        <v>5.7886322005108921</v>
      </c>
      <c r="U48" s="405">
        <v>8.2096883785574271</v>
      </c>
      <c r="V48" s="405">
        <f>U48/$AR$43</f>
        <v>7.5399175064587015E-2</v>
      </c>
      <c r="W48" s="405">
        <f t="shared" si="76"/>
        <v>0.42246318097426544</v>
      </c>
      <c r="X48" s="405">
        <f xml:space="preserve"> 200 * ( W47 - W48 )</f>
        <v>26.463404115649613</v>
      </c>
      <c r="Y48" s="405"/>
      <c r="Z48" s="438">
        <f t="shared" si="6"/>
        <v>74.120275922324538</v>
      </c>
      <c r="AA48" s="910">
        <v>98.079267296774077</v>
      </c>
      <c r="AB48" s="911">
        <f t="shared" si="77"/>
        <v>0.38462457763440816</v>
      </c>
      <c r="AC48" s="911">
        <f t="shared" si="78"/>
        <v>12.234629175450399</v>
      </c>
      <c r="AD48" s="911">
        <v>18.931504591408384</v>
      </c>
      <c r="AE48" s="911">
        <f>AD48/$AR$43</f>
        <v>0.1738701596338123</v>
      </c>
      <c r="AF48" s="911">
        <f t="shared" si="79"/>
        <v>0.55813811883261422</v>
      </c>
      <c r="AG48" s="911">
        <f xml:space="preserve"> 200 * ( AF47 - AF48 )</f>
        <v>43.212253614101655</v>
      </c>
      <c r="AH48" s="912"/>
      <c r="AI48" s="69"/>
      <c r="AO48" s="74"/>
      <c r="AP48" s="89" t="s">
        <v>168</v>
      </c>
      <c r="AQ48" s="324" t="s">
        <v>163</v>
      </c>
      <c r="AR48" s="333">
        <v>0.9555766</v>
      </c>
      <c r="AS48" s="334">
        <v>-2.3039299999999999E-2</v>
      </c>
      <c r="AT48" s="335">
        <v>6.31636E-2</v>
      </c>
      <c r="AU48" s="74"/>
      <c r="AV48" s="74"/>
      <c r="AW48" s="74"/>
      <c r="AX48" s="74"/>
      <c r="AY48" s="74"/>
    </row>
    <row r="49" spans="1:65">
      <c r="A49" s="92">
        <v>15</v>
      </c>
      <c r="B49" s="93" t="s">
        <v>124</v>
      </c>
      <c r="C49" s="1408"/>
      <c r="D49" s="382">
        <f t="shared" si="1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IF(F49^3&gt;0.008856,F49^3*$AR$37, (F49- 16 / 116 ) / 7.787*$AR$37)</f>
        <v>21.631501234234467</v>
      </c>
      <c r="H49" s="1216">
        <f>G49/SUM(G49:G51)</f>
        <v>0.56858460191264737</v>
      </c>
      <c r="I49" s="1216">
        <f t="array" ref="I49:I51">MMULT($AR$48:$AT$50,G49:G51)</f>
        <v>20.62408349598757</v>
      </c>
      <c r="J49" s="1216">
        <f>I49/SUM(I49:I51)</f>
        <v>0.54404393629571024</v>
      </c>
      <c r="K49" s="1216">
        <f>I49/$AR$41</f>
        <v>0.21698826365890109</v>
      </c>
      <c r="L49" s="1216">
        <f t="shared" si="71"/>
        <v>0.6009136669251236</v>
      </c>
      <c r="M49" s="1216">
        <f t="shared" ref="M49" si="90" xml:space="preserve"> 116 * L50  - 16</f>
        <v>41.468062941473491</v>
      </c>
      <c r="N49" s="1215">
        <f>I49/100*  3.2406 + I50/100 * -1.5372 + I51/100 * -0.4986</f>
        <v>0.45587651504853977</v>
      </c>
      <c r="O49" s="1218">
        <f t="shared" si="73"/>
        <v>179.90529060715122</v>
      </c>
      <c r="Q49" s="655">
        <v>1565.4</v>
      </c>
      <c r="R49" s="723">
        <f t="shared" si="85"/>
        <v>167.49622356495468</v>
      </c>
      <c r="S49" s="406">
        <f t="shared" si="75"/>
        <v>0.65684793554884191</v>
      </c>
      <c r="T49" s="406">
        <f t="shared" si="4"/>
        <v>38.897657552291385</v>
      </c>
      <c r="U49" s="406">
        <f t="array" ref="U49:U51">MMULT($AR$25:$AT$27,T49:T51)</f>
        <v>17.357279518572188</v>
      </c>
      <c r="V49" s="406">
        <f>U49/$AR$41</f>
        <v>0.18261785767643574</v>
      </c>
      <c r="W49" s="406">
        <f t="shared" si="76"/>
        <v>0.56734567422369353</v>
      </c>
      <c r="X49" s="406">
        <f xml:space="preserve"> 116 * W50  - 16</f>
        <v>38.077536756021807</v>
      </c>
      <c r="Y49" s="406">
        <f>SQRT(( ( M49-X49 ) ^ 2 ) + ( ( M50 - X50 ) ^ 2 ) + ( (M51 - X51 ) ^ 2 ))</f>
        <v>4.6981535316399352</v>
      </c>
      <c r="Z49" s="439">
        <f t="shared" si="6"/>
        <v>179.90529060715122</v>
      </c>
      <c r="AA49" s="913">
        <f t="array" ref="AA49:AA51">MMULT(AQ14:AS16,R49:R51)</f>
        <v>239.29607614236502</v>
      </c>
      <c r="AB49" s="914">
        <f t="shared" si="77"/>
        <v>0.93841598487201972</v>
      </c>
      <c r="AC49" s="914">
        <f t="shared" si="78"/>
        <v>86.558324680830111</v>
      </c>
      <c r="AD49" s="914">
        <f t="array" ref="AD49:AD51">MMULT($AR$25:$AT$27,AC49:AC51)</f>
        <v>39.388148926671683</v>
      </c>
      <c r="AE49" s="914">
        <f>AD49/$AR$41</f>
        <v>0.41440707151905565</v>
      </c>
      <c r="AF49" s="914">
        <f t="shared" si="79"/>
        <v>0.74554818834793057</v>
      </c>
      <c r="AG49" s="914">
        <f xml:space="preserve"> 116 * AF50  - 16</f>
        <v>56.347902973290786</v>
      </c>
      <c r="AH49" s="915">
        <f>SQRT(( ( M49-AG49 ) ^ 2 ) + ( ( M50 - AG50 ) ^ 2 ) + ( (M51 - AG51 ) ^ 2 ))</f>
        <v>23.024089617599689</v>
      </c>
      <c r="AP49" s="89"/>
      <c r="AQ49" s="324" t="s">
        <v>164</v>
      </c>
      <c r="AR49" s="336">
        <v>-2.8289499999999999E-2</v>
      </c>
      <c r="AS49" s="337">
        <v>1.0099416000000001</v>
      </c>
      <c r="AT49" s="338">
        <v>2.1007700000000001E-2</v>
      </c>
    </row>
    <row r="50" spans="1:65" ht="15.75" thickBot="1">
      <c r="A50" s="94"/>
      <c r="B50" s="95"/>
      <c r="C50" s="1408"/>
      <c r="D50" s="383">
        <f t="shared" si="1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IF(F50^3&gt;0.008856,F50^3*$AR$38, (F50- 16 / 116 ) / 7.787*$AR$38)</f>
        <v>12.565415505216301</v>
      </c>
      <c r="H50" s="1220">
        <f>G50/SUM(G49:G51)</f>
        <v>0.33028229042159035</v>
      </c>
      <c r="I50" s="1220">
        <v>12.159219782354153</v>
      </c>
      <c r="J50" s="1220">
        <f>I50/SUM(I49:I51)</f>
        <v>0.32074878837469817</v>
      </c>
      <c r="K50" s="1220">
        <f>I50/$AR$42</f>
        <v>0.12159219782354153</v>
      </c>
      <c r="L50" s="1220">
        <f t="shared" si="71"/>
        <v>0.49541433570235771</v>
      </c>
      <c r="M50" s="1220">
        <f t="shared" ref="M50" si="91" xml:space="preserve"> 500 * (L49 - L50 )</f>
        <v>52.749665611382945</v>
      </c>
      <c r="N50" s="1219">
        <f xml:space="preserve"> I49/100 * -0.9689 + I50/100*  1.8758 + I51/100 *  0.0415</f>
        <v>3.038300426051882E-2</v>
      </c>
      <c r="O50" s="1222">
        <f t="shared" si="73"/>
        <v>48.716578063950486</v>
      </c>
      <c r="Q50" s="656">
        <v>394</v>
      </c>
      <c r="R50" s="723">
        <f t="shared" si="87"/>
        <v>42.157603222557903</v>
      </c>
      <c r="S50" s="407">
        <f t="shared" si="75"/>
        <v>0.16532393420610941</v>
      </c>
      <c r="T50" s="407">
        <f t="shared" si="4"/>
        <v>2.3309991971943367</v>
      </c>
      <c r="U50" s="407">
        <v>10.131569684558631</v>
      </c>
      <c r="V50" s="407">
        <f>U50/$AR$42</f>
        <v>0.10131569684558631</v>
      </c>
      <c r="W50" s="407">
        <f t="shared" si="76"/>
        <v>0.46618566168984316</v>
      </c>
      <c r="X50" s="407">
        <f xml:space="preserve"> 500 * (W49 - W50 )</f>
        <v>50.580006266925189</v>
      </c>
      <c r="Y50" s="407"/>
      <c r="Z50" s="439">
        <f t="shared" si="6"/>
        <v>48.716578063950486</v>
      </c>
      <c r="AA50" s="916">
        <v>78.164681159981356</v>
      </c>
      <c r="AB50" s="917">
        <f t="shared" si="77"/>
        <v>0.30652816141169159</v>
      </c>
      <c r="AC50" s="917">
        <f t="shared" si="78"/>
        <v>7.6512997249068047</v>
      </c>
      <c r="AD50" s="917">
        <v>24.26073056942905</v>
      </c>
      <c r="AE50" s="917">
        <f>AD50/$AR$42</f>
        <v>0.24260730569429051</v>
      </c>
      <c r="AF50" s="917">
        <f t="shared" si="79"/>
        <v>0.62368881873526538</v>
      </c>
      <c r="AG50" s="917">
        <f xml:space="preserve"> 500 * (AF49 - AF50 )</f>
        <v>60.929684806332595</v>
      </c>
      <c r="AH50" s="918"/>
      <c r="AP50" s="76"/>
      <c r="AQ50" s="324" t="s">
        <v>165</v>
      </c>
      <c r="AR50" s="339">
        <v>1.22982E-2</v>
      </c>
      <c r="AS50" s="340">
        <v>-2.0483000000000001E-2</v>
      </c>
      <c r="AT50" s="341">
        <v>1.3299098</v>
      </c>
    </row>
    <row r="51" spans="1:65" ht="15.75" thickBot="1">
      <c r="A51" s="96"/>
      <c r="B51" s="97"/>
      <c r="C51" s="1408"/>
      <c r="D51" s="384">
        <f t="shared" si="1"/>
        <v>56.959990730530549</v>
      </c>
      <c r="E51" s="372">
        <v>28.19</v>
      </c>
      <c r="F51" s="1223">
        <f>F50 - E51 / 200</f>
        <v>0.35992068965517243</v>
      </c>
      <c r="G51" s="1223">
        <f>IF(F51^3&gt;0.008856,F51^3*$AR$39, (F51- 16 / 116 ) / 7.787*$AR$39)</f>
        <v>3.8475557303783536</v>
      </c>
      <c r="H51" s="1224">
        <f>G50</f>
        <v>12.565415505216301</v>
      </c>
      <c r="I51" s="1224">
        <v>5.1255531945618475</v>
      </c>
      <c r="J51" s="1224">
        <f>I50</f>
        <v>12.159219782354153</v>
      </c>
      <c r="K51" s="1224">
        <f>I51/$AR$43</f>
        <v>4.7073952725052097E-2</v>
      </c>
      <c r="L51" s="1224">
        <f t="shared" si="71"/>
        <v>0.36107178721143929</v>
      </c>
      <c r="M51" s="1224">
        <f t="shared" ref="M51" si="92" xml:space="preserve"> 200 * ( L50 - L51 )</f>
        <v>26.868509698183686</v>
      </c>
      <c r="N51" s="1223">
        <f xml:space="preserve"> I49/100 *  0.0557 + I50/100 * -0.204 + I51/100 *  1.057</f>
        <v>4.0859903417781333E-2</v>
      </c>
      <c r="O51" s="1226">
        <f t="shared" si="73"/>
        <v>56.959990730530549</v>
      </c>
      <c r="Q51" s="657">
        <v>423.8</v>
      </c>
      <c r="R51" s="723">
        <f t="shared" si="89"/>
        <v>45.346173212487408</v>
      </c>
      <c r="S51" s="406">
        <f t="shared" si="75"/>
        <v>0.17782813024504865</v>
      </c>
      <c r="T51" s="406">
        <f t="shared" si="4"/>
        <v>2.6612101923679408</v>
      </c>
      <c r="U51" s="406">
        <v>3.5588388344312767</v>
      </c>
      <c r="V51" s="406">
        <f>U51/$AR$43</f>
        <v>3.2684981442753017E-2</v>
      </c>
      <c r="W51" s="406">
        <f t="shared" si="76"/>
        <v>0.31972952875661947</v>
      </c>
      <c r="X51" s="406">
        <f xml:space="preserve"> 200 * ( W50 - W51 )</f>
        <v>29.291226586644736</v>
      </c>
      <c r="Y51" s="406"/>
      <c r="Z51" s="439">
        <f t="shared" si="6"/>
        <v>56.959990730530549</v>
      </c>
      <c r="AA51" s="916">
        <v>64.892456045909199</v>
      </c>
      <c r="AB51" s="917">
        <f t="shared" si="77"/>
        <v>0.25448021978787921</v>
      </c>
      <c r="AC51" s="917">
        <f t="shared" si="78"/>
        <v>5.2688162007459969</v>
      </c>
      <c r="AD51" s="917">
        <v>7.5924613480731367</v>
      </c>
      <c r="AE51" s="917">
        <f>AD51/$AR$43</f>
        <v>6.9730456986610734E-2</v>
      </c>
      <c r="AF51" s="917">
        <f t="shared" si="79"/>
        <v>0.41159886686052893</v>
      </c>
      <c r="AG51" s="917">
        <f xml:space="preserve"> 200 * ( AF50 - AF51 )</f>
        <v>42.417990374947287</v>
      </c>
      <c r="AH51" s="918"/>
      <c r="AP51" s="76"/>
    </row>
    <row r="52" spans="1:65">
      <c r="A52" s="92">
        <v>16</v>
      </c>
      <c r="B52" s="93" t="s">
        <v>125</v>
      </c>
      <c r="C52" s="1409"/>
      <c r="D52" s="382">
        <f t="shared" si="1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IF(F52^3&gt;0.008856,F52^3*$AR$37, (F52- 16 / 116 ) / 7.787*$AR$37)</f>
        <v>59.341454392690757</v>
      </c>
      <c r="H52" s="1216">
        <f>G52/SUM(G52:G54)</f>
        <v>0.46968411788557529</v>
      </c>
      <c r="I52" s="1216">
        <f t="array" ref="I52:I54">MMULT($AR$48:$AT$50,G52:G54)</f>
        <v>55.781875161413609</v>
      </c>
      <c r="J52" s="1216">
        <f>I52/SUM(I52:I54)</f>
        <v>0.45083813847108956</v>
      </c>
      <c r="K52" s="1216">
        <f>I52/$AR$41</f>
        <v>0.58688727851919165</v>
      </c>
      <c r="L52" s="1216">
        <f t="shared" si="71"/>
        <v>0.83724307724079261</v>
      </c>
      <c r="M52" s="1216">
        <f t="shared" ref="M52" si="93" xml:space="preserve"> 116 * L53  - 16</f>
        <v>81.222107529224289</v>
      </c>
      <c r="N52" s="1215">
        <f>I52/100*  3.2406 + I53/100 * -1.5372 + I54/100 * -0.4986</f>
        <v>0.85741975999435582</v>
      </c>
      <c r="O52" s="1218">
        <f t="shared" si="73"/>
        <v>238.29785697467756</v>
      </c>
      <c r="Q52" s="655">
        <v>3486</v>
      </c>
      <c r="R52" s="724">
        <f t="shared" si="85"/>
        <v>119.69864268016806</v>
      </c>
      <c r="S52" s="408">
        <f t="shared" si="75"/>
        <v>0.469406441883012</v>
      </c>
      <c r="T52" s="408">
        <f t="shared" si="4"/>
        <v>18.680880402775252</v>
      </c>
      <c r="U52" s="408">
        <f t="array" ref="U52:U54">MMULT($AR$25:$AT$27,T52:T54)</f>
        <v>12.211405205353824</v>
      </c>
      <c r="V52" s="408">
        <f>U52/$AR$41</f>
        <v>0.1284775448499566</v>
      </c>
      <c r="W52" s="408">
        <f t="shared" si="76"/>
        <v>0.50459438049604455</v>
      </c>
      <c r="X52" s="408">
        <f xml:space="preserve"> 116 * W53  - 16</f>
        <v>41.805471081064255</v>
      </c>
      <c r="Y52" s="408">
        <f>SQRT(( ( M52-X52 ) ^ 2 ) + ( ( M53 - X53 ) ^ 2 ) + ( (M54 - X54 ) ^ 2 ))</f>
        <v>60.422615916176625</v>
      </c>
      <c r="Z52" s="440">
        <f t="shared" si="6"/>
        <v>238.29785697467756</v>
      </c>
      <c r="AA52" s="919">
        <f t="array" ref="AA52:AA54">MMULT(AQ14:AS16,R52:R54)</f>
        <v>193.30642737916344</v>
      </c>
      <c r="AB52" s="920">
        <f t="shared" si="77"/>
        <v>0.75806442109475858</v>
      </c>
      <c r="AC52" s="920">
        <f t="shared" si="78"/>
        <v>53.517275277198941</v>
      </c>
      <c r="AD52" s="920">
        <f t="array" ref="AD52:AD54">MMULT($AR$25:$AT$27,AC52:AC54)</f>
        <v>35.882183577881491</v>
      </c>
      <c r="AE52" s="920">
        <f>AD52/$AR$41</f>
        <v>0.37752042229509075</v>
      </c>
      <c r="AF52" s="920">
        <f t="shared" si="79"/>
        <v>0.72273676928991115</v>
      </c>
      <c r="AG52" s="920">
        <f xml:space="preserve"> 116 * AF53  - 16</f>
        <v>67.742485113500635</v>
      </c>
      <c r="AH52" s="921">
        <f>SQRT(( ( M52-AG52 ) ^ 2 ) + ( ( M53 - AG53 ) ^ 2 ) + ( (M54 - AG54 ) ^ 2 ))</f>
        <v>29.07477529385045</v>
      </c>
      <c r="AP52" s="365" t="s">
        <v>159</v>
      </c>
      <c r="AQ52" s="308"/>
      <c r="AR52" s="308"/>
      <c r="AS52" s="308"/>
      <c r="AT52" s="308"/>
    </row>
    <row r="53" spans="1:65">
      <c r="A53" s="94"/>
      <c r="B53" s="95"/>
      <c r="C53" s="1409"/>
      <c r="D53" s="383">
        <f t="shared" si="1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IF(F53^3&gt;0.008856,F53^3*$AR$38, (F53- 16 / 116 ) / 7.787*$AR$38)</f>
        <v>59.806683849009602</v>
      </c>
      <c r="H53" s="1220">
        <f>G53/SUM(G52:G54)</f>
        <v>0.47336638164270384</v>
      </c>
      <c r="I53" s="1220">
        <v>58.873672283415338</v>
      </c>
      <c r="J53" s="1220">
        <f>I53/SUM(I52:I54)</f>
        <v>0.47582654294799287</v>
      </c>
      <c r="K53" s="1220">
        <f>I53/$AR$42</f>
        <v>0.58873672283415335</v>
      </c>
      <c r="L53" s="1220">
        <f t="shared" si="71"/>
        <v>0.83812161663124385</v>
      </c>
      <c r="M53" s="1220">
        <f t="shared" ref="M53" si="94" xml:space="preserve"> 500 * (L52 - L53 )</f>
        <v>-0.43926969522561921</v>
      </c>
      <c r="N53" s="1219">
        <f xml:space="preserve"> I52/100 * -0.9689 + I53/100*  1.8758 + I54/100 *  0.0415</f>
        <v>0.56764735240268382</v>
      </c>
      <c r="O53" s="1222">
        <f t="shared" si="73"/>
        <v>198.45859080039978</v>
      </c>
      <c r="Q53" s="656">
        <v>2777.2</v>
      </c>
      <c r="R53" s="724">
        <f t="shared" si="87"/>
        <v>95.360605407734568</v>
      </c>
      <c r="S53" s="408">
        <f t="shared" si="75"/>
        <v>0.37396315846170419</v>
      </c>
      <c r="T53" s="408">
        <f t="shared" si="4"/>
        <v>11.534587910797772</v>
      </c>
      <c r="U53" s="408">
        <v>12.374648356449564</v>
      </c>
      <c r="V53" s="408">
        <f>U53/$AR$42</f>
        <v>0.12374648356449564</v>
      </c>
      <c r="W53" s="408">
        <f t="shared" si="76"/>
        <v>0.49832302656089877</v>
      </c>
      <c r="X53" s="408">
        <f xml:space="preserve"> 500 * (W52 - W53 )</f>
        <v>3.1356769675728868</v>
      </c>
      <c r="Y53" s="408"/>
      <c r="Z53" s="440">
        <f t="shared" si="6"/>
        <v>198.45859080039978</v>
      </c>
      <c r="AA53" s="919">
        <v>162.16878163014886</v>
      </c>
      <c r="AB53" s="920">
        <f t="shared" si="77"/>
        <v>0.63595600639274064</v>
      </c>
      <c r="AC53" s="920">
        <f t="shared" si="78"/>
        <v>36.213879182680145</v>
      </c>
      <c r="AD53" s="920">
        <v>37.623878779418135</v>
      </c>
      <c r="AE53" s="920">
        <f>AD53/$AR$42</f>
        <v>0.37623878779418135</v>
      </c>
      <c r="AF53" s="920">
        <f t="shared" si="79"/>
        <v>0.72191797511638478</v>
      </c>
      <c r="AG53" s="920">
        <f xml:space="preserve"> 500 * (AF52 - AF53 )</f>
        <v>0.40939708676318576</v>
      </c>
      <c r="AH53" s="921"/>
      <c r="AP53" s="76"/>
    </row>
    <row r="54" spans="1:65" ht="15.75" thickBot="1">
      <c r="A54" s="96"/>
      <c r="B54" s="97"/>
      <c r="C54" s="1409"/>
      <c r="D54" s="384">
        <f t="shared" si="1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IF(F54^3&gt;0.008856,F54^3*$AR$39, (F54- 16 / 116 ) / 7.787*$AR$39)</f>
        <v>7.1951893969564678</v>
      </c>
      <c r="H54" s="1224">
        <f>G53</f>
        <v>59.806683849009602</v>
      </c>
      <c r="I54" s="1224">
        <v>9.0737256610014221</v>
      </c>
      <c r="J54" s="1224">
        <f>I53</f>
        <v>58.873672283415338</v>
      </c>
      <c r="K54" s="1224">
        <f>I54/$AR$43</f>
        <v>8.3334640494856158E-2</v>
      </c>
      <c r="L54" s="1224">
        <f t="shared" si="71"/>
        <v>0.43679251617774939</v>
      </c>
      <c r="M54" s="1224">
        <f t="shared" ref="M54" si="95" xml:space="preserve"> 200 * ( L53 - L54 )</f>
        <v>80.265820090698895</v>
      </c>
      <c r="N54" s="1223">
        <f xml:space="preserve"> I52/100 *  0.0557 + I53/100 * -0.204 + I54/100 *  1.057</f>
        <v>6.8774932435251152E-3</v>
      </c>
      <c r="O54" s="1226">
        <f t="shared" si="73"/>
        <v>19.759840938184311</v>
      </c>
      <c r="Q54" s="657">
        <v>1163.2</v>
      </c>
      <c r="R54" s="724">
        <f t="shared" si="89"/>
        <v>39.940751912097383</v>
      </c>
      <c r="S54" s="408">
        <f t="shared" si="75"/>
        <v>0.15663039965528386</v>
      </c>
      <c r="T54" s="408">
        <f t="shared" si="4"/>
        <v>2.1163204175649688</v>
      </c>
      <c r="U54" s="408">
        <v>3.7471528456087264</v>
      </c>
      <c r="V54" s="408">
        <f>U54/$AR$43</f>
        <v>3.4414489365729516E-2</v>
      </c>
      <c r="W54" s="408">
        <f t="shared" si="76"/>
        <v>0.32527232202046091</v>
      </c>
      <c r="X54" s="408">
        <f xml:space="preserve"> 200 * ( W53 - W54 )</f>
        <v>34.610140908087573</v>
      </c>
      <c r="Y54" s="408"/>
      <c r="Z54" s="440">
        <f t="shared" si="6"/>
        <v>19.759840938184311</v>
      </c>
      <c r="AA54" s="919">
        <v>61.642505860154309</v>
      </c>
      <c r="AB54" s="920">
        <f t="shared" si="77"/>
        <v>0.24173531709864435</v>
      </c>
      <c r="AC54" s="920">
        <f t="shared" si="78"/>
        <v>4.7629965790096884</v>
      </c>
      <c r="AD54" s="920">
        <v>9.8773975133427285</v>
      </c>
      <c r="AE54" s="920">
        <f>AD54/$AR$43</f>
        <v>9.071569954302075E-2</v>
      </c>
      <c r="AF54" s="920">
        <f t="shared" si="79"/>
        <v>0.44932524312675581</v>
      </c>
      <c r="AG54" s="920">
        <f xml:space="preserve"> 200 * ( AF53 - AF54 )</f>
        <v>54.518546397925796</v>
      </c>
      <c r="AH54" s="921"/>
      <c r="AP54" s="76"/>
    </row>
    <row r="55" spans="1:65">
      <c r="A55" s="92">
        <v>17</v>
      </c>
      <c r="B55" s="93" t="s">
        <v>126</v>
      </c>
      <c r="C55" s="1410"/>
      <c r="D55" s="382">
        <f t="shared" si="1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IF(F55^3&gt;0.008856,F55^3*$AR$37, (F55- 16 / 116 ) / 7.787*$AR$37)</f>
        <v>31.075907250316828</v>
      </c>
      <c r="H55" s="1216">
        <f>G55/SUM(G55:G57)</f>
        <v>0.41585711526606517</v>
      </c>
      <c r="I55" s="1216">
        <f t="array" ref="I55:I57">MMULT($AR$48:$AT$50,G55:G57)</f>
        <v>30.721068603919768</v>
      </c>
      <c r="J55" s="1216">
        <f>I55/SUM(I55:I57)</f>
        <v>0.37495281391466306</v>
      </c>
      <c r="K55" s="1216">
        <f>I55/$AR$41</f>
        <v>0.32321976079118508</v>
      </c>
      <c r="L55" s="1216">
        <f t="shared" si="71"/>
        <v>0.68627677464218007</v>
      </c>
      <c r="M55" s="1216">
        <f t="shared" ref="M55" si="96" xml:space="preserve"> 116 * L56  - 16</f>
        <v>51.726490324936563</v>
      </c>
      <c r="N55" s="1215">
        <f>I55/100*  3.2406 + I56/100 * -1.5372 + I57/100 * -0.4986</f>
        <v>0.53349890318021687</v>
      </c>
      <c r="O55" s="1218">
        <f t="shared" si="73"/>
        <v>193.03598609620454</v>
      </c>
      <c r="Q55" s="655">
        <v>1897</v>
      </c>
      <c r="R55" s="725">
        <f t="shared" si="85"/>
        <v>115.70393226176807</v>
      </c>
      <c r="S55" s="409">
        <f t="shared" si="75"/>
        <v>0.45374091083046303</v>
      </c>
      <c r="T55" s="409">
        <f t="shared" si="4"/>
        <v>17.369450868795859</v>
      </c>
      <c r="U55" s="409">
        <f t="array" ref="U55:U57">MMULT($AR$25:$AT$27,T55:T57)</f>
        <v>10.127766651023702</v>
      </c>
      <c r="V55" s="409">
        <f>U55/$AR$41</f>
        <v>0.10655535315184805</v>
      </c>
      <c r="W55" s="409">
        <f t="shared" si="76"/>
        <v>0.47408741222297146</v>
      </c>
      <c r="X55" s="409">
        <f xml:space="preserve"> 116 * W56  - 16</f>
        <v>31.599759266113729</v>
      </c>
      <c r="Y55" s="409">
        <f>SQRT(( ( M55-X55 ) ^ 2 ) + ( ( M56 - X56 ) ^ 2 ) + ( (M57 - X57 ) ^ 2 ))</f>
        <v>29.045624682969972</v>
      </c>
      <c r="Z55" s="441">
        <f t="shared" si="6"/>
        <v>193.03598609620454</v>
      </c>
      <c r="AA55" s="922">
        <f t="array" ref="AA55:AA57">MMULT(AQ14:AS16,R55:R57)</f>
        <v>166.04592394830891</v>
      </c>
      <c r="AB55" s="923">
        <f t="shared" si="77"/>
        <v>0.65116048607179966</v>
      </c>
      <c r="AC55" s="923">
        <f t="shared" si="78"/>
        <v>38.155951397804948</v>
      </c>
      <c r="AD55" s="923">
        <f t="array" ref="AD55:AD57">MMULT($AR$25:$AT$27,AC55:AC57)</f>
        <v>21.426546486392819</v>
      </c>
      <c r="AE55" s="923">
        <f>AD55/$AR$41</f>
        <v>0.22543106554013087</v>
      </c>
      <c r="AF55" s="923">
        <f t="shared" si="79"/>
        <v>0.60860837068743368</v>
      </c>
      <c r="AG55" s="923">
        <f xml:space="preserve"> 116 * AF56  - 16</f>
        <v>44.916022464858344</v>
      </c>
      <c r="AH55" s="924">
        <f>SQRT(( ( M55-AG55 ) ^ 2 ) + ( ( M56 - AG56 ) ^ 2 ) + ( (M57 - AG57 ) ^ 2 ))</f>
        <v>15.586987521434422</v>
      </c>
      <c r="AP55" s="76"/>
    </row>
    <row r="56" spans="1:65">
      <c r="A56" s="94"/>
      <c r="B56" s="95"/>
      <c r="C56" s="1410"/>
      <c r="D56" s="383">
        <f t="shared" si="1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IF(F56^3&gt;0.008856,F56^3*$AR$38, (F56- 16 / 116 ) / 7.787*$AR$38)</f>
        <v>20.08661574027834</v>
      </c>
      <c r="H56" s="1220">
        <f>G56/SUM(G55:G57)</f>
        <v>0.26879865517441731</v>
      </c>
      <c r="I56" s="1220">
        <v>19.902230133562615</v>
      </c>
      <c r="J56" s="1220">
        <f>I56/SUM(I55:I57)</f>
        <v>0.24290812562439182</v>
      </c>
      <c r="K56" s="1220">
        <f>I56/$AR$42</f>
        <v>0.19902230133562615</v>
      </c>
      <c r="L56" s="1220">
        <f t="shared" si="71"/>
        <v>0.58384905452531521</v>
      </c>
      <c r="M56" s="1220">
        <f t="shared" ref="M56" si="97" xml:space="preserve"> 500 * (L55 - L56 )</f>
        <v>51.213860058432424</v>
      </c>
      <c r="N56" s="1219">
        <f xml:space="preserve"> I55/100 * -0.9689 + I56/100*  1.8758 + I57/100 *  0.0415</f>
        <v>8.8663191243852579E-2</v>
      </c>
      <c r="O56" s="1222">
        <f t="shared" si="73"/>
        <v>84.003503526946432</v>
      </c>
      <c r="Q56" s="656">
        <v>867.4</v>
      </c>
      <c r="R56" s="725">
        <f t="shared" si="87"/>
        <v>52.905424799081516</v>
      </c>
      <c r="S56" s="409">
        <f t="shared" si="75"/>
        <v>0.20747225411404516</v>
      </c>
      <c r="T56" s="409">
        <f t="shared" si="4"/>
        <v>3.5480869914740483</v>
      </c>
      <c r="U56" s="409">
        <v>6.9093994521508897</v>
      </c>
      <c r="V56" s="409">
        <f>U56/$AR$42</f>
        <v>6.9093994521508897E-2</v>
      </c>
      <c r="W56" s="409">
        <f t="shared" si="76"/>
        <v>0.41034275229408385</v>
      </c>
      <c r="X56" s="409">
        <f xml:space="preserve"> 500 * (W55 - W56 )</f>
        <v>31.872329964443807</v>
      </c>
      <c r="Y56" s="409"/>
      <c r="Z56" s="441">
        <f t="shared" si="6"/>
        <v>84.003503526946432</v>
      </c>
      <c r="AA56" s="922">
        <v>75.605235066594432</v>
      </c>
      <c r="AB56" s="923">
        <f t="shared" si="77"/>
        <v>0.29649111790821348</v>
      </c>
      <c r="AC56" s="923">
        <f t="shared" si="78"/>
        <v>7.151358482261438</v>
      </c>
      <c r="AD56" s="923">
        <v>14.481736691004263</v>
      </c>
      <c r="AE56" s="923">
        <f>AD56/$AR$42</f>
        <v>0.14481736691004263</v>
      </c>
      <c r="AF56" s="923">
        <f t="shared" si="79"/>
        <v>0.52513812469705468</v>
      </c>
      <c r="AG56" s="923">
        <f xml:space="preserve"> 500 * (AF55 - AF56 )</f>
        <v>41.735122995189499</v>
      </c>
      <c r="AH56" s="924"/>
    </row>
    <row r="57" spans="1:65" ht="15.75" thickBot="1">
      <c r="A57" s="96"/>
      <c r="B57" s="97"/>
      <c r="C57" s="1410"/>
      <c r="D57" s="384">
        <f t="shared" si="1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IF(F57^3&gt;0.008856,F57^3*$AR$39, (F57- 16 / 116 ) / 7.787*$AR$39)</f>
        <v>23.564843957147154</v>
      </c>
      <c r="H57" s="1224">
        <f>G56</f>
        <v>20.08661574027834</v>
      </c>
      <c r="I57" s="1224">
        <v>31.309860486418504</v>
      </c>
      <c r="J57" s="1224">
        <f>I56</f>
        <v>19.902230133562615</v>
      </c>
      <c r="K57" s="1224">
        <f>I57/$AR$43</f>
        <v>0.28755508652791073</v>
      </c>
      <c r="L57" s="1224">
        <f t="shared" si="71"/>
        <v>0.66004521157065177</v>
      </c>
      <c r="M57" s="1224">
        <f t="shared" ref="M57" si="98" xml:space="preserve"> 200 * ( L56 - L57 )</f>
        <v>-15.239231409067312</v>
      </c>
      <c r="N57" s="1223">
        <f xml:space="preserve"> I55/100 *  0.0557 + I56/100 * -0.204 + I57/100 *  1.057</f>
        <v>0.30745631108135918</v>
      </c>
      <c r="O57" s="1226">
        <f t="shared" si="73"/>
        <v>150.55196979242695</v>
      </c>
      <c r="Q57" s="657">
        <v>1416.4</v>
      </c>
      <c r="R57" s="725">
        <f t="shared" si="89"/>
        <v>86.39064293915041</v>
      </c>
      <c r="S57" s="409">
        <f t="shared" si="75"/>
        <v>0.33878683505549179</v>
      </c>
      <c r="T57" s="409">
        <f t="shared" si="4"/>
        <v>9.3933598438864827</v>
      </c>
      <c r="U57" s="409">
        <v>9.6852711832606726</v>
      </c>
      <c r="V57" s="409">
        <f>U57/$AR$43</f>
        <v>8.8951178634503761E-2</v>
      </c>
      <c r="W57" s="409">
        <f t="shared" si="76"/>
        <v>0.44639285606730428</v>
      </c>
      <c r="X57" s="409">
        <f xml:space="preserve"> 200 * ( W56 - W57 )</f>
        <v>-7.210020754644086</v>
      </c>
      <c r="Y57" s="409"/>
      <c r="Z57" s="441">
        <f t="shared" si="6"/>
        <v>150.55196979242695</v>
      </c>
      <c r="AA57" s="922">
        <v>115.66296109665595</v>
      </c>
      <c r="AB57" s="923">
        <f t="shared" si="77"/>
        <v>0.45358023959472921</v>
      </c>
      <c r="AC57" s="923">
        <f t="shared" si="78"/>
        <v>17.356288235484634</v>
      </c>
      <c r="AD57" s="923">
        <v>18.08383993991054</v>
      </c>
      <c r="AE57" s="923">
        <f>AD57/$AR$43</f>
        <v>0.16608506323218997</v>
      </c>
      <c r="AF57" s="923">
        <f t="shared" si="79"/>
        <v>0.54968032468049255</v>
      </c>
      <c r="AG57" s="923">
        <f xml:space="preserve"> 200 * ( AF56 - AF57 )</f>
        <v>-4.9084399966875747</v>
      </c>
      <c r="AH57" s="924"/>
    </row>
    <row r="58" spans="1:65">
      <c r="A58" s="92">
        <v>18</v>
      </c>
      <c r="B58" s="93" t="s">
        <v>127</v>
      </c>
      <c r="C58" s="1397"/>
      <c r="D58" s="382">
        <f t="shared" si="1"/>
        <v>0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IF(F58^3&gt;0.008856,F58^3*$AR$37, (F58- 16 / 116 ) / 7.787*$AR$37)</f>
        <v>13.608750149830058</v>
      </c>
      <c r="H58" s="1216">
        <f>G58/SUM(G58:G60)</f>
        <v>0.21312678234962057</v>
      </c>
      <c r="I58" s="1216">
        <f t="array" ref="I58:I60">MMULT($AR$48:$AT$50,G58:G60)</f>
        <v>14.513962671267748</v>
      </c>
      <c r="J58" s="1216">
        <f>I58/SUM(I58:I60)</f>
        <v>0.19301690833904903</v>
      </c>
      <c r="K58" s="1216">
        <f>I58/$AR$41</f>
        <v>0.15270300663111669</v>
      </c>
      <c r="L58" s="1216">
        <f t="shared" si="71"/>
        <v>0.53450182948811376</v>
      </c>
      <c r="M58" s="1216">
        <f t="shared" ref="M58" si="99" xml:space="preserve"> 116 * L59  - 16</f>
        <v>51.562892750533919</v>
      </c>
      <c r="N58" s="1215">
        <f>I58/100*  3.2406 + I59/100 * -1.5372 + I60/100 * -0.4986</f>
        <v>-3.7427884985883397E-2</v>
      </c>
      <c r="O58" s="1218">
        <v>0</v>
      </c>
      <c r="Q58" s="655">
        <v>351</v>
      </c>
      <c r="R58" s="726">
        <f t="shared" si="85"/>
        <v>27.426916712630998</v>
      </c>
      <c r="S58" s="410">
        <f t="shared" si="75"/>
        <v>0.1075565361279647</v>
      </c>
      <c r="T58" s="410">
        <f t="shared" si="4"/>
        <v>1.1235819255833266</v>
      </c>
      <c r="U58" s="410">
        <f t="array" ref="U58:U60">MMULT($AR$25:$AT$27,T58:T60)</f>
        <v>8.9297481173084172</v>
      </c>
      <c r="V58" s="410">
        <f>U58/$AR$41</f>
        <v>9.3950867647673436E-2</v>
      </c>
      <c r="W58" s="410">
        <f t="shared" si="76"/>
        <v>0.45460436186739339</v>
      </c>
      <c r="X58" s="410">
        <f xml:space="preserve"> 116 * W59  - 16</f>
        <v>39.789968847951926</v>
      </c>
      <c r="Y58" s="410">
        <f>SQRT(( ( M58-X58 ) ^ 2 ) + ( ( M59 - X59 ) ^ 2 ) + ( (M60 - X60 ) ^ 2 ))</f>
        <v>17.686902657285046</v>
      </c>
      <c r="Z58" s="442">
        <f t="shared" si="6"/>
        <v>0</v>
      </c>
      <c r="AA58" s="925">
        <f t="array" ref="AA58:AA60">MMULT(AQ14:AS16,R58:R60)</f>
        <v>56.234550346034794</v>
      </c>
      <c r="AB58" s="926">
        <f t="shared" si="77"/>
        <v>0.22052764841582273</v>
      </c>
      <c r="AC58" s="926">
        <f t="shared" si="78"/>
        <v>3.9864887450270925</v>
      </c>
      <c r="AD58" s="926">
        <f t="array" ref="AD58:AD60">MMULT($AR$25:$AT$27,AC58:AC60)</f>
        <v>16.80979843488025</v>
      </c>
      <c r="AE58" s="926">
        <f>AD58/$AR$41</f>
        <v>0.17685774863888656</v>
      </c>
      <c r="AF58" s="926">
        <f t="shared" si="79"/>
        <v>0.56131678715554645</v>
      </c>
      <c r="AG58" s="926">
        <f xml:space="preserve"> 116 * AF59  - 16</f>
        <v>51.807653902328383</v>
      </c>
      <c r="AH58" s="927">
        <f>SQRT(( ( M58-AG58 ) ^ 2 ) + ( ( M59 - AG59 ) ^ 2 ) + ( (M60 - AG60 ) ^ 2 ))</f>
        <v>12.499684924387996</v>
      </c>
      <c r="BJ58"/>
      <c r="BL58" s="42"/>
      <c r="BM58" s="42"/>
    </row>
    <row r="59" spans="1:65">
      <c r="A59" s="94"/>
      <c r="B59" s="95"/>
      <c r="C59" s="1397"/>
      <c r="D59" s="383">
        <f t="shared" si="1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IF(F59^3&gt;0.008856,F59^3*$AR$38, (F59- 16 / 116 ) / 7.787*$AR$38)</f>
        <v>19.301416385132129</v>
      </c>
      <c r="H59" s="1220">
        <f>G59/SUM(G58:G60)</f>
        <v>0.30227968943972605</v>
      </c>
      <c r="I59" s="1220">
        <v>19.758352992191142</v>
      </c>
      <c r="J59" s="1220">
        <f>I59/SUM(I58:I60)</f>
        <v>0.2627605082638137</v>
      </c>
      <c r="K59" s="1220">
        <f>I59/$AR$42</f>
        <v>0.19758352992191142</v>
      </c>
      <c r="L59" s="1220">
        <f t="shared" si="71"/>
        <v>0.58243873060805107</v>
      </c>
      <c r="M59" s="1220">
        <f t="shared" ref="M59" si="100" xml:space="preserve"> 500 * (L58 - L59 )</f>
        <v>-23.968450559968659</v>
      </c>
      <c r="N59" s="1219">
        <f xml:space="preserve"> I58/100 * -0.9689 + I59/100*  1.8758 + I60/100 *  0.0415</f>
        <v>0.24698443604398265</v>
      </c>
      <c r="O59" s="1222">
        <f t="shared" si="73"/>
        <v>136.1986469903801</v>
      </c>
      <c r="Q59" s="656">
        <v>1297</v>
      </c>
      <c r="R59" s="726">
        <f t="shared" si="87"/>
        <v>101.34675491818348</v>
      </c>
      <c r="S59" s="410">
        <f t="shared" si="75"/>
        <v>0.39743825458111171</v>
      </c>
      <c r="T59" s="410">
        <f t="shared" si="4"/>
        <v>13.108000847338861</v>
      </c>
      <c r="U59" s="410">
        <v>11.12485576583329</v>
      </c>
      <c r="V59" s="410">
        <f>U59/$AR$42</f>
        <v>0.1112485576583329</v>
      </c>
      <c r="W59" s="410">
        <f t="shared" si="76"/>
        <v>0.48094800730993037</v>
      </c>
      <c r="X59" s="410">
        <f xml:space="preserve"> 500 * (W58 - W59 )</f>
        <v>-13.171822721268489</v>
      </c>
      <c r="Y59" s="410"/>
      <c r="Z59" s="442">
        <f t="shared" si="6"/>
        <v>136.1986469903801</v>
      </c>
      <c r="AA59" s="925">
        <v>131.34666932890605</v>
      </c>
      <c r="AB59" s="926">
        <f t="shared" si="77"/>
        <v>0.51508497776041584</v>
      </c>
      <c r="AC59" s="926">
        <f t="shared" si="78"/>
        <v>22.827015302262453</v>
      </c>
      <c r="AD59" s="926">
        <v>19.973868547885942</v>
      </c>
      <c r="AE59" s="926">
        <f>AD59/$AR$42</f>
        <v>0.19973868547885942</v>
      </c>
      <c r="AF59" s="926">
        <f t="shared" si="79"/>
        <v>0.58454874053731365</v>
      </c>
      <c r="AG59" s="926">
        <f xml:space="preserve"> 500 * (AF58 - AF59 )</f>
        <v>-11.615976690883601</v>
      </c>
      <c r="AH59" s="927"/>
    </row>
    <row r="60" spans="1:65" ht="15.75" thickBot="1">
      <c r="A60" s="96"/>
      <c r="B60" s="97"/>
      <c r="C60" s="1398"/>
      <c r="D60" s="384">
        <f t="shared" si="1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IF(F60^3&gt;0.008856,F60^3*$AR$39, (F60- 16 / 116 ) / 7.787*$AR$39)</f>
        <v>30.942672605197082</v>
      </c>
      <c r="H60" s="1224">
        <f>G59</f>
        <v>19.301416385132129</v>
      </c>
      <c r="I60" s="1224">
        <v>40.922975755119111</v>
      </c>
      <c r="J60" s="1224">
        <f>I59</f>
        <v>19.758352992191142</v>
      </c>
      <c r="K60" s="1224">
        <f>I60/$AR$43</f>
        <v>0.37584357296473381</v>
      </c>
      <c r="L60" s="1224">
        <f t="shared" si="71"/>
        <v>0.72166511030647063</v>
      </c>
      <c r="M60" s="1224">
        <f t="shared" ref="M60" si="101" xml:space="preserve"> 200 * ( L59 - L60 )</f>
        <v>-27.845275939683912</v>
      </c>
      <c r="N60" s="1223">
        <f xml:space="preserve"> I58/100 *  0.0557 + I59/100 * -0.204 + I60/100 *  1.057</f>
        <v>0.40033309083543522</v>
      </c>
      <c r="O60" s="1226">
        <f t="shared" si="73"/>
        <v>169.68590110948557</v>
      </c>
      <c r="Q60" s="657">
        <v>1615.4</v>
      </c>
      <c r="R60" s="727">
        <f t="shared" si="89"/>
        <v>126.22632836918551</v>
      </c>
      <c r="S60" s="410">
        <f t="shared" si="75"/>
        <v>0.49500520929092356</v>
      </c>
      <c r="T60" s="410">
        <f t="shared" si="4"/>
        <v>20.944713484664355</v>
      </c>
      <c r="U60" s="410">
        <v>21.487939155388872</v>
      </c>
      <c r="V60" s="410">
        <f>U60/$AR$43</f>
        <v>0.19734888968331946</v>
      </c>
      <c r="W60" s="410">
        <f t="shared" si="76"/>
        <v>0.58220808099074572</v>
      </c>
      <c r="X60" s="410">
        <f xml:space="preserve"> 200 * ( W59 - W60 )</f>
        <v>-20.252014736163069</v>
      </c>
      <c r="Y60" s="410"/>
      <c r="Z60" s="443">
        <f t="shared" si="6"/>
        <v>169.68590110948557</v>
      </c>
      <c r="AA60" s="925">
        <v>167.32967213765855</v>
      </c>
      <c r="AB60" s="926">
        <f t="shared" si="77"/>
        <v>0.65619479269670022</v>
      </c>
      <c r="AC60" s="926">
        <f t="shared" si="78"/>
        <v>38.812056983955827</v>
      </c>
      <c r="AD60" s="926">
        <v>39.681128863941602</v>
      </c>
      <c r="AE60" s="926">
        <f>AD60/$AR$43</f>
        <v>0.36443823979814666</v>
      </c>
      <c r="AF60" s="926">
        <f t="shared" si="79"/>
        <v>0.71429012616468135</v>
      </c>
      <c r="AG60" s="926">
        <f xml:space="preserve"> 200 * ( AF59 - AF60 )</f>
        <v>-25.948277125473538</v>
      </c>
      <c r="AH60" s="927"/>
    </row>
    <row r="61" spans="1:65" ht="15.75" customHeight="1" thickBot="1">
      <c r="A61" s="1390" t="s">
        <v>128</v>
      </c>
      <c r="B61" s="1391"/>
      <c r="C61" s="1391"/>
      <c r="D61" s="1391"/>
      <c r="E61" s="1391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Q61" s="658"/>
      <c r="R61" s="419"/>
      <c r="S61" s="330"/>
      <c r="T61" s="330"/>
      <c r="U61" s="330"/>
      <c r="V61" s="330"/>
      <c r="W61" s="330"/>
      <c r="X61" s="330"/>
      <c r="Y61" s="330"/>
      <c r="Z61" s="419"/>
      <c r="AA61" s="184"/>
      <c r="AB61" s="330"/>
      <c r="AC61" s="330"/>
      <c r="AD61" s="330"/>
      <c r="AE61" s="330"/>
      <c r="AF61" s="330"/>
      <c r="AG61" s="330"/>
      <c r="AH61" s="381"/>
    </row>
    <row r="62" spans="1:65">
      <c r="A62" s="92">
        <v>19</v>
      </c>
      <c r="B62" s="93" t="s">
        <v>129</v>
      </c>
      <c r="C62" s="1399"/>
      <c r="D62" s="382">
        <f t="shared" si="1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IF(F62^3&gt;0.008856,F62^3*$AR$37, (F62- 16 / 116 ) / 7.787*$AR$37)</f>
        <v>87.815122906722792</v>
      </c>
      <c r="H62" s="1216">
        <f>G62/SUM(G62:G64)</f>
        <v>0.34694698652697464</v>
      </c>
      <c r="I62" s="1216">
        <f t="array" ref="I62:I64">MMULT($AR$48:$AT$50,G62:G64)</f>
        <v>86.483089485732179</v>
      </c>
      <c r="J62" s="1216">
        <f>I62/SUM(I62:I64)</f>
        <v>0.31406139191257065</v>
      </c>
      <c r="K62" s="1216">
        <f>I62/$AR$41</f>
        <v>0.90989815023864173</v>
      </c>
      <c r="L62" s="1217">
        <f t="shared" ref="L62:L79" si="102">IF(K62&gt;0.008856,K62^(1/3),7.787*K62+16/116)</f>
        <v>0.96901595398130502</v>
      </c>
      <c r="M62" s="1217">
        <f t="shared" ref="M62" si="103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ref="O62:O79" si="104">IF(N62&gt; 0.0031308,(1.055 * (N62^ ( 1 / 2.4 ) ) - 0.055)*255, 12.92 * N62*255)</f>
        <v>244.94459763984261</v>
      </c>
      <c r="Q62" s="1328">
        <v>4208.3999000000003</v>
      </c>
      <c r="R62" s="728">
        <f t="shared" ref="R62" si="105">Q62/SUM(Q62:Q64)*255</f>
        <v>76.220718363145579</v>
      </c>
      <c r="S62" s="411">
        <f t="shared" ref="S62:S79" si="106">R62/255</f>
        <v>0.29890477789468856</v>
      </c>
      <c r="T62" s="411">
        <f>IF(S62&gt;0.04045,(((S62+0.055)/1.055 )^2.4)*100, S62/12.92*100)</f>
        <v>7.2697841957417131</v>
      </c>
      <c r="U62" s="411">
        <f t="array" ref="U62:U64">MMULT($AR$25:$AT$27,T62:T64)</f>
        <v>8.5068006417328697</v>
      </c>
      <c r="V62" s="411">
        <f>U62/$AR$41</f>
        <v>8.9500990475584394E-2</v>
      </c>
      <c r="W62" s="411">
        <f t="shared" ref="W62:W79" si="107">IF(V62&gt;0.008856,V62^(1/3),7.787*V62+16/116)</f>
        <v>0.44731069337611012</v>
      </c>
      <c r="X62" s="411">
        <f xml:space="preserve"> 116 * W63  - 16</f>
        <v>37.450830058765902</v>
      </c>
      <c r="Y62" s="411">
        <f>SQRT(( ( M62-X62 ) ^ 2 ) + ( ( M63 - X63 ) ^ 2 ) + ( (M64 - X64 ) ^ 2 ))</f>
        <v>59.410061656493639</v>
      </c>
      <c r="Z62" s="444">
        <f t="shared" si="6"/>
        <v>244.94459763984261</v>
      </c>
      <c r="AA62" s="928">
        <f t="array" ref="AA62:AA64">MMULT($AQ$14:$AS$16,R62:R64)</f>
        <v>125.31061007167095</v>
      </c>
      <c r="AB62" s="929">
        <f t="shared" ref="AB62:AB79" si="108">AA62/255</f>
        <v>0.49141415714380765</v>
      </c>
      <c r="AC62" s="929">
        <f t="shared" ref="AC62:AC79" si="109">IF(AB62&gt;0.04045,(((AB62+0.055)/1.055 )^2.4)*100, AB62/12.92*100)</f>
        <v>20.618010675745122</v>
      </c>
      <c r="AD62" s="929">
        <f t="array" ref="AD62:AD64">MMULT($AR$25:$AT$27,AC62:AC64)</f>
        <v>20.381248337589522</v>
      </c>
      <c r="AE62" s="929">
        <f>AD62/$AR$41</f>
        <v>0.21443336809777819</v>
      </c>
      <c r="AF62" s="929">
        <f t="shared" ref="AF62:AF79" si="110">IF(AE62&gt;0.008856,AE62^(1/3),7.787*AE62+16/116)</f>
        <v>0.59854589371036504</v>
      </c>
      <c r="AG62" s="929">
        <f xml:space="preserve"> 116 * AF63  - 16</f>
        <v>54.845452526423855</v>
      </c>
      <c r="AH62" s="930">
        <f>SQRT(( ( M62-AG62 ) ^ 2 ) + ( ( M63 - AG63 ) ^ 2 ) + ( (M64 - AG64 ) ^ 2 ))</f>
        <v>42.429013509329494</v>
      </c>
    </row>
    <row r="63" spans="1:65">
      <c r="A63" s="94"/>
      <c r="B63" s="95"/>
      <c r="C63" s="1400"/>
      <c r="D63" s="383">
        <f t="shared" si="1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IF(F63^3&gt;0.008856,F63^3*$AR$38, (F63- 16 / 116 ) / 7.787*$AR$38)</f>
        <v>91.313541686750369</v>
      </c>
      <c r="H63" s="1220">
        <f>G63/SUM(G62:G64)</f>
        <v>0.36076881827034307</v>
      </c>
      <c r="I63" s="1220">
        <v>91.291238095968254</v>
      </c>
      <c r="J63" s="1220">
        <f>I63/SUM(I62:I64)</f>
        <v>0.33152207531359967</v>
      </c>
      <c r="K63" s="1220">
        <f>I63/$AR$42</f>
        <v>0.91291238095968252</v>
      </c>
      <c r="L63" s="1221">
        <f t="shared" si="102"/>
        <v>0.97008479825486504</v>
      </c>
      <c r="M63" s="1221">
        <f t="shared" ref="M63" si="111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104"/>
        <v>245.22561578043522</v>
      </c>
      <c r="Q63" s="1329">
        <v>5044</v>
      </c>
      <c r="R63" s="729">
        <f t="shared" ref="R63" si="112">Q63/SUM(Q62:Q64)*255</f>
        <v>91.354745879474578</v>
      </c>
      <c r="S63" s="411">
        <f t="shared" si="106"/>
        <v>0.35825390540970425</v>
      </c>
      <c r="T63" s="411">
        <f t="shared" si="4"/>
        <v>10.546656865581991</v>
      </c>
      <c r="U63" s="411">
        <v>9.7833906247675486</v>
      </c>
      <c r="V63" s="411">
        <f>U63/$AR$42</f>
        <v>9.7833906247675489E-2</v>
      </c>
      <c r="W63" s="411">
        <f t="shared" si="107"/>
        <v>0.46078301774798192</v>
      </c>
      <c r="X63" s="411">
        <f xml:space="preserve"> 500 * (W62 - W63 )</f>
        <v>-6.7361621859358953</v>
      </c>
      <c r="Y63" s="411"/>
      <c r="Z63" s="445">
        <f t="shared" si="6"/>
        <v>245.22561578043522</v>
      </c>
      <c r="AA63" s="928">
        <v>134.02445885506089</v>
      </c>
      <c r="AB63" s="929">
        <f t="shared" si="108"/>
        <v>0.52558611315710146</v>
      </c>
      <c r="AC63" s="929">
        <f t="shared" si="109"/>
        <v>23.849212442709735</v>
      </c>
      <c r="AD63" s="929">
        <v>22.780432671622716</v>
      </c>
      <c r="AE63" s="929">
        <f>AD63/$AR$42</f>
        <v>0.22780432671622716</v>
      </c>
      <c r="AF63" s="929">
        <f t="shared" si="110"/>
        <v>0.61073665971055047</v>
      </c>
      <c r="AG63" s="929">
        <f xml:space="preserve"> 500 * (AF62 - AF63 )</f>
        <v>-6.0953830000927134</v>
      </c>
      <c r="AH63" s="930"/>
    </row>
    <row r="64" spans="1:65" ht="15.75" thickBot="1">
      <c r="A64" s="96"/>
      <c r="B64" s="97"/>
      <c r="C64" s="1400"/>
      <c r="D64" s="384">
        <f t="shared" si="1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IF(F64^3&gt;0.008856,F64^3*$AR$39, (F64- 16 / 116 ) / 7.787*$AR$39)</f>
        <v>73.979522872784855</v>
      </c>
      <c r="H64" s="1224">
        <f>G63</f>
        <v>91.313541686750369</v>
      </c>
      <c r="I64" s="1224">
        <v>97.595685138002494</v>
      </c>
      <c r="J64" s="1224">
        <f>I63</f>
        <v>91.291238095968254</v>
      </c>
      <c r="K64" s="1224">
        <f>I64/$AR$43</f>
        <v>0.8963353796093283</v>
      </c>
      <c r="L64" s="1225">
        <f t="shared" si="102"/>
        <v>0.96417717527417512</v>
      </c>
      <c r="M64" s="1225">
        <f t="shared" ref="M64" si="113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104"/>
        <v>242.67159053813759</v>
      </c>
      <c r="Q64" s="1330">
        <v>4827</v>
      </c>
      <c r="R64" s="729">
        <f t="shared" ref="R64" si="114">Q64/SUM(Q62:Q64)*255</f>
        <v>87.424535757379829</v>
      </c>
      <c r="S64" s="411">
        <f t="shared" si="106"/>
        <v>0.34284131669560719</v>
      </c>
      <c r="T64" s="411">
        <f t="shared" si="4"/>
        <v>9.6271517480973436</v>
      </c>
      <c r="U64" s="411">
        <v>10.546352183323572</v>
      </c>
      <c r="V64" s="411">
        <f>U64/$AR$43</f>
        <v>9.6859493064331184E-2</v>
      </c>
      <c r="W64" s="411">
        <f t="shared" si="107"/>
        <v>0.45924813069484044</v>
      </c>
      <c r="X64" s="411">
        <f xml:space="preserve"> 200 * ( W63 - W64 )</f>
        <v>0.3069774106282952</v>
      </c>
      <c r="Y64" s="411"/>
      <c r="Z64" s="445">
        <f t="shared" si="6"/>
        <v>242.67159053813759</v>
      </c>
      <c r="AA64" s="928">
        <v>119.34388091750911</v>
      </c>
      <c r="AB64" s="929">
        <f t="shared" si="108"/>
        <v>0.46801521928434947</v>
      </c>
      <c r="AC64" s="929">
        <f t="shared" si="109"/>
        <v>18.562158674191906</v>
      </c>
      <c r="AD64" s="929">
        <v>20.880957379010379</v>
      </c>
      <c r="AE64" s="929">
        <f>AD64/$AR$43</f>
        <v>0.19177426576242737</v>
      </c>
      <c r="AF64" s="929">
        <f t="shared" si="110"/>
        <v>0.57667365258170045</v>
      </c>
      <c r="AG64" s="929">
        <f xml:space="preserve"> 200 * ( AF63 - AF64 )</f>
        <v>6.812601425770004</v>
      </c>
      <c r="AH64" s="930"/>
    </row>
    <row r="65" spans="1:34">
      <c r="A65" s="92">
        <v>20</v>
      </c>
      <c r="B65" s="93" t="s">
        <v>130</v>
      </c>
      <c r="C65" s="1401"/>
      <c r="D65" s="382">
        <f t="shared" si="1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IF(F65^3&gt;0.008856,F65^3*$AR$37, (F65- 16 / 116 ) / 7.787*$AR$37)</f>
        <v>56.569247128485323</v>
      </c>
      <c r="H65" s="1216">
        <f>G65/SUM(G65:G67)</f>
        <v>0.34402428912881217</v>
      </c>
      <c r="I65" s="1216">
        <f t="array" ref="I65:I67">MMULT($AR$48:$AT$50,G65:G67)</f>
        <v>55.788819575678076</v>
      </c>
      <c r="J65" s="1216">
        <f>I65/SUM(I65:I67)</f>
        <v>0.31115296554234889</v>
      </c>
      <c r="K65" s="1216">
        <f>I65/$AR$41</f>
        <v>0.58696034146977893</v>
      </c>
      <c r="L65" s="1217">
        <f t="shared" si="102"/>
        <v>0.8372778192395478</v>
      </c>
      <c r="M65" s="1217">
        <f t="shared" ref="M65" si="115" xml:space="preserve"> 116 * L66  - 16</f>
        <v>81.264407867823977</v>
      </c>
      <c r="N65" s="1215">
        <f>I65/100*  3.2406 + I66/100 * -1.5372 + I67/100 * -0.4986</f>
        <v>0.57981984786745056</v>
      </c>
      <c r="O65" s="1218">
        <f t="shared" si="104"/>
        <v>200.34536911982687</v>
      </c>
      <c r="Q65" s="1328">
        <v>2945.2</v>
      </c>
      <c r="R65" s="730">
        <f t="shared" ref="R65:R77" si="116">Q65/SUM(Q65:Q67)*255</f>
        <v>74.406157620609505</v>
      </c>
      <c r="S65" s="412">
        <f t="shared" si="106"/>
        <v>0.29178885341415495</v>
      </c>
      <c r="T65" s="412">
        <f t="shared" si="4"/>
        <v>6.9238939668349415</v>
      </c>
      <c r="U65" s="412">
        <f t="array" ref="U65:U67">MMULT($AR$25:$AT$27,T65:T67)</f>
        <v>8.4448804240558974</v>
      </c>
      <c r="V65" s="412">
        <f>U65/$AR$41</f>
        <v>8.8849521016506547E-2</v>
      </c>
      <c r="W65" s="412">
        <f t="shared" si="107"/>
        <v>0.44622273828172393</v>
      </c>
      <c r="X65" s="412">
        <f xml:space="preserve"> 116 * W66  - 16</f>
        <v>37.405563787124002</v>
      </c>
      <c r="Y65" s="412">
        <f>SQRT(( ( M65-X65 ) ^ 2 ) + ( ( M66 - X66 ) ^ 2 ) + ( (M67 - X67 ) ^ 2 ))</f>
        <v>44.337950020893878</v>
      </c>
      <c r="Z65" s="446">
        <f t="shared" si="6"/>
        <v>200.34536911982687</v>
      </c>
      <c r="AA65" s="452">
        <f t="array" ref="AA65:AA67">MMULT($AQ$14:$AS$16,R65:R67)</f>
        <v>122.61590233776715</v>
      </c>
      <c r="AB65" s="453">
        <f t="shared" si="108"/>
        <v>0.48084667583438101</v>
      </c>
      <c r="AC65" s="453">
        <f t="shared" si="109"/>
        <v>19.67394237411871</v>
      </c>
      <c r="AD65" s="453">
        <f t="array" ref="AD65:AD67">MMULT($AR$25:$AT$27,AC65:AC67)</f>
        <v>20.035296011720394</v>
      </c>
      <c r="AE65" s="453">
        <f>AD65/$AR$41</f>
        <v>0.21079356541206345</v>
      </c>
      <c r="AF65" s="453">
        <f t="shared" si="110"/>
        <v>0.59513996698897764</v>
      </c>
      <c r="AG65" s="453">
        <f xml:space="preserve"> 116 * AF66  - 16</f>
        <v>54.51600317020889</v>
      </c>
      <c r="AH65" s="454">
        <f>SQRT(( ( M65-AG65 ) ^ 2 ) + ( ( M66 - AG66 ) ^ 2 ) + ( (M67 - AG67 ) ^ 2 ))</f>
        <v>27.899167586276839</v>
      </c>
    </row>
    <row r="66" spans="1:34">
      <c r="A66" s="94"/>
      <c r="B66" s="95"/>
      <c r="C66" s="1401"/>
      <c r="D66" s="383">
        <f t="shared" si="1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IF(F66^3&gt;0.008856,F66^3*$AR$38, (F66- 16 / 116 ) / 7.787*$AR$38)</f>
        <v>58.937083331214446</v>
      </c>
      <c r="H66" s="1220">
        <f>G66/SUM(G65:G67)</f>
        <v>0.35842421855631845</v>
      </c>
      <c r="I66" s="1220">
        <v>58.950551710216978</v>
      </c>
      <c r="J66" s="1220">
        <f>I66/SUM(I65:I67)</f>
        <v>0.32878700650960413</v>
      </c>
      <c r="K66" s="1220">
        <f>I66/$AR$42</f>
        <v>0.58950551710216981</v>
      </c>
      <c r="L66" s="1221">
        <f t="shared" si="102"/>
        <v>0.83848627472262049</v>
      </c>
      <c r="M66" s="1221">
        <f t="shared" ref="M66" si="117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104"/>
        <v>202.21765470389457</v>
      </c>
      <c r="Q66" s="1329">
        <v>3620.8</v>
      </c>
      <c r="R66" s="730">
        <f t="shared" ref="R66:R78" si="118">Q66/SUM(Q65:Q67)*255</f>
        <v>91.474200567942063</v>
      </c>
      <c r="S66" s="412">
        <f t="shared" si="106"/>
        <v>0.35872235516840023</v>
      </c>
      <c r="T66" s="412">
        <f t="shared" si="4"/>
        <v>10.575372382401879</v>
      </c>
      <c r="U66" s="412">
        <v>9.7585556870998218</v>
      </c>
      <c r="V66" s="412">
        <f>U66/$AR$42</f>
        <v>9.7585556870998222E-2</v>
      </c>
      <c r="W66" s="412">
        <f t="shared" si="107"/>
        <v>0.46039279126831034</v>
      </c>
      <c r="X66" s="412">
        <f xml:space="preserve"> 500 * (W65 - W66 )</f>
        <v>-7.0850264932932063</v>
      </c>
      <c r="Y66" s="412"/>
      <c r="Z66" s="446">
        <f t="shared" si="6"/>
        <v>202.21765470389457</v>
      </c>
      <c r="AA66" s="452">
        <v>133.42179075453686</v>
      </c>
      <c r="AB66" s="453">
        <f t="shared" si="108"/>
        <v>0.52322270884132105</v>
      </c>
      <c r="AC66" s="453">
        <f t="shared" si="109"/>
        <v>23.616875619173257</v>
      </c>
      <c r="AD66" s="453">
        <v>22.464103850592782</v>
      </c>
      <c r="AE66" s="453">
        <f>AD66/$AR$42</f>
        <v>0.22464103850592781</v>
      </c>
      <c r="AF66" s="453">
        <f t="shared" si="110"/>
        <v>0.6078965790535249</v>
      </c>
      <c r="AG66" s="453">
        <f xml:space="preserve"> 500 * (AF65 - AF66 )</f>
        <v>-6.3783060322736285</v>
      </c>
      <c r="AH66" s="454"/>
    </row>
    <row r="67" spans="1:34" ht="15.75" thickBot="1">
      <c r="A67" s="96"/>
      <c r="B67" s="97"/>
      <c r="C67" s="1401"/>
      <c r="D67" s="384">
        <f t="shared" si="1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IF(F67^3&gt;0.008856,F67^3*$AR$39, (F67- 16 / 116 ) / 7.787*$AR$39)</f>
        <v>48.92754504292278</v>
      </c>
      <c r="H67" s="1224">
        <f>G66</f>
        <v>58.937083331214446</v>
      </c>
      <c r="I67" s="1224">
        <v>64.557713279686695</v>
      </c>
      <c r="J67" s="1224">
        <f>I66</f>
        <v>58.950551710216978</v>
      </c>
      <c r="K67" s="1224">
        <f>I67/$AR$43</f>
        <v>0.59290902417904257</v>
      </c>
      <c r="L67" s="1225">
        <f t="shared" si="102"/>
        <v>0.84009684454997624</v>
      </c>
      <c r="M67" s="1225">
        <f t="shared" ref="M67" si="119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104"/>
        <v>202.39139072207513</v>
      </c>
      <c r="Q67" s="1330">
        <v>3527.6001000000001</v>
      </c>
      <c r="R67" s="730">
        <f t="shared" ref="R67:R79" si="120">Q67/SUM(Q65:Q67)*255</f>
        <v>89.119641811448432</v>
      </c>
      <c r="S67" s="412">
        <f t="shared" si="106"/>
        <v>0.34948879141744482</v>
      </c>
      <c r="T67" s="412">
        <f t="shared" si="4"/>
        <v>10.017738175082599</v>
      </c>
      <c r="U67" s="412">
        <v>10.914263319076147</v>
      </c>
      <c r="V67" s="412">
        <f>U67/$AR$43</f>
        <v>0.10023845154042547</v>
      </c>
      <c r="W67" s="412">
        <f t="shared" si="107"/>
        <v>0.46452752184410767</v>
      </c>
      <c r="X67" s="412">
        <f xml:space="preserve"> 200 * ( W66 - W67 )</f>
        <v>-0.82694611515946592</v>
      </c>
      <c r="Y67" s="412"/>
      <c r="Z67" s="446">
        <f t="shared" si="6"/>
        <v>202.39139072207513</v>
      </c>
      <c r="AA67" s="452">
        <v>121.42025373593916</v>
      </c>
      <c r="AB67" s="453">
        <f t="shared" si="108"/>
        <v>0.47615785778799669</v>
      </c>
      <c r="AC67" s="453">
        <f t="shared" si="109"/>
        <v>19.263303294464183</v>
      </c>
      <c r="AD67" s="453">
        <v>21.501312773540295</v>
      </c>
      <c r="AE67" s="453">
        <f>AD67/$AR$43</f>
        <v>0.19747171526813456</v>
      </c>
      <c r="AF67" s="453">
        <f t="shared" si="110"/>
        <v>0.58232884041981203</v>
      </c>
      <c r="AG67" s="453">
        <f xml:space="preserve"> 200 * ( AF66 - AF67 )</f>
        <v>5.1135477267425733</v>
      </c>
      <c r="AH67" s="454"/>
    </row>
    <row r="68" spans="1:34">
      <c r="A68" s="92">
        <v>21</v>
      </c>
      <c r="B68" s="93" t="s">
        <v>131</v>
      </c>
      <c r="C68" s="1379"/>
      <c r="D68" s="382">
        <f t="shared" si="1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IF(F68^3&gt;0.008856,F68^3*$AR$37, (F68- 16 / 116 ) / 7.787*$AR$37)</f>
        <v>34.807647454138859</v>
      </c>
      <c r="H68" s="1216">
        <f>G68/SUM(G68:G70)</f>
        <v>0.34319113984126032</v>
      </c>
      <c r="I68" s="1216">
        <f t="array" ref="I68:I70">MMULT($AR$48:$AT$50,G68:G70)</f>
        <v>34.337921099816981</v>
      </c>
      <c r="J68" s="1216">
        <f>I68/SUM(I68:I70)</f>
        <v>0.31034444818578666</v>
      </c>
      <c r="K68" s="1216">
        <f>I68/$AR$41</f>
        <v>0.36127306595491687</v>
      </c>
      <c r="L68" s="1217">
        <f t="shared" si="102"/>
        <v>0.71221622249017846</v>
      </c>
      <c r="M68" s="1217">
        <f t="shared" ref="M68" si="121" xml:space="preserve"> 116 * L69  - 16</f>
        <v>66.775721536939102</v>
      </c>
      <c r="N68" s="1215">
        <f>I68/100*  3.2406 + I69/100 * -1.5372 + I70/100 * -0.4986</f>
        <v>0.35490601129233601</v>
      </c>
      <c r="O68" s="1218">
        <f t="shared" si="104"/>
        <v>160.69389383573181</v>
      </c>
      <c r="Q68" s="1328">
        <v>1724.2</v>
      </c>
      <c r="R68" s="731">
        <f t="shared" si="116"/>
        <v>73.378784338596091</v>
      </c>
      <c r="S68" s="413">
        <f t="shared" si="106"/>
        <v>0.28775993858272975</v>
      </c>
      <c r="T68" s="413">
        <f t="shared" si="4"/>
        <v>6.7324049726416426</v>
      </c>
      <c r="U68" s="413">
        <f t="array" ref="U68:U70">MMULT($AR$25:$AT$27,T68:T70)</f>
        <v>8.3954844884075257</v>
      </c>
      <c r="V68" s="413">
        <f>U68/$AR$41</f>
        <v>8.8329820913942855E-2</v>
      </c>
      <c r="W68" s="413">
        <f t="shared" si="107"/>
        <v>0.4453510186086227</v>
      </c>
      <c r="X68" s="413">
        <f xml:space="preserve"> 116 * W69  - 16</f>
        <v>37.271565300893492</v>
      </c>
      <c r="Y68" s="413">
        <f>SQRT(( ( M68-X68 ) ^ 2 ) + ( ( M69 - X69 ) ^ 2 ) + ( (M70 - X70 ) ^ 2 ))</f>
        <v>30.192524722459623</v>
      </c>
      <c r="Z68" s="447">
        <f t="shared" si="6"/>
        <v>160.69389383573181</v>
      </c>
      <c r="AA68" s="931">
        <f t="array" ref="AA68:AA70">MMULT($AQ$14:$AS$16,R68:R70)</f>
        <v>120.89510727371965</v>
      </c>
      <c r="AB68" s="932">
        <f t="shared" si="108"/>
        <v>0.47409845989693977</v>
      </c>
      <c r="AC68" s="932">
        <f t="shared" si="109"/>
        <v>19.084539741499899</v>
      </c>
      <c r="AD68" s="932">
        <f t="array" ref="AD68:AD70">MMULT($AR$25:$AT$27,AC68:AC70)</f>
        <v>19.74004298368472</v>
      </c>
      <c r="AE68" s="932">
        <f>AD68/$AR$41</f>
        <v>0.20768717564662453</v>
      </c>
      <c r="AF68" s="932">
        <f t="shared" si="110"/>
        <v>0.59220203230317026</v>
      </c>
      <c r="AG68" s="932">
        <f xml:space="preserve"> 116 * AF69  - 16</f>
        <v>54.1040342429406</v>
      </c>
      <c r="AH68" s="933">
        <f>SQRT(( ( M68-AG68 ) ^ 2 ) + ( ( M69 - AG69 ) ^ 2 ) + ( (M70 - AG70 ) ^ 2 ))</f>
        <v>14.352421642679856</v>
      </c>
    </row>
    <row r="69" spans="1:34">
      <c r="A69" s="94"/>
      <c r="B69" s="95"/>
      <c r="C69" s="1379"/>
      <c r="D69" s="383">
        <f t="shared" si="1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IF(F69^3&gt;0.008856,F69^3*$AR$38, (F69- 16 / 116 ) / 7.787*$AR$38)</f>
        <v>36.323018537500005</v>
      </c>
      <c r="H69" s="1220">
        <f>G69/SUM(G68:G70)</f>
        <v>0.35813216480039922</v>
      </c>
      <c r="I69" s="1220">
        <v>36.335819338953193</v>
      </c>
      <c r="J69" s="1220">
        <f>I69/SUM(I68:I70)</f>
        <v>0.32840135456499631</v>
      </c>
      <c r="K69" s="1220">
        <f>I69/$AR$42</f>
        <v>0.36335819338953196</v>
      </c>
      <c r="L69" s="1221">
        <f t="shared" si="102"/>
        <v>0.71358380635292329</v>
      </c>
      <c r="M69" s="1221">
        <f t="shared" ref="M69" si="122" xml:space="preserve"> 500 * (L68 - L69 )</f>
        <v>-0.68379193137241279</v>
      </c>
      <c r="N69" s="1219">
        <f xml:space="preserve"> I68/100 * -0.9689 + I69/100*  1.8758 + I70/100 *  0.0415</f>
        <v>0.36547506663615681</v>
      </c>
      <c r="O69" s="1222">
        <f t="shared" si="104"/>
        <v>162.84331466380013</v>
      </c>
      <c r="Q69" s="1329">
        <v>2141.8000000000002</v>
      </c>
      <c r="R69" s="731">
        <f t="shared" si="118"/>
        <v>91.151073133282154</v>
      </c>
      <c r="S69" s="413">
        <f t="shared" si="106"/>
        <v>0.35745518875796922</v>
      </c>
      <c r="T69" s="413">
        <f t="shared" si="4"/>
        <v>10.497801303261923</v>
      </c>
      <c r="U69" s="413">
        <v>9.6852850352784863</v>
      </c>
      <c r="V69" s="413">
        <f>U69/$AR$42</f>
        <v>9.6852850352784861E-2</v>
      </c>
      <c r="W69" s="413">
        <f t="shared" si="107"/>
        <v>0.45923763190425426</v>
      </c>
      <c r="X69" s="413">
        <f xml:space="preserve"> 500 * (W68 - W69 )</f>
        <v>-6.943306647815783</v>
      </c>
      <c r="Y69" s="413"/>
      <c r="Z69" s="447">
        <f t="shared" si="6"/>
        <v>162.84331466380013</v>
      </c>
      <c r="AA69" s="931">
        <v>132.30087425186736</v>
      </c>
      <c r="AB69" s="932">
        <f t="shared" si="108"/>
        <v>0.51882695785046018</v>
      </c>
      <c r="AC69" s="932">
        <f t="shared" si="109"/>
        <v>23.188271144192264</v>
      </c>
      <c r="AD69" s="932">
        <v>22.072679880862022</v>
      </c>
      <c r="AE69" s="932">
        <f>AD69/$AR$42</f>
        <v>0.22072679880862023</v>
      </c>
      <c r="AF69" s="932">
        <f t="shared" si="110"/>
        <v>0.60434512278397068</v>
      </c>
      <c r="AG69" s="932">
        <f xml:space="preserve"> 500 * (AF68 - AF69 )</f>
        <v>-6.0715452404002113</v>
      </c>
      <c r="AH69" s="933"/>
    </row>
    <row r="70" spans="1:34" ht="15.75" thickBot="1">
      <c r="A70" s="96"/>
      <c r="B70" s="97"/>
      <c r="C70" s="1379"/>
      <c r="D70" s="384">
        <f t="shared" ref="D70:D79" si="123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IF(F70^3&gt;0.008856,F70^3*$AR$39, (F70- 16 / 116 ) / 7.787*$AR$39)</f>
        <v>30.292836579665259</v>
      </c>
      <c r="H70" s="1224">
        <f>G69</f>
        <v>36.323018537500005</v>
      </c>
      <c r="I70" s="1224">
        <v>39.970807258312185</v>
      </c>
      <c r="J70" s="1224">
        <f>I69</f>
        <v>36.335819338953193</v>
      </c>
      <c r="K70" s="1224">
        <f>I70/$AR$43</f>
        <v>0.36709869546496871</v>
      </c>
      <c r="L70" s="1225">
        <f t="shared" si="102"/>
        <v>0.71602405656155932</v>
      </c>
      <c r="M70" s="1225">
        <f t="shared" ref="M70" si="124" xml:space="preserve"> 200 * ( L69 - L70 )</f>
        <v>-0.48805004172720601</v>
      </c>
      <c r="N70" s="1223">
        <f xml:space="preserve"> I68/100 *  0.0557 + I69/100 * -0.204 + I70/100 *  1.057</f>
        <v>0.36749258332149332</v>
      </c>
      <c r="O70" s="1226">
        <f t="shared" si="104"/>
        <v>163.24947770284862</v>
      </c>
      <c r="Q70" s="1330">
        <v>2125.8000000000002</v>
      </c>
      <c r="R70" s="731">
        <f t="shared" si="120"/>
        <v>90.470142528121784</v>
      </c>
      <c r="S70" s="413">
        <f t="shared" si="106"/>
        <v>0.35478487265930109</v>
      </c>
      <c r="T70" s="413">
        <f t="shared" ref="T70:T79" si="125">IF(S70&gt;0.04045,(((S70+0.055)/1.055 )^2.4)*100, S70/12.92*100)</f>
        <v>10.335424296248512</v>
      </c>
      <c r="U70" s="413">
        <v>11.203213661403526</v>
      </c>
      <c r="V70" s="413">
        <f>U70/$AR$43</f>
        <v>0.10289222065339425</v>
      </c>
      <c r="W70" s="413">
        <f t="shared" si="107"/>
        <v>0.46859125580085054</v>
      </c>
      <c r="X70" s="413">
        <f xml:space="preserve"> 200 * ( W69 - W70 )</f>
        <v>-1.870724779319255</v>
      </c>
      <c r="Y70" s="413"/>
      <c r="Z70" s="447">
        <f t="shared" ref="Z70:Z79" si="126">O70</f>
        <v>163.24947770284862</v>
      </c>
      <c r="AA70" s="931">
        <v>123.04819438333948</v>
      </c>
      <c r="AB70" s="932">
        <f t="shared" si="108"/>
        <v>0.48254193875819401</v>
      </c>
      <c r="AC70" s="932">
        <f t="shared" si="109"/>
        <v>19.8236556412383</v>
      </c>
      <c r="AD70" s="932">
        <v>21.971336229983635</v>
      </c>
      <c r="AE70" s="932">
        <f>AD70/$AR$43</f>
        <v>0.20178849067332491</v>
      </c>
      <c r="AF70" s="932">
        <f t="shared" si="110"/>
        <v>0.5865415699819061</v>
      </c>
      <c r="AG70" s="932">
        <f xml:space="preserve"> 200 * ( AF69 - AF70 )</f>
        <v>3.5607105604129163</v>
      </c>
      <c r="AH70" s="933"/>
    </row>
    <row r="71" spans="1:34">
      <c r="A71" s="92">
        <v>22</v>
      </c>
      <c r="B71" s="93" t="s">
        <v>132</v>
      </c>
      <c r="C71" s="1380"/>
      <c r="D71" s="382">
        <f t="shared" si="123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IF(F71^3&gt;0.008856,F71^3*$AR$37, (F71- 16 / 116 ) / 7.787*$AR$37)</f>
        <v>18.43936121807641</v>
      </c>
      <c r="H71" s="1216">
        <f>G71/SUM(G71:G73)</f>
        <v>0.34459067138088834</v>
      </c>
      <c r="I71" s="1216">
        <f t="array" ref="I71:I73">MMULT($AR$48:$AT$50,G71:G73)</f>
        <v>18.184329325516259</v>
      </c>
      <c r="J71" s="1216">
        <f>I71/SUM(I71:I73)</f>
        <v>0.31167001185498577</v>
      </c>
      <c r="K71" s="1216">
        <f>I71/$AR$41</f>
        <v>0.19131934017397981</v>
      </c>
      <c r="L71" s="1217">
        <f t="shared" si="102"/>
        <v>0.57621729778570396</v>
      </c>
      <c r="M71" s="1217">
        <f t="shared" ref="M71" si="127" xml:space="preserve"> 116 * L72  - 16</f>
        <v>50.870690052543708</v>
      </c>
      <c r="N71" s="1215">
        <f>I71/100*  3.2406 + I72/100 * -1.5372 + I73/100 * -0.4986</f>
        <v>0.19007386551273386</v>
      </c>
      <c r="O71" s="1218">
        <f t="shared" si="104"/>
        <v>120.66757106732852</v>
      </c>
      <c r="Q71" s="1328">
        <v>927.6</v>
      </c>
      <c r="R71" s="732">
        <f t="shared" si="116"/>
        <v>73.752182589174367</v>
      </c>
      <c r="S71" s="414">
        <f t="shared" si="106"/>
        <v>0.28922424544774261</v>
      </c>
      <c r="T71" s="414">
        <f t="shared" si="125"/>
        <v>6.8016392337245488</v>
      </c>
      <c r="U71" s="414">
        <f t="array" ref="U71:U73">MMULT($AR$25:$AT$27,T71:T73)</f>
        <v>8.3782925600169182</v>
      </c>
      <c r="V71" s="414">
        <f>U71/$AR$41</f>
        <v>8.8148942733772953E-2</v>
      </c>
      <c r="W71" s="414">
        <f t="shared" si="107"/>
        <v>0.44504682036300952</v>
      </c>
      <c r="X71" s="414">
        <f xml:space="preserve"> 116 * W72  - 16</f>
        <v>37.088794726565048</v>
      </c>
      <c r="Y71" s="414">
        <f>SQRT(( ( M71-X71 ) ^ 2 ) + ( ( M72 - X72 ) ^ 2 ) + ( (M73 - X73 ) ^ 2 ))</f>
        <v>15.246255514277227</v>
      </c>
      <c r="Z71" s="448">
        <f t="shared" si="126"/>
        <v>120.66757106732852</v>
      </c>
      <c r="AA71" s="934">
        <f t="array" ref="AA71:AA73">MMULT($AQ$14:$AS$16,R71:R73)</f>
        <v>121.11136030260349</v>
      </c>
      <c r="AB71" s="935">
        <f t="shared" si="108"/>
        <v>0.47494651099060192</v>
      </c>
      <c r="AC71" s="935">
        <f t="shared" si="109"/>
        <v>19.15803605440005</v>
      </c>
      <c r="AD71" s="935">
        <f t="array" ref="AD71:AD73">MMULT($AR$25:$AT$27,AC71:AC73)</f>
        <v>19.626755327928304</v>
      </c>
      <c r="AE71" s="935">
        <f>AD71/$AR$41</f>
        <v>0.20649526368984086</v>
      </c>
      <c r="AF71" s="935">
        <f t="shared" si="110"/>
        <v>0.59106698020146764</v>
      </c>
      <c r="AG71" s="935">
        <f xml:space="preserve"> 116 * AF72  - 16</f>
        <v>53.777061783286968</v>
      </c>
      <c r="AH71" s="936">
        <f>SQRT(( ( M71-AG71 ) ^ 2 ) + ( ( M72 - AG72 ) ^ 2 ) + ( (M73 - AG73 ) ^ 2 ))</f>
        <v>6.6629483233465683</v>
      </c>
    </row>
    <row r="72" spans="1:34">
      <c r="A72" s="94"/>
      <c r="B72" s="95"/>
      <c r="C72" s="1380"/>
      <c r="D72" s="383">
        <f t="shared" si="123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IF(F72^3&gt;0.008856,F72^3*$AR$38, (F72- 16 / 116 ) / 7.787*$AR$38)</f>
        <v>19.154091120507889</v>
      </c>
      <c r="H72" s="1220">
        <f>G72/SUM(G71:G73)</f>
        <v>0.35794738444822705</v>
      </c>
      <c r="I72" s="1220">
        <v>19.157262348610743</v>
      </c>
      <c r="J72" s="1220">
        <f>I72/SUM(I71:I73)</f>
        <v>0.32834558131997932</v>
      </c>
      <c r="K72" s="1220">
        <f>I72/$AR$42</f>
        <v>0.19157262348610743</v>
      </c>
      <c r="L72" s="1221">
        <f t="shared" si="102"/>
        <v>0.57647146597020438</v>
      </c>
      <c r="M72" s="1221">
        <f t="shared" ref="M72" si="128" xml:space="preserve"> 500 * (L71 - L72 )</f>
        <v>-0.127084092250207</v>
      </c>
      <c r="N72" s="1219">
        <f xml:space="preserve"> I71/100 * -0.9689 + I72/100*  1.8758 + I73/100 *  0.0415</f>
        <v>0.1918802981706797</v>
      </c>
      <c r="O72" s="1222">
        <f t="shared" si="104"/>
        <v>121.19947386215865</v>
      </c>
      <c r="Q72" s="1329">
        <v>1137.5999999999999</v>
      </c>
      <c r="R72" s="732">
        <f t="shared" si="118"/>
        <v>90.448989773010723</v>
      </c>
      <c r="S72" s="414">
        <f t="shared" si="106"/>
        <v>0.35470192067847345</v>
      </c>
      <c r="T72" s="414">
        <f t="shared" si="125"/>
        <v>10.330403774546442</v>
      </c>
      <c r="U72" s="414">
        <v>9.5859383006245835</v>
      </c>
      <c r="V72" s="414">
        <f>U72/$AR$42</f>
        <v>9.585938300624583E-2</v>
      </c>
      <c r="W72" s="414">
        <f t="shared" si="107"/>
        <v>0.45766202350487112</v>
      </c>
      <c r="X72" s="414">
        <f xml:space="preserve"> 500 * (W71 - W72 )</f>
        <v>-6.3076015709307987</v>
      </c>
      <c r="Y72" s="414"/>
      <c r="Z72" s="448">
        <f t="shared" si="126"/>
        <v>121.19947386215865</v>
      </c>
      <c r="AA72" s="934">
        <v>131.07305084441583</v>
      </c>
      <c r="AB72" s="935">
        <f t="shared" si="108"/>
        <v>0.51401196409574834</v>
      </c>
      <c r="AC72" s="935">
        <f t="shared" si="109"/>
        <v>22.724035134835809</v>
      </c>
      <c r="AD72" s="935">
        <v>21.765270359982022</v>
      </c>
      <c r="AE72" s="935">
        <f>AD72/$AR$42</f>
        <v>0.21765270359982022</v>
      </c>
      <c r="AF72" s="935">
        <f t="shared" si="110"/>
        <v>0.60152639468350833</v>
      </c>
      <c r="AG72" s="935">
        <f xml:space="preserve"> 500 * (AF71 - AF72 )</f>
        <v>-5.2297072410203427</v>
      </c>
      <c r="AH72" s="936"/>
    </row>
    <row r="73" spans="1:34" ht="15.75" thickBot="1">
      <c r="A73" s="96"/>
      <c r="B73" s="97"/>
      <c r="C73" s="1380"/>
      <c r="D73" s="384">
        <f t="shared" si="123"/>
        <v>121.54290035174313</v>
      </c>
      <c r="E73" s="372">
        <v>-0.27</v>
      </c>
      <c r="F73" s="1223">
        <f>F72 - E73 / 200</f>
        <v>0.57778965517241365</v>
      </c>
      <c r="G73" s="1223">
        <f>IF(F73^3&gt;0.008856,F73^3*$AR$39, (F73- 16 / 116 ) / 7.787*$AR$39)</f>
        <v>15.917460026465561</v>
      </c>
      <c r="H73" s="1224">
        <f>G72</f>
        <v>19.154091120507889</v>
      </c>
      <c r="I73" s="1224">
        <v>21.003223784015592</v>
      </c>
      <c r="J73" s="1224">
        <f>I72</f>
        <v>19.157262348610743</v>
      </c>
      <c r="K73" s="1224">
        <f>I73/$AR$43</f>
        <v>0.19289718123137306</v>
      </c>
      <c r="L73" s="1225">
        <f t="shared" si="102"/>
        <v>0.57779701491624003</v>
      </c>
      <c r="M73" s="1225">
        <f t="shared" ref="M73" si="129" xml:space="preserve"> 200 * ( L72 - L73 )</f>
        <v>-0.26510978920712969</v>
      </c>
      <c r="N73" s="1223">
        <f xml:space="preserve"> I71/100 *  0.0557 + I72/100 * -0.204 + I73/100 *  1.057</f>
        <v>0.19305193164019147</v>
      </c>
      <c r="O73" s="1226">
        <f t="shared" si="104"/>
        <v>121.54290035174313</v>
      </c>
      <c r="Q73" s="1330">
        <v>1142</v>
      </c>
      <c r="R73" s="732">
        <f t="shared" si="120"/>
        <v>90.798827637814924</v>
      </c>
      <c r="S73" s="414">
        <f t="shared" si="106"/>
        <v>0.356073833873784</v>
      </c>
      <c r="T73" s="414">
        <f t="shared" si="125"/>
        <v>10.4136193111107</v>
      </c>
      <c r="U73" s="414">
        <v>11.258908826664321</v>
      </c>
      <c r="V73" s="414">
        <f>U73/$AR$43</f>
        <v>0.10340373452847847</v>
      </c>
      <c r="W73" s="414">
        <f t="shared" si="107"/>
        <v>0.4693664839137241</v>
      </c>
      <c r="X73" s="414">
        <f xml:space="preserve"> 200 * ( W72 - W73 )</f>
        <v>-2.3408920817705958</v>
      </c>
      <c r="Y73" s="414"/>
      <c r="Z73" s="448">
        <f t="shared" si="126"/>
        <v>121.54290035174313</v>
      </c>
      <c r="AA73" s="934">
        <v>123.40517868025586</v>
      </c>
      <c r="AB73" s="935">
        <f t="shared" si="108"/>
        <v>0.48394187717747394</v>
      </c>
      <c r="AC73" s="935">
        <f t="shared" si="109"/>
        <v>19.9477873839013</v>
      </c>
      <c r="AD73" s="935">
        <v>22.035386885913194</v>
      </c>
      <c r="AE73" s="935">
        <f>AD73/$AR$43</f>
        <v>0.20237674279651732</v>
      </c>
      <c r="AF73" s="935">
        <f t="shared" si="110"/>
        <v>0.58711097739176299</v>
      </c>
      <c r="AG73" s="935">
        <f xml:space="preserve"> 200 * ( AF72 - AF73 )</f>
        <v>2.8830834583490672</v>
      </c>
      <c r="AH73" s="936"/>
    </row>
    <row r="74" spans="1:34">
      <c r="A74" s="92">
        <v>23</v>
      </c>
      <c r="B74" s="93" t="s">
        <v>133</v>
      </c>
      <c r="C74" s="1381"/>
      <c r="D74" s="382">
        <f t="shared" si="123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IF(F74^3&gt;0.008856,F74^3*$AR$37, (F74- 16 / 116 ) / 7.787*$AR$37)</f>
        <v>8.4663972666156759</v>
      </c>
      <c r="H74" s="1216">
        <f>G74/SUM(G74:G76)</f>
        <v>0.34014730083358202</v>
      </c>
      <c r="I74" s="1216">
        <f t="array" ref="I74:I76">MMULT($AR$48:$AT$50,G74:G76)</f>
        <v>8.3664692366306088</v>
      </c>
      <c r="J74" s="1216">
        <f>I74/SUM(I74:I76)</f>
        <v>0.30728973096477313</v>
      </c>
      <c r="K74" s="1216">
        <f>I74/$AR$41</f>
        <v>8.8024548240666287E-2</v>
      </c>
      <c r="L74" s="1217">
        <f t="shared" si="102"/>
        <v>0.44483737396442985</v>
      </c>
      <c r="M74" s="1217">
        <f t="shared" ref="M74" si="130" xml:space="preserve"> 116 * L75  - 16</f>
        <v>35.671205048177505</v>
      </c>
      <c r="N74" s="1215">
        <f>I74/100*  3.2406 + I75/100 * -1.5372 + I76/100 * -0.4986</f>
        <v>8.5291721079064992E-2</v>
      </c>
      <c r="O74" s="1218">
        <f t="shared" si="104"/>
        <v>82.432760070363386</v>
      </c>
      <c r="Q74" s="1328">
        <v>424</v>
      </c>
      <c r="R74" s="733">
        <f t="shared" si="116"/>
        <v>71.735668789808912</v>
      </c>
      <c r="S74" s="415">
        <f t="shared" si="106"/>
        <v>0.28131634819532908</v>
      </c>
      <c r="T74" s="415">
        <f t="shared" si="125"/>
        <v>6.4326399819894382</v>
      </c>
      <c r="U74" s="415">
        <f t="array" ref="U74:U76">MMULT($AR$25:$AT$27,T74:T76)</f>
        <v>8.2962487725642475</v>
      </c>
      <c r="V74" s="415">
        <f>U74/$AR$41</f>
        <v>8.728575097124841E-2</v>
      </c>
      <c r="W74" s="415">
        <f t="shared" si="107"/>
        <v>0.44358935697251828</v>
      </c>
      <c r="X74" s="415">
        <f xml:space="preserve"> 116 * W75  - 16</f>
        <v>36.88472738451167</v>
      </c>
      <c r="Y74" s="415">
        <f>SQRT(( ( M74-X74 ) ^ 2 ) + ( ( M75 - X75 ) ^ 2 ) + ( (M76 - X76 ) ^ 2 ))</f>
        <v>6.6782998844132804</v>
      </c>
      <c r="Z74" s="449">
        <f t="shared" si="126"/>
        <v>82.432760070363386</v>
      </c>
      <c r="AA74" s="937">
        <f t="array" ref="AA74:AA76">MMULT($AQ$14:$AS$16,R74:R76)</f>
        <v>117.83026920954103</v>
      </c>
      <c r="AB74" s="938">
        <f t="shared" si="108"/>
        <v>0.46207948709623931</v>
      </c>
      <c r="AC74" s="938">
        <f t="shared" si="109"/>
        <v>18.060577759391812</v>
      </c>
      <c r="AD74" s="938">
        <f t="array" ref="AD74:AD76">MMULT($AR$25:$AT$27,AC74:AC76)</f>
        <v>19.121969408314701</v>
      </c>
      <c r="AE74" s="938">
        <f>AD74/$AR$41</f>
        <v>0.20118435519600517</v>
      </c>
      <c r="AF74" s="938">
        <f t="shared" si="110"/>
        <v>0.58595563502574999</v>
      </c>
      <c r="AG74" s="938">
        <f xml:space="preserve"> 116 * AF75  - 16</f>
        <v>53.085166343522488</v>
      </c>
      <c r="AH74" s="939">
        <f>SQRT(( ( M74-AG74 ) ^ 2 ) + ( ( M75 - AG75 ) ^ 2 ) + ( (M76 - AG76 ) ^ 2 ))</f>
        <v>18.035425344663853</v>
      </c>
    </row>
    <row r="75" spans="1:34">
      <c r="A75" s="94"/>
      <c r="B75" s="95"/>
      <c r="C75" s="1381"/>
      <c r="D75" s="383">
        <f t="shared" si="123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IF(F75^3&gt;0.008856,F75^3*$AR$38, (F75- 16 / 116 ) / 7.787*$AR$38)</f>
        <v>8.830562171241132</v>
      </c>
      <c r="H75" s="1220">
        <f>G75/SUM(G74:G76)</f>
        <v>0.35477804700174326</v>
      </c>
      <c r="I75" s="1220">
        <v>8.8383623483462674</v>
      </c>
      <c r="J75" s="1220">
        <f>I75/SUM(I74:I76)</f>
        <v>0.32462176234407364</v>
      </c>
      <c r="K75" s="1220">
        <f>I75/$AR$42</f>
        <v>8.8383623483462681E-2</v>
      </c>
      <c r="L75" s="1221">
        <f t="shared" si="102"/>
        <v>0.44544142282911642</v>
      </c>
      <c r="M75" s="1221">
        <f t="shared" ref="M75" si="131" xml:space="preserve"> 500 * (L74 - L75 )</f>
        <v>-0.30202443234328413</v>
      </c>
      <c r="N75" s="1219">
        <f xml:space="preserve"> I74/100 * -0.9689 + I75/100*  1.8758 + I76/100 *  0.0415</f>
        <v>8.8886334170558357E-2</v>
      </c>
      <c r="O75" s="1222">
        <f t="shared" si="104"/>
        <v>84.106225276765315</v>
      </c>
      <c r="Q75" s="1329">
        <v>532</v>
      </c>
      <c r="R75" s="733">
        <f t="shared" si="118"/>
        <v>90.007961783439484</v>
      </c>
      <c r="S75" s="415">
        <f t="shared" si="106"/>
        <v>0.35297239915074308</v>
      </c>
      <c r="T75" s="415">
        <f t="shared" si="125"/>
        <v>10.226051480749787</v>
      </c>
      <c r="U75" s="415">
        <v>9.4758208678815432</v>
      </c>
      <c r="V75" s="415">
        <f>U75/$AR$42</f>
        <v>9.4758208678815431E-2</v>
      </c>
      <c r="W75" s="415">
        <f t="shared" si="107"/>
        <v>0.45590282228027301</v>
      </c>
      <c r="X75" s="415">
        <f xml:space="preserve"> 500 * (W74 - W75 )</f>
        <v>-6.1567326538773672</v>
      </c>
      <c r="Y75" s="415"/>
      <c r="Z75" s="449">
        <f t="shared" si="126"/>
        <v>84.106225276765315</v>
      </c>
      <c r="AA75" s="937">
        <v>129.25843329912252</v>
      </c>
      <c r="AB75" s="938">
        <f t="shared" si="108"/>
        <v>0.50689581685930396</v>
      </c>
      <c r="AC75" s="938">
        <f t="shared" si="109"/>
        <v>22.047939792820721</v>
      </c>
      <c r="AD75" s="938">
        <v>21.124208975910342</v>
      </c>
      <c r="AE75" s="938">
        <f>AD75/$AR$42</f>
        <v>0.21124208975910341</v>
      </c>
      <c r="AF75" s="938">
        <f t="shared" si="110"/>
        <v>0.59556177882346972</v>
      </c>
      <c r="AG75" s="938">
        <f xml:space="preserve"> 500 * (AF74 - AF75 )</f>
        <v>-4.8030718988598675</v>
      </c>
      <c r="AH75" s="939"/>
    </row>
    <row r="76" spans="1:34" ht="15.75" thickBot="1">
      <c r="A76" s="96"/>
      <c r="B76" s="97"/>
      <c r="C76" s="1381"/>
      <c r="D76" s="384">
        <f t="shared" si="123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IF(F76^3&gt;0.008856,F76^3*$AR$39, (F76- 16 / 116 ) / 7.787*$AR$39)</f>
        <v>7.5934255390855299</v>
      </c>
      <c r="H76" s="1224">
        <f>G75</f>
        <v>8.830562171241132</v>
      </c>
      <c r="I76" s="1224">
        <v>10.02181608191089</v>
      </c>
      <c r="J76" s="1224">
        <f>I75</f>
        <v>8.8383623483462674</v>
      </c>
      <c r="K76" s="1224">
        <f>I76/$AR$43</f>
        <v>9.2042064251636066E-2</v>
      </c>
      <c r="L76" s="1225">
        <f t="shared" si="102"/>
        <v>0.45150453490012216</v>
      </c>
      <c r="M76" s="1225">
        <f t="shared" ref="M76" si="132" xml:space="preserve"> 200 * ( L75 - L76 )</f>
        <v>-1.2126224142011477</v>
      </c>
      <c r="N76" s="1223">
        <f xml:space="preserve"> I74/100 *  0.0557 + I75/100 * -0.204 + I76/100 *  1.057</f>
        <v>9.2560460159974961E-2</v>
      </c>
      <c r="O76" s="1226">
        <f t="shared" si="104"/>
        <v>85.776392403274841</v>
      </c>
      <c r="Q76" s="1330">
        <v>551.20000000000005</v>
      </c>
      <c r="R76" s="733">
        <f t="shared" si="120"/>
        <v>93.256369426751604</v>
      </c>
      <c r="S76" s="415">
        <f t="shared" si="106"/>
        <v>0.36571125265392784</v>
      </c>
      <c r="T76" s="415">
        <f t="shared" si="125"/>
        <v>11.009206158426526</v>
      </c>
      <c r="U76" s="415">
        <v>11.805325296339293</v>
      </c>
      <c r="V76" s="415">
        <f>U76/$AR$43</f>
        <v>0.10842211636655211</v>
      </c>
      <c r="W76" s="415">
        <f t="shared" si="107"/>
        <v>0.47683994232330307</v>
      </c>
      <c r="X76" s="415">
        <f xml:space="preserve"> 200 * ( W75 - W76 )</f>
        <v>-4.187424008606011</v>
      </c>
      <c r="Y76" s="415"/>
      <c r="Z76" s="449">
        <f t="shared" si="126"/>
        <v>85.776392403274841</v>
      </c>
      <c r="AA76" s="937">
        <v>126.37683229893261</v>
      </c>
      <c r="AB76" s="938">
        <f t="shared" si="108"/>
        <v>0.49559542078012792</v>
      </c>
      <c r="AC76" s="938">
        <f t="shared" si="109"/>
        <v>20.998695945156886</v>
      </c>
      <c r="AD76" s="938">
        <v>22.932266295464157</v>
      </c>
      <c r="AE76" s="938">
        <f>AD76/$AR$43</f>
        <v>0.21061383591069457</v>
      </c>
      <c r="AF76" s="938">
        <f t="shared" si="110"/>
        <v>0.59497077361392114</v>
      </c>
      <c r="AG76" s="938">
        <f xml:space="preserve"> 200 * ( AF75 - AF76 )</f>
        <v>0.1182010419097157</v>
      </c>
      <c r="AH76" s="939"/>
    </row>
    <row r="77" spans="1:34">
      <c r="A77" s="92">
        <v>24</v>
      </c>
      <c r="B77" s="93" t="s">
        <v>134</v>
      </c>
      <c r="C77" s="1382"/>
      <c r="D77" s="382">
        <f t="shared" si="123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IF(F77^3&gt;0.008856,F77^3*$AR$37, (F77- 16 / 116 ) / 7.787*$AR$37)</f>
        <v>2.9897357488456109</v>
      </c>
      <c r="H77" s="1216">
        <f>G77/SUM(G77:G79)</f>
        <v>0.34057446099560401</v>
      </c>
      <c r="I77" s="1216">
        <f t="array" ref="I77:I79">MMULT($AR$48:$AT$50,G77:G79)</f>
        <v>2.9548703214714056</v>
      </c>
      <c r="J77" s="1216">
        <f>I77/SUM(I77:I79)</f>
        <v>0.30764660220912321</v>
      </c>
      <c r="K77" s="1216">
        <f>I77/$AR$41</f>
        <v>3.1088517485784988E-2</v>
      </c>
      <c r="L77" s="1217">
        <f t="shared" si="102"/>
        <v>0.31443677800446584</v>
      </c>
      <c r="M77" s="1217">
        <f t="shared" ref="M77" si="133" xml:space="preserve"> 116 * L78  - 16</f>
        <v>20.471432931123296</v>
      </c>
      <c r="N77" s="1215">
        <f>I77/100*  3.2406 + I78/100 * -1.5372 + I79/100 * -0.4986</f>
        <v>3.0319253007234818E-2</v>
      </c>
      <c r="O77" s="1218">
        <f t="shared" si="104"/>
        <v>48.661691226720095</v>
      </c>
      <c r="Q77" s="1328">
        <v>203</v>
      </c>
      <c r="R77" s="734">
        <f t="shared" si="116"/>
        <v>73.949999999999989</v>
      </c>
      <c r="S77" s="416">
        <f t="shared" si="106"/>
        <v>0.28999999999999998</v>
      </c>
      <c r="T77" s="416">
        <f t="shared" si="125"/>
        <v>6.8384854158166224</v>
      </c>
      <c r="U77" s="416">
        <f t="array" ref="U77:U79">MMULT($AR$25:$AT$27,T77:T79)</f>
        <v>8.2988982201527026</v>
      </c>
      <c r="V77" s="416">
        <f>U77/$AR$41</f>
        <v>8.7313626102377806E-2</v>
      </c>
      <c r="W77" s="416">
        <f t="shared" si="107"/>
        <v>0.44363657275631985</v>
      </c>
      <c r="X77" s="416">
        <f xml:space="preserve"> 116 * W78  - 16</f>
        <v>36.496631572376621</v>
      </c>
      <c r="Y77" s="416">
        <f>SQRT(( ( M77-X77 ) ^ 2 ) + ( ( M78 - X78 ) ^ 2 ) + ( (M79 - X79 ) ^ 2 ))</f>
        <v>16.995260569355217</v>
      </c>
      <c r="Z77" s="450">
        <f t="shared" si="126"/>
        <v>48.661691226720095</v>
      </c>
      <c r="AA77" s="940">
        <f t="array" ref="AA77:AA79">MMULT($AQ$14:$AS$16,R77:R79)</f>
        <v>120.34011673092758</v>
      </c>
      <c r="AB77" s="941">
        <f t="shared" si="108"/>
        <v>0.47192202639579439</v>
      </c>
      <c r="AC77" s="941">
        <f t="shared" si="109"/>
        <v>18.896672871478739</v>
      </c>
      <c r="AD77" s="941">
        <f t="array" ref="AD77:AD79">MMULT($AR$25:$AT$27,AC77:AC79)</f>
        <v>19.109673550357847</v>
      </c>
      <c r="AE77" s="941">
        <f>AD77/$AR$41</f>
        <v>0.20105498911441547</v>
      </c>
      <c r="AF77" s="941">
        <f t="shared" si="110"/>
        <v>0.58583001386291933</v>
      </c>
      <c r="AG77" s="941">
        <f xml:space="preserve"> 116 * AF78  - 16</f>
        <v>52.578650833790249</v>
      </c>
      <c r="AH77" s="942">
        <f>SQRT(( ( M77-AG77 ) ^ 2 ) + ( ( M78 - AG78 ) ^ 2 ) + ( (M79 - AG79 ) ^ 2 ))</f>
        <v>32.22992144824606</v>
      </c>
    </row>
    <row r="78" spans="1:34">
      <c r="A78" s="94"/>
      <c r="B78" s="95"/>
      <c r="C78" s="1382"/>
      <c r="D78" s="383">
        <f t="shared" si="123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IF(F78^3&gt;0.008856,F78^3*$AR$38, (F78- 16 / 116 ) / 7.787*$AR$38)</f>
        <v>3.1053586043004144</v>
      </c>
      <c r="H78" s="1220">
        <f>G78/SUM(G77:G79)</f>
        <v>0.3537455888086547</v>
      </c>
      <c r="I78" s="1220">
        <v>3.1080250641062577</v>
      </c>
      <c r="J78" s="1220">
        <f>I78/SUM(I77:I79)</f>
        <v>0.32359232268336802</v>
      </c>
      <c r="K78" s="1220">
        <f>I78/$AR$42</f>
        <v>3.1080250641062578E-2</v>
      </c>
      <c r="L78" s="1221">
        <f t="shared" si="102"/>
        <v>0.31440890457864912</v>
      </c>
      <c r="M78" s="1221">
        <f t="shared" ref="M78" si="134" xml:space="preserve"> 500 * (L77 - L78 )</f>
        <v>1.3936712908363402E-2</v>
      </c>
      <c r="N78" s="1219">
        <f xml:space="preserve"> I77/100 * -0.9689 + I78/100*  1.8758 + I79/100 *  0.0415</f>
        <v>3.1140467456574263E-2</v>
      </c>
      <c r="O78" s="1222">
        <f t="shared" si="104"/>
        <v>49.363641330697085</v>
      </c>
      <c r="Q78" s="1329">
        <v>242.4</v>
      </c>
      <c r="R78" s="734">
        <f t="shared" si="118"/>
        <v>88.30285714285715</v>
      </c>
      <c r="S78" s="416">
        <f t="shared" si="106"/>
        <v>0.34628571428571431</v>
      </c>
      <c r="T78" s="416">
        <f t="shared" si="125"/>
        <v>9.8284034325665033</v>
      </c>
      <c r="U78" s="416">
        <v>9.2687324524564065</v>
      </c>
      <c r="V78" s="416">
        <f>U78/$AR$42</f>
        <v>9.268732452456406E-2</v>
      </c>
      <c r="W78" s="416">
        <f t="shared" si="107"/>
        <v>0.45255716872738466</v>
      </c>
      <c r="X78" s="416">
        <f xml:space="preserve"> 500 * (W77 - W78 )</f>
        <v>-4.4602979855324074</v>
      </c>
      <c r="Y78" s="416"/>
      <c r="Z78" s="450">
        <f t="shared" si="126"/>
        <v>49.363641330697085</v>
      </c>
      <c r="AA78" s="940">
        <v>126.8824948382335</v>
      </c>
      <c r="AB78" s="941">
        <f t="shared" si="108"/>
        <v>0.49757841113032747</v>
      </c>
      <c r="AC78" s="941">
        <f t="shared" si="109"/>
        <v>21.180660001077602</v>
      </c>
      <c r="AD78" s="941">
        <v>20.662974652030858</v>
      </c>
      <c r="AE78" s="941">
        <f>AD78/$AR$42</f>
        <v>0.20662974652030858</v>
      </c>
      <c r="AF78" s="941">
        <f t="shared" si="110"/>
        <v>0.59119526580853665</v>
      </c>
      <c r="AG78" s="941">
        <f xml:space="preserve"> 500 * (AF77 - AF78 )</f>
        <v>-2.682625972808661</v>
      </c>
      <c r="AH78" s="942"/>
    </row>
    <row r="79" spans="1:34" ht="15.75" thickBot="1">
      <c r="A79" s="96"/>
      <c r="B79" s="97"/>
      <c r="C79" s="1383"/>
      <c r="D79" s="384">
        <f t="shared" si="123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IF(F79^3&gt;0.008856,F79^3*$AR$39, (F79- 16 / 116 ) / 7.787*$AR$39)</f>
        <v>2.6834139945019237</v>
      </c>
      <c r="H79" s="1224">
        <f>G78</f>
        <v>3.1053586043004144</v>
      </c>
      <c r="I79" s="1224">
        <v>3.5418598766398226</v>
      </c>
      <c r="J79" s="1224">
        <f>I78</f>
        <v>3.1080250641062577</v>
      </c>
      <c r="K79" s="1224">
        <f>I79/$AR$43</f>
        <v>3.2529043805183754E-2</v>
      </c>
      <c r="L79" s="1225">
        <f t="shared" si="102"/>
        <v>0.31922024931181825</v>
      </c>
      <c r="M79" s="1225">
        <f t="shared" ref="M79" si="135" xml:space="preserve"> 200 * ( L78 - L79 )</f>
        <v>-0.96226894663382634</v>
      </c>
      <c r="N79" s="1223">
        <f xml:space="preserve"> I77/100 *  0.0557 + I78/100 * -0.204 + I79/100 *  1.057</f>
        <v>3.2742950534365732E-2</v>
      </c>
      <c r="O79" s="1226">
        <f t="shared" si="104"/>
        <v>50.702931476399115</v>
      </c>
      <c r="Q79" s="1330">
        <v>254.6</v>
      </c>
      <c r="R79" s="735">
        <f t="shared" si="120"/>
        <v>92.747142857142862</v>
      </c>
      <c r="S79" s="417">
        <f t="shared" si="106"/>
        <v>0.36371428571428571</v>
      </c>
      <c r="T79" s="417">
        <f t="shared" si="125"/>
        <v>10.884206306608837</v>
      </c>
      <c r="U79" s="417">
        <v>11.646987533531558</v>
      </c>
      <c r="V79" s="417">
        <f>U79/$AR$43</f>
        <v>0.10696791540949054</v>
      </c>
      <c r="W79" s="417">
        <f t="shared" si="107"/>
        <v>0.47469848330467168</v>
      </c>
      <c r="X79" s="417">
        <f xml:space="preserve"> 200 * ( W78 - W79 )</f>
        <v>-4.4282629154574042</v>
      </c>
      <c r="Y79" s="417"/>
      <c r="Z79" s="451">
        <f t="shared" si="126"/>
        <v>50.702931476399115</v>
      </c>
      <c r="AA79" s="943">
        <v>125.648049348626</v>
      </c>
      <c r="AB79" s="944">
        <f t="shared" si="108"/>
        <v>0.49273744842598433</v>
      </c>
      <c r="AC79" s="944">
        <f t="shared" si="109"/>
        <v>20.738051054790382</v>
      </c>
      <c r="AD79" s="944">
        <v>22.59736655385495</v>
      </c>
      <c r="AE79" s="944">
        <f>AD79/$AR$43</f>
        <v>0.20753805969577391</v>
      </c>
      <c r="AF79" s="944">
        <f t="shared" si="110"/>
        <v>0.59206026795402777</v>
      </c>
      <c r="AG79" s="944">
        <f xml:space="preserve"> 200 * ( AF78 - AF79 )</f>
        <v>-0.17300042909822455</v>
      </c>
      <c r="AH79" s="945"/>
    </row>
    <row r="80" spans="1:34">
      <c r="D80" s="663"/>
    </row>
    <row r="81" spans="4:34">
      <c r="D81" s="663"/>
      <c r="U81" s="183" t="s">
        <v>182</v>
      </c>
      <c r="Y81" s="183">
        <f>SUM(Y5:Y80)</f>
        <v>562.98703223287271</v>
      </c>
      <c r="Z81" s="386"/>
      <c r="AH81" s="183">
        <f t="shared" ref="AH81" si="136">SUM(AH5:AH80)</f>
        <v>431.20488327570223</v>
      </c>
    </row>
    <row r="82" spans="4:34">
      <c r="D82" s="663"/>
      <c r="Y82" s="183">
        <f>Y81/24</f>
        <v>23.457793009703028</v>
      </c>
      <c r="Z82" s="386"/>
      <c r="AH82" s="183">
        <f t="shared" ref="AH82" si="137">AH81/24</f>
        <v>17.966870136487593</v>
      </c>
    </row>
    <row r="83" spans="4:34">
      <c r="D83" s="663"/>
    </row>
    <row r="84" spans="4:34">
      <c r="D84" s="663"/>
    </row>
    <row r="85" spans="4:34">
      <c r="D85" s="663"/>
      <c r="U85" s="183" t="s">
        <v>183</v>
      </c>
      <c r="Y85" s="183">
        <f>SUM(Y5:Y60)</f>
        <v>390.12667986497996</v>
      </c>
      <c r="Z85" s="73"/>
      <c r="AH85" s="183">
        <f t="shared" ref="AH85" si="138">SUM(AH5:AH60)</f>
        <v>289.59598542115958</v>
      </c>
    </row>
    <row r="86" spans="4:34">
      <c r="D86" s="663"/>
      <c r="Y86" s="183">
        <f t="shared" ref="Y86" si="139">Y85/18</f>
        <v>21.673704436943332</v>
      </c>
      <c r="Z86" s="73"/>
      <c r="AH86" s="183">
        <f>AH85/18</f>
        <v>16.088665856731087</v>
      </c>
    </row>
    <row r="87" spans="4:34">
      <c r="D87" s="663"/>
    </row>
    <row r="88" spans="4:34">
      <c r="D88" s="663"/>
    </row>
    <row r="89" spans="4:34">
      <c r="D89" s="663"/>
    </row>
    <row r="90" spans="4:34">
      <c r="D90" s="663"/>
    </row>
    <row r="91" spans="4:34">
      <c r="D91" s="663"/>
    </row>
    <row r="92" spans="4:34">
      <c r="D92" s="663"/>
    </row>
    <row r="93" spans="4:34">
      <c r="D93" s="663"/>
    </row>
    <row r="94" spans="4:34">
      <c r="D94" s="663"/>
    </row>
    <row r="95" spans="4:34">
      <c r="D95" s="663"/>
    </row>
    <row r="96" spans="4:34">
      <c r="D96" s="663"/>
    </row>
    <row r="97" spans="4:15">
      <c r="D97" s="663"/>
    </row>
    <row r="98" spans="4:15">
      <c r="D98" s="663"/>
      <c r="F98" s="379"/>
      <c r="G98" s="379"/>
      <c r="H98" s="379"/>
      <c r="I98" s="380"/>
    </row>
    <row r="99" spans="4:15">
      <c r="D99" s="663"/>
      <c r="I99" s="380"/>
    </row>
    <row r="100" spans="4:15">
      <c r="D100" s="663"/>
      <c r="I100" s="380"/>
    </row>
    <row r="101" spans="4:15">
      <c r="D101" s="663"/>
    </row>
    <row r="102" spans="4:15">
      <c r="D102" s="663"/>
      <c r="F102" s="379"/>
      <c r="G102" s="379"/>
      <c r="H102" s="379"/>
      <c r="J102" s="380"/>
      <c r="K102" s="380"/>
      <c r="L102" s="380"/>
      <c r="M102" s="380"/>
      <c r="N102" s="380"/>
      <c r="O102" s="380"/>
    </row>
    <row r="103" spans="4:15">
      <c r="D103" s="663"/>
      <c r="J103" s="380"/>
      <c r="K103" s="380"/>
      <c r="L103" s="380"/>
      <c r="M103" s="380"/>
      <c r="N103" s="380"/>
      <c r="O103" s="380"/>
    </row>
    <row r="104" spans="4:15">
      <c r="D104" s="663"/>
      <c r="J104" s="380"/>
      <c r="K104" s="380"/>
      <c r="L104" s="380"/>
      <c r="M104" s="380"/>
      <c r="N104" s="380"/>
      <c r="O104" s="380"/>
    </row>
    <row r="105" spans="4:15">
      <c r="D105" s="663"/>
    </row>
    <row r="106" spans="4:15">
      <c r="D106" s="663"/>
    </row>
  </sheetData>
  <mergeCells count="41">
    <mergeCell ref="C77:C79"/>
    <mergeCell ref="C55:C57"/>
    <mergeCell ref="AP33:AT33"/>
    <mergeCell ref="AP35:AT35"/>
    <mergeCell ref="C58:C60"/>
    <mergeCell ref="C62:C64"/>
    <mergeCell ref="A61:E61"/>
    <mergeCell ref="AP45:AT45"/>
    <mergeCell ref="C65:C67"/>
    <mergeCell ref="C68:C70"/>
    <mergeCell ref="C71:C73"/>
    <mergeCell ref="C74:C76"/>
    <mergeCell ref="C39:C41"/>
    <mergeCell ref="C43:C45"/>
    <mergeCell ref="C46:C48"/>
    <mergeCell ref="C49:C51"/>
    <mergeCell ref="C52:C54"/>
    <mergeCell ref="A42:E42"/>
    <mergeCell ref="AP14:AP16"/>
    <mergeCell ref="C17:C19"/>
    <mergeCell ref="C20:C22"/>
    <mergeCell ref="C24:C26"/>
    <mergeCell ref="C27:C29"/>
    <mergeCell ref="C14:C16"/>
    <mergeCell ref="AJ14:AJ37"/>
    <mergeCell ref="C30:C32"/>
    <mergeCell ref="C33:C35"/>
    <mergeCell ref="C36:C38"/>
    <mergeCell ref="A23:E23"/>
    <mergeCell ref="A4:E4"/>
    <mergeCell ref="Q2:AH2"/>
    <mergeCell ref="C5:C7"/>
    <mergeCell ref="AJ6:AJ8"/>
    <mergeCell ref="C8:C10"/>
    <mergeCell ref="AJ10:AJ12"/>
    <mergeCell ref="C11:C13"/>
    <mergeCell ref="AJ2:BH2"/>
    <mergeCell ref="C3:D3"/>
    <mergeCell ref="AK3:BH3"/>
    <mergeCell ref="F2:O2"/>
    <mergeCell ref="A2:E2"/>
  </mergeCells>
  <hyperlinks>
    <hyperlink ref="AJ39" r:id="rId1" xr:uid="{47C5EA72-5E23-4BBD-8D57-7B4AD90BC251}"/>
    <hyperlink ref="AP52" r:id="rId2" xr:uid="{08AE44C6-64DD-47F5-B78C-B35739617363}"/>
  </hyperlinks>
  <pageMargins left="0.7" right="0.7" top="0.75" bottom="0.75" header="0.3" footer="0.3"/>
  <pageSetup paperSize="9" orientation="portrait" verticalDpi="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B577C-D1F1-4A46-9291-4C46E11D06BB}">
  <dimension ref="A1:BE106"/>
  <sheetViews>
    <sheetView zoomScale="90" zoomScaleNormal="90" workbookViewId="0">
      <pane ySplit="3" topLeftCell="A4" activePane="bottomLeft" state="frozen"/>
      <selection pane="bottomLeft" activeCell="Z83" sqref="Z83"/>
    </sheetView>
  </sheetViews>
  <sheetFormatPr defaultRowHeight="15" outlineLevelCol="1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hidden="1" customWidth="1" outlineLevel="1"/>
    <col min="7" max="8" width="10.42578125" style="81" hidden="1" customWidth="1" outlineLevel="1"/>
    <col min="9" max="9" width="10.42578125" style="81" bestFit="1" customWidth="1" collapsed="1"/>
    <col min="10" max="10" width="10.42578125" style="81" hidden="1" customWidth="1" outlineLevel="1"/>
    <col min="11" max="12" width="9.28515625" style="81" hidden="1" customWidth="1" outlineLevel="1"/>
    <col min="13" max="13" width="11.140625" style="81" bestFit="1" customWidth="1" collapsed="1"/>
    <col min="14" max="14" width="10" style="81" hidden="1" customWidth="1" outlineLevel="1"/>
    <col min="15" max="15" width="12.140625" style="81" bestFit="1" customWidth="1" collapsed="1"/>
    <col min="16" max="16" width="2" customWidth="1"/>
    <col min="17" max="17" width="11.5703125" style="183" bestFit="1" customWidth="1"/>
    <col min="18" max="18" width="11.5703125" style="73" customWidth="1"/>
    <col min="19" max="19" width="9.42578125" style="385" customWidth="1"/>
    <col min="20" max="20" width="9.7109375" style="183" customWidth="1"/>
    <col min="21" max="22" width="9.7109375" style="183" hidden="1" customWidth="1" outlineLevel="1"/>
    <col min="23" max="23" width="9.7109375" style="183" customWidth="1" collapsed="1"/>
    <col min="24" max="24" width="9.7109375" style="183" hidden="1" customWidth="1" outlineLevel="1"/>
    <col min="25" max="25" width="9.7109375" style="73" customWidth="1" collapsed="1"/>
    <col min="26" max="26" width="11.85546875" style="342" customWidth="1" collapsed="1"/>
    <col min="27" max="27" width="2.28515625" style="29" customWidth="1"/>
    <col min="28" max="28" width="10.85546875" style="76" bestFit="1" customWidth="1"/>
    <col min="29" max="29" width="11.85546875" style="73" bestFit="1" customWidth="1"/>
    <col min="30" max="30" width="11.85546875" style="73" customWidth="1"/>
    <col min="31" max="43" width="11.85546875" style="73" bestFit="1" customWidth="1"/>
    <col min="44" max="46" width="11.85546875" style="75" bestFit="1" customWidth="1"/>
    <col min="47" max="52" width="10.7109375" style="75" bestFit="1" customWidth="1"/>
    <col min="53" max="53" width="11.5703125" style="42" bestFit="1" customWidth="1"/>
    <col min="54" max="54" width="12.7109375" style="42" bestFit="1" customWidth="1"/>
    <col min="55" max="55" width="10.28515625" style="42" bestFit="1" customWidth="1"/>
  </cols>
  <sheetData>
    <row r="1" spans="1:55" ht="15.75" thickBot="1"/>
    <row r="2" spans="1:55" ht="52.5" customHeight="1" thickBot="1">
      <c r="A2" s="1387" t="s">
        <v>158</v>
      </c>
      <c r="B2" s="1388"/>
      <c r="C2" s="1388"/>
      <c r="D2" s="1388"/>
      <c r="E2" s="1389"/>
      <c r="F2" s="1384" t="s">
        <v>199</v>
      </c>
      <c r="G2" s="1385"/>
      <c r="H2" s="1385"/>
      <c r="I2" s="1385"/>
      <c r="J2" s="1385"/>
      <c r="K2" s="1385"/>
      <c r="L2" s="1385"/>
      <c r="M2" s="1385"/>
      <c r="N2" s="1385"/>
      <c r="O2" s="1386"/>
      <c r="Q2" s="1384" t="s">
        <v>200</v>
      </c>
      <c r="R2" s="1385"/>
      <c r="S2" s="1385"/>
      <c r="T2" s="1385"/>
      <c r="U2" s="1385"/>
      <c r="V2" s="1385"/>
      <c r="W2" s="1385"/>
      <c r="X2" s="1385"/>
      <c r="Y2" s="1385"/>
      <c r="Z2" s="1386"/>
      <c r="AA2" s="13"/>
      <c r="AB2" s="1435"/>
      <c r="AC2" s="1436"/>
      <c r="AD2" s="1436"/>
      <c r="AE2" s="1436"/>
      <c r="AF2" s="1436"/>
      <c r="AG2" s="1436"/>
      <c r="AH2" s="1436"/>
      <c r="AI2" s="1436"/>
      <c r="AJ2" s="1436"/>
      <c r="AK2" s="1436"/>
      <c r="AL2" s="1436"/>
      <c r="AM2" s="1436"/>
      <c r="AN2" s="1436"/>
      <c r="AO2" s="1436"/>
      <c r="AP2" s="1436"/>
      <c r="AQ2" s="1436"/>
      <c r="AR2" s="1436"/>
      <c r="AS2" s="1436"/>
      <c r="AT2" s="1436"/>
      <c r="AU2" s="1436"/>
      <c r="AV2" s="1436"/>
      <c r="AW2" s="1436"/>
      <c r="AX2" s="1436"/>
      <c r="AY2" s="1436"/>
      <c r="AZ2" s="1437"/>
    </row>
    <row r="3" spans="1:55" s="13" customFormat="1" ht="45.75" customHeight="1" thickBot="1">
      <c r="A3" s="91" t="s">
        <v>105</v>
      </c>
      <c r="B3" s="91" t="s">
        <v>106</v>
      </c>
      <c r="C3" s="1428" t="s">
        <v>140</v>
      </c>
      <c r="D3" s="1429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654" t="s">
        <v>152</v>
      </c>
      <c r="R3" s="325" t="s">
        <v>152</v>
      </c>
      <c r="S3" s="418" t="s">
        <v>150</v>
      </c>
      <c r="T3" s="325" t="s">
        <v>215</v>
      </c>
      <c r="U3" s="325"/>
      <c r="V3" s="325"/>
      <c r="W3" s="325" t="s">
        <v>216</v>
      </c>
      <c r="X3" s="182"/>
      <c r="Y3" s="326" t="s">
        <v>151</v>
      </c>
      <c r="Z3" s="348" t="s">
        <v>176</v>
      </c>
      <c r="AB3" s="1339" t="s">
        <v>138</v>
      </c>
      <c r="AC3" s="1432" t="s">
        <v>157</v>
      </c>
      <c r="AD3" s="1433"/>
      <c r="AE3" s="1433"/>
      <c r="AF3" s="1433"/>
      <c r="AG3" s="1433"/>
      <c r="AH3" s="1433"/>
      <c r="AI3" s="1433"/>
      <c r="AJ3" s="1433"/>
      <c r="AK3" s="1433"/>
      <c r="AL3" s="1433"/>
      <c r="AM3" s="1433"/>
      <c r="AN3" s="1433"/>
      <c r="AO3" s="1433"/>
      <c r="AP3" s="1433"/>
      <c r="AQ3" s="1433"/>
      <c r="AR3" s="1433"/>
      <c r="AS3" s="1433"/>
      <c r="AT3" s="1433"/>
      <c r="AU3" s="1433"/>
      <c r="AV3" s="1433"/>
      <c r="AW3" s="1433"/>
      <c r="AX3" s="1433"/>
      <c r="AY3" s="1433"/>
      <c r="AZ3" s="1434"/>
      <c r="BA3" s="72"/>
      <c r="BB3" s="72"/>
      <c r="BC3" s="72"/>
    </row>
    <row r="4" spans="1:55" ht="15.75" customHeight="1" thickBot="1">
      <c r="A4" s="1390" t="s">
        <v>107</v>
      </c>
      <c r="B4" s="1391"/>
      <c r="C4" s="1391"/>
      <c r="D4" s="1391"/>
      <c r="E4" s="1391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658"/>
      <c r="R4" s="184"/>
      <c r="S4" s="419"/>
      <c r="T4" s="184"/>
      <c r="U4" s="184"/>
      <c r="V4" s="184"/>
      <c r="W4" s="184"/>
      <c r="X4" s="184"/>
      <c r="Y4" s="184"/>
      <c r="Z4" s="343"/>
      <c r="AB4" s="1340"/>
      <c r="AC4" s="1335">
        <v>1</v>
      </c>
      <c r="AD4" s="1335">
        <v>2</v>
      </c>
      <c r="AE4" s="1335">
        <v>3</v>
      </c>
      <c r="AF4" s="1335">
        <v>4</v>
      </c>
      <c r="AG4" s="1335">
        <v>5</v>
      </c>
      <c r="AH4" s="1335">
        <v>6</v>
      </c>
      <c r="AI4" s="1336">
        <v>7</v>
      </c>
      <c r="AJ4" s="1337">
        <v>8</v>
      </c>
      <c r="AK4" s="1337">
        <v>9</v>
      </c>
      <c r="AL4" s="1337">
        <v>10</v>
      </c>
      <c r="AM4" s="1337">
        <v>11</v>
      </c>
      <c r="AN4" s="1337">
        <v>12</v>
      </c>
      <c r="AO4" s="1338">
        <v>13</v>
      </c>
      <c r="AP4" s="1335">
        <v>14</v>
      </c>
      <c r="AQ4" s="1335">
        <v>15</v>
      </c>
      <c r="AR4" s="1335">
        <v>16</v>
      </c>
      <c r="AS4" s="1335">
        <v>17</v>
      </c>
      <c r="AT4" s="1335">
        <v>18</v>
      </c>
      <c r="AU4" s="1336">
        <v>19</v>
      </c>
      <c r="AV4" s="1337">
        <v>20</v>
      </c>
      <c r="AW4" s="1337">
        <v>21</v>
      </c>
      <c r="AX4" s="1337">
        <v>22</v>
      </c>
      <c r="AY4" s="1337">
        <v>23</v>
      </c>
      <c r="AZ4" s="1337">
        <v>24</v>
      </c>
    </row>
    <row r="5" spans="1:55" ht="15.75" thickBot="1">
      <c r="A5" s="92">
        <v>1</v>
      </c>
      <c r="B5" s="93" t="s">
        <v>108</v>
      </c>
      <c r="C5" s="1393"/>
      <c r="D5" s="382">
        <f>O5</f>
        <v>115.49937887293277</v>
      </c>
      <c r="E5" s="370">
        <v>37.985999999999997</v>
      </c>
      <c r="F5" s="1215">
        <f xml:space="preserve"> E6 / 500 + F6</f>
        <v>0.49250655172413793</v>
      </c>
      <c r="G5" s="1215">
        <f>IF(F5^3&gt;0.008856,F5^3*$AJ$23, (F5- 16 / 116 ) / 7.787*$AJ$23)</f>
        <v>11.518930874764393</v>
      </c>
      <c r="H5" s="1216">
        <f>G5/SUM(G5:G7)</f>
        <v>0.43160133720790084</v>
      </c>
      <c r="I5" s="1215">
        <f t="array" ref="I5:I7">MMULT($AJ$34:$AL$36,G5:G7)</f>
        <v>11.096462537410472</v>
      </c>
      <c r="J5" s="1216">
        <f>I5/SUM(I5:I7)</f>
        <v>0.39970041178632115</v>
      </c>
      <c r="K5" s="1216">
        <f>I5/$AJ$27</f>
        <v>0.11674710971846006</v>
      </c>
      <c r="L5" s="1216">
        <f>IF(K5&gt;0.008856,K5^(1/3),7.787*K5+16/116)</f>
        <v>0.48874468310491292</v>
      </c>
      <c r="M5" s="1216">
        <f xml:space="preserve"> 116 * L6  - 16</f>
        <v>37.773205820821701</v>
      </c>
      <c r="N5" s="1215">
        <f>I5/100*  3.2406 + I6/100 * -1.5372 + I7/100 * -0.4986</f>
        <v>0.17303792868395071</v>
      </c>
      <c r="O5" s="1218">
        <f>IF(N5&gt; 0.0031308,(1.055 * (N5^ ( 1 / 2.4 ) ) - 0.055)*255, 12.92 * N5*255)</f>
        <v>115.49937887293277</v>
      </c>
      <c r="Q5" s="655">
        <v>592.6</v>
      </c>
      <c r="R5" s="704">
        <f>Q5/SUM(Q5:Q7)*255</f>
        <v>109.34370477568741</v>
      </c>
      <c r="S5" s="420">
        <f t="shared" ref="S5:S22" si="0">O5</f>
        <v>115.49937887293277</v>
      </c>
      <c r="T5" s="946">
        <f t="array" ref="T5:T7">MMULT($AI$14:$AK$16,R5:R7)</f>
        <v>30.942086243475135</v>
      </c>
      <c r="U5" s="946">
        <f>T5/$AJ$27</f>
        <v>0.32554511182336249</v>
      </c>
      <c r="V5" s="946">
        <f>IF(U5&gt;0.008856,U5^(1/3),7.787*U5+16/116)</f>
        <v>0.68791861180021652</v>
      </c>
      <c r="W5" s="946">
        <f xml:space="preserve"> 116 * V6  - 16</f>
        <v>60.731045262361661</v>
      </c>
      <c r="X5" s="946">
        <f>T5/100*  3.2406 + T6/100 * -1.5372 + T7/100 * -0.4986</f>
        <v>0.46034483352521394</v>
      </c>
      <c r="Y5" s="947">
        <f>IF(X5&gt; 0.0031308,(1.055 * (X5^ ( 1 / 2.4 ) ) - 0.055)*255, 12.92 * X5*255)</f>
        <v>180.69504921502954</v>
      </c>
      <c r="Z5" s="1041">
        <f>SQRT(( ( M5-W5 ) ^ 2 ) + ( ( M6 - W6 ) ^ 2 ) + ( (M7 - W7 ) ^ 2 ))</f>
        <v>23.671589525885562</v>
      </c>
    </row>
    <row r="6" spans="1:55" ht="15.75" thickBot="1">
      <c r="A6" s="94"/>
      <c r="B6" s="95"/>
      <c r="C6" s="1394"/>
      <c r="D6" s="383">
        <f t="shared" ref="D6:D69" si="1">O6</f>
        <v>80.924531967466507</v>
      </c>
      <c r="E6" s="371">
        <v>13.555</v>
      </c>
      <c r="F6" s="1219">
        <f xml:space="preserve"> (E5  + 16 ) / 116</f>
        <v>0.46539655172413791</v>
      </c>
      <c r="G6" s="1219">
        <f>IF(F6^3&gt;0.008856,F6^3*$AJ$24, (F6- 16 / 116 ) / 7.787*$AJ$24)</f>
        <v>10.080207762032574</v>
      </c>
      <c r="H6" s="1220">
        <f>G6/SUM(G5:G7)</f>
        <v>0.37769400621702293</v>
      </c>
      <c r="I6" s="1219">
        <v>9.9614788827959391</v>
      </c>
      <c r="J6" s="1220">
        <f>I6/SUM(I5:I7)</f>
        <v>0.35881770411342706</v>
      </c>
      <c r="K6" s="1220">
        <f>I6/$AJ$28</f>
        <v>9.9614788827959391E-2</v>
      </c>
      <c r="L6" s="1220">
        <f t="shared" ref="L6:L69" si="2">IF(K6&gt;0.008856,K6^(1/3),7.787*K6+16/116)</f>
        <v>0.46356211914501466</v>
      </c>
      <c r="M6" s="1220">
        <f xml:space="preserve"> 500 * (L5 - L6 )</f>
        <v>12.591281979949132</v>
      </c>
      <c r="N6" s="1219">
        <f xml:space="preserve"> I5/100 * -0.9689 + I6/100*  1.8758 + I7/100 *  0.0415</f>
        <v>8.2125958597699694E-2</v>
      </c>
      <c r="O6" s="1222">
        <f t="shared" ref="O6:O69" si="3">IF(N6&gt; 0.0031308,(1.055 * (N6^ ( 1 / 2.4 ) ) - 0.055)*255, 12.92 * N6*255)</f>
        <v>80.924531967466507</v>
      </c>
      <c r="Q6" s="656">
        <v>424.6</v>
      </c>
      <c r="R6" s="705">
        <f>Q6/SUM(Q5:Q7)*255</f>
        <v>78.345151953690319</v>
      </c>
      <c r="S6" s="421">
        <f t="shared" si="0"/>
        <v>80.924531967466507</v>
      </c>
      <c r="T6" s="949">
        <v>28.942722153987155</v>
      </c>
      <c r="U6" s="949">
        <f>T6/$AJ$28</f>
        <v>0.28942722153987155</v>
      </c>
      <c r="V6" s="949">
        <f t="shared" ref="V6:V69" si="4">IF(U6&gt;0.008856,U6^(1/3),7.787*U6+16/116)</f>
        <v>0.66147452812380747</v>
      </c>
      <c r="W6" s="949">
        <f xml:space="preserve"> 500 * (V5 - V6 )</f>
        <v>13.222041838204524</v>
      </c>
      <c r="X6" s="949">
        <f xml:space="preserve"> T5/100 * -0.9689 + T6/100*  1.8758 + T7/100 *  0.0415</f>
        <v>0.25122134285889047</v>
      </c>
      <c r="Y6" s="950">
        <f>IF(X6&gt; 0.0031308,(1.055 * (X6^ ( 1 / 2.4 ) ) - 0.055)*255, 12.92 * X6*255)</f>
        <v>137.26708057986883</v>
      </c>
      <c r="Z6" s="1042"/>
      <c r="AB6" s="1438" t="s">
        <v>135</v>
      </c>
      <c r="AC6" s="176">
        <f>I5</f>
        <v>11.096462537410472</v>
      </c>
      <c r="AD6" s="176">
        <f>I8</f>
        <v>37.846819885568948</v>
      </c>
      <c r="AE6" s="176">
        <f>I11</f>
        <v>17.259184587792387</v>
      </c>
      <c r="AF6" s="176">
        <f>I14</f>
        <v>10.451691011485027</v>
      </c>
      <c r="AG6" s="176">
        <f>I17</f>
        <v>24.699955835439631</v>
      </c>
      <c r="AH6" s="176">
        <f>I20</f>
        <v>30.295430517119279</v>
      </c>
      <c r="AI6" s="177">
        <f>I24</f>
        <v>38.506327134135688</v>
      </c>
      <c r="AJ6" s="177">
        <f>I27</f>
        <v>13.406311599853042</v>
      </c>
      <c r="AK6" s="177">
        <f>I30</f>
        <v>28.548799048791913</v>
      </c>
      <c r="AL6" s="177">
        <f>I33</f>
        <v>8.6698010004617139</v>
      </c>
      <c r="AM6" s="177">
        <f>I36</f>
        <v>33.331878806276151</v>
      </c>
      <c r="AN6" s="177">
        <f>I39</f>
        <v>45.996902394099358</v>
      </c>
      <c r="AO6" s="176">
        <f>I43</f>
        <v>7.7736812148504111</v>
      </c>
      <c r="AP6" s="176">
        <f>I46</f>
        <v>14.283601798249475</v>
      </c>
      <c r="AQ6" s="176">
        <f>I49</f>
        <v>20.62408349598757</v>
      </c>
      <c r="AR6" s="176">
        <f>I52</f>
        <v>55.781875161413609</v>
      </c>
      <c r="AS6" s="176">
        <f>I55</f>
        <v>30.721068603919768</v>
      </c>
      <c r="AT6" s="176">
        <f>I58</f>
        <v>14.513962671267748</v>
      </c>
      <c r="AU6" s="177">
        <f>I62</f>
        <v>86.483089485732179</v>
      </c>
      <c r="AV6" s="177">
        <f>I65</f>
        <v>55.788819575678076</v>
      </c>
      <c r="AW6" s="177">
        <f>I68</f>
        <v>34.337921099816981</v>
      </c>
      <c r="AX6" s="177">
        <f>I71</f>
        <v>18.184329325516259</v>
      </c>
      <c r="AY6" s="177">
        <f>I74</f>
        <v>8.3664692366306088</v>
      </c>
      <c r="AZ6" s="177">
        <f>I77</f>
        <v>2.9548703214714056</v>
      </c>
    </row>
    <row r="7" spans="1:55" ht="15.75" thickBot="1">
      <c r="A7" s="96"/>
      <c r="B7" s="97"/>
      <c r="C7" s="1394"/>
      <c r="D7" s="384">
        <f t="shared" si="1"/>
        <v>67.355100176800789</v>
      </c>
      <c r="E7" s="372">
        <v>14.058999999999999</v>
      </c>
      <c r="F7" s="1223">
        <f>F6 - E7 / 200</f>
        <v>0.39510155172413791</v>
      </c>
      <c r="G7" s="1223">
        <f>IF(F7^3&gt;0.008856,F7^3*$AJ$25, (F7- 16 / 116 ) / 7.787*$AJ$25)</f>
        <v>5.0896824620490859</v>
      </c>
      <c r="H7" s="1224">
        <f>G6</f>
        <v>10.080207762032574</v>
      </c>
      <c r="I7" s="1223">
        <v>6.7040078052615222</v>
      </c>
      <c r="J7" s="1224">
        <f>I6</f>
        <v>9.9614788827959391</v>
      </c>
      <c r="K7" s="1224">
        <f>I7/$AJ$29</f>
        <v>6.1570748466349405E-2</v>
      </c>
      <c r="L7" s="1224">
        <f t="shared" si="2"/>
        <v>0.39487364107882977</v>
      </c>
      <c r="M7" s="1224">
        <f xml:space="preserve"> 200 * ( L6 - L7 )</f>
        <v>13.737695613236978</v>
      </c>
      <c r="N7" s="1223">
        <f xml:space="preserve"> I5/100 *  0.0557 + I6/100 * -0.204 + I7/100 *  1.057</f>
        <v>5.6720675214048208E-2</v>
      </c>
      <c r="O7" s="1226">
        <f t="shared" si="3"/>
        <v>67.355100176800789</v>
      </c>
      <c r="Q7" s="657">
        <v>364.8</v>
      </c>
      <c r="R7" s="705">
        <f>Q7/SUM(Q5:Q7)*255</f>
        <v>67.311143270622296</v>
      </c>
      <c r="S7" s="421">
        <f t="shared" si="0"/>
        <v>67.355100176800789</v>
      </c>
      <c r="T7" s="949">
        <v>19.546106764891853</v>
      </c>
      <c r="U7" s="949">
        <f>T7/$AJ$29</f>
        <v>0.17951477057843607</v>
      </c>
      <c r="V7" s="949">
        <f t="shared" si="4"/>
        <v>0.56411380700807168</v>
      </c>
      <c r="W7" s="949">
        <f xml:space="preserve"> 200 * ( V6 - V7 )</f>
        <v>19.472144223147158</v>
      </c>
      <c r="X7" s="949">
        <f xml:space="preserve"> T5/100 *  0.0557 + T6/100 * -0.204 + T7/100 *  1.057</f>
        <v>0.16479393734838871</v>
      </c>
      <c r="Y7" s="950">
        <f t="shared" ref="Y7:Y22" si="5">IF(X7&gt; 0.0031308,(1.055 * (X7^ ( 1 / 2.4 ) ) - 0.055)*255, 12.92 * X7*255)</f>
        <v>112.89151920187086</v>
      </c>
      <c r="Z7" s="1042"/>
      <c r="AB7" s="1438"/>
      <c r="AC7" s="178">
        <f>I6</f>
        <v>9.9614788827959391</v>
      </c>
      <c r="AD7" s="178">
        <f>I9</f>
        <v>34.594737633856717</v>
      </c>
      <c r="AE7" s="178">
        <f>I12</f>
        <v>18.604922057669455</v>
      </c>
      <c r="AF7" s="178">
        <f>I15</f>
        <v>13.185349437594194</v>
      </c>
      <c r="AG7" s="178">
        <f>I18</f>
        <v>23.285727746380509</v>
      </c>
      <c r="AH7" s="178">
        <f>I21</f>
        <v>42.061927614550903</v>
      </c>
      <c r="AI7" s="179">
        <f>I25</f>
        <v>30.445067890689934</v>
      </c>
      <c r="AJ7" s="179">
        <f>I28</f>
        <v>11.654013845803803</v>
      </c>
      <c r="AK7" s="179">
        <f>I31</f>
        <v>18.942372976704565</v>
      </c>
      <c r="AL7" s="179">
        <f>I34</f>
        <v>6.4177800664010629</v>
      </c>
      <c r="AM7" s="179">
        <f>I37</f>
        <v>44.085306181079623</v>
      </c>
      <c r="AN7" s="179">
        <f>I40</f>
        <v>42.751700185521585</v>
      </c>
      <c r="AO7" s="178">
        <f>I44</f>
        <v>6.0642662674514325</v>
      </c>
      <c r="AP7" s="178">
        <f>I47</f>
        <v>23.156199170786447</v>
      </c>
      <c r="AQ7" s="178">
        <f>I50</f>
        <v>12.159219782354153</v>
      </c>
      <c r="AR7" s="178">
        <f>I53</f>
        <v>58.873672283415338</v>
      </c>
      <c r="AS7" s="178">
        <f>I56</f>
        <v>19.902230133562615</v>
      </c>
      <c r="AT7" s="178">
        <f>I59</f>
        <v>19.758352992191142</v>
      </c>
      <c r="AU7" s="179">
        <f>I63</f>
        <v>91.291238095968254</v>
      </c>
      <c r="AV7" s="179">
        <f>I66</f>
        <v>58.950551710216978</v>
      </c>
      <c r="AW7" s="179">
        <f>I69</f>
        <v>36.335819338953193</v>
      </c>
      <c r="AX7" s="179">
        <f>I72</f>
        <v>19.157262348610743</v>
      </c>
      <c r="AY7" s="179">
        <f>I75</f>
        <v>8.8383623483462674</v>
      </c>
      <c r="AZ7" s="179">
        <f>I78</f>
        <v>3.1080250641062577</v>
      </c>
    </row>
    <row r="8" spans="1:55" ht="15.75" thickBot="1">
      <c r="A8" s="92">
        <v>2</v>
      </c>
      <c r="B8" s="93" t="s">
        <v>109</v>
      </c>
      <c r="C8" s="1420"/>
      <c r="D8" s="382">
        <f t="shared" si="1"/>
        <v>198.5664405575157</v>
      </c>
      <c r="E8" s="370">
        <v>65.710999999999999</v>
      </c>
      <c r="F8" s="1215">
        <f xml:space="preserve"> E9 / 500 + F9</f>
        <v>0.74066517241379304</v>
      </c>
      <c r="G8" s="1215">
        <f>IF(F8^3&gt;0.008856,F8^3*$AJ$23, (F8- 16 / 116 ) / 7.787*$AJ$23)</f>
        <v>39.177967948419948</v>
      </c>
      <c r="H8" s="1216">
        <f>G8/SUM(G8:G10)</f>
        <v>0.41965319885542374</v>
      </c>
      <c r="I8" s="1215">
        <f t="array" ref="I8:I10">MMULT($AJ$34:$AL$36,G8:G10)</f>
        <v>37.846819885568948</v>
      </c>
      <c r="J8" s="1216">
        <f>I8/SUM(I8:I10)</f>
        <v>0.38706319116865656</v>
      </c>
      <c r="K8" s="1216">
        <f>I8/$AJ$27</f>
        <v>0.39819057819361947</v>
      </c>
      <c r="L8" s="1216">
        <f t="shared" si="2"/>
        <v>0.7356936258024972</v>
      </c>
      <c r="M8" s="1216">
        <f t="shared" ref="M8" si="6" xml:space="preserve"> 116 * L9  - 16</f>
        <v>65.431919053115664</v>
      </c>
      <c r="N8" s="1215">
        <f>I8/100*  3.2406 + I9/100 * -1.5372 + I10/100 * -0.4986</f>
        <v>0.56833908448621961</v>
      </c>
      <c r="O8" s="1218">
        <f t="shared" si="3"/>
        <v>198.5664405575157</v>
      </c>
      <c r="Q8" s="655">
        <v>1977</v>
      </c>
      <c r="R8" s="706">
        <f t="shared" ref="R8" si="7">Q8/SUM(Q8:Q10)*255</f>
        <v>110.73562359970126</v>
      </c>
      <c r="S8" s="422">
        <f t="shared" si="0"/>
        <v>198.5664405575157</v>
      </c>
      <c r="T8" s="952">
        <f t="array" ref="T8:T10">MMULT($AI$14:$AK$16,R8:R10)</f>
        <v>31.337683648797068</v>
      </c>
      <c r="U8" s="952">
        <f>T8/$AJ$27</f>
        <v>0.3297072358811648</v>
      </c>
      <c r="V8" s="952">
        <f t="shared" si="4"/>
        <v>0.69083790658256528</v>
      </c>
      <c r="W8" s="952">
        <f xml:space="preserve"> 116 * V9  - 16</f>
        <v>61.101038911410242</v>
      </c>
      <c r="X8" s="952">
        <f>T8/100*  3.2406 + T9/100 * -1.5372 + T10/100 * -0.4986</f>
        <v>0.46902777558411957</v>
      </c>
      <c r="Y8" s="953">
        <f t="shared" si="5"/>
        <v>182.21703598676928</v>
      </c>
      <c r="Z8" s="1043">
        <f t="shared" ref="Z8" si="8">SQRT(( ( M8-W8 ) ^ 2 ) + ( ( M9 - W9 ) ^ 2 ) + ( (M10 - W10 ) ^ 2 ))</f>
        <v>6.7899303043739367</v>
      </c>
      <c r="AB8" s="1438"/>
      <c r="AC8" s="180">
        <f>I7</f>
        <v>6.7040078052615222</v>
      </c>
      <c r="AD8" s="180">
        <f>I10</f>
        <v>25.337876818668772</v>
      </c>
      <c r="AE8" s="180">
        <f>I13</f>
        <v>34.028684106750006</v>
      </c>
      <c r="AF8" s="180">
        <f>I16</f>
        <v>6.901927047974608</v>
      </c>
      <c r="AG8" s="180">
        <f>I19</f>
        <v>44.302453842024704</v>
      </c>
      <c r="AH8" s="180">
        <f>I22</f>
        <v>45.553398128804254</v>
      </c>
      <c r="AI8" s="181">
        <f>I26</f>
        <v>6.5047473790852468</v>
      </c>
      <c r="AJ8" s="181">
        <f>I29</f>
        <v>39.658359781262121</v>
      </c>
      <c r="AK8" s="181">
        <f>I32</f>
        <v>13.474564753165298</v>
      </c>
      <c r="AL8" s="181">
        <f>I35</f>
        <v>14.301133116064159</v>
      </c>
      <c r="AM8" s="181">
        <f>I38</f>
        <v>11.430021265362438</v>
      </c>
      <c r="AN8" s="181">
        <f>I41</f>
        <v>7.770390398615211</v>
      </c>
      <c r="AO8" s="180">
        <f>I45</f>
        <v>28.400151436682279</v>
      </c>
      <c r="AP8" s="180">
        <f>I48</f>
        <v>10.21623714886743</v>
      </c>
      <c r="AQ8" s="180">
        <f>I51</f>
        <v>5.1255531945618475</v>
      </c>
      <c r="AR8" s="180">
        <f>I54</f>
        <v>9.0737256610014221</v>
      </c>
      <c r="AS8" s="180">
        <f>I57</f>
        <v>31.309860486418504</v>
      </c>
      <c r="AT8" s="180">
        <f>I60</f>
        <v>40.922975755119111</v>
      </c>
      <c r="AU8" s="181">
        <f>I64</f>
        <v>97.595685138002494</v>
      </c>
      <c r="AV8" s="181">
        <f>I67</f>
        <v>64.557713279686695</v>
      </c>
      <c r="AW8" s="181">
        <f>I70</f>
        <v>39.970807258312185</v>
      </c>
      <c r="AX8" s="181">
        <f>I73</f>
        <v>21.003223784015592</v>
      </c>
      <c r="AY8" s="181">
        <f>I76</f>
        <v>10.02181608191089</v>
      </c>
      <c r="AZ8" s="181">
        <f>I79</f>
        <v>3.5418598766398226</v>
      </c>
    </row>
    <row r="9" spans="1:55" ht="15.75" thickBot="1">
      <c r="A9" s="94"/>
      <c r="B9" s="95"/>
      <c r="C9" s="1420"/>
      <c r="D9" s="383">
        <f t="shared" si="1"/>
        <v>147.22394537812542</v>
      </c>
      <c r="E9" s="371">
        <v>18.13</v>
      </c>
      <c r="F9" s="1219">
        <f xml:space="preserve"> (E8  + 16 ) / 116</f>
        <v>0.70440517241379308</v>
      </c>
      <c r="G9" s="1219">
        <f>IF(F9^3&gt;0.008856,F9^3*$AJ$24, (F9- 16 / 116 ) / 7.787*$AJ$24)</f>
        <v>34.951644057543291</v>
      </c>
      <c r="H9" s="1220">
        <f>G9/SUM(G8:G10)</f>
        <v>0.37438310361872018</v>
      </c>
      <c r="I9" s="1219">
        <v>34.594737633856717</v>
      </c>
      <c r="J9" s="1220">
        <f>I9/SUM(I8:I10)</f>
        <v>0.35380382253222714</v>
      </c>
      <c r="K9" s="1220">
        <f>I9/$AJ$28</f>
        <v>0.34594737633856715</v>
      </c>
      <c r="L9" s="1220">
        <f t="shared" si="2"/>
        <v>0.70199930218203155</v>
      </c>
      <c r="M9" s="1220">
        <f t="shared" ref="M9" si="9" xml:space="preserve"> 500 * (L8 - L9 )</f>
        <v>16.847161810232826</v>
      </c>
      <c r="N9" s="1219">
        <f xml:space="preserve"> I8/100 * -0.9689 + I9/100*  1.8758 + I10/100 *  0.0415</f>
        <v>0.29274546954435426</v>
      </c>
      <c r="O9" s="1222">
        <f t="shared" si="3"/>
        <v>147.22394537812542</v>
      </c>
      <c r="Q9" s="656">
        <v>1402.2</v>
      </c>
      <c r="R9" s="706">
        <f t="shared" ref="R9" si="10">Q9/SUM(Q8:Q10)*255</f>
        <v>78.539955190440622</v>
      </c>
      <c r="S9" s="422">
        <f t="shared" si="0"/>
        <v>147.22394537812542</v>
      </c>
      <c r="T9" s="952">
        <v>29.363425775694225</v>
      </c>
      <c r="U9" s="952">
        <f>T9/$AJ$28</f>
        <v>0.29363425775694224</v>
      </c>
      <c r="V9" s="952">
        <f t="shared" si="4"/>
        <v>0.66466412854664003</v>
      </c>
      <c r="W9" s="952">
        <f xml:space="preserve"> 500 * (V8 - V9 )</f>
        <v>13.086889017962623</v>
      </c>
      <c r="X9" s="952">
        <f xml:space="preserve"> T8/100 * -0.9689 + T9/100*  1.8758 + T10/100 *  0.0415</f>
        <v>0.25508600276463267</v>
      </c>
      <c r="Y9" s="953">
        <f t="shared" si="5"/>
        <v>138.23251424629234</v>
      </c>
      <c r="Z9" s="1043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9"/>
      <c r="AP9" s="79"/>
      <c r="AQ9" s="79"/>
      <c r="AR9" s="79"/>
    </row>
    <row r="10" spans="1:55" ht="15.75" thickBot="1">
      <c r="A10" s="96"/>
      <c r="B10" s="97"/>
      <c r="C10" s="1420"/>
      <c r="D10" s="384">
        <f t="shared" si="1"/>
        <v>128.67442122465755</v>
      </c>
      <c r="E10" s="372">
        <v>17.809999999999999</v>
      </c>
      <c r="F10" s="1223">
        <f>F9 - E10 / 200</f>
        <v>0.61535517241379312</v>
      </c>
      <c r="G10" s="1223">
        <f>IF(F10^3&gt;0.008856,F10^3*$AJ$25, (F10- 16 / 116 ) / 7.787*$AJ$25)</f>
        <v>19.228351320124247</v>
      </c>
      <c r="H10" s="1224">
        <f>G9</f>
        <v>34.951644057543291</v>
      </c>
      <c r="I10" s="1223">
        <v>25.337876818668772</v>
      </c>
      <c r="J10" s="1224">
        <f>I9</f>
        <v>34.594737633856717</v>
      </c>
      <c r="K10" s="1224">
        <f>I10/$AJ$29</f>
        <v>0.23270737230484806</v>
      </c>
      <c r="L10" s="1224">
        <f t="shared" si="2"/>
        <v>0.61508723490326866</v>
      </c>
      <c r="M10" s="1224">
        <f t="shared" ref="M10" si="11" xml:space="preserve"> 200 * ( L9 - L10 )</f>
        <v>17.382413455752577</v>
      </c>
      <c r="N10" s="1223">
        <f xml:space="preserve"> I8/100 *  0.0557 + I9/100 * -0.204 + I10/100 *  1.057</f>
        <v>0.21832877187652311</v>
      </c>
      <c r="O10" s="1226">
        <f t="shared" si="3"/>
        <v>128.67442122465755</v>
      </c>
      <c r="Q10" s="657">
        <v>1173.4000000000001</v>
      </c>
      <c r="R10" s="706">
        <f t="shared" ref="R10" si="12">Q10/SUM(Q8:Q10)*255</f>
        <v>65.724421209858107</v>
      </c>
      <c r="S10" s="422">
        <f t="shared" si="0"/>
        <v>128.67442122465755</v>
      </c>
      <c r="T10" s="952">
        <v>19.078744427361951</v>
      </c>
      <c r="U10" s="952">
        <f>T10/$AJ$29</f>
        <v>0.17522243534217419</v>
      </c>
      <c r="V10" s="952">
        <f t="shared" si="4"/>
        <v>0.5595813573298416</v>
      </c>
      <c r="W10" s="952">
        <f xml:space="preserve"> 200 * ( V9 - V10 )</f>
        <v>21.016554243359685</v>
      </c>
      <c r="X10" s="952">
        <f xml:space="preserve"> T8/100 *  0.0557 + T9/100 * -0.204 + T10/100 *  1.057</f>
        <v>0.15921602980717955</v>
      </c>
      <c r="Y10" s="953">
        <f t="shared" si="5"/>
        <v>111.08359185942759</v>
      </c>
      <c r="Z10" s="1043"/>
      <c r="AB10" s="1411" t="s">
        <v>136</v>
      </c>
      <c r="AC10" s="82">
        <f>R5</f>
        <v>109.34370477568741</v>
      </c>
      <c r="AD10" s="82">
        <f>R8</f>
        <v>110.73562359970126</v>
      </c>
      <c r="AE10" s="82">
        <f>R11</f>
        <v>49.919621394230774</v>
      </c>
      <c r="AF10" s="82">
        <f>R14</f>
        <v>79.448275862068968</v>
      </c>
      <c r="AG10" s="82">
        <f>R17</f>
        <v>62.49375520399667</v>
      </c>
      <c r="AH10" s="82">
        <f>R20</f>
        <v>46.618506559856137</v>
      </c>
      <c r="AI10" s="83">
        <f>R24</f>
        <v>150.08371583727433</v>
      </c>
      <c r="AJ10" s="83">
        <f>R27</f>
        <v>35.23877905423457</v>
      </c>
      <c r="AK10" s="83">
        <f>R30</f>
        <v>146.00627044711013</v>
      </c>
      <c r="AL10" s="83">
        <f>R33</f>
        <v>75.646551724137936</v>
      </c>
      <c r="AM10" s="83">
        <f>R36</f>
        <v>87.001885606536774</v>
      </c>
      <c r="AN10" s="83">
        <f>R39</f>
        <v>133.37500669425719</v>
      </c>
      <c r="AO10" s="82">
        <f>R43</f>
        <v>26.636080332409971</v>
      </c>
      <c r="AP10" s="82">
        <f>R46</f>
        <v>57.698183476476409</v>
      </c>
      <c r="AQ10" s="82">
        <f>R49</f>
        <v>167.49622356495468</v>
      </c>
      <c r="AR10" s="82">
        <f>R52</f>
        <v>119.69864268016806</v>
      </c>
      <c r="AS10" s="82">
        <f>R55</f>
        <v>115.70393226176807</v>
      </c>
      <c r="AT10" s="82">
        <f>R58</f>
        <v>27.426916712630998</v>
      </c>
      <c r="AU10" s="83">
        <f>R62</f>
        <v>76.220718363145579</v>
      </c>
      <c r="AV10" s="83">
        <f>R65</f>
        <v>74.406157620609505</v>
      </c>
      <c r="AW10" s="83">
        <f>R68</f>
        <v>73.378784338596091</v>
      </c>
      <c r="AX10" s="83">
        <f>R71</f>
        <v>73.752182589174367</v>
      </c>
      <c r="AY10" s="83">
        <f>R74</f>
        <v>71.735668789808912</v>
      </c>
      <c r="AZ10" s="83">
        <f>R77</f>
        <v>73.949999999999989</v>
      </c>
    </row>
    <row r="11" spans="1:55">
      <c r="A11" s="92">
        <v>3</v>
      </c>
      <c r="B11" s="93" t="s">
        <v>110</v>
      </c>
      <c r="C11" s="1421"/>
      <c r="D11" s="382">
        <f t="shared" si="1"/>
        <v>90.590111987322274</v>
      </c>
      <c r="E11" s="370">
        <v>49.927</v>
      </c>
      <c r="F11" s="1215">
        <f xml:space="preserve"> E12 / 500 + F12</f>
        <v>0.55857620689655163</v>
      </c>
      <c r="G11" s="1215">
        <f>IF(F11^3&gt;0.008856,F11^3*$AJ$23, (F11- 16 / 116 ) / 7.787*$AJ$23)</f>
        <v>16.804416347693039</v>
      </c>
      <c r="H11" s="1216">
        <f>G11/SUM(G11:G13)</f>
        <v>0.27604076783496151</v>
      </c>
      <c r="I11" s="1215">
        <f t="array" ref="I11:I13">MMULT($AJ$34:$AL$36,G11:G13)</f>
        <v>17.259184587792387</v>
      </c>
      <c r="J11" s="1216">
        <f>I11/SUM(I11:I13)</f>
        <v>0.24693798032733721</v>
      </c>
      <c r="K11" s="1216">
        <f>I11/$AJ$27</f>
        <v>0.18158579005957459</v>
      </c>
      <c r="L11" s="1216">
        <f t="shared" si="2"/>
        <v>0.56627486686879502</v>
      </c>
      <c r="M11" s="1216">
        <f t="shared" ref="M11" si="13" xml:space="preserve"> 116 * L12  - 16</f>
        <v>50.221743009310785</v>
      </c>
      <c r="N11" s="1215">
        <f>I11/100*  3.2406 + I12/100 * -1.5372 + I13/100 * -0.4986</f>
        <v>0.10363925492524978</v>
      </c>
      <c r="O11" s="1218">
        <f t="shared" si="3"/>
        <v>90.590111987322274</v>
      </c>
      <c r="Q11" s="655">
        <v>521.20000000000005</v>
      </c>
      <c r="R11" s="707">
        <f t="shared" ref="R11" si="14">Q11/SUM(Q11:Q13)*255</f>
        <v>49.919621394230774</v>
      </c>
      <c r="S11" s="423">
        <f t="shared" si="0"/>
        <v>90.590111987322274</v>
      </c>
      <c r="T11" s="955">
        <f t="array" ref="T11:T13">MMULT($AI$14:$AK$16,R11:R13)</f>
        <v>20.209086260766799</v>
      </c>
      <c r="U11" s="955">
        <f>T11/$AJ$27</f>
        <v>0.21262203184494829</v>
      </c>
      <c r="V11" s="955">
        <f t="shared" si="4"/>
        <v>0.5968558038737688</v>
      </c>
      <c r="W11" s="955">
        <f xml:space="preserve"> 116 * V12  - 16</f>
        <v>54.482568455221056</v>
      </c>
      <c r="X11" s="955">
        <f>T11/100*  3.2406 + T12/100 * -1.5372 + T13/100 * -0.4986</f>
        <v>0.13277175136747718</v>
      </c>
      <c r="Y11" s="956">
        <f t="shared" si="5"/>
        <v>101.964855768897</v>
      </c>
      <c r="Z11" s="1044">
        <f t="shared" ref="Z11" si="15">SQRT(( ( M11-W11 ) ^ 2 ) + ( ( M12 - W12 ) ^ 2 ) + ( (M13 - W13 ) ^ 2 ))</f>
        <v>7.4929058783629952</v>
      </c>
      <c r="AB11" s="1412"/>
      <c r="AC11" s="84">
        <f>R6</f>
        <v>78.345151953690319</v>
      </c>
      <c r="AD11" s="84">
        <f>R9</f>
        <v>78.539955190440622</v>
      </c>
      <c r="AE11" s="84">
        <f>R12</f>
        <v>91.18088942307692</v>
      </c>
      <c r="AF11" s="84">
        <f>R15</f>
        <v>106.89655172413794</v>
      </c>
      <c r="AG11" s="84">
        <f>R18</f>
        <v>81.942547876769353</v>
      </c>
      <c r="AH11" s="84">
        <f>R21</f>
        <v>114.27943760984184</v>
      </c>
      <c r="AI11" s="85">
        <f>R25</f>
        <v>65.384903543763485</v>
      </c>
      <c r="AJ11" s="85">
        <f>R28</f>
        <v>75.587095912369747</v>
      </c>
      <c r="AK11" s="85">
        <f>R31</f>
        <v>51.62568157033806</v>
      </c>
      <c r="AL11" s="85">
        <f>R34</f>
        <v>68.857758620689665</v>
      </c>
      <c r="AM11" s="85">
        <f>R37</f>
        <v>115.73852922690132</v>
      </c>
      <c r="AN11" s="85">
        <f>R40</f>
        <v>81.662101782215274</v>
      </c>
      <c r="AO11" s="84">
        <f>R44</f>
        <v>73.43317174515235</v>
      </c>
      <c r="AP11" s="84">
        <f>R47</f>
        <v>129.25400927263055</v>
      </c>
      <c r="AQ11" s="84">
        <f>R50</f>
        <v>42.157603222557903</v>
      </c>
      <c r="AR11" s="84">
        <f>R53</f>
        <v>95.360605407734568</v>
      </c>
      <c r="AS11" s="84">
        <f>R56</f>
        <v>52.905424799081516</v>
      </c>
      <c r="AT11" s="84">
        <f>R59</f>
        <v>101.34675491818348</v>
      </c>
      <c r="AU11" s="85">
        <f>R63</f>
        <v>91.354745879474578</v>
      </c>
      <c r="AV11" s="85">
        <f>R66</f>
        <v>91.474200567942063</v>
      </c>
      <c r="AW11" s="85">
        <f>R69</f>
        <v>91.151073133282154</v>
      </c>
      <c r="AX11" s="85">
        <f>R72</f>
        <v>90.448989773010723</v>
      </c>
      <c r="AY11" s="85">
        <f>R75</f>
        <v>90.007961783439484</v>
      </c>
      <c r="AZ11" s="85">
        <f>R78</f>
        <v>88.30285714285715</v>
      </c>
    </row>
    <row r="12" spans="1:55" ht="15.75" thickBot="1">
      <c r="A12" s="94"/>
      <c r="B12" s="95"/>
      <c r="C12" s="1421"/>
      <c r="D12" s="383">
        <f t="shared" si="1"/>
        <v>122.36943007700241</v>
      </c>
      <c r="E12" s="371">
        <v>-4.88</v>
      </c>
      <c r="F12" s="1219">
        <f xml:space="preserve"> (E11  + 16 ) / 116</f>
        <v>0.56833620689655162</v>
      </c>
      <c r="G12" s="1219">
        <f>IF(F12^3&gt;0.008856,F12^3*$AJ$24, (F12- 16 / 116 ) / 7.787*$AJ$24)</f>
        <v>18.357602989115406</v>
      </c>
      <c r="H12" s="1220">
        <f>G12/SUM(G11:G13)</f>
        <v>0.30155446758021298</v>
      </c>
      <c r="I12" s="1219">
        <v>18.604922057669455</v>
      </c>
      <c r="J12" s="1220">
        <f>I12/SUM(I11:I13)</f>
        <v>0.26619229046996778</v>
      </c>
      <c r="K12" s="1220">
        <f>I12/$AJ$28</f>
        <v>0.18604922057669454</v>
      </c>
      <c r="L12" s="1220">
        <f t="shared" si="2"/>
        <v>0.57087709490785166</v>
      </c>
      <c r="M12" s="1220">
        <f t="shared" ref="M12" si="16" xml:space="preserve"> 500 * (L11 - L12 )</f>
        <v>-2.3011140195283164</v>
      </c>
      <c r="N12" s="1219">
        <f xml:space="preserve"> I11/100 * -0.9689 + I12/100*  1.8758 + I13/100 *  0.0415</f>
        <v>0.19588879239094442</v>
      </c>
      <c r="O12" s="1222">
        <f t="shared" si="3"/>
        <v>122.36943007700241</v>
      </c>
      <c r="Q12" s="656">
        <v>952</v>
      </c>
      <c r="R12" s="707">
        <f t="shared" ref="R12" si="17">Q12/SUM(Q11:Q13)*255</f>
        <v>91.18088942307692</v>
      </c>
      <c r="S12" s="423">
        <f t="shared" si="0"/>
        <v>122.36943007700241</v>
      </c>
      <c r="T12" s="955">
        <v>22.432165362363467</v>
      </c>
      <c r="U12" s="955">
        <f>T12/$AJ$28</f>
        <v>0.22432165362363465</v>
      </c>
      <c r="V12" s="955">
        <f t="shared" si="4"/>
        <v>0.60760834875190561</v>
      </c>
      <c r="W12" s="955">
        <f xml:space="preserve"> 500 * (V11 - V12 )</f>
        <v>-5.3762724390684085</v>
      </c>
      <c r="X12" s="955">
        <f xml:space="preserve"> T11/100 * -0.9689 + T12/100*  1.8758 + T13/100 *  0.0415</f>
        <v>0.23973366264304274</v>
      </c>
      <c r="Y12" s="956">
        <f t="shared" si="5"/>
        <v>134.34510315757316</v>
      </c>
      <c r="Z12" s="1044"/>
      <c r="AB12" s="1413"/>
      <c r="AC12" s="86">
        <f>R7</f>
        <v>67.311143270622296</v>
      </c>
      <c r="AD12" s="86">
        <f>R10</f>
        <v>65.724421209858107</v>
      </c>
      <c r="AE12" s="86">
        <f>R13</f>
        <v>113.89948918269231</v>
      </c>
      <c r="AF12" s="86">
        <f>R16</f>
        <v>68.65517241379311</v>
      </c>
      <c r="AG12" s="86">
        <f>R19</f>
        <v>110.56369691923398</v>
      </c>
      <c r="AH12" s="86">
        <f>R22</f>
        <v>94.102055830302035</v>
      </c>
      <c r="AI12" s="87">
        <f>R26</f>
        <v>39.531380618962203</v>
      </c>
      <c r="AJ12" s="87">
        <f>R29</f>
        <v>144.17412503339568</v>
      </c>
      <c r="AK12" s="87">
        <f>R32</f>
        <v>57.368047982551801</v>
      </c>
      <c r="AL12" s="87">
        <f>R35</f>
        <v>110.49568965517243</v>
      </c>
      <c r="AM12" s="87">
        <f>R38</f>
        <v>52.259585166561905</v>
      </c>
      <c r="AN12" s="87">
        <f>R41</f>
        <v>39.962891523527553</v>
      </c>
      <c r="AO12" s="86">
        <f>R45</f>
        <v>154.93074792243766</v>
      </c>
      <c r="AP12" s="86">
        <f>R48</f>
        <v>68.047807250893072</v>
      </c>
      <c r="AQ12" s="86">
        <f>R51</f>
        <v>45.346173212487408</v>
      </c>
      <c r="AR12" s="86">
        <f>R54</f>
        <v>39.940751912097383</v>
      </c>
      <c r="AS12" s="86">
        <f>R57</f>
        <v>86.39064293915041</v>
      </c>
      <c r="AT12" s="86">
        <f>R60</f>
        <v>126.22632836918551</v>
      </c>
      <c r="AU12" s="87">
        <f>R64</f>
        <v>87.424535757379829</v>
      </c>
      <c r="AV12" s="87">
        <f>R67</f>
        <v>89.119641811448432</v>
      </c>
      <c r="AW12" s="87">
        <f>R70</f>
        <v>90.470142528121784</v>
      </c>
      <c r="AX12" s="87">
        <f>R73</f>
        <v>90.798827637814924</v>
      </c>
      <c r="AY12" s="87">
        <f>R76</f>
        <v>93.256369426751604</v>
      </c>
      <c r="AZ12" s="87">
        <f>R79</f>
        <v>92.747142857142862</v>
      </c>
    </row>
    <row r="13" spans="1:55" ht="15.75" thickBot="1">
      <c r="A13" s="96"/>
      <c r="B13" s="97"/>
      <c r="C13" s="1421"/>
      <c r="D13" s="384">
        <f t="shared" si="1"/>
        <v>155.7634429623528</v>
      </c>
      <c r="E13" s="372">
        <v>-21.925000000000001</v>
      </c>
      <c r="F13" s="1223">
        <f>F12 - E13 / 200</f>
        <v>0.67796120689655159</v>
      </c>
      <c r="G13" s="1223">
        <f>IF(F13^3&gt;0.008856,F13^3*$AJ$25, (F13- 16 / 116 ) / 7.787*$AJ$25)</f>
        <v>25.714555089111201</v>
      </c>
      <c r="H13" s="1224">
        <f>G12</f>
        <v>18.357602989115406</v>
      </c>
      <c r="I13" s="1223">
        <v>34.028684106750006</v>
      </c>
      <c r="J13" s="1224">
        <f>I12</f>
        <v>18.604922057669455</v>
      </c>
      <c r="K13" s="1224">
        <f>I13/$AJ$29</f>
        <v>0.31252522530376647</v>
      </c>
      <c r="L13" s="1224">
        <f t="shared" si="2"/>
        <v>0.6786226628598292</v>
      </c>
      <c r="M13" s="1224">
        <f t="shared" ref="M13" si="18" xml:space="preserve"> 200 * ( L12 - L13 )</f>
        <v>-21.549113590395507</v>
      </c>
      <c r="N13" s="1223">
        <f xml:space="preserve"> I11/100 *  0.0557 + I12/100 * -0.204 + I13/100 *  1.057</f>
        <v>0.33134251582610225</v>
      </c>
      <c r="O13" s="1226">
        <f t="shared" si="3"/>
        <v>155.7634429623528</v>
      </c>
      <c r="Q13" s="657">
        <v>1189.2</v>
      </c>
      <c r="R13" s="707">
        <f t="shared" ref="R13" si="19">Q13/SUM(Q11:Q13)*255</f>
        <v>113.89948918269231</v>
      </c>
      <c r="S13" s="423">
        <f t="shared" si="0"/>
        <v>155.7634429623528</v>
      </c>
      <c r="T13" s="955">
        <v>35.558895316622653</v>
      </c>
      <c r="U13" s="955">
        <f>T13/$AJ$29</f>
        <v>0.32657894544256361</v>
      </c>
      <c r="V13" s="955">
        <f t="shared" si="4"/>
        <v>0.68864605001810031</v>
      </c>
      <c r="W13" s="955">
        <f xml:space="preserve"> 200 * ( V12 - V13 )</f>
        <v>-16.207540253238939</v>
      </c>
      <c r="X13" s="955">
        <f xml:space="preserve"> T11/100 *  0.0557 + T12/100 * -0.204 + T13/100 *  1.057</f>
        <v>0.34135236720472706</v>
      </c>
      <c r="Y13" s="956">
        <f t="shared" si="5"/>
        <v>157.88211673310715</v>
      </c>
      <c r="Z13" s="1044"/>
      <c r="AF13" s="75"/>
      <c r="AG13" s="75"/>
      <c r="AH13" s="75"/>
      <c r="AI13" s="75"/>
      <c r="AJ13" s="75"/>
    </row>
    <row r="14" spans="1:55">
      <c r="A14" s="92">
        <v>4</v>
      </c>
      <c r="B14" s="93" t="s">
        <v>111</v>
      </c>
      <c r="C14" s="1422"/>
      <c r="D14" s="382">
        <f t="shared" si="1"/>
        <v>89.727149578766344</v>
      </c>
      <c r="E14" s="370">
        <v>43.139000000000003</v>
      </c>
      <c r="F14" s="1215">
        <f xml:space="preserve"> E15 / 500 + F15</f>
        <v>0.48362896551724138</v>
      </c>
      <c r="G14" s="1215">
        <f>IF(F14^3&gt;0.008856,F14^3*$AJ$23, (F14- 16 / 116 ) / 7.787*$AJ$23)</f>
        <v>10.907194224055665</v>
      </c>
      <c r="H14" s="1216">
        <f>G14/SUM(G14:G16)</f>
        <v>0.37034842231105086</v>
      </c>
      <c r="I14" s="1215">
        <f t="array" ref="I14:I16">MMULT($AJ$34:$AL$36,G14:G16)</f>
        <v>10.451691011485027</v>
      </c>
      <c r="J14" s="1216">
        <f>I14/SUM(I14:I16)</f>
        <v>0.34224113871869855</v>
      </c>
      <c r="K14" s="1216">
        <f>I14/$AJ$27</f>
        <v>0.10996339717702849</v>
      </c>
      <c r="L14" s="1216">
        <f t="shared" si="2"/>
        <v>0.47908883450958523</v>
      </c>
      <c r="M14" s="1216">
        <f t="shared" ref="M14" si="20" xml:space="preserve"> 116 * L15  - 16</f>
        <v>43.041203809731833</v>
      </c>
      <c r="N14" s="1215">
        <f>I14/100*  3.2406 + I15/100 * -1.5372 + I16/100 * -0.4986</f>
        <v>0.10159929910228443</v>
      </c>
      <c r="O14" s="1218">
        <f t="shared" si="3"/>
        <v>89.727149578766344</v>
      </c>
      <c r="Q14" s="655">
        <v>460.8</v>
      </c>
      <c r="R14" s="708">
        <f t="shared" ref="R14" si="21">Q14/SUM(Q14:Q16)*255</f>
        <v>79.448275862068968</v>
      </c>
      <c r="S14" s="424">
        <f t="shared" si="0"/>
        <v>89.727149578766344</v>
      </c>
      <c r="T14" s="958">
        <f t="array" ref="T14:T16">MMULT($AI$14:$AK$16,R14:R16)</f>
        <v>31.972421728365411</v>
      </c>
      <c r="U14" s="958">
        <f>T14/$AJ$27</f>
        <v>0.33638538542368945</v>
      </c>
      <c r="V14" s="958">
        <f t="shared" si="4"/>
        <v>0.69547102305637498</v>
      </c>
      <c r="W14" s="958">
        <f xml:space="preserve"> 116 * V15  - 16</f>
        <v>67.745000743395735</v>
      </c>
      <c r="X14" s="958">
        <f>T14/100*  3.2406 + T15/100 * -1.5372 + T16/100 * -0.4986</f>
        <v>0.3405877729782481</v>
      </c>
      <c r="Y14" s="959">
        <f t="shared" si="5"/>
        <v>157.72157251142625</v>
      </c>
      <c r="Z14" s="1045">
        <f t="shared" ref="Z14" si="22">SQRT(( ( M14-W14 ) ^ 2 ) + ( ( M15 - W15 ) ^ 2 ) + ( (M16 - W16 ) ^ 2 ))</f>
        <v>24.878098419431538</v>
      </c>
      <c r="AB14" s="1411" t="s">
        <v>137</v>
      </c>
      <c r="AC14" s="98">
        <v>1</v>
      </c>
      <c r="AD14" s="327">
        <v>6.2167241348E-4</v>
      </c>
      <c r="AE14" s="327">
        <v>-3.5980759444000001E-5</v>
      </c>
      <c r="AF14" s="327">
        <v>-9.7127289350999995E-5</v>
      </c>
      <c r="AG14" s="81"/>
      <c r="AH14" s="1411" t="s">
        <v>147</v>
      </c>
      <c r="AI14" s="327">
        <f t="array" ref="AI14:AK16">MMULT(AC6:AZ8,AD14:AF37)</f>
        <v>0.17100308696516303</v>
      </c>
      <c r="AJ14" s="327">
        <v>0.21855169938684613</v>
      </c>
      <c r="AK14" s="327">
        <v>-7.2476720414044044E-2</v>
      </c>
      <c r="AL14" s="75"/>
      <c r="AN14" s="183"/>
      <c r="AO14" s="183"/>
      <c r="AP14" s="183"/>
    </row>
    <row r="15" spans="1:55">
      <c r="A15" s="94"/>
      <c r="B15" s="95"/>
      <c r="C15" s="1422"/>
      <c r="D15" s="383">
        <f t="shared" si="1"/>
        <v>107.64968923603281</v>
      </c>
      <c r="E15" s="371">
        <v>-13.095000000000001</v>
      </c>
      <c r="F15" s="1219">
        <f xml:space="preserve"> (E14  + 16 ) / 116</f>
        <v>0.50981896551724137</v>
      </c>
      <c r="G15" s="1219">
        <f>IF(F15^3&gt;0.008856,F15^3*$AJ$24, (F15- 16 / 116 ) / 7.787*$AJ$24)</f>
        <v>13.250978893060076</v>
      </c>
      <c r="H15" s="1220">
        <f>G15/SUM(G14:G16)</f>
        <v>0.44993047949017512</v>
      </c>
      <c r="I15" s="1219">
        <v>13.185349437594194</v>
      </c>
      <c r="J15" s="1220">
        <f>I15/SUM(I14:I16)</f>
        <v>0.43175491898559493</v>
      </c>
      <c r="K15" s="1220">
        <f>I15/$AJ$28</f>
        <v>0.13185349437594193</v>
      </c>
      <c r="L15" s="1220">
        <f t="shared" si="2"/>
        <v>0.50897589491148132</v>
      </c>
      <c r="M15" s="1220">
        <f t="shared" ref="M15" si="23" xml:space="preserve"> 500 * (L14 - L15 )</f>
        <v>-14.943530200948047</v>
      </c>
      <c r="N15" s="1219">
        <f xml:space="preserve"> I14/100 * -0.9689 + I15/100*  1.8758 + I16/100 *  0.0415</f>
        <v>0.14892865026502292</v>
      </c>
      <c r="O15" s="1222">
        <f t="shared" si="3"/>
        <v>107.64968923603281</v>
      </c>
      <c r="Q15" s="656">
        <v>620</v>
      </c>
      <c r="R15" s="708">
        <f t="shared" ref="R15" si="24">Q15/SUM(Q14:Q16)*255</f>
        <v>106.89655172413794</v>
      </c>
      <c r="S15" s="424">
        <f t="shared" si="0"/>
        <v>107.64968923603281</v>
      </c>
      <c r="T15" s="958">
        <v>37.627269552835671</v>
      </c>
      <c r="U15" s="958">
        <f>T15/$AJ$28</f>
        <v>0.37627269552835668</v>
      </c>
      <c r="V15" s="958">
        <f t="shared" si="4"/>
        <v>0.72193966158099776</v>
      </c>
      <c r="W15" s="958">
        <f xml:space="preserve"> 500 * (V14 - V15 )</f>
        <v>-13.23431926231139</v>
      </c>
      <c r="X15" s="958">
        <f xml:space="preserve"> T14/100 * -0.9689 + T15/100*  1.8758 + T16/100 *  0.0415</f>
        <v>0.40577846301634873</v>
      </c>
      <c r="Y15" s="959">
        <f t="shared" si="5"/>
        <v>170.72298927805539</v>
      </c>
      <c r="Z15" s="1045"/>
      <c r="AB15" s="1412"/>
      <c r="AC15" s="99">
        <v>2</v>
      </c>
      <c r="AD15" s="328">
        <v>6.3615346800999998E-4</v>
      </c>
      <c r="AE15" s="328">
        <v>3.4686644962999999E-6</v>
      </c>
      <c r="AF15" s="328">
        <v>-1.5152631773E-4</v>
      </c>
      <c r="AG15" s="81"/>
      <c r="AH15" s="1412"/>
      <c r="AI15" s="328">
        <v>7.6557414679204572E-2</v>
      </c>
      <c r="AJ15" s="328">
        <v>0.39139148419120812</v>
      </c>
      <c r="AK15" s="328">
        <v>-0.14993021967925566</v>
      </c>
      <c r="AL15" s="75"/>
      <c r="AN15" s="183"/>
      <c r="AO15" s="183"/>
      <c r="AP15" s="183"/>
    </row>
    <row r="16" spans="1:55" ht="15.75" thickBot="1">
      <c r="A16" s="96"/>
      <c r="B16" s="97"/>
      <c r="C16" s="1422"/>
      <c r="D16" s="384">
        <f t="shared" si="1"/>
        <v>64.383828506381079</v>
      </c>
      <c r="E16" s="372">
        <v>21.905000000000001</v>
      </c>
      <c r="F16" s="1223">
        <f>F15 - E16 / 200</f>
        <v>0.40029396551724139</v>
      </c>
      <c r="G16" s="1223">
        <f>IF(F16^3&gt;0.008856,F16^3*$AJ$25, (F16- 16 / 116 ) / 7.787*$AJ$25)</f>
        <v>5.2929965570859583</v>
      </c>
      <c r="H16" s="1224">
        <f>G15</f>
        <v>13.250978893060076</v>
      </c>
      <c r="I16" s="1223">
        <v>6.901927047974608</v>
      </c>
      <c r="J16" s="1224">
        <f>I15</f>
        <v>13.185349437594194</v>
      </c>
      <c r="K16" s="1224">
        <f>I16/$AJ$29</f>
        <v>6.3388472470216728E-2</v>
      </c>
      <c r="L16" s="1224">
        <f t="shared" si="2"/>
        <v>0.39872190484447512</v>
      </c>
      <c r="M16" s="1224">
        <f t="shared" ref="M16" si="25" xml:space="preserve"> 200 * ( L15 - L16 )</f>
        <v>22.050798013401241</v>
      </c>
      <c r="N16" s="1223">
        <f xml:space="preserve"> I14/100 *  0.0557 + I15/100 * -0.204 + I16/100 *  1.057</f>
        <v>5.1876847937796608E-2</v>
      </c>
      <c r="O16" s="1226">
        <f t="shared" si="3"/>
        <v>64.383828506381079</v>
      </c>
      <c r="Q16" s="657">
        <v>398.2</v>
      </c>
      <c r="R16" s="708">
        <f t="shared" ref="R16" si="26">Q16/SUM(Q14:Q16)*255</f>
        <v>68.65517241379311</v>
      </c>
      <c r="S16" s="424">
        <f t="shared" si="0"/>
        <v>64.383828506381079</v>
      </c>
      <c r="T16" s="958">
        <v>23.486590049131888</v>
      </c>
      <c r="U16" s="958">
        <f>T16/$AJ$29</f>
        <v>0.21570483959049519</v>
      </c>
      <c r="V16" s="958">
        <f t="shared" si="4"/>
        <v>0.59972657874482127</v>
      </c>
      <c r="W16" s="958">
        <f xml:space="preserve"> 200 * ( V15 - V16 )</f>
        <v>24.442616567235298</v>
      </c>
      <c r="X16" s="958">
        <f xml:space="preserve"> T14/100 *  0.0557 + T15/100 * -0.204 + T16/100 *  1.057</f>
        <v>0.18930226583423881</v>
      </c>
      <c r="Y16" s="959">
        <f t="shared" si="5"/>
        <v>120.43947539700073</v>
      </c>
      <c r="Z16" s="1045"/>
      <c r="AB16" s="1412"/>
      <c r="AC16" s="99">
        <v>3</v>
      </c>
      <c r="AD16" s="328">
        <v>-4.1950116652000001E-4</v>
      </c>
      <c r="AE16" s="328">
        <v>8.9406517748999995E-5</v>
      </c>
      <c r="AF16" s="328">
        <v>8.2535204588E-4</v>
      </c>
      <c r="AH16" s="1413"/>
      <c r="AI16" s="329">
        <v>-4.302226060614657E-2</v>
      </c>
      <c r="AJ16" s="329">
        <v>8.0412578620860889E-2</v>
      </c>
      <c r="AK16" s="329">
        <v>0.26667775295666379</v>
      </c>
      <c r="AL16" s="75"/>
      <c r="AN16" s="183"/>
      <c r="AO16" s="183"/>
      <c r="AP16" s="183"/>
    </row>
    <row r="17" spans="1:40">
      <c r="A17" s="92">
        <v>5</v>
      </c>
      <c r="B17" s="93" t="s">
        <v>112</v>
      </c>
      <c r="C17" s="1414"/>
      <c r="D17" s="382">
        <f t="shared" si="1"/>
        <v>129.55778390505861</v>
      </c>
      <c r="E17" s="370">
        <v>55.112000000000002</v>
      </c>
      <c r="F17" s="1215">
        <f xml:space="preserve"> E18 / 500 + F18</f>
        <v>0.63072248275862064</v>
      </c>
      <c r="G17" s="1215">
        <f>IF(F17^3&gt;0.008856,F17^3*$AJ$23, (F17- 16 / 116 ) / 7.787*$AJ$23)</f>
        <v>24.193075005977811</v>
      </c>
      <c r="H17" s="1216">
        <f>G17/SUM(G17:G19)</f>
        <v>0.29988284284978423</v>
      </c>
      <c r="I17" s="1215">
        <f t="array" ref="I17:I19">MMULT($AJ$34:$AL$36,G17:G19)</f>
        <v>24.699955835439631</v>
      </c>
      <c r="J17" s="1216">
        <f>I17/SUM(I17:I19)</f>
        <v>0.26763955287126434</v>
      </c>
      <c r="K17" s="1216">
        <f>I17/$AJ$27</f>
        <v>0.2598709673681403</v>
      </c>
      <c r="L17" s="1216">
        <f t="shared" si="2"/>
        <v>0.63814482891133872</v>
      </c>
      <c r="M17" s="1216">
        <f t="shared" ref="M17" si="27" xml:space="preserve"> 116 * L18  - 16</f>
        <v>55.36543670524037</v>
      </c>
      <c r="N17" s="1215">
        <f>I17/100*  3.2406 + I18/100 * -1.5372 + I19/100 * -0.4986</f>
        <v>0.22158652702956053</v>
      </c>
      <c r="O17" s="1218">
        <f t="shared" si="3"/>
        <v>129.55778390505861</v>
      </c>
      <c r="Q17" s="655">
        <v>883</v>
      </c>
      <c r="R17" s="709">
        <f t="shared" ref="R17" si="28">Q17/SUM(Q17:Q19)*255</f>
        <v>62.49375520399667</v>
      </c>
      <c r="S17" s="425">
        <f t="shared" si="0"/>
        <v>129.55778390505861</v>
      </c>
      <c r="T17" s="961">
        <f t="array" ref="T17:T19">MMULT($AI$14:$AK$16,R17:R19)</f>
        <v>20.582013996926172</v>
      </c>
      <c r="U17" s="961">
        <f>T17/$AJ$27</f>
        <v>0.21654564580603461</v>
      </c>
      <c r="V17" s="961">
        <f t="shared" si="4"/>
        <v>0.60050480276934548</v>
      </c>
      <c r="W17" s="961">
        <f xml:space="preserve"> 116 * V18  - 16</f>
        <v>52.151351807474356</v>
      </c>
      <c r="X17" s="961">
        <f>T17/100*  3.2406 + T18/100 * -1.5372 + T19/100 * -0.4986</f>
        <v>0.18878992142247089</v>
      </c>
      <c r="Y17" s="962">
        <f t="shared" si="5"/>
        <v>120.28771945835867</v>
      </c>
      <c r="Z17" s="1046">
        <f t="shared" ref="Z17" si="29">SQRT(( ( M17-W17 ) ^ 2 ) + ( ( M18 - W18 ) ^ 2 ) + ( (M19 - W19 ) ^ 2 ))</f>
        <v>9.786301454091392</v>
      </c>
      <c r="AB17" s="1412"/>
      <c r="AC17" s="99">
        <v>4</v>
      </c>
      <c r="AD17" s="328">
        <v>-3.439008155E-4</v>
      </c>
      <c r="AE17" s="328">
        <v>1.9172243801E-3</v>
      </c>
      <c r="AF17" s="328">
        <v>-1.0952949432E-3</v>
      </c>
      <c r="AL17" s="75"/>
      <c r="AM17" s="75"/>
      <c r="AN17" s="75"/>
    </row>
    <row r="18" spans="1:40">
      <c r="A18" s="94"/>
      <c r="B18" s="95"/>
      <c r="C18" s="1414"/>
      <c r="D18" s="383">
        <f t="shared" si="1"/>
        <v>128.00022677459134</v>
      </c>
      <c r="E18" s="371">
        <v>8.8439999999999994</v>
      </c>
      <c r="F18" s="1219">
        <f xml:space="preserve"> (E17  + 16 ) / 116</f>
        <v>0.6130344827586206</v>
      </c>
      <c r="G18" s="1219">
        <f>IF(F18^3&gt;0.008856,F18^3*$AJ$24, (F18- 16 / 116 ) / 7.787*$AJ$24)</f>
        <v>23.038527184189583</v>
      </c>
      <c r="H18" s="1220">
        <f>G18/SUM(G17:G19)</f>
        <v>0.28557176073565316</v>
      </c>
      <c r="I18" s="1219">
        <v>23.285727746380509</v>
      </c>
      <c r="J18" s="1220">
        <f>I18/SUM(I17:I19)</f>
        <v>0.25231550225613381</v>
      </c>
      <c r="K18" s="1220">
        <f>I18/$AJ$28</f>
        <v>0.23285727746380508</v>
      </c>
      <c r="L18" s="1220">
        <f t="shared" si="2"/>
        <v>0.61521928194172737</v>
      </c>
      <c r="M18" s="1220">
        <f t="shared" ref="M18" si="30" xml:space="preserve"> 500 * (L17 - L18 )</f>
        <v>11.462773484805677</v>
      </c>
      <c r="N18" s="1219">
        <f xml:space="preserve"> I17/100 * -0.9689 + I18/100*  1.8758 + I19/100 *  0.0415</f>
        <v>0.2158613273214712</v>
      </c>
      <c r="O18" s="1222">
        <f t="shared" si="3"/>
        <v>128.00022677459134</v>
      </c>
      <c r="Q18" s="656">
        <v>1157.8</v>
      </c>
      <c r="R18" s="709">
        <f t="shared" ref="R18" si="31">Q18/SUM(Q17:Q19)*255</f>
        <v>81.942547876769353</v>
      </c>
      <c r="S18" s="425">
        <f t="shared" si="0"/>
        <v>128.00022677459134</v>
      </c>
      <c r="T18" s="961">
        <v>20.27913639625957</v>
      </c>
      <c r="U18" s="961">
        <f>T18/$AJ$28</f>
        <v>0.2027913639625957</v>
      </c>
      <c r="V18" s="961">
        <f t="shared" si="4"/>
        <v>0.58751165351270995</v>
      </c>
      <c r="W18" s="961">
        <f xml:space="preserve"> 500 * (V17 - V18 )</f>
        <v>6.4965746283177639</v>
      </c>
      <c r="X18" s="961">
        <f xml:space="preserve"> T17/100 * -0.9689 + T18/100*  1.8758 + T19/100 *  0.0415</f>
        <v>0.19483187579443542</v>
      </c>
      <c r="Y18" s="962">
        <f t="shared" si="5"/>
        <v>122.06231482991586</v>
      </c>
      <c r="Z18" s="1046"/>
      <c r="AB18" s="1412"/>
      <c r="AC18" s="99">
        <v>5</v>
      </c>
      <c r="AD18" s="328">
        <v>-6.8773904591999994E-5</v>
      </c>
      <c r="AE18" s="328">
        <v>-4.9510515028999998E-4</v>
      </c>
      <c r="AF18" s="328">
        <v>1.0618244589000001E-3</v>
      </c>
      <c r="AL18" s="75"/>
      <c r="AM18" s="75"/>
      <c r="AN18" s="75"/>
    </row>
    <row r="19" spans="1:40" ht="15.75" thickBot="1">
      <c r="A19" s="96"/>
      <c r="B19" s="97"/>
      <c r="C19" s="1414"/>
      <c r="D19" s="384">
        <f t="shared" si="1"/>
        <v>176.06897196090145</v>
      </c>
      <c r="E19" s="372">
        <v>-25.399000000000001</v>
      </c>
      <c r="F19" s="1223">
        <f>F18 - E19 / 200</f>
        <v>0.74002948275862057</v>
      </c>
      <c r="G19" s="1223">
        <f>IF(F19^3&gt;0.008856,F19^3*$AJ$25, (F19- 16 / 116 ) / 7.787*$AJ$25)</f>
        <v>33.443486708121064</v>
      </c>
      <c r="H19" s="1224">
        <f>G18</f>
        <v>23.038527184189583</v>
      </c>
      <c r="I19" s="1223">
        <v>44.302453842024704</v>
      </c>
      <c r="J19" s="1224">
        <f>I18</f>
        <v>23.285727746380509</v>
      </c>
      <c r="K19" s="1224">
        <f>I19/$AJ$29</f>
        <v>0.40688127478141406</v>
      </c>
      <c r="L19" s="1224">
        <f t="shared" si="2"/>
        <v>0.74100743888934384</v>
      </c>
      <c r="M19" s="1224">
        <f t="shared" ref="M19" si="32" xml:space="preserve"> 200 * ( L18 - L19 )</f>
        <v>-25.157631389523296</v>
      </c>
      <c r="N19" s="1223">
        <f xml:space="preserve"> I17/100 *  0.0557 + I18/100 * -0.204 + I19/100 *  1.057</f>
        <v>0.43453192790792472</v>
      </c>
      <c r="O19" s="1226">
        <f t="shared" si="3"/>
        <v>176.06897196090145</v>
      </c>
      <c r="Q19" s="657">
        <v>1562.2</v>
      </c>
      <c r="R19" s="709">
        <f t="shared" ref="R19" si="33">Q19/SUM(Q17:Q19)*255</f>
        <v>110.56369691923398</v>
      </c>
      <c r="S19" s="425">
        <f t="shared" si="0"/>
        <v>176.06897196090145</v>
      </c>
      <c r="T19" s="961">
        <v>33.38546720389423</v>
      </c>
      <c r="U19" s="961">
        <f>T19/$AJ$29</f>
        <v>0.30661781181538195</v>
      </c>
      <c r="V19" s="961">
        <f t="shared" si="4"/>
        <v>0.67431961570128185</v>
      </c>
      <c r="W19" s="961">
        <f xml:space="preserve"> 200 * ( V18 - V19 )</f>
        <v>-17.361592437714378</v>
      </c>
      <c r="X19" s="961">
        <f xml:space="preserve"> T17/100 *  0.0557 + T18/100 * -0.204 + T19/100 *  1.057</f>
        <v>0.32297913189308036</v>
      </c>
      <c r="Y19" s="962">
        <f t="shared" si="5"/>
        <v>153.96444667304289</v>
      </c>
      <c r="Z19" s="1046"/>
      <c r="AB19" s="1412"/>
      <c r="AC19" s="99">
        <v>6</v>
      </c>
      <c r="AD19" s="328">
        <v>-9.2494375730999999E-4</v>
      </c>
      <c r="AE19" s="328">
        <v>2.0114411526999999E-3</v>
      </c>
      <c r="AF19" s="328">
        <v>-6.0495458136999999E-4</v>
      </c>
      <c r="AG19" s="81"/>
      <c r="AH19" s="1395" t="s">
        <v>162</v>
      </c>
      <c r="AI19" s="1395"/>
      <c r="AJ19" s="1395"/>
      <c r="AK19" s="1395"/>
      <c r="AL19" s="1395"/>
      <c r="AM19" s="75"/>
      <c r="AN19" s="75"/>
    </row>
    <row r="20" spans="1:40">
      <c r="A20" s="92">
        <v>6</v>
      </c>
      <c r="B20" s="93" t="s">
        <v>113</v>
      </c>
      <c r="C20" s="1415"/>
      <c r="D20" s="382">
        <f t="shared" si="1"/>
        <v>92.422098428867557</v>
      </c>
      <c r="E20" s="370">
        <v>70.718999999999994</v>
      </c>
      <c r="F20" s="1215">
        <f xml:space="preserve"> E21 / 500 + F21</f>
        <v>0.6807835862068965</v>
      </c>
      <c r="G20" s="1215">
        <f>IF(F20^3&gt;0.008856,F20^3*$AJ$23, (F20- 16 / 116 ) / 7.787*$AJ$23)</f>
        <v>30.423092951763746</v>
      </c>
      <c r="H20" s="1216">
        <f>G20/SUM(G20:G22)</f>
        <v>0.28481166924930046</v>
      </c>
      <c r="I20" s="1215">
        <f t="array" ref="I20:I22">MMULT($AJ$34:$AL$36,G20:G22)</f>
        <v>30.295430517119279</v>
      </c>
      <c r="J20" s="1216">
        <f>I20/SUM(I20:I22)</f>
        <v>0.25693525746026269</v>
      </c>
      <c r="K20" s="1216">
        <f>I20/$AJ$27</f>
        <v>0.31874157540079412</v>
      </c>
      <c r="L20" s="1216">
        <f t="shared" si="2"/>
        <v>0.68309258584567412</v>
      </c>
      <c r="M20" s="1216">
        <f t="shared" ref="M20:M24" si="34" xml:space="preserve"> 116 * L21  - 16</f>
        <v>70.913594826070963</v>
      </c>
      <c r="N20" s="1215">
        <f>I20/100*  3.2406 + I21/100 * -1.5372 + I22/100 * -0.4986</f>
        <v>0.10804852697667286</v>
      </c>
      <c r="O20" s="1218">
        <f t="shared" si="3"/>
        <v>92.422098428867557</v>
      </c>
      <c r="Q20" s="655">
        <v>894.6</v>
      </c>
      <c r="R20" s="710">
        <f t="shared" ref="R20" si="35">Q20/SUM(Q20:Q22)*255</f>
        <v>46.618506559856137</v>
      </c>
      <c r="S20" s="426">
        <f t="shared" si="0"/>
        <v>92.422098428867557</v>
      </c>
      <c r="T20" s="964">
        <f t="array" ref="T20:T22">MMULT($AI$14:$AK$16,R20:R22)</f>
        <v>26.127665435245532</v>
      </c>
      <c r="U20" s="964">
        <f>T20/$AJ$27</f>
        <v>0.27489205798442384</v>
      </c>
      <c r="V20" s="964">
        <f t="shared" si="4"/>
        <v>0.65021062837449373</v>
      </c>
      <c r="W20" s="964">
        <f xml:space="preserve"> 116 * V21  - 16</f>
        <v>65.111719700103706</v>
      </c>
      <c r="X20" s="964">
        <f>T20/100*  3.2406 + T21/100 * -1.5372 + T22/100 * -0.4986</f>
        <v>0.16020928593788922</v>
      </c>
      <c r="Y20" s="965">
        <f t="shared" si="5"/>
        <v>111.40820195247177</v>
      </c>
      <c r="Z20" s="1047">
        <f t="shared" ref="Z20" si="36">SQRT(( ( M20-W20 ) ^ 2 ) + ( ( M21 - W21 ) ^ 2 ) + ( (M22 - W22 ) ^ 2 ))</f>
        <v>12.074179342236155</v>
      </c>
      <c r="AB20" s="1412"/>
      <c r="AC20" s="99">
        <v>7</v>
      </c>
      <c r="AD20" s="328">
        <v>1.4186675049999999E-3</v>
      </c>
      <c r="AE20" s="328">
        <v>-4.7785674140999999E-4</v>
      </c>
      <c r="AF20" s="328">
        <v>-4.5421707600999998E-4</v>
      </c>
      <c r="AH20" s="318"/>
      <c r="AI20" s="318"/>
      <c r="AJ20" s="318"/>
      <c r="AK20" s="318"/>
      <c r="AL20" s="318"/>
    </row>
    <row r="21" spans="1:40">
      <c r="A21" s="94"/>
      <c r="B21" s="95"/>
      <c r="C21" s="1415"/>
      <c r="D21" s="383">
        <f t="shared" si="1"/>
        <v>189.90953390734151</v>
      </c>
      <c r="E21" s="371">
        <v>-33.396999999999998</v>
      </c>
      <c r="F21" s="1219">
        <f xml:space="preserve"> (E20  + 16 ) / 116</f>
        <v>0.74757758620689652</v>
      </c>
      <c r="G21" s="1219">
        <f>IF(F21^3&gt;0.008856,F21^3*$AJ$24, (F21- 16 / 116 ) / 7.787*$AJ$24)</f>
        <v>41.78003657085155</v>
      </c>
      <c r="H21" s="1220">
        <f>G21/SUM(G20:G22)</f>
        <v>0.39113189365419831</v>
      </c>
      <c r="I21" s="1219">
        <v>42.061927614550903</v>
      </c>
      <c r="J21" s="1220">
        <f>I21/SUM(I20:I22)</f>
        <v>0.35672680719333771</v>
      </c>
      <c r="K21" s="1220">
        <f>I21/$AJ$28</f>
        <v>0.42061927614550904</v>
      </c>
      <c r="L21" s="1220">
        <f t="shared" si="2"/>
        <v>0.7492551278109566</v>
      </c>
      <c r="M21" s="1220">
        <f t="shared" ref="M21" si="37" xml:space="preserve"> 500 * (L20 - L21 )</f>
        <v>-33.081270982641243</v>
      </c>
      <c r="N21" s="1219">
        <f xml:space="preserve"> I20/100 * -0.9689 + I21/100*  1.8758 + I22/100 *  0.0415</f>
        <v>0.51436987213683083</v>
      </c>
      <c r="O21" s="1222">
        <f t="shared" si="3"/>
        <v>189.90953390734151</v>
      </c>
      <c r="Q21" s="656">
        <v>2193</v>
      </c>
      <c r="R21" s="710">
        <f t="shared" ref="R21" si="38">Q21/SUM(Q20:Q22)*255</f>
        <v>114.27943760984184</v>
      </c>
      <c r="S21" s="426">
        <f t="shared" si="0"/>
        <v>189.90953390734151</v>
      </c>
      <c r="T21" s="964">
        <v>34.188249134173923</v>
      </c>
      <c r="U21" s="964">
        <f>T21/$AJ$28</f>
        <v>0.3418824913417392</v>
      </c>
      <c r="V21" s="964">
        <f t="shared" si="4"/>
        <v>0.69923896293192844</v>
      </c>
      <c r="W21" s="964">
        <f xml:space="preserve"> 500 * (V20 - V21 )</f>
        <v>-24.514167278717359</v>
      </c>
      <c r="X21" s="964">
        <f xml:space="preserve"> T20/100 * -0.9689 + T21/100*  1.8758 + T22/100 *  0.0415</f>
        <v>0.40154792699782638</v>
      </c>
      <c r="Y21" s="965">
        <f t="shared" si="5"/>
        <v>169.9179801745608</v>
      </c>
      <c r="Z21" s="1047"/>
      <c r="AB21" s="1412"/>
      <c r="AC21" s="99">
        <v>8</v>
      </c>
      <c r="AD21" s="328">
        <v>-3.0151672246999999E-4</v>
      </c>
      <c r="AE21" s="328">
        <v>-1.4849438195E-3</v>
      </c>
      <c r="AF21" s="328">
        <v>2.2951795443000001E-3</v>
      </c>
      <c r="AH21" s="1396" t="s">
        <v>166</v>
      </c>
      <c r="AI21" s="1396"/>
      <c r="AJ21" s="1396"/>
      <c r="AK21" s="1396"/>
      <c r="AL21" s="1396"/>
    </row>
    <row r="22" spans="1:40" ht="15.75" thickBot="1">
      <c r="A22" s="96"/>
      <c r="B22" s="97"/>
      <c r="C22" s="1416"/>
      <c r="D22" s="384">
        <f t="shared" si="1"/>
        <v>172.00470214339384</v>
      </c>
      <c r="E22" s="372">
        <v>-0.19900000000000001</v>
      </c>
      <c r="F22" s="1223">
        <f>F21 - E22 / 200</f>
        <v>0.74857258620689648</v>
      </c>
      <c r="G22" s="1223">
        <f>IF(F22^3&gt;0.008856,F22^3*$AJ$25, (F22- 16 / 116 ) / 7.787*$AJ$25)</f>
        <v>34.615151596104958</v>
      </c>
      <c r="H22" s="1224">
        <f>G21</f>
        <v>41.78003657085155</v>
      </c>
      <c r="I22" s="1223">
        <v>45.553398128804254</v>
      </c>
      <c r="J22" s="1224">
        <f>I21</f>
        <v>42.061927614550903</v>
      </c>
      <c r="K22" s="1224">
        <f>I22/$AJ$29</f>
        <v>0.41837015997726235</v>
      </c>
      <c r="L22" s="1224">
        <f t="shared" si="2"/>
        <v>0.74791727948495235</v>
      </c>
      <c r="M22" s="1224">
        <f t="shared" ref="M22" si="39" xml:space="preserve"> 200 * ( L21 - L22 )</f>
        <v>0.26756966520085079</v>
      </c>
      <c r="N22" s="1223">
        <f xml:space="preserve"> I20/100 *  0.0557 + I21/100 * -0.204 + I22/100 *  1.057</f>
        <v>0.41256764068581253</v>
      </c>
      <c r="O22" s="1226">
        <f t="shared" si="3"/>
        <v>172.00470214339384</v>
      </c>
      <c r="Q22" s="657">
        <v>1805.8</v>
      </c>
      <c r="R22" s="711">
        <f t="shared" ref="R22" si="40">Q22/SUM(Q20:Q22)*255</f>
        <v>94.102055830302035</v>
      </c>
      <c r="S22" s="427">
        <f t="shared" si="0"/>
        <v>172.00470214339384</v>
      </c>
      <c r="T22" s="967">
        <v>32.278795520689158</v>
      </c>
      <c r="U22" s="967">
        <f>T22/$AJ$29</f>
        <v>0.29645395076080894</v>
      </c>
      <c r="V22" s="967">
        <f t="shared" si="4"/>
        <v>0.66678488654990076</v>
      </c>
      <c r="W22" s="967">
        <f xml:space="preserve"> 200 * ( V21 - V22 )</f>
        <v>6.4908152764055371</v>
      </c>
      <c r="X22" s="967">
        <f xml:space="preserve"> T20/100 *  0.0557 + T21/100 * -0.204 + T22/100 *  1.057</f>
        <v>0.28599595006740131</v>
      </c>
      <c r="Y22" s="968">
        <f t="shared" si="5"/>
        <v>145.66433955644806</v>
      </c>
      <c r="Z22" s="1048"/>
      <c r="AB22" s="1412"/>
      <c r="AC22" s="99">
        <v>9</v>
      </c>
      <c r="AD22" s="328">
        <v>1.6399558417999999E-3</v>
      </c>
      <c r="AE22" s="328">
        <v>-1.7216948821E-3</v>
      </c>
      <c r="AF22" s="328">
        <v>5.7800437991999999E-4</v>
      </c>
      <c r="AH22" s="76"/>
    </row>
    <row r="23" spans="1:40" ht="15.75" customHeight="1" thickBot="1">
      <c r="A23" s="1390" t="s">
        <v>114</v>
      </c>
      <c r="B23" s="1391"/>
      <c r="C23" s="1391"/>
      <c r="D23" s="1391"/>
      <c r="E23" s="1391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Q23" s="658"/>
      <c r="R23" s="419"/>
      <c r="S23" s="184"/>
      <c r="T23" s="184"/>
      <c r="U23" s="184"/>
      <c r="V23" s="184"/>
      <c r="W23" s="184"/>
      <c r="X23" s="184"/>
      <c r="Y23" s="184"/>
      <c r="Z23" s="185"/>
      <c r="AB23" s="1412"/>
      <c r="AC23" s="99">
        <v>10</v>
      </c>
      <c r="AD23" s="328">
        <v>3.6650356177E-4</v>
      </c>
      <c r="AE23" s="328">
        <v>-1.3992066108E-3</v>
      </c>
      <c r="AF23" s="328">
        <v>1.5356130632999999E-3</v>
      </c>
      <c r="AH23" s="320" t="s">
        <v>146</v>
      </c>
      <c r="AI23" s="320" t="s">
        <v>163</v>
      </c>
      <c r="AJ23" s="319">
        <v>96.421999999999997</v>
      </c>
      <c r="AK23" s="321"/>
      <c r="AL23" s="321"/>
    </row>
    <row r="24" spans="1:40" ht="15.75" thickBot="1">
      <c r="A24" s="92">
        <v>7</v>
      </c>
      <c r="B24" s="93" t="s">
        <v>115</v>
      </c>
      <c r="C24" s="1417"/>
      <c r="D24" s="382">
        <f t="shared" si="1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IF(F24^3&gt;0.008856,F24^3*$AJ$23, (F24- 16 / 116 ) / 7.787*$AJ$23)</f>
        <v>40.718082791990795</v>
      </c>
      <c r="H24" s="1216">
        <f>G24/SUM(G24:G26)</f>
        <v>0.52952864462754456</v>
      </c>
      <c r="I24" s="1215">
        <f t="array" ref="I24:I26">MMULT($AJ$34:$AL$36,G24:G26)</f>
        <v>38.506327134135688</v>
      </c>
      <c r="J24" s="1217">
        <f>I24/SUM(I24:I26)</f>
        <v>0.51031401695589362</v>
      </c>
      <c r="K24" s="1217">
        <f>I24/$AJ$27</f>
        <v>0.4051293269028553</v>
      </c>
      <c r="L24" s="1217">
        <f t="shared" si="2"/>
        <v>0.73994236640432509</v>
      </c>
      <c r="M24" s="1217">
        <f t="shared" si="34"/>
        <v>62.036354240270256</v>
      </c>
      <c r="N24" s="1215">
        <f>I24/100*  3.2406 + I25/100 * -1.5372 + I26/100 * -0.4986</f>
        <v>0.74740178306099636</v>
      </c>
      <c r="O24" s="1218">
        <f t="shared" si="3"/>
        <v>224.26557253285961</v>
      </c>
      <c r="Q24" s="655">
        <v>2657.6001000000001</v>
      </c>
      <c r="R24" s="712">
        <f t="shared" ref="R24" si="41">Q24/SUM(Q24:Q26)*255</f>
        <v>150.08371583727433</v>
      </c>
      <c r="S24" s="428">
        <f t="shared" ref="S24:S41" si="42">O24</f>
        <v>224.26557253285961</v>
      </c>
      <c r="T24" s="970">
        <f t="array" ref="T24:T26">MMULT($AI$14:$AK$16,R24:R26)</f>
        <v>37.08965567440908</v>
      </c>
      <c r="U24" s="970">
        <f>T24/$AJ$27</f>
        <v>0.39022436977925745</v>
      </c>
      <c r="V24" s="970">
        <f t="shared" si="4"/>
        <v>0.73075443976171917</v>
      </c>
      <c r="W24" s="970">
        <f xml:space="preserve"> 116 * V25  - 16</f>
        <v>62.637561473889249</v>
      </c>
      <c r="X24" s="970">
        <f>T24/100*  3.2406 + T25/100 * -1.5372 + T26/100 * -0.4986</f>
        <v>0.6764414876114534</v>
      </c>
      <c r="Y24" s="971">
        <f t="shared" ref="Y24:Y41" si="43">IF(X24&gt; 0.0031308,(1.055 * (X24^ ( 1 / 2.4 ) ) - 0.055)*255, 12.92 * X24*255)</f>
        <v>214.56395296390136</v>
      </c>
      <c r="Z24" s="1049">
        <f t="shared" ref="Z24" si="44">SQRT(( ( M24-W24 ) ^ 2 ) + ( ( M25 - W25 ) ^ 2 ) + ( (M26 - W26 ) ^ 2 ))</f>
        <v>11.526856047026458</v>
      </c>
      <c r="AB24" s="1412"/>
      <c r="AC24" s="99">
        <v>11</v>
      </c>
      <c r="AD24" s="328">
        <v>-4.2097514290000002E-4</v>
      </c>
      <c r="AE24" s="328">
        <v>2.7972953433999998E-3</v>
      </c>
      <c r="AF24" s="328">
        <v>-1.9057330014999999E-3</v>
      </c>
      <c r="AH24" s="322"/>
      <c r="AI24" s="320" t="s">
        <v>164</v>
      </c>
      <c r="AJ24" s="319">
        <v>100</v>
      </c>
      <c r="AK24" s="321"/>
      <c r="AL24" s="321"/>
    </row>
    <row r="25" spans="1:40" ht="15.75" thickBot="1">
      <c r="A25" s="94"/>
      <c r="B25" s="95"/>
      <c r="C25" s="1418"/>
      <c r="D25" s="383">
        <f t="shared" si="1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IF(F25^3&gt;0.008856,F25^3*$AJ$24, (F25- 16 / 116 ) / 7.787*$AJ$24)</f>
        <v>31.182032647836948</v>
      </c>
      <c r="H25" s="1220">
        <f>G25/SUM(G24:G26)</f>
        <v>0.4055146596437687</v>
      </c>
      <c r="I25" s="1219">
        <v>30.445067890689934</v>
      </c>
      <c r="J25" s="1221">
        <f>I25/SUM(I24:I26)</f>
        <v>0.40348031214900776</v>
      </c>
      <c r="K25" s="1221">
        <f>I25/$AJ$28</f>
        <v>0.30445067890689936</v>
      </c>
      <c r="L25" s="1221">
        <f t="shared" si="2"/>
        <v>0.67272719172646778</v>
      </c>
      <c r="M25" s="1221">
        <f t="shared" ref="M25" si="45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3"/>
        <v>123.75545165140458</v>
      </c>
      <c r="Q25" s="656">
        <v>1157.8</v>
      </c>
      <c r="R25" s="713">
        <f t="shared" ref="R25" si="46">Q25/SUM(Q24:Q26)*255</f>
        <v>65.384903543763485</v>
      </c>
      <c r="S25" s="429">
        <f t="shared" si="42"/>
        <v>123.75545165140458</v>
      </c>
      <c r="T25" s="973">
        <v>31.15416713121741</v>
      </c>
      <c r="U25" s="973">
        <f>T25/$AJ$28</f>
        <v>0.31154167131217408</v>
      </c>
      <c r="V25" s="973">
        <f t="shared" si="4"/>
        <v>0.67791001270594176</v>
      </c>
      <c r="W25" s="973">
        <f xml:space="preserve"> 500 * (V24 - V25 )</f>
        <v>26.422213527888704</v>
      </c>
      <c r="X25" s="973">
        <f xml:space="preserve"> T24/100 * -0.9689 + T25/100*  1.8758 + T26/100 *  0.0415</f>
        <v>0.22890552482019971</v>
      </c>
      <c r="Y25" s="974">
        <f t="shared" si="43"/>
        <v>131.51512868649169</v>
      </c>
      <c r="Z25" s="1050"/>
      <c r="AB25" s="1412"/>
      <c r="AC25" s="99">
        <v>12</v>
      </c>
      <c r="AD25" s="328">
        <v>8.7261170815999996E-4</v>
      </c>
      <c r="AE25" s="328">
        <v>6.4114759348999999E-4</v>
      </c>
      <c r="AF25" s="328">
        <v>-1.0332552544E-3</v>
      </c>
      <c r="AH25" s="322"/>
      <c r="AI25" s="320" t="s">
        <v>165</v>
      </c>
      <c r="AJ25" s="319">
        <v>82.521000000000001</v>
      </c>
      <c r="AK25" s="321"/>
      <c r="AL25" s="321"/>
    </row>
    <row r="26" spans="1:40" ht="15.75" thickBot="1">
      <c r="A26" s="96"/>
      <c r="B26" s="97"/>
      <c r="C26" s="1418"/>
      <c r="D26" s="384">
        <f t="shared" si="1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IF(F26^3&gt;0.008856,F26^3*$AJ$25, (F26- 16 / 116 ) / 7.787*$AJ$25)</f>
        <v>4.9948423780458118</v>
      </c>
      <c r="H26" s="1224">
        <f>G25</f>
        <v>31.182032647836948</v>
      </c>
      <c r="I26" s="1223">
        <v>6.5047473790852468</v>
      </c>
      <c r="J26" s="1225">
        <f>I25</f>
        <v>30.445067890689934</v>
      </c>
      <c r="K26" s="1225">
        <f>I26/$AJ$29</f>
        <v>5.9740706805334595E-2</v>
      </c>
      <c r="L26" s="1225">
        <f t="shared" si="2"/>
        <v>0.39092200615817502</v>
      </c>
      <c r="M26" s="1225">
        <f t="shared" ref="M26" si="47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3"/>
        <v>46.703112372096498</v>
      </c>
      <c r="Q26" s="657">
        <v>700</v>
      </c>
      <c r="R26" s="713">
        <f t="shared" ref="R26" si="48">Q26/SUM(Q24:Q26)*255</f>
        <v>39.531380618962203</v>
      </c>
      <c r="S26" s="429">
        <f t="shared" si="42"/>
        <v>46.703112372096498</v>
      </c>
      <c r="T26" s="973">
        <v>9.3429677160796736</v>
      </c>
      <c r="U26" s="973">
        <f>T26/$AJ$29</f>
        <v>8.5807405344081947E-2</v>
      </c>
      <c r="V26" s="973">
        <f t="shared" si="4"/>
        <v>0.44107074850781991</v>
      </c>
      <c r="W26" s="973">
        <f xml:space="preserve"> 200 * ( V25 - V26 )</f>
        <v>47.367852839624369</v>
      </c>
      <c r="X26" s="973">
        <f xml:space="preserve"> T24/100 *  0.0557 + T25/100 * -0.204 + T26/100 *  1.057</f>
        <v>5.5859606021924489E-2</v>
      </c>
      <c r="Y26" s="974">
        <f t="shared" si="43"/>
        <v>66.838043878762178</v>
      </c>
      <c r="Z26" s="1050"/>
      <c r="AB26" s="1412"/>
      <c r="AC26" s="99">
        <v>13</v>
      </c>
      <c r="AD26" s="328">
        <v>-3.7202177272999999E-4</v>
      </c>
      <c r="AE26" s="328">
        <v>-1.8100273348000001E-3</v>
      </c>
      <c r="AF26" s="328">
        <v>2.6942617345000002E-3</v>
      </c>
      <c r="AH26" s="323"/>
      <c r="AI26" s="321"/>
      <c r="AJ26" s="321"/>
      <c r="AK26" s="321"/>
      <c r="AL26" s="321"/>
    </row>
    <row r="27" spans="1:40" ht="15.75" thickBot="1">
      <c r="A27" s="92">
        <v>8</v>
      </c>
      <c r="B27" s="93" t="s">
        <v>116</v>
      </c>
      <c r="C27" s="1419"/>
      <c r="D27" s="382">
        <f t="shared" si="1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IF(F27^3&gt;0.008856,F27^3*$AJ$23, (F27- 16 / 116 ) / 7.787*$AJ$23)</f>
        <v>12.326051798005418</v>
      </c>
      <c r="H27" s="1216">
        <f>G27/SUM(G27:G29)</f>
        <v>0.23052745763339449</v>
      </c>
      <c r="I27" s="1215">
        <f t="array" ref="I27:I29">MMULT($AJ$34:$AL$36,G27:G29)</f>
        <v>13.406311599853042</v>
      </c>
      <c r="J27" s="1217">
        <f>I27/SUM(I27:I29)</f>
        <v>0.20714746526211641</v>
      </c>
      <c r="K27" s="1217">
        <f>I27/$AJ$27</f>
        <v>0.14104928719321014</v>
      </c>
      <c r="L27" s="1217">
        <f t="shared" si="2"/>
        <v>0.5205434249852271</v>
      </c>
      <c r="M27" s="1217">
        <f t="shared" ref="M27:M39" si="49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3"/>
        <v>67.856400699023411</v>
      </c>
      <c r="Q27" s="655">
        <v>413.8</v>
      </c>
      <c r="R27" s="714">
        <f t="shared" ref="R27:R39" si="50">Q27/SUM(Q27:Q29)*255</f>
        <v>35.23877905423457</v>
      </c>
      <c r="S27" s="430">
        <f t="shared" si="42"/>
        <v>67.856400699023411</v>
      </c>
      <c r="T27" s="976">
        <f t="array" ref="T27:T29">MMULT($AI$14:$AK$16,R27:R29)</f>
        <v>12.096360511537531</v>
      </c>
      <c r="U27" s="976">
        <f>T27/$AJ$27</f>
        <v>0.12726714690140176</v>
      </c>
      <c r="V27" s="976">
        <f t="shared" si="4"/>
        <v>0.50300476908868941</v>
      </c>
      <c r="W27" s="976">
        <f xml:space="preserve"> 116 * V28  - 16</f>
        <v>39.011925916667344</v>
      </c>
      <c r="X27" s="976">
        <f t="shared" ref="X27:X33" si="51">T27/100*  3.2406 + T28/100 * -1.5372 + T29/100 * -0.4986</f>
        <v>1.3590270430531071E-2</v>
      </c>
      <c r="Y27" s="977">
        <f t="shared" si="43"/>
        <v>30.846544101404866</v>
      </c>
      <c r="Z27" s="1051">
        <f t="shared" ref="Z27:Z39" si="52">SQRT(( ( M27-W27 ) ^ 2 ) + ( ( M28 - W28 ) ^ 2 ) + ( (M29 - W29 ) ^ 2 ))</f>
        <v>7.1524920212875092</v>
      </c>
      <c r="AB27" s="1412"/>
      <c r="AC27" s="99">
        <v>14</v>
      </c>
      <c r="AD27" s="328">
        <v>-1.0780894928E-3</v>
      </c>
      <c r="AE27" s="328">
        <v>3.4738704111999998E-3</v>
      </c>
      <c r="AF27" s="328">
        <v>-1.9264149726000001E-3</v>
      </c>
      <c r="AH27" s="320" t="s">
        <v>33</v>
      </c>
      <c r="AI27" s="320" t="s">
        <v>163</v>
      </c>
      <c r="AJ27" s="319">
        <v>95.046999999999997</v>
      </c>
      <c r="AK27" s="321"/>
      <c r="AL27" s="321"/>
    </row>
    <row r="28" spans="1:40" ht="15.75" thickBot="1">
      <c r="A28" s="94"/>
      <c r="B28" s="95"/>
      <c r="C28" s="1419"/>
      <c r="D28" s="383">
        <f t="shared" si="1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IF(F28^3&gt;0.008856,F28^3*$AJ$24, (F28- 16 / 116 ) / 7.787*$AJ$24)</f>
        <v>11.263032720181233</v>
      </c>
      <c r="H28" s="1220">
        <f>G28/SUM(G27:G29)</f>
        <v>0.21064638870374264</v>
      </c>
      <c r="I28" s="1219">
        <v>11.654013845803803</v>
      </c>
      <c r="J28" s="1221">
        <f>I28/SUM(I27:I29)</f>
        <v>0.18007185722240932</v>
      </c>
      <c r="K28" s="1221">
        <f>I28/$AJ$28</f>
        <v>0.11654013845803803</v>
      </c>
      <c r="L28" s="1221">
        <f t="shared" si="2"/>
        <v>0.48845569396887573</v>
      </c>
      <c r="M28" s="1221">
        <f t="shared" ref="M28:M40" si="53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3"/>
        <v>91.231366881754894</v>
      </c>
      <c r="Q28" s="656">
        <v>887.6</v>
      </c>
      <c r="R28" s="714">
        <f t="shared" ref="R28:R40" si="54">Q28/SUM(Q27:Q29)*255</f>
        <v>75.587095912369747</v>
      </c>
      <c r="S28" s="430">
        <f t="shared" si="42"/>
        <v>91.231366881754894</v>
      </c>
      <c r="T28" s="976">
        <v>10.665877237368015</v>
      </c>
      <c r="U28" s="976">
        <f>T28/$AJ$28</f>
        <v>0.10665877237368016</v>
      </c>
      <c r="V28" s="976">
        <f t="shared" si="4"/>
        <v>0.47424074066092536</v>
      </c>
      <c r="W28" s="976">
        <f xml:space="preserve"> 500 * (V27 - V28 )</f>
        <v>14.382014213882021</v>
      </c>
      <c r="X28" s="976">
        <f xml:space="preserve"> T27/100 * -0.9689 + T28/100*  1.8758 + T29/100 *  0.0415</f>
        <v>0.10071809344019556</v>
      </c>
      <c r="Y28" s="977">
        <f t="shared" si="43"/>
        <v>89.351247496107874</v>
      </c>
      <c r="Z28" s="1051"/>
      <c r="AB28" s="1412"/>
      <c r="AC28" s="99">
        <v>15</v>
      </c>
      <c r="AD28" s="328">
        <v>2.1129838934999998E-3</v>
      </c>
      <c r="AE28" s="328">
        <v>-2.1799187480999998E-3</v>
      </c>
      <c r="AF28" s="328">
        <v>5.6381670015000001E-4</v>
      </c>
      <c r="AH28" s="322"/>
      <c r="AI28" s="320" t="s">
        <v>164</v>
      </c>
      <c r="AJ28" s="319">
        <v>100</v>
      </c>
      <c r="AK28" s="321"/>
      <c r="AL28" s="321"/>
    </row>
    <row r="29" spans="1:40" ht="15.75" thickBot="1">
      <c r="A29" s="96"/>
      <c r="B29" s="97"/>
      <c r="C29" s="1419"/>
      <c r="D29" s="384">
        <f t="shared" si="1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IF(F29^3&gt;0.008856,F29^3*$AJ$25, (F29- 16 / 116 ) / 7.787*$AJ$25)</f>
        <v>29.879825105617961</v>
      </c>
      <c r="H29" s="1224">
        <f>G28</f>
        <v>11.263032720181233</v>
      </c>
      <c r="I29" s="1223">
        <v>39.658359781262121</v>
      </c>
      <c r="J29" s="1225">
        <f>I28</f>
        <v>11.654013845803803</v>
      </c>
      <c r="K29" s="1225">
        <f>I29/$AJ$29</f>
        <v>0.36422912466833318</v>
      </c>
      <c r="L29" s="1225">
        <f t="shared" si="2"/>
        <v>0.7141534798282988</v>
      </c>
      <c r="M29" s="1225">
        <f t="shared" ref="M29:M41" si="55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3"/>
        <v>170.17236470319924</v>
      </c>
      <c r="Q29" s="657">
        <v>1693</v>
      </c>
      <c r="R29" s="714">
        <f t="shared" ref="R29:R41" si="56">Q29/SUM(Q27:Q29)*255</f>
        <v>144.17412503339568</v>
      </c>
      <c r="S29" s="430">
        <f t="shared" si="42"/>
        <v>170.17236470319924</v>
      </c>
      <c r="T29" s="976">
        <v>43.010133055261335</v>
      </c>
      <c r="U29" s="976">
        <f>T29/$AJ$29</f>
        <v>0.39501238076891099</v>
      </c>
      <c r="V29" s="976">
        <f t="shared" si="4"/>
        <v>0.73373105791740445</v>
      </c>
      <c r="W29" s="976">
        <f xml:space="preserve"> 200 * ( V28 - V29 )</f>
        <v>-51.898063451295819</v>
      </c>
      <c r="X29" s="976">
        <f t="shared" ref="X29:X35" si="57" xml:space="preserve"> T27/100 *  0.0557 + T28/100 * -0.204 + T29/100 *  1.057</f>
        <v>0.43959638963480796</v>
      </c>
      <c r="Y29" s="977">
        <f t="shared" si="43"/>
        <v>176.98899543031163</v>
      </c>
      <c r="Z29" s="1051"/>
      <c r="AB29" s="1412"/>
      <c r="AC29" s="99">
        <v>16</v>
      </c>
      <c r="AD29" s="328">
        <v>4.181507217E-4</v>
      </c>
      <c r="AE29" s="328">
        <v>1.5891818107E-3</v>
      </c>
      <c r="AF29" s="328">
        <v>-1.532049149E-3</v>
      </c>
      <c r="AH29" s="322"/>
      <c r="AI29" s="320" t="s">
        <v>165</v>
      </c>
      <c r="AJ29" s="319">
        <v>108.883</v>
      </c>
      <c r="AK29" s="321"/>
      <c r="AL29" s="321"/>
    </row>
    <row r="30" spans="1:40">
      <c r="A30" s="92">
        <v>9</v>
      </c>
      <c r="B30" s="93" t="s">
        <v>117</v>
      </c>
      <c r="C30" s="1392"/>
      <c r="D30" s="382">
        <f t="shared" si="1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IF(F30^3&gt;0.008856,F30^3*$AJ$23, (F30- 16 / 116 ) / 7.787*$AJ$23)</f>
        <v>29.671839945112154</v>
      </c>
      <c r="H30" s="1216">
        <f>G30/SUM(G30:G32)</f>
        <v>0.50118296689010589</v>
      </c>
      <c r="I30" s="1215">
        <f t="array" ref="I30:I32">MMULT($AJ$34:$AL$36,G30:G32)</f>
        <v>28.548799048791913</v>
      </c>
      <c r="J30" s="1217">
        <f>I30/SUM(I30:I32)</f>
        <v>0.46827612618607922</v>
      </c>
      <c r="K30" s="1217">
        <f>I30/$AJ$27</f>
        <v>0.30036507253034722</v>
      </c>
      <c r="L30" s="1217">
        <f t="shared" si="2"/>
        <v>0.66970438620871597</v>
      </c>
      <c r="M30" s="1217">
        <f t="shared" si="49"/>
        <v>50.619717045587052</v>
      </c>
      <c r="N30" s="1215">
        <f>I30/100*  3.2406 + I31/100 * -1.5372 + I32/100 * -0.4986</f>
        <v>0.5667860447179659</v>
      </c>
      <c r="O30" s="1218">
        <f t="shared" si="3"/>
        <v>198.324194853623</v>
      </c>
      <c r="Q30" s="655">
        <v>2100.1999999999998</v>
      </c>
      <c r="R30" s="715">
        <f t="shared" si="50"/>
        <v>146.00627044711013</v>
      </c>
      <c r="S30" s="431">
        <f t="shared" si="42"/>
        <v>198.324194853623</v>
      </c>
      <c r="T30" s="979">
        <f t="array" ref="T30:T32">MMULT($AI$14:$AK$16,R30:R32)</f>
        <v>32.092555427596984</v>
      </c>
      <c r="U30" s="979">
        <f>T30/$AJ$27</f>
        <v>0.33764932536110542</v>
      </c>
      <c r="V30" s="979">
        <f t="shared" si="4"/>
        <v>0.69634099240978597</v>
      </c>
      <c r="W30" s="979">
        <f xml:space="preserve"> 116 * V31  - 16</f>
        <v>54.847606619743601</v>
      </c>
      <c r="X30" s="979">
        <f t="shared" si="51"/>
        <v>0.62411987508021116</v>
      </c>
      <c r="Y30" s="980">
        <f t="shared" si="43"/>
        <v>207.02353727935898</v>
      </c>
      <c r="Z30" s="1052">
        <f t="shared" si="52"/>
        <v>10.331178736448505</v>
      </c>
      <c r="AB30" s="1412"/>
      <c r="AC30" s="99">
        <v>17</v>
      </c>
      <c r="AD30" s="328">
        <v>1.2143140056999999E-3</v>
      </c>
      <c r="AE30" s="328">
        <v>-2.1082279818000001E-3</v>
      </c>
      <c r="AF30" s="328">
        <v>1.3969057927E-3</v>
      </c>
      <c r="AH30" s="76"/>
    </row>
    <row r="31" spans="1:40">
      <c r="A31" s="94"/>
      <c r="B31" s="95"/>
      <c r="C31" s="1392"/>
      <c r="D31" s="383">
        <f t="shared" si="1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IF(F31^3&gt;0.008856,F31^3*$AJ$24, (F31- 16 / 116 ) / 7.787*$AJ$24)</f>
        <v>19.375794446434863</v>
      </c>
      <c r="H31" s="1220">
        <f>G31/SUM(G30:G32)</f>
        <v>0.32727387868364144</v>
      </c>
      <c r="I31" s="1219">
        <v>18.942372976704565</v>
      </c>
      <c r="J31" s="1221">
        <f>I31/SUM(I30:I32)</f>
        <v>0.31070522522307092</v>
      </c>
      <c r="K31" s="1221">
        <f>I31/$AJ$28</f>
        <v>0.18942372976704566</v>
      </c>
      <c r="L31" s="1221">
        <f t="shared" si="2"/>
        <v>0.57430790556540567</v>
      </c>
      <c r="M31" s="1221">
        <f t="shared" si="53"/>
        <v>47.698240321655149</v>
      </c>
      <c r="N31" s="1219">
        <f xml:space="preserve"> I30/100 * -0.9689 + I31/100*  1.8758 + I32/100 *  0.0415</f>
        <v>8.4303662685842981E-2</v>
      </c>
      <c r="O31" s="1222">
        <f t="shared" si="3"/>
        <v>81.965589373165727</v>
      </c>
      <c r="Q31" s="656">
        <v>742.6</v>
      </c>
      <c r="R31" s="715">
        <f t="shared" si="54"/>
        <v>51.62568157033806</v>
      </c>
      <c r="S31" s="431">
        <f t="shared" si="42"/>
        <v>81.965589373165727</v>
      </c>
      <c r="T31" s="979">
        <v>22.782510687986743</v>
      </c>
      <c r="U31" s="979">
        <f>T31/$AJ$28</f>
        <v>0.22782510687986743</v>
      </c>
      <c r="V31" s="979">
        <f t="shared" si="4"/>
        <v>0.61075522948054828</v>
      </c>
      <c r="W31" s="979">
        <f xml:space="preserve"> 500 * (V30 - V31 )</f>
        <v>42.792881464618851</v>
      </c>
      <c r="X31" s="979">
        <f xml:space="preserve"> T30/100 * -0.9689 + T31/100*  1.8758 + T32/100 *  0.0415</f>
        <v>0.12187454178992105</v>
      </c>
      <c r="Y31" s="980">
        <f t="shared" si="43"/>
        <v>97.898956759351464</v>
      </c>
      <c r="Z31" s="1052"/>
      <c r="AB31" s="1412"/>
      <c r="AC31" s="99">
        <v>18</v>
      </c>
      <c r="AD31" s="328">
        <v>-9.1971999474999998E-4</v>
      </c>
      <c r="AE31" s="328">
        <v>5.9091183698000002E-4</v>
      </c>
      <c r="AF31" s="328">
        <v>8.2325919637000003E-4</v>
      </c>
      <c r="AH31" s="1402" t="s">
        <v>169</v>
      </c>
      <c r="AI31" s="1402"/>
      <c r="AJ31" s="1402"/>
      <c r="AK31" s="1402"/>
      <c r="AL31" s="1402"/>
    </row>
    <row r="32" spans="1:40" ht="15.75" thickBot="1">
      <c r="A32" s="96"/>
      <c r="B32" s="97"/>
      <c r="C32" s="1392"/>
      <c r="D32" s="384">
        <f t="shared" si="1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IF(F32^3&gt;0.008856,F32^3*$AJ$25, (F32- 16 / 116 ) / 7.787*$AJ$25)</f>
        <v>10.15597368242466</v>
      </c>
      <c r="H32" s="1224">
        <f>G31</f>
        <v>19.375794446434863</v>
      </c>
      <c r="I32" s="1223">
        <v>13.474564753165298</v>
      </c>
      <c r="J32" s="1225">
        <f>I31</f>
        <v>18.942372976704565</v>
      </c>
      <c r="K32" s="1225">
        <f>I32/$AJ$29</f>
        <v>0.12375269558301387</v>
      </c>
      <c r="L32" s="1225">
        <f t="shared" si="2"/>
        <v>0.49833136495291397</v>
      </c>
      <c r="M32" s="1225">
        <f t="shared" si="55"/>
        <v>15.195308122498341</v>
      </c>
      <c r="N32" s="1223">
        <f xml:space="preserve"> I30/100 *  0.0557 + I31/100 * -0.204 + I32/100 *  1.057</f>
        <v>0.11968538963865696</v>
      </c>
      <c r="O32" s="1226">
        <f t="shared" si="3"/>
        <v>97.056852604465689</v>
      </c>
      <c r="Q32" s="657">
        <v>825.2</v>
      </c>
      <c r="R32" s="715">
        <f t="shared" si="56"/>
        <v>57.368047982551801</v>
      </c>
      <c r="S32" s="431">
        <f t="shared" si="42"/>
        <v>97.056852604465689</v>
      </c>
      <c r="T32" s="979">
        <v>13.168616488320236</v>
      </c>
      <c r="U32" s="979">
        <f>T32/$AJ$29</f>
        <v>0.12094281465720302</v>
      </c>
      <c r="V32" s="979">
        <f t="shared" si="4"/>
        <v>0.49453081367045154</v>
      </c>
      <c r="W32" s="979">
        <f xml:space="preserve"> 200 * ( V31 - V32 )</f>
        <v>23.244883162019349</v>
      </c>
      <c r="X32" s="979">
        <f t="shared" si="57"/>
        <v>0.11059150785122347</v>
      </c>
      <c r="Y32" s="980">
        <f t="shared" si="43"/>
        <v>93.458891412214513</v>
      </c>
      <c r="Z32" s="1052"/>
      <c r="AB32" s="1412"/>
      <c r="AC32" s="99">
        <v>19</v>
      </c>
      <c r="AD32" s="328">
        <v>-7.5749008248000003E-5</v>
      </c>
      <c r="AE32" s="328">
        <v>5.3479866350000002E-4</v>
      </c>
      <c r="AF32" s="328">
        <v>2.9561093656999999E-5</v>
      </c>
      <c r="AH32" s="332" t="s">
        <v>167</v>
      </c>
      <c r="AI32" s="332"/>
      <c r="AJ32" s="332"/>
      <c r="AK32" s="332"/>
      <c r="AL32" s="332"/>
    </row>
    <row r="33" spans="1:43" ht="15.75" thickBot="1">
      <c r="A33" s="92">
        <v>10</v>
      </c>
      <c r="B33" s="93" t="s">
        <v>118</v>
      </c>
      <c r="C33" s="1423"/>
      <c r="D33" s="382">
        <f t="shared" si="1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IF(F33^3&gt;0.008856,F33^3*$AJ$23, (F33- 16 / 116 ) / 7.787*$AJ$23)</f>
        <v>8.5143237847005686</v>
      </c>
      <c r="H33" s="1216">
        <f>G33/SUM(G33:G35)</f>
        <v>0.33186275702243384</v>
      </c>
      <c r="I33" s="1215">
        <f t="array" ref="I33:I35">MMULT($AJ$34:$AL$36,G33:G35)</f>
        <v>8.6698010004617139</v>
      </c>
      <c r="J33" s="1217">
        <f>I33/SUM(I33:I35)</f>
        <v>0.29500443423613082</v>
      </c>
      <c r="K33" s="1217">
        <f>I33/$AJ$27</f>
        <v>9.1215935278985277E-2</v>
      </c>
      <c r="L33" s="1217">
        <f t="shared" si="2"/>
        <v>0.4501496379376016</v>
      </c>
      <c r="M33" s="1217">
        <f t="shared" si="49"/>
        <v>30.442928764338248</v>
      </c>
      <c r="N33" s="1215">
        <f>I33/100*  3.2406 + I34/100 * -1.5372 + I35/100 * -0.4986</f>
        <v>0.11099400632354926</v>
      </c>
      <c r="O33" s="1218">
        <f t="shared" si="3"/>
        <v>93.621713838781943</v>
      </c>
      <c r="Q33" s="655">
        <v>468</v>
      </c>
      <c r="R33" s="716">
        <f t="shared" si="50"/>
        <v>75.646551724137936</v>
      </c>
      <c r="S33" s="432">
        <f t="shared" si="42"/>
        <v>93.621713838781943</v>
      </c>
      <c r="T33" s="982">
        <f t="array" ref="T33:T35">MMULT($AI$14:$AK$16,R33:R35)</f>
        <v>19.976408819523531</v>
      </c>
      <c r="U33" s="982">
        <f>T33/$AJ$27</f>
        <v>0.21017400674954004</v>
      </c>
      <c r="V33" s="982">
        <f t="shared" si="4"/>
        <v>0.59455632178423112</v>
      </c>
      <c r="W33" s="982">
        <f xml:space="preserve"> 116 * V34  - 16</f>
        <v>47.203253461254647</v>
      </c>
      <c r="X33" s="982">
        <f t="shared" si="51"/>
        <v>0.24041143483325045</v>
      </c>
      <c r="Y33" s="983">
        <f t="shared" si="43"/>
        <v>134.51973850396382</v>
      </c>
      <c r="Z33" s="1053">
        <f t="shared" si="52"/>
        <v>16.886826115291409</v>
      </c>
      <c r="AB33" s="1412"/>
      <c r="AC33" s="99">
        <v>20</v>
      </c>
      <c r="AD33" s="328">
        <v>-1.0209345388999999E-4</v>
      </c>
      <c r="AE33" s="328">
        <v>5.1531568379000001E-4</v>
      </c>
      <c r="AF33" s="328">
        <v>7.5764368983999999E-5</v>
      </c>
      <c r="AH33" s="76"/>
    </row>
    <row r="34" spans="1:43">
      <c r="A34" s="94"/>
      <c r="B34" s="95"/>
      <c r="C34" s="1423"/>
      <c r="D34" s="383">
        <f t="shared" si="1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IF(F34^3&gt;0.008856,F34^3*$AJ$24, (F34- 16 / 116 ) / 7.787*$AJ$24)</f>
        <v>6.3690156537094742</v>
      </c>
      <c r="H34" s="1220">
        <f>G34/SUM(G33:G35)</f>
        <v>0.24824509236506528</v>
      </c>
      <c r="I34" s="1219">
        <v>6.4177800664010629</v>
      </c>
      <c r="J34" s="1221">
        <f>I34/SUM(I33:I35)</f>
        <v>0.21837566715080733</v>
      </c>
      <c r="K34" s="1221">
        <f>I34/$AJ$28</f>
        <v>6.4177800664010631E-2</v>
      </c>
      <c r="L34" s="1221">
        <f t="shared" si="2"/>
        <v>0.40037007555464005</v>
      </c>
      <c r="M34" s="1221">
        <f t="shared" si="53"/>
        <v>24.889781191480775</v>
      </c>
      <c r="N34" s="1219">
        <f xml:space="preserve"> I33/100 * -0.9689 + I34/100*  1.8758 + I35/100 *  0.0415</f>
        <v>4.2317986835244223E-2</v>
      </c>
      <c r="O34" s="1222">
        <f t="shared" si="3"/>
        <v>58.004664131651644</v>
      </c>
      <c r="Q34" s="656">
        <v>426</v>
      </c>
      <c r="R34" s="716">
        <f t="shared" si="54"/>
        <v>68.857758620689665</v>
      </c>
      <c r="S34" s="432">
        <f t="shared" si="42"/>
        <v>58.004664131651644</v>
      </c>
      <c r="T34" s="982">
        <v>16.17500175041755</v>
      </c>
      <c r="U34" s="982">
        <f>T34/$AJ$28</f>
        <v>0.1617500175041755</v>
      </c>
      <c r="V34" s="982">
        <f t="shared" si="4"/>
        <v>0.54485563328667797</v>
      </c>
      <c r="W34" s="982">
        <f xml:space="preserve"> 500 * (V33 - V34 )</f>
        <v>24.85034424877658</v>
      </c>
      <c r="X34" s="982">
        <f xml:space="preserve"> T33/100 * -0.9689 + T34/100*  1.8758 + T35/100 *  0.0415</f>
        <v>0.12303521167745553</v>
      </c>
      <c r="Y34" s="983">
        <f t="shared" si="43"/>
        <v>98.341856644079712</v>
      </c>
      <c r="Z34" s="1053"/>
      <c r="AB34" s="1412"/>
      <c r="AC34" s="99">
        <v>21</v>
      </c>
      <c r="AD34" s="328">
        <v>-1.091958794E-4</v>
      </c>
      <c r="AE34" s="328">
        <v>4.7085533262999999E-4</v>
      </c>
      <c r="AF34" s="328">
        <v>1.277858345E-4</v>
      </c>
      <c r="AH34" s="89" t="s">
        <v>168</v>
      </c>
      <c r="AI34" s="324" t="s">
        <v>163</v>
      </c>
      <c r="AJ34" s="333">
        <v>0.9555766</v>
      </c>
      <c r="AK34" s="334">
        <v>-2.3039299999999999E-2</v>
      </c>
      <c r="AL34" s="335">
        <v>6.31636E-2</v>
      </c>
    </row>
    <row r="35" spans="1:43" ht="15.75" thickBot="1">
      <c r="A35" s="96"/>
      <c r="B35" s="97"/>
      <c r="C35" s="1423"/>
      <c r="D35" s="384">
        <f t="shared" si="1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IF(F35^3&gt;0.008856,F35^3*$AJ$25, (F35- 16 / 116 ) / 7.787*$AJ$25)</f>
        <v>10.772819936307023</v>
      </c>
      <c r="H35" s="1224">
        <f>G34</f>
        <v>6.3690156537094742</v>
      </c>
      <c r="I35" s="1223">
        <v>14.301133116064159</v>
      </c>
      <c r="J35" s="1225">
        <f>I34</f>
        <v>6.4177800664010629</v>
      </c>
      <c r="K35" s="1225">
        <f>I35/$AJ$29</f>
        <v>0.13134404008030784</v>
      </c>
      <c r="L35" s="1225">
        <f t="shared" si="2"/>
        <v>0.50831952339290942</v>
      </c>
      <c r="M35" s="1225">
        <f t="shared" si="55"/>
        <v>-21.589889567653874</v>
      </c>
      <c r="N35" s="1223">
        <f xml:space="preserve"> I33/100 *  0.0557 + I34/100 * -0.204 + I35/100 *  1.057</f>
        <v>0.14289978485859717</v>
      </c>
      <c r="O35" s="1226">
        <f t="shared" si="3"/>
        <v>105.57259954157003</v>
      </c>
      <c r="Q35" s="657">
        <v>683.6</v>
      </c>
      <c r="R35" s="716">
        <f t="shared" si="56"/>
        <v>110.49568965517243</v>
      </c>
      <c r="S35" s="432">
        <f t="shared" si="42"/>
        <v>105.57259954157003</v>
      </c>
      <c r="T35" s="982">
        <v>31.749286495148525</v>
      </c>
      <c r="U35" s="982">
        <f>T35/$AJ$29</f>
        <v>0.29159084976670852</v>
      </c>
      <c r="V35" s="982">
        <f t="shared" si="4"/>
        <v>0.66311873352064632</v>
      </c>
      <c r="W35" s="982">
        <f xml:space="preserve"> 200 * ( V34 - V35 )</f>
        <v>-23.652620046793672</v>
      </c>
      <c r="X35" s="982">
        <f t="shared" si="57"/>
        <v>0.31371981439534269</v>
      </c>
      <c r="Y35" s="983">
        <f t="shared" si="43"/>
        <v>151.9407421513983</v>
      </c>
      <c r="Z35" s="1053"/>
      <c r="AB35" s="1412"/>
      <c r="AC35" s="99">
        <v>22</v>
      </c>
      <c r="AD35" s="328">
        <v>-9.0227922543000002E-5</v>
      </c>
      <c r="AE35" s="328">
        <v>4.169045376E-4</v>
      </c>
      <c r="AF35" s="328">
        <v>1.6311766079000001E-4</v>
      </c>
      <c r="AH35" s="89"/>
      <c r="AI35" s="324" t="s">
        <v>164</v>
      </c>
      <c r="AJ35" s="336">
        <v>-2.8289499999999999E-2</v>
      </c>
      <c r="AK35" s="337">
        <v>1.0099416000000001</v>
      </c>
      <c r="AL35" s="338">
        <v>2.1007700000000001E-2</v>
      </c>
    </row>
    <row r="36" spans="1:43" ht="15.75" thickBot="1">
      <c r="A36" s="92">
        <v>11</v>
      </c>
      <c r="B36" s="93" t="s">
        <v>119</v>
      </c>
      <c r="C36" s="1424"/>
      <c r="D36" s="382">
        <f t="shared" si="1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IF(F36^3&gt;0.008856,F36^3*$AJ$23, (F36- 16 / 116 ) / 7.787*$AJ$23)</f>
        <v>35.361526716483262</v>
      </c>
      <c r="H36" s="1216">
        <f>G36/SUM(G36:G38)</f>
        <v>0.39835246185045525</v>
      </c>
      <c r="I36" s="1215">
        <f t="array" ref="I36:I38">MMULT($AJ$34:$AL$36,G36:G38)</f>
        <v>33.331878806276151</v>
      </c>
      <c r="J36" s="1217">
        <f>I36/SUM(I36:I38)</f>
        <v>0.37515956001437456</v>
      </c>
      <c r="K36" s="1217">
        <f>I36/$AJ$27</f>
        <v>0.3506883837078093</v>
      </c>
      <c r="L36" s="1217">
        <f t="shared" si="2"/>
        <v>0.70519159402631204</v>
      </c>
      <c r="M36" s="1217">
        <f t="shared" si="49"/>
        <v>72.285478736290671</v>
      </c>
      <c r="N36" s="1215">
        <f>I36/100*  3.2406 + I37/100 * -1.5372 + I38/100 * -0.4986</f>
        <v>0.34548345195153179</v>
      </c>
      <c r="O36" s="1218">
        <f t="shared" si="3"/>
        <v>158.74592602769013</v>
      </c>
      <c r="Q36" s="655">
        <v>1845.6</v>
      </c>
      <c r="R36" s="717">
        <f t="shared" si="50"/>
        <v>87.001885606536774</v>
      </c>
      <c r="S36" s="433">
        <f t="shared" si="42"/>
        <v>158.74592602769013</v>
      </c>
      <c r="T36" s="985">
        <f t="array" ref="T36:T38">MMULT($AI$14:$AK$16,R36:R38)</f>
        <v>36.384839914510387</v>
      </c>
      <c r="U36" s="985">
        <f>T36/$AJ$27</f>
        <v>0.38280892521079452</v>
      </c>
      <c r="V36" s="985">
        <f t="shared" si="4"/>
        <v>0.72609595653228753</v>
      </c>
      <c r="W36" s="985">
        <f xml:space="preserve"> 116 * V37  - 16</f>
        <v>72.311582924732576</v>
      </c>
      <c r="X36" s="985">
        <f>T36/100*  3.2406 + T37/100 * -1.5372 + T38/100 * -0.4986</f>
        <v>0.40357807199587525</v>
      </c>
      <c r="Y36" s="986">
        <f t="shared" si="43"/>
        <v>170.30490132037389</v>
      </c>
      <c r="Z36" s="1054">
        <f t="shared" si="52"/>
        <v>21.056516664360323</v>
      </c>
      <c r="AB36" s="1412"/>
      <c r="AC36" s="99">
        <v>23</v>
      </c>
      <c r="AD36" s="328">
        <v>-1.0803158722E-4</v>
      </c>
      <c r="AE36" s="328">
        <v>3.4616680876999999E-4</v>
      </c>
      <c r="AF36" s="328">
        <v>2.5243778833000002E-4</v>
      </c>
      <c r="AH36" s="76"/>
      <c r="AI36" s="324" t="s">
        <v>165</v>
      </c>
      <c r="AJ36" s="339">
        <v>1.22982E-2</v>
      </c>
      <c r="AK36" s="340">
        <v>-2.0483000000000001E-2</v>
      </c>
      <c r="AL36" s="341">
        <v>1.3299098</v>
      </c>
    </row>
    <row r="37" spans="1:43" ht="15.75" thickBot="1">
      <c r="A37" s="94"/>
      <c r="B37" s="95"/>
      <c r="C37" s="1424"/>
      <c r="D37" s="383">
        <f t="shared" si="1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IF(F37^3&gt;0.008856,F37^3*$AJ$24, (F37- 16 / 116 ) / 7.787*$AJ$24)</f>
        <v>44.455639126807164</v>
      </c>
      <c r="H37" s="1220">
        <f>G37/SUM(G36:G38)</f>
        <v>0.50079888889650959</v>
      </c>
      <c r="I37" s="1219">
        <v>44.085306181079623</v>
      </c>
      <c r="J37" s="1221">
        <f>I37/SUM(I36:I38)</f>
        <v>0.49619237385678483</v>
      </c>
      <c r="K37" s="1221">
        <f>I37/$AJ$28</f>
        <v>0.44085306181079625</v>
      </c>
      <c r="L37" s="1221">
        <f t="shared" si="2"/>
        <v>0.76108171324388507</v>
      </c>
      <c r="M37" s="1221">
        <f t="shared" si="53"/>
        <v>-27.945059608786515</v>
      </c>
      <c r="N37" s="1219">
        <f xml:space="preserve"> I36/100 * -0.9689 + I37/100*  1.8758 + I38/100 *  0.0415</f>
        <v>0.50874305841580747</v>
      </c>
      <c r="O37" s="1222">
        <f t="shared" si="3"/>
        <v>188.97701415884313</v>
      </c>
      <c r="Q37" s="656">
        <v>2455.1999999999998</v>
      </c>
      <c r="R37" s="717">
        <f t="shared" si="54"/>
        <v>115.73852922690132</v>
      </c>
      <c r="S37" s="433">
        <f t="shared" si="42"/>
        <v>188.97701415884313</v>
      </c>
      <c r="T37" s="985">
        <v>44.124423082107384</v>
      </c>
      <c r="U37" s="985">
        <f>T37/$AJ$28</f>
        <v>0.44124423082107384</v>
      </c>
      <c r="V37" s="985">
        <f t="shared" si="4"/>
        <v>0.76130674935114295</v>
      </c>
      <c r="W37" s="985">
        <f xml:space="preserve"> 500 * (V36 - V37 )</f>
        <v>-17.605396409427708</v>
      </c>
      <c r="X37" s="985">
        <f xml:space="preserve"> T36/100 * -0.9689 + T37/100*  1.8758 + T38/100 *  0.0415</f>
        <v>0.48324583232151475</v>
      </c>
      <c r="Y37" s="986">
        <f t="shared" si="43"/>
        <v>184.67415592981774</v>
      </c>
      <c r="Z37" s="1054"/>
      <c r="AB37" s="1413"/>
      <c r="AC37" s="100">
        <v>24</v>
      </c>
      <c r="AD37" s="329">
        <v>-4.4703882724999997E-5</v>
      </c>
      <c r="AE37" s="329">
        <v>2.3654192585999999E-4</v>
      </c>
      <c r="AF37" s="329">
        <v>2.9925754723000001E-4</v>
      </c>
      <c r="AH37" s="76"/>
    </row>
    <row r="38" spans="1:43" ht="15.75" thickBot="1">
      <c r="A38" s="96"/>
      <c r="B38" s="97"/>
      <c r="C38" s="1424"/>
      <c r="D38" s="384">
        <f t="shared" si="1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IF(F38^3&gt;0.008856,F38^3*$AJ$25, (F38- 16 / 116 ) / 7.787*$AJ$25)</f>
        <v>8.9522785633523227</v>
      </c>
      <c r="H38" s="1224">
        <f>G37</f>
        <v>44.455639126807164</v>
      </c>
      <c r="I38" s="1223">
        <v>11.430021265362438</v>
      </c>
      <c r="J38" s="1225">
        <f>I37</f>
        <v>44.085306181079623</v>
      </c>
      <c r="K38" s="1225">
        <f>I38/$AJ$29</f>
        <v>0.10497526028271115</v>
      </c>
      <c r="L38" s="1225">
        <f t="shared" si="2"/>
        <v>0.47173234292589566</v>
      </c>
      <c r="M38" s="1225">
        <f t="shared" si="55"/>
        <v>57.869874063597884</v>
      </c>
      <c r="N38" s="1223">
        <f xml:space="preserve"> I36/100 *  0.0557 + I37/100 * -0.204 + I38/100 *  1.057</f>
        <v>4.9447156660574337E-2</v>
      </c>
      <c r="O38" s="1226">
        <f t="shared" si="3"/>
        <v>62.832253035292226</v>
      </c>
      <c r="Q38" s="657">
        <v>1108.5999999999999</v>
      </c>
      <c r="R38" s="717">
        <f t="shared" si="56"/>
        <v>52.259585166561905</v>
      </c>
      <c r="S38" s="433">
        <f t="shared" si="42"/>
        <v>62.832253035292226</v>
      </c>
      <c r="T38" s="985">
        <v>19.500284527796559</v>
      </c>
      <c r="U38" s="985">
        <f>T38/$AJ$29</f>
        <v>0.17909393135564378</v>
      </c>
      <c r="V38" s="985">
        <f t="shared" si="4"/>
        <v>0.56367264187577626</v>
      </c>
      <c r="W38" s="985">
        <f xml:space="preserve"> 200 * ( V37 - V38 )</f>
        <v>39.526821495073335</v>
      </c>
      <c r="X38" s="985">
        <f xml:space="preserve"> T36/100 *  0.0557 + T37/100 * -0.204 + T38/100 *  1.057</f>
        <v>0.13637054020369285</v>
      </c>
      <c r="Y38" s="986">
        <f t="shared" si="43"/>
        <v>103.26460951858394</v>
      </c>
      <c r="Z38" s="1054"/>
      <c r="AH38" s="365" t="s">
        <v>159</v>
      </c>
      <c r="AI38" s="308"/>
      <c r="AJ38" s="308"/>
      <c r="AK38" s="308"/>
      <c r="AL38" s="308"/>
    </row>
    <row r="39" spans="1:43">
      <c r="A39" s="92">
        <v>12</v>
      </c>
      <c r="B39" s="93" t="s">
        <v>120</v>
      </c>
      <c r="C39" s="1403"/>
      <c r="D39" s="382">
        <f t="shared" si="1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IF(F39^3&gt;0.008856,F39^3*$AJ$23, (F39- 16 / 116 ) / 7.787*$AJ$23)</f>
        <v>48.785005521306303</v>
      </c>
      <c r="H39" s="1216">
        <f>G39/SUM(G39:G41)</f>
        <v>0.49568679631414136</v>
      </c>
      <c r="I39" s="1215">
        <f t="array" ref="I39:I41">MMULT($AJ$34:$AL$36,G39:G41)</f>
        <v>45.996902394099358</v>
      </c>
      <c r="J39" s="1217">
        <f>I39/SUM(I39:I41)</f>
        <v>0.47655804287629788</v>
      </c>
      <c r="K39" s="1217">
        <f>I39/$AJ$27</f>
        <v>0.48393849773374603</v>
      </c>
      <c r="L39" s="1217">
        <f t="shared" si="2"/>
        <v>0.78510918341971647</v>
      </c>
      <c r="M39" s="1217">
        <f t="shared" si="49"/>
        <v>71.386119196075384</v>
      </c>
      <c r="N39" s="1215">
        <f>I39/100*  3.2406 + I40/100 * -1.5372 + I41/100 * -0.4986</f>
        <v>0.79465331720385057</v>
      </c>
      <c r="O39" s="1218">
        <f t="shared" si="3"/>
        <v>230.43061395257749</v>
      </c>
      <c r="Q39" s="655">
        <v>2903.6001000000001</v>
      </c>
      <c r="R39" s="718">
        <f t="shared" si="50"/>
        <v>133.37500669425719</v>
      </c>
      <c r="S39" s="434">
        <f t="shared" si="42"/>
        <v>230.43061395257749</v>
      </c>
      <c r="T39" s="988">
        <f t="array" ref="T39:T41">MMULT($AI$14:$AK$16,R39:R41)</f>
        <v>37.758549672834526</v>
      </c>
      <c r="U39" s="988">
        <f>T39/$AJ$27</f>
        <v>0.39726187752201048</v>
      </c>
      <c r="V39" s="988">
        <f t="shared" si="4"/>
        <v>0.73512122733762186</v>
      </c>
      <c r="W39" s="988">
        <f xml:space="preserve"> 116 * V40  - 16</f>
        <v>66.658030268213707</v>
      </c>
      <c r="X39" s="988">
        <f>T39/100*  3.2406 + T40/100 * -1.5372 + T41/100 * -0.4986</f>
        <v>0.61016033322776964</v>
      </c>
      <c r="Y39" s="989">
        <f t="shared" si="43"/>
        <v>204.94987871480009</v>
      </c>
      <c r="Z39" s="1055">
        <f t="shared" si="52"/>
        <v>20.772243503049015</v>
      </c>
      <c r="AB39" s="43" t="s">
        <v>139</v>
      </c>
      <c r="AC39" s="308"/>
      <c r="AD39" s="308"/>
      <c r="AE39" s="308"/>
      <c r="AF39" s="308"/>
      <c r="AH39" s="76"/>
    </row>
    <row r="40" spans="1:43">
      <c r="A40" s="94"/>
      <c r="B40" s="95"/>
      <c r="C40" s="1403"/>
      <c r="D40" s="383">
        <f t="shared" si="1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IF(F40^3&gt;0.008856,F40^3*$AJ$24, (F40- 16 / 116 ) / 7.787*$AJ$24)</f>
        <v>43.571271294091417</v>
      </c>
      <c r="H40" s="1220">
        <f>G40/SUM(G39:G41)</f>
        <v>0.44271192855907199</v>
      </c>
      <c r="I40" s="1219">
        <v>42.751700185521585</v>
      </c>
      <c r="J40" s="1221">
        <f>I40/SUM(I39:I41)</f>
        <v>0.44293562195744796</v>
      </c>
      <c r="K40" s="1221">
        <f>I40/$AJ$28</f>
        <v>0.42751700185521585</v>
      </c>
      <c r="L40" s="1221">
        <f t="shared" si="2"/>
        <v>0.75332861375927052</v>
      </c>
      <c r="M40" s="1221">
        <f t="shared" si="53"/>
        <v>15.890284830222978</v>
      </c>
      <c r="N40" s="1219">
        <f xml:space="preserve"> I39/100 * -0.9689 + I40/100*  1.8758 + I41/100 *  0.0415</f>
        <v>0.35949711679901047</v>
      </c>
      <c r="O40" s="1222">
        <f t="shared" si="3"/>
        <v>161.63210798319847</v>
      </c>
      <c r="Q40" s="656">
        <v>1777.8</v>
      </c>
      <c r="R40" s="718">
        <f t="shared" si="54"/>
        <v>81.662101782215274</v>
      </c>
      <c r="S40" s="434">
        <f t="shared" si="42"/>
        <v>161.63210798319847</v>
      </c>
      <c r="T40" s="988">
        <v>36.181051808907924</v>
      </c>
      <c r="U40" s="988">
        <f>T40/$AJ$28</f>
        <v>0.36181051808907921</v>
      </c>
      <c r="V40" s="988">
        <f t="shared" si="4"/>
        <v>0.71256922645011811</v>
      </c>
      <c r="W40" s="988">
        <f xml:space="preserve"> 500 * (V39 - V40 )</f>
        <v>11.276000443751876</v>
      </c>
      <c r="X40" s="988">
        <f xml:space="preserve"> T39/100 * -0.9689 + T40/100*  1.8758 + T41/100 *  0.0415</f>
        <v>0.31760818075003378</v>
      </c>
      <c r="Y40" s="989">
        <f t="shared" si="43"/>
        <v>152.79476566973437</v>
      </c>
      <c r="Z40" s="1055"/>
      <c r="AH40" s="76"/>
    </row>
    <row r="41" spans="1:43" ht="15.75" thickBot="1">
      <c r="A41" s="96"/>
      <c r="B41" s="97"/>
      <c r="C41" s="1404"/>
      <c r="D41" s="384">
        <f t="shared" si="1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IF(F41^3&gt;0.008856,F41^3*$AJ$25, (F41- 16 / 116 ) / 7.787*$AJ$25)</f>
        <v>6.0627367311903075</v>
      </c>
      <c r="H41" s="1224">
        <f>G40</f>
        <v>43.571271294091417</v>
      </c>
      <c r="I41" s="1223">
        <v>7.770390398615211</v>
      </c>
      <c r="J41" s="1225">
        <f>I40</f>
        <v>42.751700185521585</v>
      </c>
      <c r="K41" s="1225">
        <f>I41/$AJ$29</f>
        <v>7.1364587663962337E-2</v>
      </c>
      <c r="L41" s="1225">
        <f t="shared" si="2"/>
        <v>0.41478934034612885</v>
      </c>
      <c r="M41" s="1225">
        <f t="shared" si="55"/>
        <v>67.707854682628337</v>
      </c>
      <c r="N41" s="1223">
        <f xml:space="preserve"> I39/100 *  0.0557 + I40/100 * -0.204 + I41/100 *  1.057</f>
        <v>2.0539832768412099E-2</v>
      </c>
      <c r="O41" s="1226">
        <f t="shared" si="3"/>
        <v>39.272644590202006</v>
      </c>
      <c r="Q41" s="657">
        <v>870</v>
      </c>
      <c r="R41" s="719">
        <f t="shared" si="56"/>
        <v>39.962891523527553</v>
      </c>
      <c r="S41" s="435">
        <f t="shared" si="42"/>
        <v>39.272644590202006</v>
      </c>
      <c r="T41" s="991">
        <v>11.485779996705489</v>
      </c>
      <c r="U41" s="991">
        <f>T41/$AJ$29</f>
        <v>0.10548735795951149</v>
      </c>
      <c r="V41" s="991">
        <f t="shared" si="4"/>
        <v>0.47249817822167278</v>
      </c>
      <c r="W41" s="991">
        <f xml:space="preserve"> 200 * ( V40 - V41 )</f>
        <v>48.014209645689064</v>
      </c>
      <c r="X41" s="991">
        <f xml:space="preserve"> T39/100 *  0.0557 + T40/100 * -0.204 + T41/100 *  1.057</f>
        <v>6.8626861042773685E-2</v>
      </c>
      <c r="Y41" s="992">
        <f t="shared" si="43"/>
        <v>74.079589007948968</v>
      </c>
      <c r="Z41" s="1056"/>
      <c r="AH41" s="76"/>
    </row>
    <row r="42" spans="1:43" ht="15.75" customHeight="1" thickBot="1">
      <c r="A42" s="1390" t="s">
        <v>121</v>
      </c>
      <c r="B42" s="1391"/>
      <c r="C42" s="1391"/>
      <c r="D42" s="1391"/>
      <c r="E42" s="1391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Q42" s="658"/>
      <c r="R42" s="419"/>
      <c r="S42" s="184"/>
      <c r="T42" s="184"/>
      <c r="U42" s="184"/>
      <c r="V42" s="184"/>
      <c r="W42" s="184"/>
      <c r="X42" s="184"/>
      <c r="Y42" s="184"/>
      <c r="Z42" s="185"/>
      <c r="AH42" s="76"/>
    </row>
    <row r="43" spans="1:43" ht="15" customHeight="1">
      <c r="A43" s="92">
        <v>13</v>
      </c>
      <c r="B43" s="93" t="s">
        <v>122</v>
      </c>
      <c r="C43" s="1405"/>
      <c r="D43" s="382">
        <f t="shared" si="1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IF(F43^3&gt;0.008856,F43^3*$AJ$23, (F43- 16 / 116 ) / 7.787*$AJ$23)</f>
        <v>6.8605278494588378</v>
      </c>
      <c r="H43" s="1216">
        <f>G43/SUM(G43:G45)</f>
        <v>0.20182392493888132</v>
      </c>
      <c r="I43" s="1215">
        <f t="array" ref="I43:I45">MMULT($AJ$34:$AL$36,G43:G45)</f>
        <v>7.7736812148504111</v>
      </c>
      <c r="J43" s="1216">
        <f>I43/SUM(I43:I45)</f>
        <v>0.18404429682692211</v>
      </c>
      <c r="K43" s="1216">
        <f>I43/$AJ$27</f>
        <v>8.1787759896160966E-2</v>
      </c>
      <c r="L43" s="1216">
        <f t="shared" si="2"/>
        <v>0.43407299821924528</v>
      </c>
      <c r="M43" s="1216">
        <f t="shared" ref="M43:M58" si="58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si="3"/>
        <v>35.342853388950573</v>
      </c>
      <c r="Q43" s="655">
        <v>181</v>
      </c>
      <c r="R43" s="720">
        <f t="shared" ref="R43" si="59">Q43/SUM(Q43:Q45)*255</f>
        <v>26.636080332409971</v>
      </c>
      <c r="S43" s="436">
        <f t="shared" ref="S43:S60" si="60">O43</f>
        <v>35.342853388950573</v>
      </c>
      <c r="T43" s="994">
        <f t="array" ref="T43:T45">MMULT($AI$14:$AK$16,R43:R45)</f>
        <v>9.3749239370501005</v>
      </c>
      <c r="U43" s="994">
        <f>T43/$AJ$27</f>
        <v>9.8634611687376778E-2</v>
      </c>
      <c r="V43" s="994">
        <f t="shared" si="4"/>
        <v>0.46203667132589638</v>
      </c>
      <c r="W43" s="994">
        <f xml:space="preserve"> 116 * V44  - 16</f>
        <v>33.030823614556191</v>
      </c>
      <c r="X43" s="994">
        <f>T43/100*  3.2406 + T44/100 * -1.5372 + T45/100 * -0.4986</f>
        <v>-4.2010863988040381E-2</v>
      </c>
      <c r="Y43" s="995">
        <f>IF(X43&gt; 0.0031308,(1.055 * (X43^ ( 1 / 2.4 ) ) - 0.055)*255, 12.92 * X43*255)</f>
        <v>-138.40899249499782</v>
      </c>
      <c r="Z43" s="1057">
        <f t="shared" ref="Z43" si="61">SQRT(( ( M43-W43 ) ^ 2 ) + ( ( M44 - W44 ) ^ 2 ) + ( (M45 - W45 ) ^ 2 ))</f>
        <v>16.79211986702725</v>
      </c>
      <c r="AH43" s="76"/>
    </row>
    <row r="44" spans="1:43">
      <c r="A44" s="94"/>
      <c r="B44" s="95"/>
      <c r="C44" s="1406"/>
      <c r="D44" s="383">
        <f t="shared" si="1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IF(F44^3&gt;0.008856,F44^3*$AJ$24, (F44- 16 / 116 ) / 7.787*$AJ$24)</f>
        <v>5.7520163033893335</v>
      </c>
      <c r="H44" s="1220">
        <f>G44/SUM(G43:G45)</f>
        <v>0.16921358416379614</v>
      </c>
      <c r="I44" s="1219">
        <v>6.0642662674514325</v>
      </c>
      <c r="J44" s="1220">
        <f>I44/SUM(I43:I45)</f>
        <v>0.14357337149768873</v>
      </c>
      <c r="K44" s="1220">
        <f>I44/$AJ$28</f>
        <v>6.0642662674514326E-2</v>
      </c>
      <c r="L44" s="1220">
        <f t="shared" si="2"/>
        <v>0.39287954722983948</v>
      </c>
      <c r="M44" s="1220">
        <f t="shared" ref="M44" si="62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3"/>
        <v>63.330751517613386</v>
      </c>
      <c r="Q44" s="656">
        <v>499</v>
      </c>
      <c r="R44" s="721">
        <f t="shared" ref="R44" si="63">Q44/SUM(Q43:Q45)*255</f>
        <v>73.43317174515235</v>
      </c>
      <c r="S44" s="437">
        <f t="shared" si="60"/>
        <v>63.330751517613386</v>
      </c>
      <c r="T44" s="997">
        <v>7.5515064545575186</v>
      </c>
      <c r="U44" s="997">
        <f>T44/$AJ$28</f>
        <v>7.5515064545575189E-2</v>
      </c>
      <c r="V44" s="997">
        <f t="shared" si="4"/>
        <v>0.42267951391858782</v>
      </c>
      <c r="W44" s="997">
        <f xml:space="preserve"> 500 * (V43 - V44 )</f>
        <v>19.678578703654274</v>
      </c>
      <c r="X44" s="997">
        <f xml:space="preserve"> T43/100 * -0.9689 + T44/100*  1.8758 + T45/100 *  0.0415</f>
        <v>6.9938889909550536E-2</v>
      </c>
      <c r="Y44" s="998">
        <f t="shared" ref="Y44:Y57" si="64">IF(X44&gt; 0.0031308,(1.055 * (X44^ ( 1 / 2.4 ) ) - 0.055)*255, 12.92 * X44*255)</f>
        <v>74.777551908149846</v>
      </c>
      <c r="Z44" s="1058"/>
      <c r="AA44" s="69"/>
      <c r="AG44" s="74"/>
      <c r="AH44" s="76"/>
      <c r="AM44" s="74"/>
      <c r="AN44" s="74"/>
      <c r="AO44" s="74"/>
      <c r="AP44" s="74"/>
      <c r="AQ44" s="74"/>
    </row>
    <row r="45" spans="1:43" ht="15.75" customHeight="1" thickBot="1">
      <c r="A45" s="96"/>
      <c r="B45" s="97"/>
      <c r="C45" s="1406"/>
      <c r="D45" s="384">
        <f t="shared" si="1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IF(F45^3&gt;0.008856,F45^3*$AJ$25, (F45- 16 / 116 ) / 7.787*$AJ$25)</f>
        <v>21.380094983153285</v>
      </c>
      <c r="H45" s="1224">
        <f>G44</f>
        <v>5.7520163033893335</v>
      </c>
      <c r="I45" s="1223">
        <v>28.400151436682279</v>
      </c>
      <c r="J45" s="1224">
        <f>I44</f>
        <v>6.0642662674514325</v>
      </c>
      <c r="K45" s="1224">
        <f>I45/$AJ$29</f>
        <v>0.26083182348651562</v>
      </c>
      <c r="L45" s="1224">
        <f t="shared" si="2"/>
        <v>0.63893036131725889</v>
      </c>
      <c r="M45" s="1224">
        <f t="shared" ref="M45" si="65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3"/>
        <v>147.08684100238494</v>
      </c>
      <c r="Q45" s="657">
        <v>1052.8</v>
      </c>
      <c r="R45" s="721">
        <f t="shared" ref="R45" si="66">Q45/SUM(Q43:Q45)*255</f>
        <v>154.93074792243766</v>
      </c>
      <c r="S45" s="437">
        <f t="shared" si="60"/>
        <v>147.08684100238494</v>
      </c>
      <c r="T45" s="997">
        <v>46.075590026600025</v>
      </c>
      <c r="U45" s="997">
        <f>T45/$AJ$29</f>
        <v>0.42316605922503997</v>
      </c>
      <c r="V45" s="997">
        <f t="shared" si="4"/>
        <v>0.75076429301038228</v>
      </c>
      <c r="W45" s="997">
        <f xml:space="preserve"> 200 * ( V44 - V45 )</f>
        <v>-65.616955818358889</v>
      </c>
      <c r="X45" s="997">
        <f xml:space="preserve"> T43/100 *  0.0557 + T44/100 * -0.204 + T45/100 *  1.057</f>
        <v>0.47683574604680184</v>
      </c>
      <c r="Y45" s="998">
        <f t="shared" si="64"/>
        <v>183.57167943803739</v>
      </c>
      <c r="Z45" s="1058"/>
      <c r="AA45" s="69"/>
      <c r="AG45" s="74"/>
      <c r="AH45" s="76"/>
      <c r="AL45" s="88"/>
      <c r="AM45" s="74"/>
      <c r="AN45" s="74"/>
      <c r="AO45" s="74"/>
      <c r="AP45" s="74"/>
      <c r="AQ45" s="74"/>
    </row>
    <row r="46" spans="1:43">
      <c r="A46" s="92">
        <v>14</v>
      </c>
      <c r="B46" s="93" t="s">
        <v>123</v>
      </c>
      <c r="C46" s="1407"/>
      <c r="D46" s="382">
        <f t="shared" si="1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IF(F46^3&gt;0.008856,F46^3*$AJ$23, (F46- 16 / 116 ) / 7.787*$AJ$23)</f>
        <v>14.984375662794568</v>
      </c>
      <c r="H46" s="1216">
        <f>G46/SUM(G46:G48)</f>
        <v>0.32526343853311385</v>
      </c>
      <c r="I46" s="1215">
        <f t="array" ref="I46:I48">MMULT($AJ$34:$AL$36,G46:G48)</f>
        <v>14.283601798249475</v>
      </c>
      <c r="J46" s="1216">
        <f>I46/SUM(I46:I48)</f>
        <v>0.29972281293948838</v>
      </c>
      <c r="K46" s="1216">
        <f>I46/$AJ$27</f>
        <v>0.1502793544062356</v>
      </c>
      <c r="L46" s="1216">
        <f t="shared" si="2"/>
        <v>0.53165892265584302</v>
      </c>
      <c r="M46" s="1216">
        <f t="shared" si="58"/>
        <v>55.23286542210424</v>
      </c>
      <c r="N46" s="1215">
        <f>I46/100*  3.2406 + I47/100 * -1.5372 + I48/100 * -0.4986</f>
        <v>5.5979147796490186E-2</v>
      </c>
      <c r="O46" s="1218">
        <f t="shared" si="3"/>
        <v>66.910103142073083</v>
      </c>
      <c r="Q46" s="655">
        <v>595.4</v>
      </c>
      <c r="R46" s="722">
        <f t="shared" ref="R46:R58" si="67">Q46/SUM(Q46:Q48)*255</f>
        <v>57.698183476476409</v>
      </c>
      <c r="S46" s="438">
        <f t="shared" si="60"/>
        <v>66.910103142073083</v>
      </c>
      <c r="T46" s="1000">
        <f t="array" ref="T46:T48">MMULT($AI$14:$AK$16,R46:R48)</f>
        <v>33.18336896494467</v>
      </c>
      <c r="U46" s="1000">
        <f>T46/$AJ$27</f>
        <v>0.34912589524071952</v>
      </c>
      <c r="V46" s="1000">
        <f t="shared" si="4"/>
        <v>0.70414271009844809</v>
      </c>
      <c r="W46" s="1000">
        <f xml:space="preserve"> 116 * V47  - 16</f>
        <v>72.762463295845663</v>
      </c>
      <c r="X46" s="1000">
        <f>T46/100*  3.2406 + T47/100 * -1.5372 + T48/100 * -0.4986</f>
        <v>0.25669140040815436</v>
      </c>
      <c r="Y46" s="1001">
        <f t="shared" si="64"/>
        <v>138.63105083229038</v>
      </c>
      <c r="Z46" s="1059">
        <f t="shared" ref="Z46:Z58" si="68">SQRT(( ( M46-W46 ) ^ 2 ) + ( ( M47 - W47 ) ^ 2 ) + ( (M48 - W48 ) ^ 2 ))</f>
        <v>20.756450854791023</v>
      </c>
      <c r="AH46" s="76"/>
      <c r="AL46" s="88"/>
    </row>
    <row r="47" spans="1:43">
      <c r="A47" s="94"/>
      <c r="B47" s="95"/>
      <c r="C47" s="1407"/>
      <c r="D47" s="383">
        <f t="shared" si="1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IF(F47^3&gt;0.008856,F47^3*$AJ$24, (F47- 16 / 116 ) / 7.787*$AJ$24)</f>
        <v>23.183647760810512</v>
      </c>
      <c r="H47" s="1220">
        <f>G47/SUM(G46:G48)</f>
        <v>0.50324372253594474</v>
      </c>
      <c r="I47" s="1219">
        <v>23.156199170786447</v>
      </c>
      <c r="J47" s="1220">
        <f>I47/SUM(I46:I48)</f>
        <v>0.48590273311215859</v>
      </c>
      <c r="K47" s="1220">
        <f>I47/$AJ$28</f>
        <v>0.23156199170786448</v>
      </c>
      <c r="L47" s="1220">
        <f t="shared" si="2"/>
        <v>0.6140764260526228</v>
      </c>
      <c r="M47" s="1220">
        <f t="shared" ref="M47:M59" si="69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3"/>
        <v>148.92451179357417</v>
      </c>
      <c r="Q47" s="656">
        <v>1333.8</v>
      </c>
      <c r="R47" s="722">
        <f t="shared" ref="R47:R59" si="70">Q47/SUM(Q46:Q48)*255</f>
        <v>129.25400927263055</v>
      </c>
      <c r="S47" s="438">
        <f t="shared" si="60"/>
        <v>148.92451179357417</v>
      </c>
      <c r="T47" s="1000">
        <v>44.80371959570644</v>
      </c>
      <c r="U47" s="1000">
        <f>T47/$AJ$28</f>
        <v>0.44803719595706437</v>
      </c>
      <c r="V47" s="1000">
        <f t="shared" si="4"/>
        <v>0.76519364910211773</v>
      </c>
      <c r="W47" s="1000">
        <f xml:space="preserve"> 500 * (V46 - V47 )</f>
        <v>-30.525469501834824</v>
      </c>
      <c r="X47" s="1000">
        <f xml:space="preserve"> T46/100 * -0.9689 + T47/100*  1.8758 + T48/100 *  0.0415</f>
        <v>0.52972865423951876</v>
      </c>
      <c r="Y47" s="1001">
        <f t="shared" si="64"/>
        <v>192.42501434298597</v>
      </c>
      <c r="Z47" s="1059"/>
      <c r="AA47" s="69"/>
      <c r="AG47" s="74"/>
      <c r="AH47" s="76"/>
      <c r="AL47" s="88"/>
      <c r="AM47" s="74"/>
      <c r="AN47" s="74"/>
      <c r="AO47" s="74"/>
      <c r="AP47" s="74"/>
      <c r="AQ47" s="74"/>
    </row>
    <row r="48" spans="1:43" ht="15.75" thickBot="1">
      <c r="A48" s="96"/>
      <c r="B48" s="97"/>
      <c r="C48" s="1407"/>
      <c r="D48" s="384">
        <f t="shared" si="1"/>
        <v>74.120275922324538</v>
      </c>
      <c r="E48" s="372">
        <v>31.37</v>
      </c>
      <c r="F48" s="1223">
        <f>F47 - E48 / 200</f>
        <v>0.45746896551724126</v>
      </c>
      <c r="G48" s="1223">
        <f>IF(F48^3&gt;0.008856,F48^3*$AJ$25, (F48- 16 / 116 ) / 7.787*$AJ$25)</f>
        <v>7.9004056945635952</v>
      </c>
      <c r="H48" s="1224">
        <f>G47</f>
        <v>23.183647760810512</v>
      </c>
      <c r="I48" s="1223">
        <v>10.21623714886743</v>
      </c>
      <c r="J48" s="1224">
        <f>I47</f>
        <v>23.156199170786447</v>
      </c>
      <c r="K48" s="1224">
        <f>I48/$AJ$29</f>
        <v>9.382766041409063E-2</v>
      </c>
      <c r="L48" s="1224">
        <f t="shared" si="2"/>
        <v>0.45440555210953226</v>
      </c>
      <c r="M48" s="1224">
        <f t="shared" ref="M48:M60" si="71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3"/>
        <v>74.120275922324538</v>
      </c>
      <c r="Q48" s="657">
        <v>702.2</v>
      </c>
      <c r="R48" s="722">
        <f t="shared" ref="R48:R60" si="72">Q48/SUM(Q46:Q48)*255</f>
        <v>68.047807250893072</v>
      </c>
      <c r="S48" s="438">
        <f t="shared" si="60"/>
        <v>74.120275922324538</v>
      </c>
      <c r="T48" s="1000">
        <v>26.058178227966998</v>
      </c>
      <c r="U48" s="1000">
        <f>T48/$AJ$29</f>
        <v>0.23932274301743153</v>
      </c>
      <c r="V48" s="1000">
        <f t="shared" si="4"/>
        <v>0.62086139633324355</v>
      </c>
      <c r="W48" s="1000">
        <f xml:space="preserve"> 200 * ( V47 - V48 )</f>
        <v>28.866450553774836</v>
      </c>
      <c r="X48" s="1000">
        <f xml:space="preserve"> T46/100 *  0.0557 + T47/100 * -0.204 + T48/100 *  1.057</f>
        <v>0.2025184924078442</v>
      </c>
      <c r="Y48" s="1001">
        <f t="shared" si="64"/>
        <v>124.27417597217752</v>
      </c>
      <c r="Z48" s="1059"/>
      <c r="AA48" s="69"/>
      <c r="AG48" s="74"/>
      <c r="AH48" s="76"/>
      <c r="AL48" s="88"/>
      <c r="AM48" s="74"/>
      <c r="AN48" s="74"/>
      <c r="AO48" s="74"/>
      <c r="AP48" s="74"/>
      <c r="AQ48" s="74"/>
    </row>
    <row r="49" spans="1:57">
      <c r="A49" s="92">
        <v>15</v>
      </c>
      <c r="B49" s="93" t="s">
        <v>124</v>
      </c>
      <c r="C49" s="1408"/>
      <c r="D49" s="382">
        <f t="shared" si="1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IF(F49^3&gt;0.008856,F49^3*$AJ$23, (F49- 16 / 116 ) / 7.787*$AJ$23)</f>
        <v>21.631501234234467</v>
      </c>
      <c r="H49" s="1216">
        <f>G49/SUM(G49:G51)</f>
        <v>0.56858460191264737</v>
      </c>
      <c r="I49" s="1215">
        <f t="array" ref="I49:I51">MMULT($AJ$34:$AL$36,G49:G51)</f>
        <v>20.62408349598757</v>
      </c>
      <c r="J49" s="1216">
        <f>I49/SUM(I49:I51)</f>
        <v>0.54404393629571024</v>
      </c>
      <c r="K49" s="1216">
        <f>I49/$AJ$27</f>
        <v>0.21698826365890109</v>
      </c>
      <c r="L49" s="1216">
        <f t="shared" si="2"/>
        <v>0.6009136669251236</v>
      </c>
      <c r="M49" s="1216">
        <f t="shared" si="58"/>
        <v>41.468062941473491</v>
      </c>
      <c r="N49" s="1215">
        <f>I49/100*  3.2406 + I50/100 * -1.5372 + I51/100 * -0.4986</f>
        <v>0.45587651504853977</v>
      </c>
      <c r="O49" s="1218">
        <f t="shared" si="3"/>
        <v>179.90529060715122</v>
      </c>
      <c r="Q49" s="655">
        <v>1565.4</v>
      </c>
      <c r="R49" s="723">
        <f t="shared" si="67"/>
        <v>167.49622356495468</v>
      </c>
      <c r="S49" s="439">
        <f t="shared" si="60"/>
        <v>179.90529060715122</v>
      </c>
      <c r="T49" s="1003">
        <f t="array" ref="T49:T51">MMULT($AI$14:$AK$16,R49:R51)</f>
        <v>34.569445193212488</v>
      </c>
      <c r="U49" s="1003">
        <f>T49/$AJ$27</f>
        <v>0.36370895655004881</v>
      </c>
      <c r="V49" s="1003">
        <f t="shared" si="4"/>
        <v>0.71381334882458802</v>
      </c>
      <c r="W49" s="1003">
        <f xml:space="preserve"> 116 * V50  - 16</f>
        <v>54.57908267686966</v>
      </c>
      <c r="X49" s="1003">
        <f>T49/100*  3.2406 + T50/100 * -1.5372 + T51/100 * -0.4986</f>
        <v>0.73274382230885637</v>
      </c>
      <c r="Y49" s="1004">
        <f t="shared" si="64"/>
        <v>222.3070973010756</v>
      </c>
      <c r="Z49" s="1060">
        <f t="shared" si="68"/>
        <v>16.548777930517556</v>
      </c>
      <c r="AH49" s="76"/>
      <c r="AL49" s="88"/>
    </row>
    <row r="50" spans="1:57">
      <c r="A50" s="94"/>
      <c r="B50" s="95"/>
      <c r="C50" s="1408"/>
      <c r="D50" s="383">
        <f t="shared" si="1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IF(F50^3&gt;0.008856,F50^3*$AJ$24, (F50- 16 / 116 ) / 7.787*$AJ$24)</f>
        <v>12.565415505216301</v>
      </c>
      <c r="H50" s="1220">
        <f>G50/SUM(G49:G51)</f>
        <v>0.33028229042159035</v>
      </c>
      <c r="I50" s="1219">
        <v>12.159219782354153</v>
      </c>
      <c r="J50" s="1220">
        <f>I50/SUM(I49:I51)</f>
        <v>0.32074878837469817</v>
      </c>
      <c r="K50" s="1220">
        <f>I50/$AJ$28</f>
        <v>0.12159219782354153</v>
      </c>
      <c r="L50" s="1220">
        <f t="shared" si="2"/>
        <v>0.49541433570235771</v>
      </c>
      <c r="M50" s="1220">
        <f t="shared" si="69"/>
        <v>52.749665611382945</v>
      </c>
      <c r="N50" s="1219">
        <f xml:space="preserve"> I49/100 * -0.9689 + I50/100*  1.8758 + I51/100 *  0.0415</f>
        <v>3.038300426051882E-2</v>
      </c>
      <c r="O50" s="1222">
        <f t="shared" si="3"/>
        <v>48.716578063950486</v>
      </c>
      <c r="Q50" s="656">
        <v>394</v>
      </c>
      <c r="R50" s="723">
        <f t="shared" si="70"/>
        <v>42.157603222557903</v>
      </c>
      <c r="S50" s="439">
        <f t="shared" si="60"/>
        <v>48.716578063950486</v>
      </c>
      <c r="T50" s="1006">
        <v>22.524443028522168</v>
      </c>
      <c r="U50" s="1006">
        <f>T50/$AJ$28</f>
        <v>0.22524443028522168</v>
      </c>
      <c r="V50" s="1006">
        <f t="shared" si="4"/>
        <v>0.60844036790404876</v>
      </c>
      <c r="W50" s="1006">
        <f xml:space="preserve"> 500 * (V49 - V50 )</f>
        <v>52.686490460269631</v>
      </c>
      <c r="X50" s="1006">
        <f xml:space="preserve"> T49/100 * -0.9689 + T50/100*  1.8758 + T51/100 *  0.0415</f>
        <v>9.1004999508821557E-2</v>
      </c>
      <c r="Y50" s="1004">
        <f t="shared" si="64"/>
        <v>85.074126911547708</v>
      </c>
      <c r="Z50" s="1060"/>
      <c r="AH50" s="76"/>
      <c r="AL50" s="88"/>
    </row>
    <row r="51" spans="1:57" ht="15.75" thickBot="1">
      <c r="A51" s="96"/>
      <c r="B51" s="97"/>
      <c r="C51" s="1408"/>
      <c r="D51" s="384">
        <f t="shared" si="1"/>
        <v>56.959990730530549</v>
      </c>
      <c r="E51" s="372">
        <v>28.19</v>
      </c>
      <c r="F51" s="1223">
        <f>F50 - E51 / 200</f>
        <v>0.35992068965517243</v>
      </c>
      <c r="G51" s="1223">
        <f>IF(F51^3&gt;0.008856,F51^3*$AJ$25, (F51- 16 / 116 ) / 7.787*$AJ$25)</f>
        <v>3.8475557303783536</v>
      </c>
      <c r="H51" s="1224">
        <f>G50</f>
        <v>12.565415505216301</v>
      </c>
      <c r="I51" s="1223">
        <v>5.1255531945618475</v>
      </c>
      <c r="J51" s="1224">
        <f>I50</f>
        <v>12.159219782354153</v>
      </c>
      <c r="K51" s="1224">
        <f>I51/$AJ$29</f>
        <v>4.7073952725052097E-2</v>
      </c>
      <c r="L51" s="1224">
        <f t="shared" si="2"/>
        <v>0.36107178721143929</v>
      </c>
      <c r="M51" s="1224">
        <f t="shared" si="71"/>
        <v>26.868509698183686</v>
      </c>
      <c r="N51" s="1223">
        <f xml:space="preserve"> I49/100 *  0.0557 + I50/100 * -0.204 + I51/100 *  1.057</f>
        <v>4.0859903417781333E-2</v>
      </c>
      <c r="O51" s="1226">
        <f t="shared" si="3"/>
        <v>56.959990730530549</v>
      </c>
      <c r="Q51" s="657">
        <v>423.8</v>
      </c>
      <c r="R51" s="723">
        <f t="shared" si="72"/>
        <v>45.346173212487408</v>
      </c>
      <c r="S51" s="439">
        <f t="shared" si="60"/>
        <v>56.959990730530549</v>
      </c>
      <c r="T51" s="1006">
        <v>8.2767509803339294</v>
      </c>
      <c r="U51" s="1006">
        <f>T51/$AJ$29</f>
        <v>7.6015089410963424E-2</v>
      </c>
      <c r="V51" s="1006">
        <f t="shared" si="4"/>
        <v>0.42361038994006278</v>
      </c>
      <c r="W51" s="1006">
        <f xml:space="preserve"> 200 * ( V50 - V51 )</f>
        <v>36.965995592797199</v>
      </c>
      <c r="X51" s="1006">
        <f xml:space="preserve"> T49/100 *  0.0557 + T50/100 * -0.204 + T51/100 *  1.057</f>
        <v>6.0790575056563781E-2</v>
      </c>
      <c r="Y51" s="1004">
        <f t="shared" si="64"/>
        <v>69.739064961482242</v>
      </c>
      <c r="Z51" s="1060"/>
      <c r="AH51" s="76"/>
      <c r="AL51" s="88"/>
    </row>
    <row r="52" spans="1:57">
      <c r="A52" s="92">
        <v>16</v>
      </c>
      <c r="B52" s="93" t="s">
        <v>125</v>
      </c>
      <c r="C52" s="1409"/>
      <c r="D52" s="382">
        <f t="shared" si="1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IF(F52^3&gt;0.008856,F52^3*$AJ$23, (F52- 16 / 116 ) / 7.787*$AJ$23)</f>
        <v>59.341454392690757</v>
      </c>
      <c r="H52" s="1216">
        <f>G52/SUM(G52:G54)</f>
        <v>0.46968411788557529</v>
      </c>
      <c r="I52" s="1215">
        <f t="array" ref="I52:I54">MMULT($AJ$34:$AL$36,G52:G54)</f>
        <v>55.781875161413609</v>
      </c>
      <c r="J52" s="1216">
        <f>I52/SUM(I52:I54)</f>
        <v>0.45083813847108956</v>
      </c>
      <c r="K52" s="1216">
        <f>I52/$AJ$27</f>
        <v>0.58688727851919165</v>
      </c>
      <c r="L52" s="1216">
        <f t="shared" si="2"/>
        <v>0.83724307724079261</v>
      </c>
      <c r="M52" s="1216">
        <f t="shared" si="58"/>
        <v>81.222107529224289</v>
      </c>
      <c r="N52" s="1215">
        <f>I52/100*  3.2406 + I53/100 * -1.5372 + I54/100 * -0.4986</f>
        <v>0.85741975999435582</v>
      </c>
      <c r="O52" s="1218">
        <f t="shared" si="3"/>
        <v>238.29785697467756</v>
      </c>
      <c r="Q52" s="655">
        <v>3486</v>
      </c>
      <c r="R52" s="724">
        <f t="shared" si="67"/>
        <v>119.69864268016806</v>
      </c>
      <c r="S52" s="440">
        <f t="shared" si="60"/>
        <v>238.29785697467756</v>
      </c>
      <c r="T52" s="1007">
        <f t="array" ref="T52:T54">MMULT($AI$14:$AK$16,R52:R54)</f>
        <v>38.41528506080784</v>
      </c>
      <c r="U52" s="1007">
        <f>T52/$AJ$27</f>
        <v>0.40417146317935171</v>
      </c>
      <c r="V52" s="1007">
        <f t="shared" si="4"/>
        <v>0.73935874760698539</v>
      </c>
      <c r="W52" s="1007">
        <f xml:space="preserve"> 116 * V53  - 16</f>
        <v>69.823347931152199</v>
      </c>
      <c r="X52" s="1007">
        <f>T52/100*  3.2406 + T53/100 * -1.5372 + T54/100 * -0.4986</f>
        <v>0.55667323636068078</v>
      </c>
      <c r="Y52" s="1008">
        <f t="shared" si="64"/>
        <v>196.73722877466452</v>
      </c>
      <c r="Z52" s="1061">
        <f t="shared" si="68"/>
        <v>33.221010052844292</v>
      </c>
      <c r="AH52" s="76"/>
      <c r="AL52" s="88"/>
    </row>
    <row r="53" spans="1:57">
      <c r="A53" s="94"/>
      <c r="B53" s="95"/>
      <c r="C53" s="1409"/>
      <c r="D53" s="383">
        <f t="shared" si="1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IF(F53^3&gt;0.008856,F53^3*$AJ$24, (F53- 16 / 116 ) / 7.787*$AJ$24)</f>
        <v>59.806683849009602</v>
      </c>
      <c r="H53" s="1220">
        <f>G53/SUM(G52:G54)</f>
        <v>0.47336638164270384</v>
      </c>
      <c r="I53" s="1219">
        <v>58.873672283415338</v>
      </c>
      <c r="J53" s="1220">
        <f>I53/SUM(I52:I54)</f>
        <v>0.47582654294799287</v>
      </c>
      <c r="K53" s="1220">
        <f>I53/$AJ$28</f>
        <v>0.58873672283415335</v>
      </c>
      <c r="L53" s="1220">
        <f t="shared" si="2"/>
        <v>0.83812161663124385</v>
      </c>
      <c r="M53" s="1220">
        <f t="shared" si="69"/>
        <v>-0.43926969522561921</v>
      </c>
      <c r="N53" s="1219">
        <f xml:space="preserve"> I52/100 * -0.9689 + I53/100*  1.8758 + I54/100 *  0.0415</f>
        <v>0.56764735240268382</v>
      </c>
      <c r="O53" s="1222">
        <f t="shared" si="3"/>
        <v>198.45859080039978</v>
      </c>
      <c r="Q53" s="656">
        <v>2777.2</v>
      </c>
      <c r="R53" s="724">
        <f t="shared" si="70"/>
        <v>95.360605407734568</v>
      </c>
      <c r="S53" s="440">
        <f t="shared" si="60"/>
        <v>198.45859080039978</v>
      </c>
      <c r="T53" s="1007">
        <v>40.498821799773538</v>
      </c>
      <c r="U53" s="1007">
        <f>T53/$AJ$28</f>
        <v>0.40498821799773538</v>
      </c>
      <c r="V53" s="1007">
        <f t="shared" si="4"/>
        <v>0.73985644768234649</v>
      </c>
      <c r="W53" s="1007">
        <f xml:space="preserve"> 500 * (V52 - V53 )</f>
        <v>-0.24885003768054803</v>
      </c>
      <c r="X53" s="1007">
        <f xml:space="preserve"> T52/100 * -0.9689 + T53/100*  1.8758 + T54/100 *  0.0415</f>
        <v>0.39293666768582081</v>
      </c>
      <c r="Y53" s="1008">
        <f t="shared" si="64"/>
        <v>168.26396221642568</v>
      </c>
      <c r="Z53" s="1061"/>
      <c r="AH53" s="76"/>
      <c r="AL53" s="88"/>
    </row>
    <row r="54" spans="1:57" ht="15.75" thickBot="1">
      <c r="A54" s="96"/>
      <c r="B54" s="97"/>
      <c r="C54" s="1409"/>
      <c r="D54" s="384">
        <f t="shared" si="1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IF(F54^3&gt;0.008856,F54^3*$AJ$25, (F54- 16 / 116 ) / 7.787*$AJ$25)</f>
        <v>7.1951893969564678</v>
      </c>
      <c r="H54" s="1224">
        <f>G53</f>
        <v>59.806683849009602</v>
      </c>
      <c r="I54" s="1223">
        <v>9.0737256610014221</v>
      </c>
      <c r="J54" s="1224">
        <f>I53</f>
        <v>58.873672283415338</v>
      </c>
      <c r="K54" s="1224">
        <f>I54/$AJ$29</f>
        <v>8.3334640494856158E-2</v>
      </c>
      <c r="L54" s="1224">
        <f t="shared" si="2"/>
        <v>0.43679251617774939</v>
      </c>
      <c r="M54" s="1224">
        <f t="shared" si="71"/>
        <v>80.265820090698895</v>
      </c>
      <c r="N54" s="1223">
        <f xml:space="preserve"> I52/100 *  0.0557 + I53/100 * -0.204 + I54/100 *  1.057</f>
        <v>6.8774932435251152E-3</v>
      </c>
      <c r="O54" s="1226">
        <f t="shared" si="3"/>
        <v>19.759840938184311</v>
      </c>
      <c r="Q54" s="657">
        <v>1163.2</v>
      </c>
      <c r="R54" s="724">
        <f t="shared" si="72"/>
        <v>39.940751912097383</v>
      </c>
      <c r="S54" s="440">
        <f t="shared" si="60"/>
        <v>19.759840938184311</v>
      </c>
      <c r="T54" s="1007">
        <v>13.169795951411842</v>
      </c>
      <c r="U54" s="1007">
        <f>T54/$AJ$29</f>
        <v>0.12095364704693885</v>
      </c>
      <c r="V54" s="1007">
        <f t="shared" si="4"/>
        <v>0.4945455776468517</v>
      </c>
      <c r="W54" s="1007">
        <f xml:space="preserve"> 200 * ( V53 - V54 )</f>
        <v>49.06217400709896</v>
      </c>
      <c r="X54" s="1007">
        <f xml:space="preserve"> T52/100 *  0.0557 + T53/100 * -0.204 + T54/100 *  1.057</f>
        <v>7.7984460513755099E-2</v>
      </c>
      <c r="Y54" s="1008">
        <f t="shared" si="64"/>
        <v>78.89930824737003</v>
      </c>
      <c r="Z54" s="1061"/>
      <c r="AH54" s="76"/>
      <c r="AL54" s="88"/>
    </row>
    <row r="55" spans="1:57">
      <c r="A55" s="92">
        <v>17</v>
      </c>
      <c r="B55" s="93" t="s">
        <v>126</v>
      </c>
      <c r="C55" s="1410"/>
      <c r="D55" s="382">
        <f t="shared" si="1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IF(F55^3&gt;0.008856,F55^3*$AJ$23, (F55- 16 / 116 ) / 7.787*$AJ$23)</f>
        <v>31.075907250316828</v>
      </c>
      <c r="H55" s="1216">
        <f>G55/SUM(G55:G57)</f>
        <v>0.41585711526606517</v>
      </c>
      <c r="I55" s="1215">
        <f t="array" ref="I55:I57">MMULT($AJ$34:$AL$36,G55:G57)</f>
        <v>30.721068603919768</v>
      </c>
      <c r="J55" s="1216">
        <f>I55/SUM(I55:I57)</f>
        <v>0.37495281391466306</v>
      </c>
      <c r="K55" s="1216">
        <f>I55/$AJ$27</f>
        <v>0.32321976079118508</v>
      </c>
      <c r="L55" s="1216">
        <f t="shared" si="2"/>
        <v>0.68627677464218007</v>
      </c>
      <c r="M55" s="1216">
        <f t="shared" si="58"/>
        <v>51.726490324936563</v>
      </c>
      <c r="N55" s="1215">
        <f>I55/100*  3.2406 + I56/100 * -1.5372 + I57/100 * -0.4986</f>
        <v>0.53349890318021687</v>
      </c>
      <c r="O55" s="1218">
        <f t="shared" si="3"/>
        <v>193.03598609620454</v>
      </c>
      <c r="Q55" s="655">
        <v>1897</v>
      </c>
      <c r="R55" s="725">
        <f t="shared" si="67"/>
        <v>115.70393226176807</v>
      </c>
      <c r="S55" s="441">
        <f t="shared" si="60"/>
        <v>193.03598609620454</v>
      </c>
      <c r="T55" s="1010">
        <f t="array" ref="T55:T57">MMULT($AI$14:$AK$16,R55:R57)</f>
        <v>25.086989612702403</v>
      </c>
      <c r="U55" s="1010">
        <f>T55/$AJ$27</f>
        <v>0.26394299254792264</v>
      </c>
      <c r="V55" s="1010">
        <f t="shared" si="4"/>
        <v>0.64146068758431574</v>
      </c>
      <c r="W55" s="1010">
        <f xml:space="preserve"> 116 * V56  - 16</f>
        <v>47.767591203925186</v>
      </c>
      <c r="X55" s="1010">
        <f>T55/100*  3.2406 + T56/100 * -1.5372 + T57/100 * -0.4986</f>
        <v>0.44634489478102823</v>
      </c>
      <c r="Y55" s="1011">
        <f t="shared" si="64"/>
        <v>178.20538907762531</v>
      </c>
      <c r="Z55" s="1062">
        <f t="shared" si="68"/>
        <v>9.8506628871485553</v>
      </c>
      <c r="AH55" s="76"/>
      <c r="AL55" s="88"/>
    </row>
    <row r="56" spans="1:57">
      <c r="A56" s="94"/>
      <c r="B56" s="95"/>
      <c r="C56" s="1410"/>
      <c r="D56" s="383">
        <f t="shared" si="1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IF(F56^3&gt;0.008856,F56^3*$AJ$24, (F56- 16 / 116 ) / 7.787*$AJ$24)</f>
        <v>20.08661574027834</v>
      </c>
      <c r="H56" s="1220">
        <f>G56/SUM(G55:G57)</f>
        <v>0.26879865517441731</v>
      </c>
      <c r="I56" s="1219">
        <v>19.902230133562615</v>
      </c>
      <c r="J56" s="1220">
        <f>I56/SUM(I55:I57)</f>
        <v>0.24290812562439182</v>
      </c>
      <c r="K56" s="1220">
        <f>I56/$AJ$28</f>
        <v>0.19902230133562615</v>
      </c>
      <c r="L56" s="1220">
        <f t="shared" si="2"/>
        <v>0.58384905452531521</v>
      </c>
      <c r="M56" s="1220">
        <f t="shared" si="69"/>
        <v>51.213860058432424</v>
      </c>
      <c r="N56" s="1219">
        <f xml:space="preserve"> I55/100 * -0.9689 + I56/100*  1.8758 + I57/100 *  0.0415</f>
        <v>8.8663191243852579E-2</v>
      </c>
      <c r="O56" s="1222">
        <f t="shared" si="3"/>
        <v>84.003503526946432</v>
      </c>
      <c r="Q56" s="656">
        <v>867.4</v>
      </c>
      <c r="R56" s="725">
        <f t="shared" si="70"/>
        <v>52.905424799081516</v>
      </c>
      <c r="S56" s="441">
        <f t="shared" si="60"/>
        <v>84.003503526946432</v>
      </c>
      <c r="T56" s="1010">
        <v>16.612158581958681</v>
      </c>
      <c r="U56" s="1010">
        <f>T56/$AJ$28</f>
        <v>0.1661215858195868</v>
      </c>
      <c r="V56" s="1010">
        <f t="shared" si="4"/>
        <v>0.54972061382694126</v>
      </c>
      <c r="W56" s="1010">
        <f xml:space="preserve"> 500 * (V55 - V56 )</f>
        <v>45.870036878687237</v>
      </c>
      <c r="X56" s="1010">
        <f xml:space="preserve"> T55/100 * -0.9689 + T56/100*  1.8758 + T57/100 *  0.0415</f>
        <v>7.780370329038222E-2</v>
      </c>
      <c r="Y56" s="1011">
        <f t="shared" si="64"/>
        <v>78.809503448097033</v>
      </c>
      <c r="Z56" s="1062"/>
      <c r="AH56" s="76"/>
      <c r="AL56" s="88"/>
    </row>
    <row r="57" spans="1:57" ht="15.75" thickBot="1">
      <c r="A57" s="96"/>
      <c r="B57" s="97"/>
      <c r="C57" s="1410"/>
      <c r="D57" s="384">
        <f t="shared" si="1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IF(F57^3&gt;0.008856,F57^3*$AJ$25, (F57- 16 / 116 ) / 7.787*$AJ$25)</f>
        <v>23.564843957147154</v>
      </c>
      <c r="H57" s="1224">
        <f>G56</f>
        <v>20.08661574027834</v>
      </c>
      <c r="I57" s="1223">
        <v>31.309860486418504</v>
      </c>
      <c r="J57" s="1224">
        <f>I56</f>
        <v>19.902230133562615</v>
      </c>
      <c r="K57" s="1224">
        <f>I57/$AJ$29</f>
        <v>0.28755508652791073</v>
      </c>
      <c r="L57" s="1224">
        <f t="shared" si="2"/>
        <v>0.66004521157065177</v>
      </c>
      <c r="M57" s="1224">
        <f t="shared" si="71"/>
        <v>-15.239231409067312</v>
      </c>
      <c r="N57" s="1223">
        <f xml:space="preserve"> I55/100 *  0.0557 + I56/100 * -0.204 + I57/100 *  1.057</f>
        <v>0.30745631108135918</v>
      </c>
      <c r="O57" s="1226">
        <f t="shared" si="3"/>
        <v>150.55196979242695</v>
      </c>
      <c r="Q57" s="657">
        <v>1416.4</v>
      </c>
      <c r="R57" s="725">
        <f t="shared" si="72"/>
        <v>86.39064293915041</v>
      </c>
      <c r="S57" s="441">
        <f t="shared" si="60"/>
        <v>150.55196979242695</v>
      </c>
      <c r="T57" s="1010">
        <v>22.314879439698576</v>
      </c>
      <c r="U57" s="1010">
        <f>T57/$AJ$29</f>
        <v>0.20494364997013836</v>
      </c>
      <c r="V57" s="1010">
        <f t="shared" si="4"/>
        <v>0.58958282294147923</v>
      </c>
      <c r="W57" s="1010">
        <f xml:space="preserve"> 200 * ( V56 - V57 )</f>
        <v>-7.9724418229075944</v>
      </c>
      <c r="X57" s="1010">
        <f xml:space="preserve"> T55/100 *  0.0557 + T56/100 * -0.204 + T57/100 *  1.057</f>
        <v>0.21595292538469346</v>
      </c>
      <c r="Y57" s="1011">
        <f t="shared" si="64"/>
        <v>128.0253347650885</v>
      </c>
      <c r="Z57" s="1062"/>
      <c r="AH57" s="76"/>
      <c r="AL57" s="88"/>
    </row>
    <row r="58" spans="1:57">
      <c r="A58" s="92">
        <v>18</v>
      </c>
      <c r="B58" s="93" t="s">
        <v>127</v>
      </c>
      <c r="C58" s="1397"/>
      <c r="D58" s="382">
        <f t="shared" si="1"/>
        <v>-123.30990987449144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IF(F58^3&gt;0.008856,F58^3*$AJ$23, (F58- 16 / 116 ) / 7.787*$AJ$23)</f>
        <v>13.608750149830058</v>
      </c>
      <c r="H58" s="1216">
        <f>G58/SUM(G58:G60)</f>
        <v>0.21312678234962057</v>
      </c>
      <c r="I58" s="1215">
        <f t="array" ref="I58:I60">MMULT($AJ$34:$AL$36,G58:G60)</f>
        <v>14.513962671267748</v>
      </c>
      <c r="J58" s="1216">
        <f>I58/SUM(I58:I60)</f>
        <v>0.19301690833904903</v>
      </c>
      <c r="K58" s="1216">
        <f>I58/$AJ$27</f>
        <v>0.15270300663111669</v>
      </c>
      <c r="L58" s="1216">
        <f t="shared" si="2"/>
        <v>0.53450182948811376</v>
      </c>
      <c r="M58" s="1216">
        <f t="shared" si="58"/>
        <v>51.562892750533919</v>
      </c>
      <c r="N58" s="1215">
        <f>I58/100*  3.2406 + I59/100 * -1.5372 + I60/100 * -0.4986</f>
        <v>-3.7427884985883397E-2</v>
      </c>
      <c r="O58" s="1218">
        <f t="shared" si="3"/>
        <v>-123.30990987449144</v>
      </c>
      <c r="Q58" s="655">
        <v>351</v>
      </c>
      <c r="R58" s="726">
        <f t="shared" si="67"/>
        <v>27.426916712630998</v>
      </c>
      <c r="S58" s="442">
        <f t="shared" si="60"/>
        <v>-123.30990987449144</v>
      </c>
      <c r="T58" s="1013">
        <f t="array" ref="T58:T60">MMULT($AI$14:$AK$16,R58:R60)</f>
        <v>17.691122628402752</v>
      </c>
      <c r="U58" s="1013">
        <f>T58/$AJ$27</f>
        <v>0.1861302579608273</v>
      </c>
      <c r="V58" s="1013">
        <f t="shared" si="4"/>
        <v>0.5709599684454465</v>
      </c>
      <c r="W58" s="1013">
        <f xml:space="preserve"> 116 * V59  - 16</f>
        <v>54.908027875382359</v>
      </c>
      <c r="X58" s="1013">
        <f>T58/100*  3.2406 + T59/100 * -1.5372 + T60/100 * -0.4986</f>
        <v>1.9601122066588761E-2</v>
      </c>
      <c r="Y58" s="1014">
        <f>IF(X58&gt; 0.0031308,(1.055 * (X58^ ( 1 / 2.4 ) ) - 0.055)*255, 12.92 * X58*255)</f>
        <v>38.243860099099713</v>
      </c>
      <c r="Z58" s="1063">
        <f t="shared" si="68"/>
        <v>7.940727267158195</v>
      </c>
      <c r="AH58" s="76"/>
      <c r="AL58" s="88"/>
      <c r="BB58"/>
      <c r="BD58" s="42"/>
      <c r="BE58" s="42"/>
    </row>
    <row r="59" spans="1:57">
      <c r="A59" s="94"/>
      <c r="B59" s="95"/>
      <c r="C59" s="1397"/>
      <c r="D59" s="383">
        <f t="shared" si="1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IF(F59^3&gt;0.008856,F59^3*$AJ$24, (F59- 16 / 116 ) / 7.787*$AJ$24)</f>
        <v>19.301416385132129</v>
      </c>
      <c r="H59" s="1220">
        <f>G59/SUM(G58:G60)</f>
        <v>0.30227968943972605</v>
      </c>
      <c r="I59" s="1219">
        <v>19.758352992191142</v>
      </c>
      <c r="J59" s="1220">
        <f>I59/SUM(I58:I60)</f>
        <v>0.2627605082638137</v>
      </c>
      <c r="K59" s="1220">
        <f>I59/$AJ$28</f>
        <v>0.19758352992191142</v>
      </c>
      <c r="L59" s="1220">
        <f t="shared" si="2"/>
        <v>0.58243873060805107</v>
      </c>
      <c r="M59" s="1220">
        <f t="shared" si="69"/>
        <v>-23.968450559968659</v>
      </c>
      <c r="N59" s="1219">
        <f xml:space="preserve"> I58/100 * -0.9689 + I59/100*  1.8758 + I60/100 *  0.0415</f>
        <v>0.24698443604398265</v>
      </c>
      <c r="O59" s="1222">
        <f t="shared" si="3"/>
        <v>136.1986469903801</v>
      </c>
      <c r="Q59" s="656">
        <v>1297</v>
      </c>
      <c r="R59" s="726">
        <f t="shared" si="70"/>
        <v>101.34675491818348</v>
      </c>
      <c r="S59" s="442">
        <f t="shared" si="60"/>
        <v>136.1986469903801</v>
      </c>
      <c r="T59" s="1013">
        <v>22.840849519833512</v>
      </c>
      <c r="U59" s="1013">
        <f>T59/$AJ$28</f>
        <v>0.22840849519833512</v>
      </c>
      <c r="V59" s="1013">
        <f t="shared" si="4"/>
        <v>0.61127610237398589</v>
      </c>
      <c r="W59" s="1013">
        <f xml:space="preserve"> 500 * (V58 - V59 )</f>
        <v>-20.158066964269693</v>
      </c>
      <c r="X59" s="1013">
        <f xml:space="preserve"> T58/100 * -0.9689 + T59/100*  1.8758 + T60/100 *  0.0415</f>
        <v>0.27390137406087883</v>
      </c>
      <c r="Y59" s="1014">
        <f>IF(X59&gt; 0.0031308,(1.055 * (X59^ ( 1 / 2.4 ) ) - 0.055)*255, 12.92 * X59*255)</f>
        <v>142.81502203050027</v>
      </c>
      <c r="Z59" s="1063"/>
      <c r="AH59" s="76"/>
      <c r="AL59" s="88"/>
    </row>
    <row r="60" spans="1:57" ht="15.75" thickBot="1">
      <c r="A60" s="96"/>
      <c r="B60" s="97"/>
      <c r="C60" s="1398"/>
      <c r="D60" s="384">
        <f t="shared" si="1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IF(F60^3&gt;0.008856,F60^3*$AJ$25, (F60- 16 / 116 ) / 7.787*$AJ$25)</f>
        <v>30.942672605197082</v>
      </c>
      <c r="H60" s="1224">
        <f>G59</f>
        <v>19.301416385132129</v>
      </c>
      <c r="I60" s="1223">
        <v>40.922975755119111</v>
      </c>
      <c r="J60" s="1224">
        <f>I59</f>
        <v>19.758352992191142</v>
      </c>
      <c r="K60" s="1224">
        <f>I60/$AJ$29</f>
        <v>0.37584357296473381</v>
      </c>
      <c r="L60" s="1224">
        <f t="shared" si="2"/>
        <v>0.72166511030647063</v>
      </c>
      <c r="M60" s="1224">
        <f t="shared" si="71"/>
        <v>-27.845275939683912</v>
      </c>
      <c r="N60" s="1223">
        <f xml:space="preserve"> I58/100 *  0.0557 + I59/100 * -0.204 + I60/100 *  1.057</f>
        <v>0.40033309083543522</v>
      </c>
      <c r="O60" s="1226">
        <f t="shared" si="3"/>
        <v>169.68590110948557</v>
      </c>
      <c r="Q60" s="657">
        <v>1615.4</v>
      </c>
      <c r="R60" s="727">
        <f t="shared" si="72"/>
        <v>126.22632836918551</v>
      </c>
      <c r="S60" s="443">
        <f t="shared" si="60"/>
        <v>169.68590110948557</v>
      </c>
      <c r="T60" s="1016">
        <v>40.631339552858037</v>
      </c>
      <c r="U60" s="1016">
        <f>T60/$AJ$29</f>
        <v>0.37316513645709648</v>
      </c>
      <c r="V60" s="1016">
        <f t="shared" si="4"/>
        <v>0.71994671445746772</v>
      </c>
      <c r="W60" s="1016">
        <f xml:space="preserve"> 200 * ( V59 - V60 )</f>
        <v>-21.734122416696366</v>
      </c>
      <c r="X60" s="1016">
        <f xml:space="preserve"> T58/100 *  0.0557 + T59/100 * -0.204 + T60/100 *  1.057</f>
        <v>0.39273188135726939</v>
      </c>
      <c r="Y60" s="1017">
        <f>IF(X60&gt; 0.0031308,(1.055 * (X60^ ( 1 / 2.4 ) ) - 0.055)*255, 12.92 * X60*255)</f>
        <v>168.22437148163982</v>
      </c>
      <c r="Z60" s="1064"/>
      <c r="AH60" s="76"/>
      <c r="AL60" s="88"/>
    </row>
    <row r="61" spans="1:57" ht="15.75" customHeight="1" thickBot="1">
      <c r="A61" s="1390" t="s">
        <v>128</v>
      </c>
      <c r="B61" s="1391"/>
      <c r="C61" s="1391"/>
      <c r="D61" s="1391"/>
      <c r="E61" s="1391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Q61" s="658"/>
      <c r="R61" s="419"/>
      <c r="S61" s="184"/>
      <c r="T61" s="184"/>
      <c r="U61" s="184"/>
      <c r="V61" s="184"/>
      <c r="W61" s="184"/>
      <c r="X61" s="184"/>
      <c r="Y61" s="184"/>
      <c r="Z61" s="185"/>
      <c r="AH61" s="76"/>
      <c r="AL61" s="88"/>
    </row>
    <row r="62" spans="1:57">
      <c r="A62" s="92">
        <v>19</v>
      </c>
      <c r="B62" s="93" t="s">
        <v>129</v>
      </c>
      <c r="C62" s="1399"/>
      <c r="D62" s="382">
        <f t="shared" si="1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IF(F62^3&gt;0.008856,F62^3*$AJ$23, (F62- 16 / 116 ) / 7.787*$AJ$23)</f>
        <v>87.815122906722792</v>
      </c>
      <c r="H62" s="1216">
        <f>G62/SUM(G62:G64)</f>
        <v>0.34694698652697464</v>
      </c>
      <c r="I62" s="1215">
        <f t="array" ref="I62:I64">MMULT($AJ$34:$AL$36,G62:G64)</f>
        <v>86.483089485732179</v>
      </c>
      <c r="J62" s="1216">
        <f>I62/SUM(I62:I64)</f>
        <v>0.31406139191257065</v>
      </c>
      <c r="K62" s="1217">
        <f>I62/$AJ$27</f>
        <v>0.90989815023864173</v>
      </c>
      <c r="L62" s="1217">
        <f t="shared" si="2"/>
        <v>0.96901595398130502</v>
      </c>
      <c r="M62" s="1217">
        <f t="shared" ref="M62:M77" si="73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si="3"/>
        <v>244.94459763984261</v>
      </c>
      <c r="Q62" s="1328">
        <v>4208.3999000000003</v>
      </c>
      <c r="R62" s="728">
        <f t="shared" ref="R62" si="74">Q62/SUM(Q62:Q64)*255</f>
        <v>76.220718363145579</v>
      </c>
      <c r="S62" s="444">
        <f t="shared" ref="S62:S69" si="75">O62</f>
        <v>244.94459763984261</v>
      </c>
      <c r="T62" s="1019">
        <f t="array" ref="T62:T64">MMULT($AI$14:$AK$16,R62:R64)</f>
        <v>26.663469454397614</v>
      </c>
      <c r="U62" s="1019">
        <f>T62/$AJ$27</f>
        <v>0.28052931133436737</v>
      </c>
      <c r="V62" s="1019">
        <f t="shared" si="4"/>
        <v>0.65462524360878416</v>
      </c>
      <c r="W62" s="1019">
        <f xml:space="preserve"> 116 * V63  - 16</f>
        <v>60.322748098209345</v>
      </c>
      <c r="X62" s="1019">
        <f>T62/100*  3.2406 + T63/100 * -1.5372 + T64/100 * -0.4986</f>
        <v>0.28969142171772788</v>
      </c>
      <c r="Y62" s="1020">
        <f>IF(X62&gt; 0.0031308,(1.055 * (X62^ ( 1 / 2.4 ) ) - 0.055)*255, 12.92 * X62*255)</f>
        <v>146.52087620321137</v>
      </c>
      <c r="Z62" s="1065">
        <f t="shared" ref="Z62" si="76">SQRT(( ( M62-W62 ) ^ 2 ) + ( ( M63 - W63 ) ^ 2 ) + ( (M64 - W64 ) ^ 2 ))</f>
        <v>36.464004735787441</v>
      </c>
      <c r="AH62" s="76"/>
      <c r="AL62" s="88"/>
    </row>
    <row r="63" spans="1:57">
      <c r="A63" s="94"/>
      <c r="B63" s="95"/>
      <c r="C63" s="1400"/>
      <c r="D63" s="383">
        <f t="shared" si="1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IF(F63^3&gt;0.008856,F63^3*$AJ$24, (F63- 16 / 116 ) / 7.787*$AJ$24)</f>
        <v>91.313541686750369</v>
      </c>
      <c r="H63" s="1220">
        <f>G63/SUM(G62:G64)</f>
        <v>0.36076881827034307</v>
      </c>
      <c r="I63" s="1219">
        <v>91.291238095968254</v>
      </c>
      <c r="J63" s="1220">
        <f>I63/SUM(I62:I64)</f>
        <v>0.33152207531359967</v>
      </c>
      <c r="K63" s="1221">
        <f>I63/$AJ$28</f>
        <v>0.91291238095968252</v>
      </c>
      <c r="L63" s="1221">
        <f t="shared" si="2"/>
        <v>0.97008479825486504</v>
      </c>
      <c r="M63" s="1221">
        <f t="shared" ref="M63" si="77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3"/>
        <v>245.22561578043522</v>
      </c>
      <c r="Q63" s="1329">
        <v>5044</v>
      </c>
      <c r="R63" s="729">
        <f t="shared" ref="R63" si="78">Q63/SUM(Q62:Q64)*255</f>
        <v>91.354745879474578</v>
      </c>
      <c r="S63" s="445">
        <f t="shared" si="75"/>
        <v>245.22561578043522</v>
      </c>
      <c r="T63" s="1022">
        <v>28.483150869091517</v>
      </c>
      <c r="U63" s="1022">
        <f>T63/$AJ$28</f>
        <v>0.28483150869091517</v>
      </c>
      <c r="V63" s="1022">
        <f t="shared" si="4"/>
        <v>0.65795472498456331</v>
      </c>
      <c r="W63" s="1022">
        <f xml:space="preserve"> 500 * (V62 - V63 )</f>
        <v>-1.6647406878895765</v>
      </c>
      <c r="X63" s="1022">
        <f xml:space="preserve"> T62/100 * -0.9689 + T63/100*  1.8758 + T64/100 *  0.0415</f>
        <v>0.28730772911633129</v>
      </c>
      <c r="Y63" s="1023">
        <f t="shared" ref="Y63:Y79" si="79">IF(X63&gt; 0.0031308,(1.055 * (X63^ ( 1 / 2.4 ) ) - 0.055)*255, 12.92 * X63*255)</f>
        <v>145.96911888710784</v>
      </c>
      <c r="Z63" s="1066"/>
      <c r="AH63" s="76"/>
      <c r="AL63" s="88"/>
    </row>
    <row r="64" spans="1:57" ht="15.75" thickBot="1">
      <c r="A64" s="96"/>
      <c r="B64" s="97"/>
      <c r="C64" s="1400"/>
      <c r="D64" s="384">
        <f t="shared" si="1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IF(F64^3&gt;0.008856,F64^3*$AJ$25, (F64- 16 / 116 ) / 7.787*$AJ$25)</f>
        <v>73.979522872784855</v>
      </c>
      <c r="H64" s="1224">
        <f>G63</f>
        <v>91.313541686750369</v>
      </c>
      <c r="I64" s="1223">
        <v>97.595685138002494</v>
      </c>
      <c r="J64" s="1224">
        <f>I63</f>
        <v>91.291238095968254</v>
      </c>
      <c r="K64" s="1225">
        <f>I64/$AJ$29</f>
        <v>0.8963353796093283</v>
      </c>
      <c r="L64" s="1225">
        <f t="shared" si="2"/>
        <v>0.96417717527417512</v>
      </c>
      <c r="M64" s="1225">
        <f t="shared" ref="M64" si="80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3"/>
        <v>242.67159053813759</v>
      </c>
      <c r="Q64" s="1330">
        <v>4827</v>
      </c>
      <c r="R64" s="729">
        <f t="shared" ref="R64" si="81">Q64/SUM(Q62:Q64)*255</f>
        <v>87.424535757379829</v>
      </c>
      <c r="S64" s="445">
        <f t="shared" si="75"/>
        <v>242.67159053813759</v>
      </c>
      <c r="T64" s="1022">
        <v>27.381061825472624</v>
      </c>
      <c r="U64" s="1022">
        <f>T64/$AJ$29</f>
        <v>0.25147233108449091</v>
      </c>
      <c r="V64" s="1022">
        <f t="shared" si="4"/>
        <v>0.63119478573899424</v>
      </c>
      <c r="W64" s="1022">
        <f xml:space="preserve"> 200 * ( V63 - V64 )</f>
        <v>5.3519878491138151</v>
      </c>
      <c r="X64" s="1022">
        <f t="shared" ref="X64:X79" si="82" xml:space="preserve"> T62/100 *  0.0557 + T63/100 * -0.204 + T64/100 *  1.057</f>
        <v>0.24616374820839843</v>
      </c>
      <c r="Y64" s="1023">
        <f t="shared" si="79"/>
        <v>135.99045840949637</v>
      </c>
      <c r="Z64" s="1066"/>
      <c r="AH64" s="76"/>
      <c r="AL64" s="88"/>
    </row>
    <row r="65" spans="1:38">
      <c r="A65" s="92">
        <v>20</v>
      </c>
      <c r="B65" s="93" t="s">
        <v>130</v>
      </c>
      <c r="C65" s="1401"/>
      <c r="D65" s="382">
        <f t="shared" si="1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IF(F65^3&gt;0.008856,F65^3*$AJ$23, (F65- 16 / 116 ) / 7.787*$AJ$23)</f>
        <v>56.569247128485323</v>
      </c>
      <c r="H65" s="1216">
        <f>G65/SUM(G65:G67)</f>
        <v>0.34402428912881217</v>
      </c>
      <c r="I65" s="1215">
        <f t="array" ref="I65:I67">MMULT($AJ$34:$AL$36,G65:G67)</f>
        <v>55.788819575678076</v>
      </c>
      <c r="J65" s="1216">
        <f>I65/SUM(I65:I67)</f>
        <v>0.31115296554234889</v>
      </c>
      <c r="K65" s="1217">
        <f>I65/$AJ$27</f>
        <v>0.58696034146977893</v>
      </c>
      <c r="L65" s="1217">
        <f t="shared" si="2"/>
        <v>0.8372778192395478</v>
      </c>
      <c r="M65" s="1217">
        <f t="shared" si="73"/>
        <v>81.264407867823977</v>
      </c>
      <c r="N65" s="1215">
        <f>I65/100*  3.2406 + I66/100 * -1.5372 + I67/100 * -0.4986</f>
        <v>0.57981984786745056</v>
      </c>
      <c r="O65" s="1218">
        <f t="shared" si="3"/>
        <v>200.34536911982687</v>
      </c>
      <c r="Q65" s="1328">
        <v>2945.2</v>
      </c>
      <c r="R65" s="730">
        <f t="shared" ref="R65:R77" si="83">Q65/SUM(Q65:Q67)*255</f>
        <v>74.406157620609505</v>
      </c>
      <c r="S65" s="446">
        <f t="shared" si="75"/>
        <v>200.34536911982687</v>
      </c>
      <c r="T65" s="1025">
        <f t="array" ref="T65:T67">MMULT($AI$14:$AK$16,R65:R67)</f>
        <v>26.256425263549566</v>
      </c>
      <c r="U65" s="1025">
        <f>T65/$AJ$27</f>
        <v>0.27624675437993379</v>
      </c>
      <c r="V65" s="1025">
        <f t="shared" si="4"/>
        <v>0.65127698025591341</v>
      </c>
      <c r="W65" s="1025">
        <f xml:space="preserve"> 116 * V66  - 16</f>
        <v>60.01216275925448</v>
      </c>
      <c r="X65" s="1025">
        <f t="shared" si="82"/>
        <v>0.23753816394583871</v>
      </c>
      <c r="Y65" s="1026">
        <f t="shared" si="79"/>
        <v>133.77742335206446</v>
      </c>
      <c r="Z65" s="1067">
        <f t="shared" ref="Z65:Z77" si="84">SQRT(( ( M65-W65 ) ^ 2 ) + ( ( M66 - W66 ) ^ 2 ) + ( (M67 - W67 ) ^ 2 ))</f>
        <v>21.730666263693024</v>
      </c>
      <c r="AH65" s="76"/>
      <c r="AL65" s="88"/>
    </row>
    <row r="66" spans="1:38">
      <c r="A66" s="94"/>
      <c r="B66" s="95"/>
      <c r="C66" s="1401"/>
      <c r="D66" s="383">
        <f t="shared" si="1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IF(F66^3&gt;0.008856,F66^3*$AJ$24, (F66- 16 / 116 ) / 7.787*$AJ$24)</f>
        <v>58.937083331214446</v>
      </c>
      <c r="H66" s="1220">
        <f>G66/SUM(G65:G67)</f>
        <v>0.35842421855631845</v>
      </c>
      <c r="I66" s="1219">
        <v>58.950551710216978</v>
      </c>
      <c r="J66" s="1220">
        <f>I66/SUM(I65:I67)</f>
        <v>0.32878700650960413</v>
      </c>
      <c r="K66" s="1221">
        <f>I66/$AJ$28</f>
        <v>0.58950551710216981</v>
      </c>
      <c r="L66" s="1221">
        <f t="shared" si="2"/>
        <v>0.83848627472262049</v>
      </c>
      <c r="M66" s="1221">
        <f t="shared" ref="M66:M78" si="85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3"/>
        <v>202.21765470389457</v>
      </c>
      <c r="Q66" s="1329">
        <v>3620.8</v>
      </c>
      <c r="R66" s="730">
        <f t="shared" ref="R66:R78" si="86">Q66/SUM(Q65:Q67)*255</f>
        <v>91.474200567942063</v>
      </c>
      <c r="S66" s="446">
        <f t="shared" si="75"/>
        <v>202.21765470389457</v>
      </c>
      <c r="T66" s="1025">
        <v>28.136838714611319</v>
      </c>
      <c r="U66" s="1025">
        <f>T66/$AJ$28</f>
        <v>0.28136838714611317</v>
      </c>
      <c r="V66" s="1025">
        <f t="shared" si="4"/>
        <v>0.65527726516598694</v>
      </c>
      <c r="W66" s="1025">
        <f xml:space="preserve"> 500 * (V65 - V66 )</f>
        <v>-2.0001424550367686</v>
      </c>
      <c r="X66" s="1025">
        <f t="shared" si="82"/>
        <v>0.25909452911258873</v>
      </c>
      <c r="Y66" s="1026">
        <f t="shared" si="79"/>
        <v>139.22491461719528</v>
      </c>
      <c r="Z66" s="1067"/>
      <c r="AH66" s="76"/>
      <c r="AL66" s="88"/>
    </row>
    <row r="67" spans="1:38" ht="15.75" thickBot="1">
      <c r="A67" s="96"/>
      <c r="B67" s="97"/>
      <c r="C67" s="1401"/>
      <c r="D67" s="384">
        <f t="shared" si="1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IF(F67^3&gt;0.008856,F67^3*$AJ$25, (F67- 16 / 116 ) / 7.787*$AJ$25)</f>
        <v>48.92754504292278</v>
      </c>
      <c r="H67" s="1224">
        <f>G66</f>
        <v>58.937083331214446</v>
      </c>
      <c r="I67" s="1223">
        <v>64.557713279686695</v>
      </c>
      <c r="J67" s="1224">
        <f>I66</f>
        <v>58.950551710216978</v>
      </c>
      <c r="K67" s="1225">
        <f>I67/$AJ$29</f>
        <v>0.59290902417904257</v>
      </c>
      <c r="L67" s="1225">
        <f t="shared" si="2"/>
        <v>0.84009684454997624</v>
      </c>
      <c r="M67" s="1225">
        <f t="shared" ref="M67:M79" si="87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3"/>
        <v>202.39139072207513</v>
      </c>
      <c r="Q67" s="1330">
        <v>3527.6001000000001</v>
      </c>
      <c r="R67" s="730">
        <f t="shared" ref="R67:R79" si="88">Q67/SUM(Q65:Q67)*255</f>
        <v>89.119641811448432</v>
      </c>
      <c r="S67" s="446">
        <f t="shared" si="75"/>
        <v>202.39139072207513</v>
      </c>
      <c r="T67" s="1025">
        <v>27.920781063673967</v>
      </c>
      <c r="U67" s="1025">
        <f>T67/$AJ$29</f>
        <v>0.25642920440908101</v>
      </c>
      <c r="V67" s="1025">
        <f t="shared" si="4"/>
        <v>0.63531507658028674</v>
      </c>
      <c r="W67" s="1025">
        <f xml:space="preserve"> 200 * ( V66 - V67 )</f>
        <v>3.9924377171400405</v>
      </c>
      <c r="X67" s="1025">
        <f t="shared" si="82"/>
        <v>0.25234833373702387</v>
      </c>
      <c r="Y67" s="1026">
        <f t="shared" si="79"/>
        <v>137.54950454680298</v>
      </c>
      <c r="Z67" s="1067"/>
      <c r="AH67" s="76"/>
      <c r="AL67" s="88"/>
    </row>
    <row r="68" spans="1:38">
      <c r="A68" s="92">
        <v>21</v>
      </c>
      <c r="B68" s="93" t="s">
        <v>131</v>
      </c>
      <c r="C68" s="1379"/>
      <c r="D68" s="382">
        <f t="shared" si="1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IF(F68^3&gt;0.008856,F68^3*$AJ$23, (F68- 16 / 116 ) / 7.787*$AJ$23)</f>
        <v>34.807647454138859</v>
      </c>
      <c r="H68" s="1216">
        <f>G68/SUM(G68:G70)</f>
        <v>0.34319113984126032</v>
      </c>
      <c r="I68" s="1215">
        <f t="array" ref="I68:I70">MMULT($AJ$34:$AL$36,G68:G70)</f>
        <v>34.337921099816981</v>
      </c>
      <c r="J68" s="1216">
        <f>I68/SUM(I68:I70)</f>
        <v>0.31034444818578666</v>
      </c>
      <c r="K68" s="1217">
        <f>I68/$AJ$27</f>
        <v>0.36127306595491687</v>
      </c>
      <c r="L68" s="1217">
        <f t="shared" si="2"/>
        <v>0.71221622249017846</v>
      </c>
      <c r="M68" s="1217">
        <f t="shared" si="73"/>
        <v>66.775721536939102</v>
      </c>
      <c r="N68" s="1215">
        <f>I68/100*  3.2406 + I69/100 * -1.5372 + I70/100 * -0.4986</f>
        <v>0.35490601129233601</v>
      </c>
      <c r="O68" s="1218">
        <f t="shared" si="3"/>
        <v>160.69389383573181</v>
      </c>
      <c r="Q68" s="1328">
        <v>1724.2</v>
      </c>
      <c r="R68" s="731">
        <f t="shared" si="83"/>
        <v>73.378784338596091</v>
      </c>
      <c r="S68" s="447">
        <f t="shared" si="75"/>
        <v>160.69389383573181</v>
      </c>
      <c r="T68" s="1028">
        <f t="array" ref="T68:T70">MMULT($AI$14:$AK$16,R68:R70)</f>
        <v>25.912241348035</v>
      </c>
      <c r="U68" s="1028">
        <f>T68/$AJ$27</f>
        <v>0.27262555733516053</v>
      </c>
      <c r="V68" s="1028">
        <f t="shared" si="4"/>
        <v>0.64841868655820512</v>
      </c>
      <c r="W68" s="1028">
        <f xml:space="preserve"> 116 * V69  - 16</f>
        <v>59.643326845272711</v>
      </c>
      <c r="X68" s="1028">
        <f t="shared" si="82"/>
        <v>0.23260621684287353</v>
      </c>
      <c r="Y68" s="1029">
        <f t="shared" si="79"/>
        <v>132.49093329497649</v>
      </c>
      <c r="Z68" s="1068">
        <f t="shared" si="84"/>
        <v>7.9322354559077342</v>
      </c>
      <c r="AH68" s="76"/>
      <c r="AL68" s="88"/>
    </row>
    <row r="69" spans="1:38">
      <c r="A69" s="94"/>
      <c r="B69" s="95"/>
      <c r="C69" s="1379"/>
      <c r="D69" s="383">
        <f t="shared" si="1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IF(F69^3&gt;0.008856,F69^3*$AJ$24, (F69- 16 / 116 ) / 7.787*$AJ$24)</f>
        <v>36.323018537500005</v>
      </c>
      <c r="H69" s="1220">
        <f>G69/SUM(G68:G70)</f>
        <v>0.35813216480039922</v>
      </c>
      <c r="I69" s="1219">
        <v>36.335819338953193</v>
      </c>
      <c r="J69" s="1220">
        <f>I69/SUM(I68:I70)</f>
        <v>0.32840135456499631</v>
      </c>
      <c r="K69" s="1221">
        <f>I69/$AJ$28</f>
        <v>0.36335819338953196</v>
      </c>
      <c r="L69" s="1221">
        <f t="shared" si="2"/>
        <v>0.71358380635292329</v>
      </c>
      <c r="M69" s="1221">
        <f t="shared" si="85"/>
        <v>-0.68379193137241279</v>
      </c>
      <c r="N69" s="1219">
        <f xml:space="preserve"> I68/100 * -0.9689 + I69/100*  1.8758 + I70/100 *  0.0415</f>
        <v>0.36547506663615681</v>
      </c>
      <c r="O69" s="1222">
        <f t="shared" si="3"/>
        <v>162.84331466380013</v>
      </c>
      <c r="Q69" s="1329">
        <v>2141.8000000000002</v>
      </c>
      <c r="R69" s="731">
        <f t="shared" si="86"/>
        <v>91.151073133282154</v>
      </c>
      <c r="S69" s="447">
        <f t="shared" si="75"/>
        <v>162.84331466380013</v>
      </c>
      <c r="T69" s="1028">
        <v>27.729235476867608</v>
      </c>
      <c r="U69" s="1028">
        <f>T69/$AJ$28</f>
        <v>0.27729235476867609</v>
      </c>
      <c r="V69" s="1028">
        <f t="shared" si="4"/>
        <v>0.65209764521786817</v>
      </c>
      <c r="W69" s="1028">
        <f xml:space="preserve"> 500 * (V68 - V69 )</f>
        <v>-1.8394793298315282</v>
      </c>
      <c r="X69" s="1028">
        <f t="shared" si="82"/>
        <v>0.25578892169296563</v>
      </c>
      <c r="Y69" s="1029">
        <f t="shared" si="79"/>
        <v>138.40719192763609</v>
      </c>
      <c r="Z69" s="1068"/>
      <c r="AH69" s="76"/>
    </row>
    <row r="70" spans="1:38" ht="15.75" thickBot="1">
      <c r="A70" s="96"/>
      <c r="B70" s="97"/>
      <c r="C70" s="1379"/>
      <c r="D70" s="384">
        <f t="shared" ref="D70:D79" si="89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IF(F70^3&gt;0.008856,F70^3*$AJ$25, (F70- 16 / 116 ) / 7.787*$AJ$25)</f>
        <v>30.292836579665259</v>
      </c>
      <c r="H70" s="1224">
        <f>G69</f>
        <v>36.323018537500005</v>
      </c>
      <c r="I70" s="1223">
        <v>39.970807258312185</v>
      </c>
      <c r="J70" s="1224">
        <f>I69</f>
        <v>36.335819338953193</v>
      </c>
      <c r="K70" s="1225">
        <f>I70/$AJ$29</f>
        <v>0.36709869546496871</v>
      </c>
      <c r="L70" s="1225">
        <f t="shared" ref="L70:L79" si="90">IF(K70&gt;0.008856,K70^(1/3),7.787*K70+16/116)</f>
        <v>0.71602405656155932</v>
      </c>
      <c r="M70" s="1225">
        <f t="shared" si="87"/>
        <v>-0.48805004172720601</v>
      </c>
      <c r="N70" s="1223">
        <f xml:space="preserve"> I68/100 *  0.0557 + I69/100 * -0.204 + I70/100 *  1.057</f>
        <v>0.36749258332149332</v>
      </c>
      <c r="O70" s="1226">
        <f t="shared" ref="O70:O79" si="91">IF(N70&gt; 0.0031308,(1.055 * (N70^ ( 1 / 2.4 ) ) - 0.055)*255, 12.92 * N70*255)</f>
        <v>163.24947770284862</v>
      </c>
      <c r="Q70" s="1330">
        <v>2125.8000000000002</v>
      </c>
      <c r="R70" s="731">
        <f t="shared" si="88"/>
        <v>90.470142528121784</v>
      </c>
      <c r="S70" s="447">
        <f t="shared" ref="S70:S79" si="92">O70</f>
        <v>163.24947770284862</v>
      </c>
      <c r="T70" s="1028">
        <v>28.299145970997209</v>
      </c>
      <c r="U70" s="1028">
        <f>T70/$AJ$29</f>
        <v>0.25990417210213906</v>
      </c>
      <c r="V70" s="1028">
        <f t="shared" ref="V70:V79" si="93">IF(U70&gt;0.008856,U70^(1/3),7.787*U70+16/116)</f>
        <v>0.63817200717739619</v>
      </c>
      <c r="W70" s="1028">
        <f xml:space="preserve"> 200 * ( V69 - V70 )</f>
        <v>2.7851276080943954</v>
      </c>
      <c r="X70" s="1028">
        <f t="shared" si="82"/>
        <v>0.25698745097148601</v>
      </c>
      <c r="Y70" s="1029">
        <f t="shared" si="79"/>
        <v>138.70438583737899</v>
      </c>
      <c r="Z70" s="1068"/>
      <c r="AH70" s="76"/>
    </row>
    <row r="71" spans="1:38">
      <c r="A71" s="92">
        <v>22</v>
      </c>
      <c r="B71" s="93" t="s">
        <v>132</v>
      </c>
      <c r="C71" s="1380"/>
      <c r="D71" s="382">
        <f t="shared" si="89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IF(F71^3&gt;0.008856,F71^3*$AJ$23, (F71- 16 / 116 ) / 7.787*$AJ$23)</f>
        <v>18.43936121807641</v>
      </c>
      <c r="H71" s="1216">
        <f>G71/SUM(G71:G73)</f>
        <v>0.34459067138088834</v>
      </c>
      <c r="I71" s="1215">
        <f t="array" ref="I71:I73">MMULT($AJ$34:$AL$36,G71:G73)</f>
        <v>18.184329325516259</v>
      </c>
      <c r="J71" s="1216">
        <f>I71/SUM(I71:I73)</f>
        <v>0.31167001185498577</v>
      </c>
      <c r="K71" s="1217">
        <f>I71/$AJ$27</f>
        <v>0.19131934017397981</v>
      </c>
      <c r="L71" s="1217">
        <f t="shared" si="90"/>
        <v>0.57621729778570396</v>
      </c>
      <c r="M71" s="1217">
        <f t="shared" si="73"/>
        <v>50.870690052543708</v>
      </c>
      <c r="N71" s="1215">
        <f>I71/100*  3.2406 + I72/100 * -1.5372 + I73/100 * -0.4986</f>
        <v>0.19007386551273386</v>
      </c>
      <c r="O71" s="1218">
        <f t="shared" si="91"/>
        <v>120.66757106732852</v>
      </c>
      <c r="Q71" s="1328">
        <v>927.6</v>
      </c>
      <c r="R71" s="732">
        <f t="shared" si="83"/>
        <v>73.752182589174367</v>
      </c>
      <c r="S71" s="448">
        <f t="shared" si="92"/>
        <v>120.66757106732852</v>
      </c>
      <c r="T71" s="1028">
        <f t="array" ref="T71:T73">MMULT($AI$14:$AK$16,R71:R73)</f>
        <v>25.798830071253242</v>
      </c>
      <c r="U71" s="1028">
        <f>T71/$AJ$27</f>
        <v>0.27143234474789568</v>
      </c>
      <c r="V71" s="1028">
        <f t="shared" si="93"/>
        <v>0.64747131529512592</v>
      </c>
      <c r="W71" s="1028">
        <f xml:space="preserve"> 116 * V72  - 16</f>
        <v>59.373681559262394</v>
      </c>
      <c r="X71" s="1028">
        <f t="shared" si="82"/>
        <v>0.23040856023292772</v>
      </c>
      <c r="Y71" s="1029">
        <f t="shared" si="79"/>
        <v>131.91255333250047</v>
      </c>
      <c r="Z71" s="1068">
        <f t="shared" si="84"/>
        <v>8.9395700396476148</v>
      </c>
    </row>
    <row r="72" spans="1:38">
      <c r="A72" s="94"/>
      <c r="B72" s="95"/>
      <c r="C72" s="1380"/>
      <c r="D72" s="383">
        <f t="shared" si="89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IF(F72^3&gt;0.008856,F72^3*$AJ$24, (F72- 16 / 116 ) / 7.787*$AJ$24)</f>
        <v>19.154091120507889</v>
      </c>
      <c r="H72" s="1220">
        <f>G72/SUM(G71:G73)</f>
        <v>0.35794738444822705</v>
      </c>
      <c r="I72" s="1219">
        <v>19.157262348610743</v>
      </c>
      <c r="J72" s="1220">
        <f>I72/SUM(I71:I73)</f>
        <v>0.32834558131997932</v>
      </c>
      <c r="K72" s="1221">
        <f>I72/$AJ$28</f>
        <v>0.19157262348610743</v>
      </c>
      <c r="L72" s="1221">
        <f t="shared" si="90"/>
        <v>0.57647146597020438</v>
      </c>
      <c r="M72" s="1221">
        <f t="shared" si="85"/>
        <v>-0.127084092250207</v>
      </c>
      <c r="N72" s="1219">
        <f xml:space="preserve"> I71/100 * -0.9689 + I72/100*  1.8758 + I73/100 *  0.0415</f>
        <v>0.1918802981706797</v>
      </c>
      <c r="O72" s="1222">
        <f t="shared" si="91"/>
        <v>121.19947386215865</v>
      </c>
      <c r="Q72" s="1329">
        <v>1137.5999999999999</v>
      </c>
      <c r="R72" s="732">
        <f t="shared" si="86"/>
        <v>90.448989773010723</v>
      </c>
      <c r="S72" s="448">
        <f t="shared" si="92"/>
        <v>121.19947386215865</v>
      </c>
      <c r="T72" s="1028">
        <v>27.43375260247344</v>
      </c>
      <c r="U72" s="1028">
        <f>T72/$AJ$28</f>
        <v>0.27433752602473438</v>
      </c>
      <c r="V72" s="1028">
        <f t="shared" si="93"/>
        <v>0.64977311689019301</v>
      </c>
      <c r="W72" s="1028">
        <f xml:space="preserve"> 500 * (V71 - V72 )</f>
        <v>-1.1509007975335495</v>
      </c>
      <c r="X72" s="1028">
        <f t="shared" si="82"/>
        <v>0.2531077759686331</v>
      </c>
      <c r="Y72" s="1029">
        <f t="shared" si="79"/>
        <v>137.73940606845417</v>
      </c>
      <c r="Z72" s="1068"/>
    </row>
    <row r="73" spans="1:38" ht="15.75" thickBot="1">
      <c r="A73" s="96"/>
      <c r="B73" s="97"/>
      <c r="C73" s="1380"/>
      <c r="D73" s="384">
        <f t="shared" si="89"/>
        <v>121.54290035174313</v>
      </c>
      <c r="E73" s="372">
        <v>-0.27</v>
      </c>
      <c r="F73" s="1223">
        <f>F72 - E73 / 200</f>
        <v>0.57778965517241365</v>
      </c>
      <c r="G73" s="1223">
        <f>IF(F73^3&gt;0.008856,F73^3*$AJ$25, (F73- 16 / 116 ) / 7.787*$AJ$25)</f>
        <v>15.917460026465561</v>
      </c>
      <c r="H73" s="1224">
        <f>G72</f>
        <v>19.154091120507889</v>
      </c>
      <c r="I73" s="1223">
        <v>21.003223784015592</v>
      </c>
      <c r="J73" s="1224">
        <f>I72</f>
        <v>19.157262348610743</v>
      </c>
      <c r="K73" s="1225">
        <f>I73/$AJ$29</f>
        <v>0.19289718123137306</v>
      </c>
      <c r="L73" s="1225">
        <f t="shared" si="90"/>
        <v>0.57779701491624003</v>
      </c>
      <c r="M73" s="1225">
        <f t="shared" si="87"/>
        <v>-0.26510978920712969</v>
      </c>
      <c r="N73" s="1223">
        <f xml:space="preserve"> I71/100 *  0.0557 + I72/100 * -0.204 + I73/100 *  1.057</f>
        <v>0.19305193164019147</v>
      </c>
      <c r="O73" s="1226">
        <f t="shared" si="91"/>
        <v>121.54290035174313</v>
      </c>
      <c r="Q73" s="1330">
        <v>1142</v>
      </c>
      <c r="R73" s="732">
        <f t="shared" si="88"/>
        <v>90.798827637814924</v>
      </c>
      <c r="S73" s="448">
        <f t="shared" si="92"/>
        <v>121.54290035174313</v>
      </c>
      <c r="T73" s="1028">
        <v>28.314278207228007</v>
      </c>
      <c r="U73" s="1028">
        <f>T73/$AJ$29</f>
        <v>0.26004314913464921</v>
      </c>
      <c r="V73" s="1028">
        <f t="shared" si="93"/>
        <v>0.63828573556597246</v>
      </c>
      <c r="W73" s="1028">
        <f xml:space="preserve"> 200 * ( V72 - V73 )</f>
        <v>2.2974762648441116</v>
      </c>
      <c r="X73" s="1028">
        <f t="shared" si="82"/>
        <v>0.25768701369104224</v>
      </c>
      <c r="Y73" s="1029">
        <f t="shared" si="79"/>
        <v>138.87747969129737</v>
      </c>
      <c r="Z73" s="1068"/>
    </row>
    <row r="74" spans="1:38">
      <c r="A74" s="92">
        <v>23</v>
      </c>
      <c r="B74" s="93" t="s">
        <v>133</v>
      </c>
      <c r="C74" s="1381"/>
      <c r="D74" s="382">
        <f t="shared" si="89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IF(F74^3&gt;0.008856,F74^3*$AJ$23, (F74- 16 / 116 ) / 7.787*$AJ$23)</f>
        <v>8.4663972666156759</v>
      </c>
      <c r="H74" s="1216">
        <f>G74/SUM(G74:G76)</f>
        <v>0.34014730083358202</v>
      </c>
      <c r="I74" s="1215">
        <f t="array" ref="I74:I76">MMULT($AJ$34:$AL$36,G74:G76)</f>
        <v>8.3664692366306088</v>
      </c>
      <c r="J74" s="1216">
        <f>I74/SUM(I74:I76)</f>
        <v>0.30728973096477313</v>
      </c>
      <c r="K74" s="1217">
        <f>I74/$AJ$27</f>
        <v>8.8024548240666287E-2</v>
      </c>
      <c r="L74" s="1217">
        <f t="shared" si="90"/>
        <v>0.44483737396442985</v>
      </c>
      <c r="M74" s="1217">
        <f t="shared" si="73"/>
        <v>35.671205048177505</v>
      </c>
      <c r="N74" s="1215">
        <f>I74/100*  3.2406 + I75/100 * -1.5372 + I76/100 * -0.4986</f>
        <v>8.5291721079064992E-2</v>
      </c>
      <c r="O74" s="1218">
        <f t="shared" si="91"/>
        <v>82.432760070363386</v>
      </c>
      <c r="Q74" s="1328">
        <v>424</v>
      </c>
      <c r="R74" s="733">
        <f t="shared" si="83"/>
        <v>71.735668789808912</v>
      </c>
      <c r="S74" s="449">
        <f t="shared" si="92"/>
        <v>82.432760070363386</v>
      </c>
      <c r="T74" s="1031">
        <f t="array" ref="T74:T76">MMULT($AI$14:$AK$16,R74:R76)</f>
        <v>25.179498000913345</v>
      </c>
      <c r="U74" s="1031">
        <f>T74/$AJ$27</f>
        <v>0.26491628353249808</v>
      </c>
      <c r="V74" s="1031">
        <f t="shared" si="93"/>
        <v>0.64224818347807067</v>
      </c>
      <c r="W74" s="1031">
        <f xml:space="preserve"> 116 * V75  - 16</f>
        <v>58.731307682109886</v>
      </c>
      <c r="X74" s="1031">
        <f t="shared" si="82"/>
        <v>0.22366676652648665</v>
      </c>
      <c r="Y74" s="1032">
        <f t="shared" si="79"/>
        <v>130.1178976037672</v>
      </c>
      <c r="Z74" s="1069">
        <f t="shared" si="84"/>
        <v>23.10989237823199</v>
      </c>
    </row>
    <row r="75" spans="1:38">
      <c r="A75" s="94"/>
      <c r="B75" s="95"/>
      <c r="C75" s="1381"/>
      <c r="D75" s="383">
        <f t="shared" si="89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IF(F75^3&gt;0.008856,F75^3*$AJ$24, (F75- 16 / 116 ) / 7.787*$AJ$24)</f>
        <v>8.830562171241132</v>
      </c>
      <c r="H75" s="1220">
        <f>G75/SUM(G74:G76)</f>
        <v>0.35477804700174326</v>
      </c>
      <c r="I75" s="1219">
        <v>8.8383623483462674</v>
      </c>
      <c r="J75" s="1220">
        <f>I75/SUM(I74:I76)</f>
        <v>0.32462176234407364</v>
      </c>
      <c r="K75" s="1221">
        <f>I75/$AJ$28</f>
        <v>8.8383623483462681E-2</v>
      </c>
      <c r="L75" s="1221">
        <f t="shared" si="90"/>
        <v>0.44544142282911642</v>
      </c>
      <c r="M75" s="1221">
        <f t="shared" si="85"/>
        <v>-0.30202443234328413</v>
      </c>
      <c r="N75" s="1219">
        <f xml:space="preserve"> I74/100 * -0.9689 + I75/100*  1.8758 + I76/100 *  0.0415</f>
        <v>8.8886334170558357E-2</v>
      </c>
      <c r="O75" s="1222">
        <f t="shared" si="91"/>
        <v>84.106225276765315</v>
      </c>
      <c r="Q75" s="1329">
        <v>532</v>
      </c>
      <c r="R75" s="733">
        <f t="shared" si="86"/>
        <v>90.007961783439484</v>
      </c>
      <c r="S75" s="449">
        <f t="shared" si="92"/>
        <v>84.106225276765315</v>
      </c>
      <c r="T75" s="1031">
        <v>26.738299139634702</v>
      </c>
      <c r="U75" s="1031">
        <f>T75/$AJ$28</f>
        <v>0.26738299139634703</v>
      </c>
      <c r="V75" s="1031">
        <f t="shared" si="93"/>
        <v>0.64423541105267146</v>
      </c>
      <c r="W75" s="1031">
        <f xml:space="preserve"> 500 * (V74 - V75 )</f>
        <v>-0.99361378730039585</v>
      </c>
      <c r="X75" s="1031">
        <f t="shared" si="82"/>
        <v>0.24702869894550156</v>
      </c>
      <c r="Y75" s="1032">
        <f t="shared" si="79"/>
        <v>136.20986393699479</v>
      </c>
      <c r="Z75" s="1069"/>
    </row>
    <row r="76" spans="1:38" ht="15.75" thickBot="1">
      <c r="A76" s="96"/>
      <c r="B76" s="97"/>
      <c r="C76" s="1381"/>
      <c r="D76" s="384">
        <f t="shared" si="89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IF(F76^3&gt;0.008856,F76^3*$AJ$25, (F76- 16 / 116 ) / 7.787*$AJ$25)</f>
        <v>7.5934255390855299</v>
      </c>
      <c r="H76" s="1224">
        <f>G75</f>
        <v>8.830562171241132</v>
      </c>
      <c r="I76" s="1223">
        <v>10.02181608191089</v>
      </c>
      <c r="J76" s="1224">
        <f>I75</f>
        <v>8.8383623483462674</v>
      </c>
      <c r="K76" s="1225">
        <f>I76/$AJ$29</f>
        <v>9.2042064251636066E-2</v>
      </c>
      <c r="L76" s="1225">
        <f t="shared" si="90"/>
        <v>0.45150453490012216</v>
      </c>
      <c r="M76" s="1225">
        <f t="shared" si="87"/>
        <v>-1.2126224142011477</v>
      </c>
      <c r="N76" s="1223">
        <f xml:space="preserve"> I74/100 *  0.0557 + I75/100 * -0.204 + I76/100 *  1.057</f>
        <v>9.2560460159974961E-2</v>
      </c>
      <c r="O76" s="1226">
        <f t="shared" si="91"/>
        <v>85.776392403274841</v>
      </c>
      <c r="Q76" s="1330">
        <v>551.20000000000005</v>
      </c>
      <c r="R76" s="733">
        <f t="shared" si="88"/>
        <v>93.256369426751604</v>
      </c>
      <c r="S76" s="449">
        <f t="shared" si="92"/>
        <v>85.776392403274841</v>
      </c>
      <c r="T76" s="1031">
        <v>29.020940713605533</v>
      </c>
      <c r="U76" s="1031">
        <f>T76/$AJ$29</f>
        <v>0.26653325784195453</v>
      </c>
      <c r="V76" s="1031">
        <f t="shared" si="93"/>
        <v>0.64355223449569809</v>
      </c>
      <c r="W76" s="1031">
        <f xml:space="preserve"> 200 * ( V75 - V76 )</f>
        <v>0.13663531139467278</v>
      </c>
      <c r="X76" s="1031">
        <f t="shared" si="82"/>
        <v>0.26623019348446442</v>
      </c>
      <c r="Y76" s="1032">
        <f t="shared" si="79"/>
        <v>140.96958239304979</v>
      </c>
      <c r="Z76" s="1069"/>
    </row>
    <row r="77" spans="1:38">
      <c r="A77" s="92">
        <v>24</v>
      </c>
      <c r="B77" s="93" t="s">
        <v>134</v>
      </c>
      <c r="C77" s="1382"/>
      <c r="D77" s="382">
        <f t="shared" si="89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IF(F77^3&gt;0.008856,F77^3*$AJ$23, (F77- 16 / 116 ) / 7.787*$AJ$23)</f>
        <v>2.9897357488456109</v>
      </c>
      <c r="H77" s="1216">
        <f>G77/SUM(G77:G79)</f>
        <v>0.34057446099560401</v>
      </c>
      <c r="I77" s="1215">
        <f t="array" ref="I77:I79">MMULT($AJ$34:$AL$36,G77:G79)</f>
        <v>2.9548703214714056</v>
      </c>
      <c r="J77" s="1216">
        <f>I77/SUM(I77:I79)</f>
        <v>0.30764660220912321</v>
      </c>
      <c r="K77" s="1217">
        <f>I77/$AJ$27</f>
        <v>3.1088517485784988E-2</v>
      </c>
      <c r="L77" s="1217">
        <f t="shared" si="90"/>
        <v>0.31443677800446584</v>
      </c>
      <c r="M77" s="1217">
        <f t="shared" si="73"/>
        <v>20.471432931123296</v>
      </c>
      <c r="N77" s="1215">
        <f>I77/100*  3.2406 + I78/100 * -1.5372 + I79/100 * -0.4986</f>
        <v>3.0319253007234818E-2</v>
      </c>
      <c r="O77" s="1218">
        <f t="shared" si="91"/>
        <v>48.661691226720095</v>
      </c>
      <c r="Q77" s="1328">
        <v>203</v>
      </c>
      <c r="R77" s="734">
        <f t="shared" si="83"/>
        <v>73.949999999999989</v>
      </c>
      <c r="S77" s="450">
        <f t="shared" si="92"/>
        <v>48.661691226720095</v>
      </c>
      <c r="T77" s="1034">
        <f t="array" ref="T77:T79">MMULT($AI$14:$AK$16,R77:R79)</f>
        <v>25.222409028300593</v>
      </c>
      <c r="U77" s="1034">
        <f>T77/$AJ$27</f>
        <v>0.26536775519796096</v>
      </c>
      <c r="V77" s="1034">
        <f t="shared" si="93"/>
        <v>0.64261281728317454</v>
      </c>
      <c r="W77" s="1034">
        <f xml:space="preserve"> 116 * V78  - 16</f>
        <v>58.336548253083436</v>
      </c>
      <c r="X77" s="1034">
        <f t="shared" si="82"/>
        <v>0.22229137699415849</v>
      </c>
      <c r="Y77" s="1035">
        <f t="shared" si="79"/>
        <v>129.74791012897393</v>
      </c>
      <c r="Z77" s="1070">
        <f t="shared" si="84"/>
        <v>37.887543105576547</v>
      </c>
    </row>
    <row r="78" spans="1:38">
      <c r="A78" s="94"/>
      <c r="B78" s="95"/>
      <c r="C78" s="1382"/>
      <c r="D78" s="383">
        <f t="shared" si="89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IF(F78^3&gt;0.008856,F78^3*$AJ$24, (F78- 16 / 116 ) / 7.787*$AJ$24)</f>
        <v>3.1053586043004144</v>
      </c>
      <c r="H78" s="1220">
        <f>G78/SUM(G77:G79)</f>
        <v>0.3537455888086547</v>
      </c>
      <c r="I78" s="1219">
        <v>3.1080250641062577</v>
      </c>
      <c r="J78" s="1220">
        <f>I78/SUM(I77:I79)</f>
        <v>0.32359232268336802</v>
      </c>
      <c r="K78" s="1221">
        <f>I78/$AJ$28</f>
        <v>3.1080250641062578E-2</v>
      </c>
      <c r="L78" s="1221">
        <f t="shared" si="90"/>
        <v>0.31440890457864912</v>
      </c>
      <c r="M78" s="1221">
        <f t="shared" si="85"/>
        <v>1.3936712908363402E-2</v>
      </c>
      <c r="N78" s="1219">
        <f xml:space="preserve"> I77/100 * -0.9689 + I78/100*  1.8758 + I79/100 *  0.0415</f>
        <v>3.1140467456574263E-2</v>
      </c>
      <c r="O78" s="1222">
        <f t="shared" si="91"/>
        <v>49.363641330697085</v>
      </c>
      <c r="Q78" s="1329">
        <v>242.4</v>
      </c>
      <c r="R78" s="734">
        <f t="shared" si="86"/>
        <v>88.30285714285715</v>
      </c>
      <c r="S78" s="450">
        <f t="shared" si="92"/>
        <v>49.363641330697085</v>
      </c>
      <c r="T78" s="1034">
        <v>26.316807627799527</v>
      </c>
      <c r="U78" s="1034">
        <f>T78/$AJ$28</f>
        <v>0.26316807627799527</v>
      </c>
      <c r="V78" s="1034">
        <f t="shared" si="93"/>
        <v>0.64083231252658135</v>
      </c>
      <c r="W78" s="1034">
        <f xml:space="preserve"> 500 * (V77 - V78 )</f>
        <v>0.89025237829659654</v>
      </c>
      <c r="X78" s="1034">
        <f t="shared" si="82"/>
        <v>0.24287960618558607</v>
      </c>
      <c r="Y78" s="1035">
        <f t="shared" si="79"/>
        <v>135.15327384387481</v>
      </c>
      <c r="Z78" s="1070"/>
    </row>
    <row r="79" spans="1:38" ht="15.75" thickBot="1">
      <c r="A79" s="96"/>
      <c r="B79" s="97"/>
      <c r="C79" s="1383"/>
      <c r="D79" s="384">
        <f t="shared" si="89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IF(F79^3&gt;0.008856,F79^3*$AJ$25, (F79- 16 / 116 ) / 7.787*$AJ$25)</f>
        <v>2.6834139945019237</v>
      </c>
      <c r="H79" s="1224">
        <f>G78</f>
        <v>3.1053586043004144</v>
      </c>
      <c r="I79" s="1223">
        <v>3.5418598766398226</v>
      </c>
      <c r="J79" s="1224">
        <f>I78</f>
        <v>3.1080250641062577</v>
      </c>
      <c r="K79" s="1225">
        <f>I79/$AJ$29</f>
        <v>3.2529043805183754E-2</v>
      </c>
      <c r="L79" s="1225">
        <f t="shared" si="90"/>
        <v>0.31922024931181825</v>
      </c>
      <c r="M79" s="1225">
        <f t="shared" si="87"/>
        <v>-0.96226894663382634</v>
      </c>
      <c r="N79" s="1223">
        <f xml:space="preserve"> I77/100 *  0.0557 + I78/100 * -0.204 + I79/100 *  1.057</f>
        <v>3.2742950534365732E-2</v>
      </c>
      <c r="O79" s="1226">
        <f t="shared" si="91"/>
        <v>50.702931476399115</v>
      </c>
      <c r="Q79" s="1330">
        <v>254.6</v>
      </c>
      <c r="R79" s="735">
        <f t="shared" si="88"/>
        <v>92.747142857142862</v>
      </c>
      <c r="S79" s="451">
        <f t="shared" si="92"/>
        <v>50.702931476399115</v>
      </c>
      <c r="T79" s="1037">
        <v>28.652763920915657</v>
      </c>
      <c r="U79" s="1037">
        <f>T79/$AJ$29</f>
        <v>0.26315185952734271</v>
      </c>
      <c r="V79" s="1037">
        <f t="shared" si="93"/>
        <v>0.64081914928956418</v>
      </c>
      <c r="W79" s="1037">
        <f xml:space="preserve"> 200 * ( V78 - V79 )</f>
        <v>2.6326474034332747E-3</v>
      </c>
      <c r="X79" s="1037">
        <f t="shared" si="82"/>
        <v>0.26322230891213094</v>
      </c>
      <c r="Y79" s="1038">
        <f t="shared" si="79"/>
        <v>140.23752274849423</v>
      </c>
      <c r="Z79" s="1071"/>
    </row>
    <row r="80" spans="1:38">
      <c r="D80" s="663"/>
    </row>
    <row r="81" spans="4:26">
      <c r="D81" s="663"/>
      <c r="S81" s="386"/>
      <c r="Z81" s="342">
        <f>SUM(Z5:Z80)</f>
        <v>413.59277885017599</v>
      </c>
    </row>
    <row r="82" spans="4:26">
      <c r="D82" s="663"/>
      <c r="S82" s="386"/>
      <c r="Z82" s="342">
        <f>Z81/24</f>
        <v>17.233032452090665</v>
      </c>
    </row>
    <row r="83" spans="4:26">
      <c r="D83" s="663"/>
    </row>
    <row r="84" spans="4:26">
      <c r="D84" s="663"/>
    </row>
    <row r="85" spans="4:26">
      <c r="D85" s="663"/>
      <c r="S85" s="73"/>
    </row>
    <row r="86" spans="4:26">
      <c r="D86" s="663"/>
      <c r="S86" s="73"/>
    </row>
    <row r="87" spans="4:26">
      <c r="D87" s="663"/>
    </row>
    <row r="88" spans="4:26">
      <c r="D88" s="663"/>
    </row>
    <row r="89" spans="4:26">
      <c r="D89" s="663"/>
    </row>
    <row r="90" spans="4:26">
      <c r="D90" s="663"/>
    </row>
    <row r="91" spans="4:26">
      <c r="D91" s="663"/>
    </row>
    <row r="92" spans="4:26">
      <c r="D92" s="663"/>
    </row>
    <row r="93" spans="4:26">
      <c r="D93" s="663"/>
    </row>
    <row r="94" spans="4:26">
      <c r="D94" s="663"/>
    </row>
    <row r="95" spans="4:26">
      <c r="D95" s="663"/>
    </row>
    <row r="96" spans="4:26">
      <c r="D96" s="663"/>
    </row>
    <row r="97" spans="4:26">
      <c r="D97" s="663"/>
    </row>
    <row r="98" spans="4:26">
      <c r="D98" s="663"/>
      <c r="F98" s="379"/>
      <c r="G98" s="379"/>
      <c r="H98" s="379"/>
      <c r="I98" s="380"/>
    </row>
    <row r="99" spans="4:26">
      <c r="D99" s="663"/>
      <c r="I99" s="380"/>
    </row>
    <row r="100" spans="4:26">
      <c r="D100" s="663"/>
      <c r="I100" s="380"/>
    </row>
    <row r="101" spans="4:26">
      <c r="D101" s="663"/>
    </row>
    <row r="102" spans="4:26">
      <c r="D102" s="663"/>
      <c r="F102" s="379"/>
      <c r="G102" s="379"/>
      <c r="H102" s="379"/>
      <c r="J102" s="380"/>
      <c r="K102" s="380"/>
      <c r="L102" s="380"/>
      <c r="M102" s="380"/>
      <c r="N102" s="380"/>
      <c r="O102" s="380"/>
      <c r="Z102" s="344"/>
    </row>
    <row r="103" spans="4:26">
      <c r="D103" s="663"/>
      <c r="J103" s="380"/>
      <c r="K103" s="380"/>
      <c r="L103" s="380"/>
      <c r="M103" s="380"/>
      <c r="N103" s="380"/>
      <c r="O103" s="380"/>
      <c r="Z103" s="344"/>
    </row>
    <row r="104" spans="4:26">
      <c r="D104" s="663"/>
      <c r="J104" s="380"/>
      <c r="K104" s="380"/>
      <c r="L104" s="380"/>
      <c r="M104" s="380"/>
      <c r="N104" s="380"/>
      <c r="O104" s="380"/>
      <c r="Z104" s="344"/>
    </row>
    <row r="105" spans="4:26">
      <c r="D105" s="663"/>
    </row>
    <row r="106" spans="4:26">
      <c r="D106" s="663"/>
    </row>
  </sheetData>
  <mergeCells count="41">
    <mergeCell ref="A4:E4"/>
    <mergeCell ref="Q2:Z2"/>
    <mergeCell ref="AB2:AZ2"/>
    <mergeCell ref="C3:D3"/>
    <mergeCell ref="AC3:AZ3"/>
    <mergeCell ref="A2:E2"/>
    <mergeCell ref="F2:O2"/>
    <mergeCell ref="C5:C7"/>
    <mergeCell ref="AB6:AB8"/>
    <mergeCell ref="C8:C10"/>
    <mergeCell ref="AB10:AB12"/>
    <mergeCell ref="C11:C13"/>
    <mergeCell ref="AH14:AH16"/>
    <mergeCell ref="C17:C19"/>
    <mergeCell ref="C20:C22"/>
    <mergeCell ref="C24:C26"/>
    <mergeCell ref="A23:E23"/>
    <mergeCell ref="C14:C16"/>
    <mergeCell ref="AB14:AB37"/>
    <mergeCell ref="C30:C32"/>
    <mergeCell ref="C33:C35"/>
    <mergeCell ref="C36:C38"/>
    <mergeCell ref="AH19:AL19"/>
    <mergeCell ref="AH21:AL21"/>
    <mergeCell ref="C27:C29"/>
    <mergeCell ref="C68:C70"/>
    <mergeCell ref="C71:C73"/>
    <mergeCell ref="C74:C76"/>
    <mergeCell ref="C77:C79"/>
    <mergeCell ref="AH31:AL31"/>
    <mergeCell ref="C62:C64"/>
    <mergeCell ref="C65:C67"/>
    <mergeCell ref="A61:E61"/>
    <mergeCell ref="C52:C54"/>
    <mergeCell ref="C55:C57"/>
    <mergeCell ref="C58:C60"/>
    <mergeCell ref="C39:C41"/>
    <mergeCell ref="C43:C45"/>
    <mergeCell ref="C46:C48"/>
    <mergeCell ref="C49:C51"/>
    <mergeCell ref="A42:E42"/>
  </mergeCells>
  <hyperlinks>
    <hyperlink ref="AH38" r:id="rId1" xr:uid="{D3FAC1A9-11DD-4C58-80D0-B1BAF2F8A671}"/>
  </hyperlinks>
  <pageMargins left="0.7" right="0.7" top="0.75" bottom="0.75" header="0.3" footer="0.3"/>
  <pageSetup paperSize="9" orientation="portrait" verticalDpi="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5DE75-D055-4168-B8EA-98DCF6DC02D1}">
  <dimension ref="A1:BM106"/>
  <sheetViews>
    <sheetView zoomScale="90" zoomScaleNormal="90" workbookViewId="0">
      <pane ySplit="3" topLeftCell="A7" activePane="bottomLeft" state="frozen"/>
      <selection pane="bottomLeft" activeCell="O5" sqref="O5"/>
    </sheetView>
  </sheetViews>
  <sheetFormatPr defaultRowHeight="15" outlineLevelCol="2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hidden="1" customWidth="1" outlineLevel="1"/>
    <col min="7" max="7" width="10.42578125" style="81" hidden="1" customWidth="1" outlineLevel="1" collapsed="1"/>
    <col min="8" max="8" width="10.42578125" style="81" hidden="1" customWidth="1" outlineLevel="1"/>
    <col min="9" max="9" width="10.42578125" style="81" customWidth="1" collapsed="1"/>
    <col min="10" max="10" width="10.42578125" style="81" hidden="1" customWidth="1" outlineLevel="1"/>
    <col min="11" max="12" width="9.28515625" style="81" hidden="1" customWidth="1" outlineLevel="1"/>
    <col min="13" max="13" width="11.140625" style="81" bestFit="1" customWidth="1" collapsed="1"/>
    <col min="14" max="14" width="10" style="81" hidden="1" customWidth="1" outlineLevel="1"/>
    <col min="15" max="15" width="12.140625" style="81" bestFit="1" customWidth="1" collapsed="1"/>
    <col min="16" max="16" width="3.140625" customWidth="1"/>
    <col min="17" max="17" width="11.5703125" style="183" bestFit="1" customWidth="1"/>
    <col min="18" max="18" width="9.28515625" style="183" customWidth="1"/>
    <col min="19" max="19" width="9.28515625" style="795" customWidth="1" outlineLevel="2"/>
    <col min="20" max="20" width="10.42578125" style="795" customWidth="1" outlineLevel="2"/>
    <col min="21" max="21" width="14.28515625" style="795" customWidth="1" outlineLevel="1"/>
    <col min="22" max="23" width="12.7109375" style="795" customWidth="1" outlineLevel="2"/>
    <col min="24" max="24" width="10" style="795" customWidth="1" outlineLevel="1"/>
    <col min="25" max="25" width="12.7109375" style="798" customWidth="1"/>
    <col min="26" max="26" width="12.7109375" style="385" bestFit="1" customWidth="1"/>
    <col min="27" max="27" width="10.85546875" style="73" customWidth="1"/>
    <col min="28" max="29" width="10.85546875" style="183" hidden="1" customWidth="1" outlineLevel="2"/>
    <col min="30" max="30" width="10.85546875" style="183" customWidth="1" outlineLevel="1" collapsed="1"/>
    <col min="31" max="32" width="10.85546875" style="183" hidden="1" customWidth="1" outlineLevel="2"/>
    <col min="33" max="33" width="10.85546875" style="183" customWidth="1" outlineLevel="1" collapsed="1"/>
    <col min="34" max="34" width="10.85546875" style="183" customWidth="1"/>
    <col min="35" max="35" width="2.28515625" style="29" customWidth="1"/>
    <col min="36" max="36" width="10.85546875" style="76" bestFit="1" customWidth="1"/>
    <col min="37" max="51" width="13.7109375" style="73" customWidth="1"/>
    <col min="52" max="60" width="13.7109375" style="75" customWidth="1"/>
    <col min="61" max="61" width="11.5703125" style="42" bestFit="1" customWidth="1"/>
    <col min="62" max="62" width="12.7109375" style="42" bestFit="1" customWidth="1"/>
    <col min="63" max="63" width="10.28515625" style="42" bestFit="1" customWidth="1"/>
  </cols>
  <sheetData>
    <row r="1" spans="1:63" ht="15.75" thickBot="1"/>
    <row r="2" spans="1:63" ht="52.5" customHeight="1" thickBot="1">
      <c r="A2" s="1387" t="s">
        <v>158</v>
      </c>
      <c r="B2" s="1388"/>
      <c r="C2" s="1388"/>
      <c r="D2" s="1388"/>
      <c r="E2" s="1389"/>
      <c r="F2" s="1384" t="s">
        <v>199</v>
      </c>
      <c r="G2" s="1385"/>
      <c r="H2" s="1385"/>
      <c r="I2" s="1385"/>
      <c r="J2" s="1385"/>
      <c r="K2" s="1385"/>
      <c r="L2" s="1385"/>
      <c r="M2" s="1385"/>
      <c r="N2" s="1385"/>
      <c r="O2" s="1386"/>
      <c r="Q2" s="1384" t="s">
        <v>184</v>
      </c>
      <c r="R2" s="1385"/>
      <c r="S2" s="1385"/>
      <c r="T2" s="1385"/>
      <c r="U2" s="1385"/>
      <c r="V2" s="1385"/>
      <c r="W2" s="1385"/>
      <c r="X2" s="1385"/>
      <c r="Y2" s="1385"/>
      <c r="Z2" s="1385"/>
      <c r="AA2" s="1385"/>
      <c r="AB2" s="1385"/>
      <c r="AC2" s="1385"/>
      <c r="AD2" s="1385"/>
      <c r="AE2" s="1385"/>
      <c r="AF2" s="1385"/>
      <c r="AG2" s="1385"/>
      <c r="AH2" s="1386"/>
      <c r="AI2" s="13"/>
      <c r="AJ2" s="1435"/>
      <c r="AK2" s="1436"/>
      <c r="AL2" s="1436"/>
      <c r="AM2" s="1436"/>
      <c r="AN2" s="1436"/>
      <c r="AO2" s="1436"/>
      <c r="AP2" s="1436"/>
      <c r="AQ2" s="1436"/>
      <c r="AR2" s="1436"/>
      <c r="AS2" s="1436"/>
      <c r="AT2" s="1436"/>
      <c r="AU2" s="1436"/>
      <c r="AV2" s="1436"/>
      <c r="AW2" s="1436"/>
      <c r="AX2" s="1436"/>
      <c r="AY2" s="1436"/>
      <c r="AZ2" s="1436"/>
      <c r="BA2" s="1436"/>
      <c r="BB2" s="1436"/>
      <c r="BC2" s="1436"/>
      <c r="BD2" s="1436"/>
      <c r="BE2" s="1436"/>
      <c r="BF2" s="1436"/>
      <c r="BG2" s="1436"/>
      <c r="BH2" s="1437"/>
    </row>
    <row r="3" spans="1:63" s="13" customFormat="1" ht="45.75" customHeight="1" thickBot="1">
      <c r="A3" s="91" t="s">
        <v>105</v>
      </c>
      <c r="B3" s="91" t="s">
        <v>106</v>
      </c>
      <c r="C3" s="1428" t="s">
        <v>140</v>
      </c>
      <c r="D3" s="1429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654" t="s">
        <v>152</v>
      </c>
      <c r="R3" s="1201" t="s">
        <v>152</v>
      </c>
      <c r="S3" s="1202"/>
      <c r="T3" s="1202"/>
      <c r="U3" s="1202" t="s">
        <v>180</v>
      </c>
      <c r="V3" s="1202"/>
      <c r="W3" s="1202"/>
      <c r="X3" s="1202" t="s">
        <v>181</v>
      </c>
      <c r="Y3" s="1203" t="s">
        <v>175</v>
      </c>
      <c r="Z3" s="1201" t="s">
        <v>150</v>
      </c>
      <c r="AA3" s="1204" t="s">
        <v>209</v>
      </c>
      <c r="AB3" s="1204" t="s">
        <v>209</v>
      </c>
      <c r="AC3" s="1205"/>
      <c r="AD3" s="1205" t="s">
        <v>210</v>
      </c>
      <c r="AE3" s="1205"/>
      <c r="AF3" s="1205"/>
      <c r="AG3" s="1205" t="s">
        <v>211</v>
      </c>
      <c r="AH3" s="1205" t="s">
        <v>212</v>
      </c>
      <c r="AJ3" s="1339" t="s">
        <v>138</v>
      </c>
      <c r="AK3" s="1432" t="s">
        <v>157</v>
      </c>
      <c r="AL3" s="1433"/>
      <c r="AM3" s="1433"/>
      <c r="AN3" s="1433"/>
      <c r="AO3" s="1433"/>
      <c r="AP3" s="1433"/>
      <c r="AQ3" s="1433"/>
      <c r="AR3" s="1433"/>
      <c r="AS3" s="1433"/>
      <c r="AT3" s="1433"/>
      <c r="AU3" s="1433"/>
      <c r="AV3" s="1433"/>
      <c r="AW3" s="1433"/>
      <c r="AX3" s="1433"/>
      <c r="AY3" s="1433"/>
      <c r="AZ3" s="1433"/>
      <c r="BA3" s="1433"/>
      <c r="BB3" s="1433"/>
      <c r="BC3" s="1433"/>
      <c r="BD3" s="1433"/>
      <c r="BE3" s="1433"/>
      <c r="BF3" s="1433"/>
      <c r="BG3" s="1433"/>
      <c r="BH3" s="1434"/>
      <c r="BI3" s="72"/>
      <c r="BJ3" s="72"/>
      <c r="BK3" s="72"/>
    </row>
    <row r="4" spans="1:63" ht="15.75" customHeight="1" thickBot="1">
      <c r="A4" s="1390" t="s">
        <v>107</v>
      </c>
      <c r="B4" s="1391"/>
      <c r="C4" s="1391"/>
      <c r="D4" s="1391"/>
      <c r="E4" s="1391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658"/>
      <c r="R4" s="419"/>
      <c r="S4" s="796"/>
      <c r="T4" s="796"/>
      <c r="U4" s="796"/>
      <c r="V4" s="796"/>
      <c r="W4" s="796"/>
      <c r="X4" s="796"/>
      <c r="Y4" s="799"/>
      <c r="Z4" s="419"/>
      <c r="AA4" s="184"/>
      <c r="AB4" s="330"/>
      <c r="AC4" s="330"/>
      <c r="AD4" s="330"/>
      <c r="AE4" s="330"/>
      <c r="AF4" s="330"/>
      <c r="AG4" s="330"/>
      <c r="AH4" s="381"/>
      <c r="AJ4" s="1340"/>
      <c r="AK4" s="1335">
        <v>1</v>
      </c>
      <c r="AL4" s="1335">
        <v>2</v>
      </c>
      <c r="AM4" s="1335">
        <v>3</v>
      </c>
      <c r="AN4" s="1335">
        <v>4</v>
      </c>
      <c r="AO4" s="1335">
        <v>5</v>
      </c>
      <c r="AP4" s="1335">
        <v>6</v>
      </c>
      <c r="AQ4" s="1336">
        <v>7</v>
      </c>
      <c r="AR4" s="1337">
        <v>8</v>
      </c>
      <c r="AS4" s="1337">
        <v>9</v>
      </c>
      <c r="AT4" s="1337">
        <v>10</v>
      </c>
      <c r="AU4" s="1337">
        <v>11</v>
      </c>
      <c r="AV4" s="1337">
        <v>12</v>
      </c>
      <c r="AW4" s="1338">
        <v>13</v>
      </c>
      <c r="AX4" s="1335">
        <v>14</v>
      </c>
      <c r="AY4" s="1335">
        <v>15</v>
      </c>
      <c r="AZ4" s="1335">
        <v>16</v>
      </c>
      <c r="BA4" s="1335">
        <v>17</v>
      </c>
      <c r="BB4" s="1335">
        <v>18</v>
      </c>
      <c r="BC4" s="1336">
        <v>19</v>
      </c>
      <c r="BD4" s="1337">
        <v>20</v>
      </c>
      <c r="BE4" s="1337">
        <v>21</v>
      </c>
      <c r="BF4" s="1337">
        <v>22</v>
      </c>
      <c r="BG4" s="1337">
        <v>23</v>
      </c>
      <c r="BH4" s="1337">
        <v>24</v>
      </c>
    </row>
    <row r="5" spans="1:63" ht="15.75" thickBot="1">
      <c r="A5" s="92">
        <v>1</v>
      </c>
      <c r="B5" s="93" t="s">
        <v>108</v>
      </c>
      <c r="C5" s="1393"/>
      <c r="D5" s="382">
        <f>O5</f>
        <v>115.49937887293277</v>
      </c>
      <c r="E5" s="370">
        <v>37.985999999999997</v>
      </c>
      <c r="F5" s="1215">
        <f xml:space="preserve"> E6 / 500 + F6</f>
        <v>0.49250655172413793</v>
      </c>
      <c r="G5" s="1215">
        <f>IF(F5^3&gt;0.008856,F5^3*$AR$37, (F5- 16 / 116 ) / 7.787*$AR$37)</f>
        <v>11.518930874764393</v>
      </c>
      <c r="H5" s="1216">
        <f>G5/SUM(G5:G7)</f>
        <v>0.43160133720790084</v>
      </c>
      <c r="I5" s="1216">
        <f t="array" ref="I5:I7">MMULT($AR$48:$AT$50,G5:G7)</f>
        <v>11.096462537410472</v>
      </c>
      <c r="J5" s="1216">
        <f>I5/SUM(I5:I7)</f>
        <v>0.39970041178632115</v>
      </c>
      <c r="K5" s="1216">
        <f>I5/$AR$41</f>
        <v>0.11674710971846006</v>
      </c>
      <c r="L5" s="1216">
        <f>IF(K5&gt;0.008856,K5^(1/3),7.787*K5+16/116)</f>
        <v>0.48874468310491292</v>
      </c>
      <c r="M5" s="1216">
        <f xml:space="preserve"> 116 * L6  - 16</f>
        <v>37.773205820821701</v>
      </c>
      <c r="N5" s="1215">
        <f>I5/100*  3.2406 + I6/100 * -1.5372 + I7/100 * -0.4986</f>
        <v>0.17303792868395071</v>
      </c>
      <c r="O5" s="1218">
        <f>IF(N5&gt; 0.0031308,(1.055 * (N5^ ( 1 / 2.4 ) ) - 0.055)*255, 12.92 * N5*255)</f>
        <v>115.49937887293277</v>
      </c>
      <c r="Q5" s="655">
        <v>592.6</v>
      </c>
      <c r="R5" s="704">
        <f>Q5/SUM(Q5:Q7)*255</f>
        <v>109.34370477568741</v>
      </c>
      <c r="S5" s="801">
        <f>R5/255</f>
        <v>0.42879884225759768</v>
      </c>
      <c r="T5" s="801">
        <f>IF(S5&gt;0.04045,(((S5+0.055)/1.055 )^2.4)*100, S5/12.92*100)</f>
        <v>15.395353885821345</v>
      </c>
      <c r="U5" s="801">
        <f t="array" ref="U5:U7">MMULT($AR$25:$AT$27,T5:T7)</f>
        <v>10.120833249422821</v>
      </c>
      <c r="V5" s="801">
        <f>U5/$AR$41</f>
        <v>0.10648240606671248</v>
      </c>
      <c r="W5" s="801">
        <f>IF(V5&gt;0.008856,V5^(1/3),7.787*V5+16/116)</f>
        <v>0.47397920183080783</v>
      </c>
      <c r="X5" s="801">
        <f xml:space="preserve"> 116 * W6  - 16</f>
        <v>36.329736062878631</v>
      </c>
      <c r="Y5" s="849">
        <f>SQRT(( ( M5-X5 ) ^ 2 ) + ( ( M6 - X6 ) ^ 2 ) + ( (M7 - X7 ) ^ 2 ))</f>
        <v>2.7753941761000616</v>
      </c>
      <c r="Z5" s="420">
        <f>O5</f>
        <v>115.49937887293277</v>
      </c>
      <c r="AA5" s="458">
        <f t="array" ref="AA5:AA7">MMULT(AQ14:AS16,Q5:Q7)</f>
        <v>49.72929216179589</v>
      </c>
      <c r="AB5" s="459">
        <f>AA5/255</f>
        <v>0.1950168320070427</v>
      </c>
      <c r="AC5" s="459">
        <f>IF(AB5&gt;0.04045,(((AB5+0.055)/1.055 )^2.4)*100, AB5/12.92*100)</f>
        <v>3.1573322946583602</v>
      </c>
      <c r="AD5" s="459">
        <f t="array" ref="AD5:AD7">MMULT($AR$25:$AT$27,AC5:AC7)</f>
        <v>2.0125508376916992</v>
      </c>
      <c r="AE5" s="459">
        <f>AD5/$AR$41</f>
        <v>2.1174269968454545E-2</v>
      </c>
      <c r="AF5" s="459">
        <f>IF(AE5&gt;0.008856,AE5^(1/3),7.787*AE5+16/116)</f>
        <v>0.2766534870817704</v>
      </c>
      <c r="AG5" s="459">
        <f xml:space="preserve"> 116 * AF6  - 16</f>
        <v>14.401562627579132</v>
      </c>
      <c r="AH5" s="460">
        <f>SQRT(( ( M5-AG5 ) ^ 2 ) + ( ( M6 - AG6 ) ^ 2 ) + ( (M7 - AG7 ) ^ 2 ))</f>
        <v>24.658566881019759</v>
      </c>
    </row>
    <row r="6" spans="1:63">
      <c r="A6" s="94"/>
      <c r="B6" s="95"/>
      <c r="C6" s="1394"/>
      <c r="D6" s="383">
        <f t="shared" ref="D6:D69" si="0">O6</f>
        <v>80.924531967466507</v>
      </c>
      <c r="E6" s="371">
        <v>13.555</v>
      </c>
      <c r="F6" s="1219">
        <f xml:space="preserve"> (E5  + 16 ) / 116</f>
        <v>0.46539655172413791</v>
      </c>
      <c r="G6" s="1219">
        <f>IF(F6^3&gt;0.008856,F6^3*$AR$38, (F6- 16 / 116 ) / 7.787*$AR$38)</f>
        <v>10.080207762032574</v>
      </c>
      <c r="H6" s="1220">
        <f>G6/SUM(G5:G7)</f>
        <v>0.37769400621702293</v>
      </c>
      <c r="I6" s="1220">
        <v>9.9614788827959391</v>
      </c>
      <c r="J6" s="1220">
        <f>I6/SUM(I5:I7)</f>
        <v>0.35881770411342706</v>
      </c>
      <c r="K6" s="1220">
        <f>I6/$AR$42</f>
        <v>9.9614788827959391E-2</v>
      </c>
      <c r="L6" s="1220">
        <f t="shared" ref="L6:L22" si="1">IF(K6&gt;0.008856,K6^(1/3),7.787*K6+16/116)</f>
        <v>0.46356211914501466</v>
      </c>
      <c r="M6" s="1220">
        <f xml:space="preserve"> 500 * (L5 - L6 )</f>
        <v>12.591281979949132</v>
      </c>
      <c r="N6" s="1219">
        <f xml:space="preserve"> I5/100 * -0.9689 + I6/100*  1.8758 + I7/100 *  0.0415</f>
        <v>8.2125958597699694E-2</v>
      </c>
      <c r="O6" s="1222">
        <f t="shared" ref="O6:O22" si="2">IF(N6&gt; 0.0031308,(1.055 * (N6^ ( 1 / 2.4 ) ) - 0.055)*255, 12.92 * N6*255)</f>
        <v>80.924531967466507</v>
      </c>
      <c r="Q6" s="656">
        <v>424.6</v>
      </c>
      <c r="R6" s="705">
        <f>Q6/SUM(Q5:Q7)*255</f>
        <v>78.345151953690319</v>
      </c>
      <c r="S6" s="802">
        <f t="shared" ref="S6:S69" si="3">R6/255</f>
        <v>0.30723589001447182</v>
      </c>
      <c r="T6" s="802">
        <f t="shared" ref="T6:T69" si="4">IF(S6&gt;0.04045,(((S6+0.055)/1.055 )^2.4)*100, S6/12.92*100)</f>
        <v>7.6872966946547354</v>
      </c>
      <c r="U6" s="802">
        <v>9.1806126755923199</v>
      </c>
      <c r="V6" s="802">
        <f>U6/$AR$42</f>
        <v>9.1806126755923201E-2</v>
      </c>
      <c r="W6" s="802">
        <f t="shared" ref="W6:W22" si="5">IF(V6&gt;0.008856,V6^(1/3),7.787*V6+16/116)</f>
        <v>0.45111841433516059</v>
      </c>
      <c r="X6" s="802">
        <f xml:space="preserve"> 500 * (W5 - W6 )</f>
        <v>11.430393747823619</v>
      </c>
      <c r="Y6" s="850"/>
      <c r="Z6" s="421">
        <f t="shared" ref="Z6:Z22" si="6">O6</f>
        <v>80.924531967466507</v>
      </c>
      <c r="AA6" s="461">
        <v>32.419967902754493</v>
      </c>
      <c r="AB6" s="462">
        <f t="shared" ref="AB6:AB22" si="7">AA6/255</f>
        <v>0.12713712903040977</v>
      </c>
      <c r="AC6" s="462">
        <f t="shared" ref="AC6:AC22" si="8">IF(AB6&gt;0.04045,(((AB6+0.055)/1.055 )^2.4)*100, AB6/12.92*100)</f>
        <v>1.4762178923125389</v>
      </c>
      <c r="AD6" s="462">
        <v>1.800170964395257</v>
      </c>
      <c r="AE6" s="462">
        <f>AD6/$AR$42</f>
        <v>1.800170964395257E-2</v>
      </c>
      <c r="AF6" s="462">
        <f t="shared" ref="AF6:AF22" si="9">IF(AE6&gt;0.008856,AE6^(1/3),7.787*AE6+16/116)</f>
        <v>0.26208243644464768</v>
      </c>
      <c r="AG6" s="462">
        <f xml:space="preserve"> 500 * (AF5 - AF6 )</f>
        <v>7.2855253185613584</v>
      </c>
      <c r="AH6" s="463"/>
      <c r="AJ6" s="1411" t="s">
        <v>135</v>
      </c>
      <c r="AK6" s="82">
        <f>D5</f>
        <v>115.49937887293277</v>
      </c>
      <c r="AL6" s="82">
        <f>D8</f>
        <v>198.5664405575157</v>
      </c>
      <c r="AM6" s="82">
        <f>D11</f>
        <v>90.590111987322274</v>
      </c>
      <c r="AN6" s="82">
        <f>D14</f>
        <v>89.727149578766344</v>
      </c>
      <c r="AO6" s="82">
        <f>D17</f>
        <v>129.55778390505861</v>
      </c>
      <c r="AP6" s="82">
        <f>D20</f>
        <v>92.422098428867557</v>
      </c>
      <c r="AQ6" s="83">
        <f>D24</f>
        <v>224.26557253285961</v>
      </c>
      <c r="AR6" s="83">
        <f>D27</f>
        <v>67.856400699023411</v>
      </c>
      <c r="AS6" s="83">
        <f>D30</f>
        <v>198.324194853623</v>
      </c>
      <c r="AT6" s="83">
        <f>D33</f>
        <v>93.621713838781943</v>
      </c>
      <c r="AU6" s="83">
        <f>D36</f>
        <v>158.74592602769013</v>
      </c>
      <c r="AV6" s="83">
        <f>D39</f>
        <v>230.43061395257749</v>
      </c>
      <c r="AW6" s="82">
        <f>D43</f>
        <v>35.342853388950573</v>
      </c>
      <c r="AX6" s="82">
        <f>D46</f>
        <v>66.910103142073083</v>
      </c>
      <c r="AY6" s="82">
        <f>D49</f>
        <v>179.90529060715122</v>
      </c>
      <c r="AZ6" s="82">
        <f>D52</f>
        <v>238.29785697467756</v>
      </c>
      <c r="BA6" s="82">
        <f>D55</f>
        <v>193.03598609620454</v>
      </c>
      <c r="BB6" s="82">
        <f>D58</f>
        <v>0</v>
      </c>
      <c r="BC6" s="83">
        <f>D62</f>
        <v>244.94459763984261</v>
      </c>
      <c r="BD6" s="83">
        <f>D65</f>
        <v>200.34536911982687</v>
      </c>
      <c r="BE6" s="83">
        <f>D68</f>
        <v>160.69389383573181</v>
      </c>
      <c r="BF6" s="83">
        <f>D71</f>
        <v>120.66757106732852</v>
      </c>
      <c r="BG6" s="83">
        <f>D74</f>
        <v>82.432760070363386</v>
      </c>
      <c r="BH6" s="83">
        <f>D77</f>
        <v>48.661691226720095</v>
      </c>
    </row>
    <row r="7" spans="1:63" ht="15.75" thickBot="1">
      <c r="A7" s="96"/>
      <c r="B7" s="97"/>
      <c r="C7" s="1394"/>
      <c r="D7" s="384">
        <f t="shared" si="0"/>
        <v>67.355100176800789</v>
      </c>
      <c r="E7" s="372">
        <v>14.058999999999999</v>
      </c>
      <c r="F7" s="1223">
        <f>F6 - E7 / 200</f>
        <v>0.39510155172413791</v>
      </c>
      <c r="G7" s="1223">
        <f>IF(F7^3&gt;0.008856,F7^3*$AR$39, (F7- 16 / 116 ) / 7.787*$AR$39)</f>
        <v>5.0896824620490859</v>
      </c>
      <c r="H7" s="1224">
        <f>G6</f>
        <v>10.080207762032574</v>
      </c>
      <c r="I7" s="1224">
        <v>6.7040078052615222</v>
      </c>
      <c r="J7" s="1224">
        <f>I6</f>
        <v>9.9614788827959391</v>
      </c>
      <c r="K7" s="1224">
        <f>I7/$AR$43</f>
        <v>6.1570748466349405E-2</v>
      </c>
      <c r="L7" s="1224">
        <f t="shared" si="1"/>
        <v>0.39487364107882977</v>
      </c>
      <c r="M7" s="1224">
        <f xml:space="preserve"> 200 * ( L6 - L7 )</f>
        <v>13.737695613236978</v>
      </c>
      <c r="N7" s="1223">
        <f xml:space="preserve"> I5/100 *  0.0557 + I6/100 * -0.204 + I7/100 *  1.057</f>
        <v>5.6720675214048208E-2</v>
      </c>
      <c r="O7" s="1226">
        <f t="shared" si="2"/>
        <v>67.355100176800789</v>
      </c>
      <c r="Q7" s="657">
        <v>364.8</v>
      </c>
      <c r="R7" s="705">
        <f>Q7/SUM(Q5:Q7)*255</f>
        <v>67.311143270622296</v>
      </c>
      <c r="S7" s="802">
        <f t="shared" si="3"/>
        <v>0.26396526772793055</v>
      </c>
      <c r="T7" s="802">
        <f t="shared" si="4"/>
        <v>5.6647173527310493</v>
      </c>
      <c r="U7" s="802">
        <v>6.5971206257638313</v>
      </c>
      <c r="V7" s="802">
        <f>U7/$AR$43</f>
        <v>6.0589078421460024E-2</v>
      </c>
      <c r="W7" s="802">
        <f t="shared" si="5"/>
        <v>0.39276379615183943</v>
      </c>
      <c r="X7" s="802">
        <f xml:space="preserve"> 200 * ( W6 - W7 )</f>
        <v>11.670923636664233</v>
      </c>
      <c r="Y7" s="850"/>
      <c r="Z7" s="421">
        <f t="shared" si="6"/>
        <v>67.355100176800789</v>
      </c>
      <c r="AA7" s="461">
        <v>25.643454470558066</v>
      </c>
      <c r="AB7" s="462">
        <f t="shared" si="7"/>
        <v>0.1005625665512081</v>
      </c>
      <c r="AC7" s="462">
        <f t="shared" si="8"/>
        <v>1.0110353399367378</v>
      </c>
      <c r="AD7" s="462">
        <v>1.1977879386589869</v>
      </c>
      <c r="AE7" s="462">
        <f>AD7/$AR$43</f>
        <v>1.1000688249396021E-2</v>
      </c>
      <c r="AF7" s="462">
        <f t="shared" si="9"/>
        <v>0.2224026473024826</v>
      </c>
      <c r="AG7" s="462">
        <f xml:space="preserve"> 200 * ( AF6 - AF7 )</f>
        <v>7.9359578284330157</v>
      </c>
      <c r="AH7" s="463"/>
      <c r="AJ7" s="1412"/>
      <c r="AK7" s="84">
        <f>D6</f>
        <v>80.924531967466507</v>
      </c>
      <c r="AL7" s="84">
        <f>D9</f>
        <v>147.22394537812542</v>
      </c>
      <c r="AM7" s="84">
        <f>D12</f>
        <v>122.36943007700241</v>
      </c>
      <c r="AN7" s="84">
        <f>D15</f>
        <v>107.64968923603281</v>
      </c>
      <c r="AO7" s="84">
        <f>D18</f>
        <v>128.00022677459134</v>
      </c>
      <c r="AP7" s="84">
        <f>D21</f>
        <v>189.90953390734151</v>
      </c>
      <c r="AQ7" s="85">
        <f>D25</f>
        <v>123.75545165140458</v>
      </c>
      <c r="AR7" s="85">
        <f>D28</f>
        <v>91.231366881754894</v>
      </c>
      <c r="AS7" s="85">
        <f>D31</f>
        <v>81.965589373165727</v>
      </c>
      <c r="AT7" s="85">
        <f>D34</f>
        <v>58.004664131651644</v>
      </c>
      <c r="AU7" s="85">
        <f>D37</f>
        <v>188.97701415884313</v>
      </c>
      <c r="AV7" s="85">
        <f>D40</f>
        <v>161.63210798319847</v>
      </c>
      <c r="AW7" s="84">
        <f>D44</f>
        <v>63.330751517613386</v>
      </c>
      <c r="AX7" s="84">
        <f>D47</f>
        <v>148.92451179357417</v>
      </c>
      <c r="AY7" s="84">
        <f>D50</f>
        <v>48.716578063950486</v>
      </c>
      <c r="AZ7" s="84">
        <f>D53</f>
        <v>198.45859080039978</v>
      </c>
      <c r="BA7" s="84">
        <f>D56</f>
        <v>84.003503526946432</v>
      </c>
      <c r="BB7" s="84">
        <f>D59</f>
        <v>136.1986469903801</v>
      </c>
      <c r="BC7" s="85">
        <f>D63</f>
        <v>245.22561578043522</v>
      </c>
      <c r="BD7" s="85">
        <f>D66</f>
        <v>202.21765470389457</v>
      </c>
      <c r="BE7" s="85">
        <f>D69</f>
        <v>162.84331466380013</v>
      </c>
      <c r="BF7" s="85">
        <f>D72</f>
        <v>121.19947386215865</v>
      </c>
      <c r="BG7" s="85">
        <f>D75</f>
        <v>84.106225276765315</v>
      </c>
      <c r="BH7" s="85">
        <f>D78</f>
        <v>49.363641330697085</v>
      </c>
    </row>
    <row r="8" spans="1:63" ht="15.75" thickBot="1">
      <c r="A8" s="92">
        <v>2</v>
      </c>
      <c r="B8" s="93" t="s">
        <v>109</v>
      </c>
      <c r="C8" s="1420"/>
      <c r="D8" s="382">
        <f t="shared" si="0"/>
        <v>198.5664405575157</v>
      </c>
      <c r="E8" s="370">
        <v>65.710999999999999</v>
      </c>
      <c r="F8" s="1215">
        <f xml:space="preserve"> E9 / 500 + F9</f>
        <v>0.74066517241379304</v>
      </c>
      <c r="G8" s="1215">
        <f>IF(F8^3&gt;0.008856,F8^3*$AR$37, (F8- 16 / 116 ) / 7.787*$AR$37)</f>
        <v>39.177967948419948</v>
      </c>
      <c r="H8" s="1216">
        <f>G8/SUM(G8:G10)</f>
        <v>0.41965319885542374</v>
      </c>
      <c r="I8" s="1216">
        <f t="array" ref="I8:I10">MMULT($AR$48:$AT$50,G8:G10)</f>
        <v>37.846819885568948</v>
      </c>
      <c r="J8" s="1216">
        <f>I8/SUM(I8:I10)</f>
        <v>0.38706319116865656</v>
      </c>
      <c r="K8" s="1216">
        <f>I8/$AR$41</f>
        <v>0.39819057819361947</v>
      </c>
      <c r="L8" s="1216">
        <f t="shared" si="1"/>
        <v>0.7356936258024972</v>
      </c>
      <c r="M8" s="1216">
        <f t="shared" ref="M8" si="10" xml:space="preserve"> 116 * L9  - 16</f>
        <v>65.431919053115664</v>
      </c>
      <c r="N8" s="1215">
        <f>I8/100*  3.2406 + I9/100 * -1.5372 + I10/100 * -0.4986</f>
        <v>0.56833908448621961</v>
      </c>
      <c r="O8" s="1218">
        <f t="shared" si="2"/>
        <v>198.5664405575157</v>
      </c>
      <c r="Q8" s="655">
        <v>1977</v>
      </c>
      <c r="R8" s="706">
        <f t="shared" ref="R8" si="11">Q8/SUM(Q8:Q10)*255</f>
        <v>110.73562359970126</v>
      </c>
      <c r="S8" s="803">
        <f t="shared" si="3"/>
        <v>0.43425734744980887</v>
      </c>
      <c r="T8" s="803">
        <f t="shared" si="4"/>
        <v>15.815530072566453</v>
      </c>
      <c r="U8" s="803">
        <f t="array" ref="U8:U10">MMULT($AR$25:$AT$27,T8:T10)</f>
        <v>10.26086716972992</v>
      </c>
      <c r="V8" s="803">
        <f>U8/$AR$41</f>
        <v>0.10795571843119636</v>
      </c>
      <c r="W8" s="803">
        <f t="shared" si="5"/>
        <v>0.47615522094408252</v>
      </c>
      <c r="X8" s="803">
        <f xml:space="preserve"> 116 * W9  - 16</f>
        <v>36.515929981539152</v>
      </c>
      <c r="Y8" s="851">
        <f>SQRT(( ( M8-X8 ) ^ 2 ) + ( ( M9 - X9 ) ^ 2 ) + ( (M10 - X10 ) ^ 2 ))</f>
        <v>29.701942108114636</v>
      </c>
      <c r="Z8" s="422">
        <f t="shared" si="6"/>
        <v>198.5664405575157</v>
      </c>
      <c r="AA8" s="464">
        <f t="array" ref="AA8:AA10">MMULT(AQ14:AS16,Q8:Q10)</f>
        <v>165.37862235523463</v>
      </c>
      <c r="AB8" s="465">
        <f t="shared" si="7"/>
        <v>0.64854361707935149</v>
      </c>
      <c r="AC8" s="465">
        <f t="shared" si="8"/>
        <v>37.817477942504127</v>
      </c>
      <c r="AD8" s="465">
        <f t="array" ref="AD8:AD10">MMULT($AR$25:$AT$27,AC8:AC10)</f>
        <v>22.365565334020513</v>
      </c>
      <c r="AE8" s="465">
        <f>AD8/$AR$41</f>
        <v>0.23531058669942778</v>
      </c>
      <c r="AF8" s="465">
        <f t="shared" si="9"/>
        <v>0.61737232233742301</v>
      </c>
      <c r="AG8" s="465">
        <f xml:space="preserve"> 116 * AF9  - 16</f>
        <v>50.914632475568112</v>
      </c>
      <c r="AH8" s="466">
        <f>SQRT(( ( M8-AG8 ) ^ 2 ) + ( ( M9 - AG9 ) ^ 2 ) + ( (M10 - AG10 ) ^ 2 ))</f>
        <v>16.373713192689685</v>
      </c>
      <c r="AJ8" s="1413"/>
      <c r="AK8" s="86">
        <f>D7</f>
        <v>67.355100176800789</v>
      </c>
      <c r="AL8" s="86">
        <f>D10</f>
        <v>128.67442122465755</v>
      </c>
      <c r="AM8" s="86">
        <f>D13</f>
        <v>155.7634429623528</v>
      </c>
      <c r="AN8" s="86">
        <f>D16</f>
        <v>64.383828506381079</v>
      </c>
      <c r="AO8" s="86">
        <f>D19</f>
        <v>176.06897196090145</v>
      </c>
      <c r="AP8" s="86">
        <f>D22</f>
        <v>172.00470214339384</v>
      </c>
      <c r="AQ8" s="87">
        <f>D26</f>
        <v>46.703112372096498</v>
      </c>
      <c r="AR8" s="87">
        <f>D29</f>
        <v>170.17236470319924</v>
      </c>
      <c r="AS8" s="87">
        <f>D32</f>
        <v>97.056852604465689</v>
      </c>
      <c r="AT8" s="87">
        <f>D35</f>
        <v>105.57259954157003</v>
      </c>
      <c r="AU8" s="87">
        <f>D38</f>
        <v>62.832253035292226</v>
      </c>
      <c r="AV8" s="87">
        <f>D41</f>
        <v>39.272644590202006</v>
      </c>
      <c r="AW8" s="86">
        <f>D45</f>
        <v>147.08684100238494</v>
      </c>
      <c r="AX8" s="86">
        <f>D48</f>
        <v>74.120275922324538</v>
      </c>
      <c r="AY8" s="86">
        <f>D51</f>
        <v>56.959990730530549</v>
      </c>
      <c r="AZ8" s="86">
        <f>D54</f>
        <v>19.759840938184311</v>
      </c>
      <c r="BA8" s="86">
        <f>D57</f>
        <v>150.55196979242695</v>
      </c>
      <c r="BB8" s="86">
        <f>D60</f>
        <v>169.68590110948557</v>
      </c>
      <c r="BC8" s="87">
        <f>D64</f>
        <v>242.67159053813759</v>
      </c>
      <c r="BD8" s="87">
        <f>D67</f>
        <v>202.39139072207513</v>
      </c>
      <c r="BE8" s="87">
        <f>D70</f>
        <v>163.24947770284862</v>
      </c>
      <c r="BF8" s="87">
        <f>D73</f>
        <v>121.54290035174313</v>
      </c>
      <c r="BG8" s="87">
        <f>D76</f>
        <v>85.776392403274841</v>
      </c>
      <c r="BH8" s="87">
        <f>D79</f>
        <v>50.702931476399115</v>
      </c>
    </row>
    <row r="9" spans="1:63" ht="15.75" thickBot="1">
      <c r="A9" s="94"/>
      <c r="B9" s="95"/>
      <c r="C9" s="1420"/>
      <c r="D9" s="383">
        <f t="shared" si="0"/>
        <v>147.22394537812542</v>
      </c>
      <c r="E9" s="371">
        <v>18.13</v>
      </c>
      <c r="F9" s="1219">
        <f xml:space="preserve"> (E8  + 16 ) / 116</f>
        <v>0.70440517241379308</v>
      </c>
      <c r="G9" s="1219">
        <f>IF(F9^3&gt;0.008856,F9^3*$AR$38, (F9- 16 / 116 ) / 7.787*$AR$38)</f>
        <v>34.951644057543291</v>
      </c>
      <c r="H9" s="1220">
        <f>G9/SUM(G8:G10)</f>
        <v>0.37438310361872018</v>
      </c>
      <c r="I9" s="1220">
        <v>34.594737633856717</v>
      </c>
      <c r="J9" s="1220">
        <f>I9/SUM(I8:I10)</f>
        <v>0.35380382253222714</v>
      </c>
      <c r="K9" s="1220">
        <f>I9/$AR$42</f>
        <v>0.34594737633856715</v>
      </c>
      <c r="L9" s="1220">
        <f t="shared" si="1"/>
        <v>0.70199930218203155</v>
      </c>
      <c r="M9" s="1220">
        <f t="shared" ref="M9" si="12" xml:space="preserve"> 500 * (L8 - L9 )</f>
        <v>16.847161810232826</v>
      </c>
      <c r="N9" s="1219">
        <f xml:space="preserve"> I8/100 * -0.9689 + I9/100*  1.8758 + I10/100 *  0.0415</f>
        <v>0.29274546954435426</v>
      </c>
      <c r="O9" s="1222">
        <f t="shared" si="2"/>
        <v>147.22394537812542</v>
      </c>
      <c r="Q9" s="656">
        <v>1402.2</v>
      </c>
      <c r="R9" s="706">
        <f t="shared" ref="R9" si="13">Q9/SUM(Q8:Q10)*255</f>
        <v>78.539955190440622</v>
      </c>
      <c r="S9" s="803">
        <f t="shared" si="3"/>
        <v>0.30799982427623773</v>
      </c>
      <c r="T9" s="803">
        <f t="shared" si="4"/>
        <v>7.7262630901151734</v>
      </c>
      <c r="U9" s="803">
        <v>9.278958111672619</v>
      </c>
      <c r="V9" s="803">
        <f>U9/$AR$42</f>
        <v>9.2789581116726194E-2</v>
      </c>
      <c r="W9" s="803">
        <f t="shared" si="5"/>
        <v>0.4527235343236134</v>
      </c>
      <c r="X9" s="803">
        <f xml:space="preserve"> 500 * (W8 - W9 )</f>
        <v>11.715843310234565</v>
      </c>
      <c r="Y9" s="851"/>
      <c r="Z9" s="422">
        <f t="shared" si="6"/>
        <v>147.22394537812542</v>
      </c>
      <c r="AA9" s="464">
        <v>107.20088722583824</v>
      </c>
      <c r="AB9" s="465">
        <f t="shared" si="7"/>
        <v>0.42039563617975784</v>
      </c>
      <c r="AC9" s="465">
        <f t="shared" si="8"/>
        <v>14.76136622120586</v>
      </c>
      <c r="AD9" s="465">
        <v>19.195053337109574</v>
      </c>
      <c r="AE9" s="465">
        <f>AD9/$AR$42</f>
        <v>0.19195053337109574</v>
      </c>
      <c r="AF9" s="465">
        <f t="shared" si="9"/>
        <v>0.57685027996179405</v>
      </c>
      <c r="AG9" s="465">
        <f xml:space="preserve"> 500 * (AF8 - AF9 )</f>
        <v>20.261021187814478</v>
      </c>
      <c r="AH9" s="466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9"/>
      <c r="AX9" s="79"/>
      <c r="AY9" s="79"/>
      <c r="AZ9" s="79"/>
    </row>
    <row r="10" spans="1:63" ht="15.75" thickBot="1">
      <c r="A10" s="96"/>
      <c r="B10" s="97"/>
      <c r="C10" s="1420"/>
      <c r="D10" s="384">
        <f t="shared" si="0"/>
        <v>128.67442122465755</v>
      </c>
      <c r="E10" s="372">
        <v>17.809999999999999</v>
      </c>
      <c r="F10" s="1223">
        <f>F9 - E10 / 200</f>
        <v>0.61535517241379312</v>
      </c>
      <c r="G10" s="1223">
        <f>IF(F10^3&gt;0.008856,F10^3*$AR$39, (F10- 16 / 116 ) / 7.787*$AR$39)</f>
        <v>19.228351320124247</v>
      </c>
      <c r="H10" s="1224">
        <f>G9</f>
        <v>34.951644057543291</v>
      </c>
      <c r="I10" s="1224">
        <v>25.337876818668772</v>
      </c>
      <c r="J10" s="1224">
        <f>I9</f>
        <v>34.594737633856717</v>
      </c>
      <c r="K10" s="1224">
        <f>I10/$AR$43</f>
        <v>0.23270737230484806</v>
      </c>
      <c r="L10" s="1224">
        <f t="shared" si="1"/>
        <v>0.61508723490326866</v>
      </c>
      <c r="M10" s="1224">
        <f t="shared" ref="M10" si="14" xml:space="preserve"> 200 * ( L9 - L10 )</f>
        <v>17.382413455752577</v>
      </c>
      <c r="N10" s="1223">
        <f xml:space="preserve"> I8/100 *  0.0557 + I9/100 * -0.204 + I10/100 *  1.057</f>
        <v>0.21832877187652311</v>
      </c>
      <c r="O10" s="1226">
        <f t="shared" si="2"/>
        <v>128.67442122465755</v>
      </c>
      <c r="Q10" s="657">
        <v>1173.4000000000001</v>
      </c>
      <c r="R10" s="706">
        <f t="shared" ref="R10" si="15">Q10/SUM(Q8:Q10)*255</f>
        <v>65.724421209858107</v>
      </c>
      <c r="S10" s="803">
        <f t="shared" si="3"/>
        <v>0.25774282827395334</v>
      </c>
      <c r="T10" s="803">
        <f t="shared" si="4"/>
        <v>5.4031093789821361</v>
      </c>
      <c r="U10" s="803">
        <v>6.3612816227021787</v>
      </c>
      <c r="V10" s="803">
        <f>U10/$AR$43</f>
        <v>5.84230928859618E-2</v>
      </c>
      <c r="W10" s="803">
        <f t="shared" si="5"/>
        <v>0.38802661472488892</v>
      </c>
      <c r="X10" s="803">
        <f xml:space="preserve"> 200 * ( W9 - W10 )</f>
        <v>12.939383919744895</v>
      </c>
      <c r="Y10" s="851"/>
      <c r="Z10" s="422">
        <f t="shared" si="6"/>
        <v>128.67442122465755</v>
      </c>
      <c r="AA10" s="464">
        <v>81.120011155348635</v>
      </c>
      <c r="AB10" s="465">
        <f t="shared" si="7"/>
        <v>0.31811769080528879</v>
      </c>
      <c r="AC10" s="465">
        <f t="shared" si="8"/>
        <v>8.2532331733997939</v>
      </c>
      <c r="AD10" s="465">
        <v>10.333677422368385</v>
      </c>
      <c r="AE10" s="465">
        <f>AD10/$AR$43</f>
        <v>9.4906251870065905E-2</v>
      </c>
      <c r="AF10" s="465">
        <f t="shared" si="9"/>
        <v>0.45614012165265055</v>
      </c>
      <c r="AG10" s="465">
        <f xml:space="preserve"> 200 * ( AF9 - AF10 )</f>
        <v>24.1420316618287</v>
      </c>
      <c r="AH10" s="466"/>
      <c r="AJ10" s="1411" t="s">
        <v>136</v>
      </c>
      <c r="AK10" s="82">
        <f>Q5</f>
        <v>592.6</v>
      </c>
      <c r="AL10" s="82">
        <f>Q8</f>
        <v>1977</v>
      </c>
      <c r="AM10" s="82">
        <f>Q11</f>
        <v>521.20000000000005</v>
      </c>
      <c r="AN10" s="82">
        <f>Q14</f>
        <v>460.8</v>
      </c>
      <c r="AO10" s="82">
        <f>Q17</f>
        <v>883</v>
      </c>
      <c r="AP10" s="82">
        <f>Q20</f>
        <v>894.6</v>
      </c>
      <c r="AQ10" s="83">
        <f>Q24</f>
        <v>2657.6001000000001</v>
      </c>
      <c r="AR10" s="83">
        <f>Q27</f>
        <v>413.8</v>
      </c>
      <c r="AS10" s="83">
        <f>Q30</f>
        <v>2100.1999999999998</v>
      </c>
      <c r="AT10" s="83">
        <f>Q33</f>
        <v>468</v>
      </c>
      <c r="AU10" s="83">
        <f>Q36</f>
        <v>1845.6</v>
      </c>
      <c r="AV10" s="83">
        <f>Q39</f>
        <v>2903.6001000000001</v>
      </c>
      <c r="AW10" s="82">
        <f>Q43</f>
        <v>181</v>
      </c>
      <c r="AX10" s="82">
        <f>Q46</f>
        <v>595.4</v>
      </c>
      <c r="AY10" s="82">
        <f>Q49</f>
        <v>1565.4</v>
      </c>
      <c r="AZ10" s="82">
        <f>Q52</f>
        <v>3486</v>
      </c>
      <c r="BA10" s="82">
        <f>Q55</f>
        <v>1897</v>
      </c>
      <c r="BB10" s="82">
        <f>Q58</f>
        <v>351</v>
      </c>
      <c r="BC10" s="83">
        <f>Q62</f>
        <v>4208.3999000000003</v>
      </c>
      <c r="BD10" s="83">
        <f>Q65</f>
        <v>2945.2</v>
      </c>
      <c r="BE10" s="83">
        <f>Q68</f>
        <v>1724.2</v>
      </c>
      <c r="BF10" s="83">
        <f>Q71</f>
        <v>927.6</v>
      </c>
      <c r="BG10" s="83">
        <f>Q74</f>
        <v>424</v>
      </c>
      <c r="BH10" s="83">
        <f>Q77</f>
        <v>203</v>
      </c>
    </row>
    <row r="11" spans="1:63">
      <c r="A11" s="92">
        <v>3</v>
      </c>
      <c r="B11" s="93" t="s">
        <v>110</v>
      </c>
      <c r="C11" s="1421"/>
      <c r="D11" s="382">
        <f t="shared" si="0"/>
        <v>90.590111987322274</v>
      </c>
      <c r="E11" s="370">
        <v>49.927</v>
      </c>
      <c r="F11" s="1215">
        <f xml:space="preserve"> E12 / 500 + F12</f>
        <v>0.55857620689655163</v>
      </c>
      <c r="G11" s="1215">
        <f>IF(F11^3&gt;0.008856,F11^3*$AR$37, (F11- 16 / 116 ) / 7.787*$AR$37)</f>
        <v>16.804416347693039</v>
      </c>
      <c r="H11" s="1216">
        <f>G11/SUM(G11:G13)</f>
        <v>0.27604076783496151</v>
      </c>
      <c r="I11" s="1216">
        <f t="array" ref="I11:I13">MMULT($AR$48:$AT$50,G11:G13)</f>
        <v>17.259184587792387</v>
      </c>
      <c r="J11" s="1216">
        <f>I11/SUM(I11:I13)</f>
        <v>0.24693798032733721</v>
      </c>
      <c r="K11" s="1216">
        <f>I11/$AR$41</f>
        <v>0.18158579005957459</v>
      </c>
      <c r="L11" s="1216">
        <f t="shared" si="1"/>
        <v>0.56627486686879502</v>
      </c>
      <c r="M11" s="1216">
        <f t="shared" ref="M11" si="16" xml:space="preserve"> 116 * L12  - 16</f>
        <v>50.221743009310785</v>
      </c>
      <c r="N11" s="1215">
        <f>I11/100*  3.2406 + I12/100 * -1.5372 + I13/100 * -0.4986</f>
        <v>0.10363925492524978</v>
      </c>
      <c r="O11" s="1218">
        <f t="shared" si="2"/>
        <v>90.590111987322274</v>
      </c>
      <c r="Q11" s="655">
        <v>521.20000000000005</v>
      </c>
      <c r="R11" s="707">
        <f t="shared" ref="R11" si="17">Q11/SUM(Q11:Q13)*255</f>
        <v>49.919621394230774</v>
      </c>
      <c r="S11" s="804">
        <f t="shared" si="3"/>
        <v>0.19576322115384617</v>
      </c>
      <c r="T11" s="804">
        <f t="shared" si="4"/>
        <v>3.1800014104674403</v>
      </c>
      <c r="U11" s="804">
        <f t="array" ref="U11:U13">MMULT($AR$25:$AT$27,T11:T13)</f>
        <v>8.0984225276570747</v>
      </c>
      <c r="V11" s="804">
        <f>U11/$AR$41</f>
        <v>8.5204399167328526E-2</v>
      </c>
      <c r="W11" s="804">
        <f t="shared" si="5"/>
        <v>0.44003511973003306</v>
      </c>
      <c r="X11" s="804">
        <f xml:space="preserve"> 116 * W12  - 16</f>
        <v>36.745414207222268</v>
      </c>
      <c r="Y11" s="852">
        <f>SQRT(( ( M11-X11 ) ^ 2 ) + ( ( M12 - X12 ) ^ 2 ) + ( (M13 - X13 ) ^ 2 ))</f>
        <v>14.991226630077433</v>
      </c>
      <c r="Z11" s="423">
        <f t="shared" si="6"/>
        <v>90.590111987322274</v>
      </c>
      <c r="AA11" s="467">
        <f t="array" ref="AA11:AA13">MMULT(AQ14:AS16,Q11:Q13)</f>
        <v>43.881577839775147</v>
      </c>
      <c r="AB11" s="468">
        <f t="shared" si="7"/>
        <v>0.17208461897951038</v>
      </c>
      <c r="AC11" s="468">
        <f t="shared" si="8"/>
        <v>2.5063667663552853</v>
      </c>
      <c r="AD11" s="468">
        <f t="array" ref="AD11:AD13">MMULT($AR$25:$AT$27,AC11:AC13)</f>
        <v>5.0992684179609391</v>
      </c>
      <c r="AE11" s="468">
        <f>AD11/$AR$41</f>
        <v>5.3649967047470611E-2</v>
      </c>
      <c r="AF11" s="468">
        <f t="shared" si="9"/>
        <v>0.37715785158148041</v>
      </c>
      <c r="AG11" s="468">
        <f xml:space="preserve"> 116 * AF12  - 16</f>
        <v>27.264878155227521</v>
      </c>
      <c r="AH11" s="469">
        <f>SQRT(( ( M11-AG11 ) ^ 2 ) + ( ( M12 - AG12 ) ^ 2 ) + ( (M13 - AG13 ) ^ 2 ))</f>
        <v>23.373588617854864</v>
      </c>
      <c r="AJ11" s="1412"/>
      <c r="AK11" s="84">
        <f>Q6</f>
        <v>424.6</v>
      </c>
      <c r="AL11" s="84">
        <f>Q9</f>
        <v>1402.2</v>
      </c>
      <c r="AM11" s="84">
        <f>Q12</f>
        <v>952</v>
      </c>
      <c r="AN11" s="84">
        <f>Q15</f>
        <v>620</v>
      </c>
      <c r="AO11" s="84">
        <f>Q18</f>
        <v>1157.8</v>
      </c>
      <c r="AP11" s="84">
        <f>Q21</f>
        <v>2193</v>
      </c>
      <c r="AQ11" s="85">
        <f>Q25</f>
        <v>1157.8</v>
      </c>
      <c r="AR11" s="85">
        <f>Q28</f>
        <v>887.6</v>
      </c>
      <c r="AS11" s="85">
        <f>Q31</f>
        <v>742.6</v>
      </c>
      <c r="AT11" s="85">
        <f>Q34</f>
        <v>426</v>
      </c>
      <c r="AU11" s="85">
        <f>Q37</f>
        <v>2455.1999999999998</v>
      </c>
      <c r="AV11" s="85">
        <f>Q40</f>
        <v>1777.8</v>
      </c>
      <c r="AW11" s="84">
        <f>Q44</f>
        <v>499</v>
      </c>
      <c r="AX11" s="84">
        <f>Q47</f>
        <v>1333.8</v>
      </c>
      <c r="AY11" s="84">
        <f>Q50</f>
        <v>394</v>
      </c>
      <c r="AZ11" s="84">
        <f>Q53</f>
        <v>2777.2</v>
      </c>
      <c r="BA11" s="84">
        <f>Q56</f>
        <v>867.4</v>
      </c>
      <c r="BB11" s="84">
        <f>Q59</f>
        <v>1297</v>
      </c>
      <c r="BC11" s="85">
        <f>Q63</f>
        <v>5044</v>
      </c>
      <c r="BD11" s="85">
        <f>Q66</f>
        <v>3620.8</v>
      </c>
      <c r="BE11" s="85">
        <f>Q69</f>
        <v>2141.8000000000002</v>
      </c>
      <c r="BF11" s="85">
        <f>Q72</f>
        <v>1137.5999999999999</v>
      </c>
      <c r="BG11" s="85">
        <f>Q75</f>
        <v>532</v>
      </c>
      <c r="BH11" s="85">
        <f>Q78</f>
        <v>242.4</v>
      </c>
    </row>
    <row r="12" spans="1:63" ht="15.75" thickBot="1">
      <c r="A12" s="94"/>
      <c r="B12" s="95"/>
      <c r="C12" s="1421"/>
      <c r="D12" s="383">
        <f t="shared" si="0"/>
        <v>122.36943007700241</v>
      </c>
      <c r="E12" s="371">
        <v>-4.88</v>
      </c>
      <c r="F12" s="1219">
        <f xml:space="preserve"> (E11  + 16 ) / 116</f>
        <v>0.56833620689655162</v>
      </c>
      <c r="G12" s="1219">
        <f>IF(F12^3&gt;0.008856,F12^3*$AR$38, (F12- 16 / 116 ) / 7.787*$AR$38)</f>
        <v>18.357602989115406</v>
      </c>
      <c r="H12" s="1220">
        <f>G12/SUM(G11:G13)</f>
        <v>0.30155446758021298</v>
      </c>
      <c r="I12" s="1220">
        <v>18.604922057669455</v>
      </c>
      <c r="J12" s="1220">
        <f>I12/SUM(I11:I13)</f>
        <v>0.26619229046996778</v>
      </c>
      <c r="K12" s="1220">
        <f>I12/$AR$42</f>
        <v>0.18604922057669454</v>
      </c>
      <c r="L12" s="1220">
        <f t="shared" si="1"/>
        <v>0.57087709490785166</v>
      </c>
      <c r="M12" s="1220">
        <f t="shared" ref="M12" si="18" xml:space="preserve"> 500 * (L11 - L12 )</f>
        <v>-2.3011140195283164</v>
      </c>
      <c r="N12" s="1219">
        <f xml:space="preserve"> I11/100 * -0.9689 + I12/100*  1.8758 + I13/100 *  0.0415</f>
        <v>0.19588879239094442</v>
      </c>
      <c r="O12" s="1222">
        <f t="shared" si="2"/>
        <v>122.36943007700241</v>
      </c>
      <c r="Q12" s="656">
        <v>952</v>
      </c>
      <c r="R12" s="707">
        <f t="shared" ref="R12" si="19">Q12/SUM(Q11:Q13)*255</f>
        <v>91.18088942307692</v>
      </c>
      <c r="S12" s="804">
        <f t="shared" si="3"/>
        <v>0.35757211538461536</v>
      </c>
      <c r="T12" s="804">
        <f t="shared" si="4"/>
        <v>10.504945154728777</v>
      </c>
      <c r="U12" s="804">
        <v>9.401132070155402</v>
      </c>
      <c r="V12" s="804">
        <f>U12/$AR$42</f>
        <v>9.4011320701554019E-2</v>
      </c>
      <c r="W12" s="804">
        <f t="shared" si="5"/>
        <v>0.45470184661398505</v>
      </c>
      <c r="X12" s="804">
        <f xml:space="preserve"> 500 * (W11 - W12 )</f>
        <v>-7.333363441975993</v>
      </c>
      <c r="Y12" s="852"/>
      <c r="Z12" s="423">
        <f t="shared" si="6"/>
        <v>122.36943007700241</v>
      </c>
      <c r="AA12" s="467">
        <v>65.053095633015872</v>
      </c>
      <c r="AB12" s="468">
        <f t="shared" si="7"/>
        <v>0.25511017895300342</v>
      </c>
      <c r="AC12" s="468">
        <f t="shared" si="8"/>
        <v>5.294592605122463</v>
      </c>
      <c r="AD12" s="468">
        <v>5.1883884901622084</v>
      </c>
      <c r="AE12" s="468">
        <f>AD12/$AR$42</f>
        <v>5.1883884901622081E-2</v>
      </c>
      <c r="AF12" s="468">
        <f t="shared" si="9"/>
        <v>0.37297308754506486</v>
      </c>
      <c r="AG12" s="468">
        <f xml:space="preserve"> 500 * (AF11 - AF12 )</f>
        <v>2.0923820182077724</v>
      </c>
      <c r="AH12" s="469"/>
      <c r="AJ12" s="1413"/>
      <c r="AK12" s="86">
        <f>Q7</f>
        <v>364.8</v>
      </c>
      <c r="AL12" s="86">
        <f>Q10</f>
        <v>1173.4000000000001</v>
      </c>
      <c r="AM12" s="86">
        <f>Q13</f>
        <v>1189.2</v>
      </c>
      <c r="AN12" s="86">
        <f>Q16</f>
        <v>398.2</v>
      </c>
      <c r="AO12" s="86">
        <f>Q19</f>
        <v>1562.2</v>
      </c>
      <c r="AP12" s="86">
        <f>Q22</f>
        <v>1805.8</v>
      </c>
      <c r="AQ12" s="87">
        <f>Q26</f>
        <v>700</v>
      </c>
      <c r="AR12" s="87">
        <f>Q29</f>
        <v>1693</v>
      </c>
      <c r="AS12" s="87">
        <f>Q32</f>
        <v>825.2</v>
      </c>
      <c r="AT12" s="87">
        <f>Q35</f>
        <v>683.6</v>
      </c>
      <c r="AU12" s="87">
        <f>Q38</f>
        <v>1108.5999999999999</v>
      </c>
      <c r="AV12" s="87">
        <f>Q41</f>
        <v>870</v>
      </c>
      <c r="AW12" s="86">
        <f>Q45</f>
        <v>1052.8</v>
      </c>
      <c r="AX12" s="86">
        <f>Q48</f>
        <v>702.2</v>
      </c>
      <c r="AY12" s="86">
        <f>Q51</f>
        <v>423.8</v>
      </c>
      <c r="AZ12" s="86">
        <f>Q54</f>
        <v>1163.2</v>
      </c>
      <c r="BA12" s="86">
        <f>Q57</f>
        <v>1416.4</v>
      </c>
      <c r="BB12" s="86">
        <f>Q60</f>
        <v>1615.4</v>
      </c>
      <c r="BC12" s="87">
        <f>Q64</f>
        <v>4827</v>
      </c>
      <c r="BD12" s="87">
        <f>Q67</f>
        <v>3527.6001000000001</v>
      </c>
      <c r="BE12" s="87">
        <f>Q70</f>
        <v>2125.8000000000002</v>
      </c>
      <c r="BF12" s="87">
        <f>Q73</f>
        <v>1142</v>
      </c>
      <c r="BG12" s="87">
        <f>Q76</f>
        <v>551.20000000000005</v>
      </c>
      <c r="BH12" s="87">
        <f>Q79</f>
        <v>254.6</v>
      </c>
    </row>
    <row r="13" spans="1:63" ht="15.75" thickBot="1">
      <c r="A13" s="96"/>
      <c r="B13" s="97"/>
      <c r="C13" s="1421"/>
      <c r="D13" s="384">
        <f t="shared" si="0"/>
        <v>155.7634429623528</v>
      </c>
      <c r="E13" s="372">
        <v>-21.925000000000001</v>
      </c>
      <c r="F13" s="1223">
        <f>F12 - E13 / 200</f>
        <v>0.67796120689655159</v>
      </c>
      <c r="G13" s="1223">
        <f>IF(F13^3&gt;0.008856,F13^3*$AR$39, (F13- 16 / 116 ) / 7.787*$AR$39)</f>
        <v>25.714555089111201</v>
      </c>
      <c r="H13" s="1224">
        <f>G12</f>
        <v>18.357602989115406</v>
      </c>
      <c r="I13" s="1224">
        <v>34.028684106750006</v>
      </c>
      <c r="J13" s="1224">
        <f>I12</f>
        <v>18.604922057669455</v>
      </c>
      <c r="K13" s="1224">
        <f>I13/$AR$43</f>
        <v>0.31252522530376647</v>
      </c>
      <c r="L13" s="1224">
        <f t="shared" si="1"/>
        <v>0.6786226628598292</v>
      </c>
      <c r="M13" s="1224">
        <f t="shared" ref="M13" si="20" xml:space="preserve"> 200 * ( L12 - L13 )</f>
        <v>-21.549113590395507</v>
      </c>
      <c r="N13" s="1223">
        <f xml:space="preserve"> I11/100 *  0.0557 + I12/100 * -0.204 + I13/100 *  1.057</f>
        <v>0.33134251582610225</v>
      </c>
      <c r="O13" s="1226">
        <f t="shared" si="2"/>
        <v>155.7634429623528</v>
      </c>
      <c r="Q13" s="657">
        <v>1189.2</v>
      </c>
      <c r="R13" s="707">
        <f t="shared" ref="R13" si="21">Q13/SUM(Q11:Q13)*255</f>
        <v>113.89948918269231</v>
      </c>
      <c r="S13" s="804">
        <f t="shared" si="3"/>
        <v>0.44666466346153844</v>
      </c>
      <c r="T13" s="804">
        <f t="shared" si="4"/>
        <v>16.79525195571286</v>
      </c>
      <c r="U13" s="804">
        <v>17.274184046199217</v>
      </c>
      <c r="V13" s="804">
        <f>U13/$AR$43</f>
        <v>0.15864904572981289</v>
      </c>
      <c r="W13" s="804">
        <f t="shared" si="5"/>
        <v>0.54135126346995854</v>
      </c>
      <c r="X13" s="804">
        <f xml:space="preserve"> 200 * ( W12 - W13 )</f>
        <v>-17.329883371194697</v>
      </c>
      <c r="Y13" s="852"/>
      <c r="Z13" s="423">
        <f t="shared" si="6"/>
        <v>155.7634429623528</v>
      </c>
      <c r="AA13" s="467">
        <v>97.328753350572057</v>
      </c>
      <c r="AB13" s="468">
        <f t="shared" si="7"/>
        <v>0.38168138568851789</v>
      </c>
      <c r="AC13" s="468">
        <f t="shared" si="8"/>
        <v>12.038969890415608</v>
      </c>
      <c r="AD13" s="468">
        <v>12.120213372852296</v>
      </c>
      <c r="AE13" s="468">
        <f>AD13/$AR$43</f>
        <v>0.11131410204395817</v>
      </c>
      <c r="AF13" s="468">
        <f t="shared" si="9"/>
        <v>0.48104244225048215</v>
      </c>
      <c r="AG13" s="468">
        <f xml:space="preserve"> 200 * ( AF12 - AF13 )</f>
        <v>-21.613870941083459</v>
      </c>
      <c r="AH13" s="469"/>
      <c r="AN13" s="75"/>
      <c r="AO13" s="75"/>
      <c r="AP13" s="75"/>
      <c r="AQ13" s="75"/>
      <c r="AR13" s="75"/>
    </row>
    <row r="14" spans="1:63" ht="15.75" thickBot="1">
      <c r="A14" s="92">
        <v>4</v>
      </c>
      <c r="B14" s="93" t="s">
        <v>111</v>
      </c>
      <c r="C14" s="1422"/>
      <c r="D14" s="382">
        <f t="shared" si="0"/>
        <v>89.727149578766344</v>
      </c>
      <c r="E14" s="370">
        <v>43.139000000000003</v>
      </c>
      <c r="F14" s="1215">
        <f xml:space="preserve"> E15 / 500 + F15</f>
        <v>0.48362896551724138</v>
      </c>
      <c r="G14" s="1215">
        <f>IF(F14^3&gt;0.008856,F14^3*$AR$37, (F14- 16 / 116 ) / 7.787*$AR$37)</f>
        <v>10.907194224055665</v>
      </c>
      <c r="H14" s="1216">
        <f>G14/SUM(G14:G16)</f>
        <v>0.37034842231105086</v>
      </c>
      <c r="I14" s="1216">
        <f t="array" ref="I14:I16">MMULT($AR$48:$AT$50,G14:G16)</f>
        <v>10.451691011485027</v>
      </c>
      <c r="J14" s="1216">
        <f>I14/SUM(I14:I16)</f>
        <v>0.34224113871869855</v>
      </c>
      <c r="K14" s="1216">
        <f>I14/$AR$41</f>
        <v>0.10996339717702849</v>
      </c>
      <c r="L14" s="1216">
        <f t="shared" si="1"/>
        <v>0.47908883450958523</v>
      </c>
      <c r="M14" s="1216">
        <f t="shared" ref="M14" si="22" xml:space="preserve"> 116 * L15  - 16</f>
        <v>43.041203809731833</v>
      </c>
      <c r="N14" s="1215">
        <f>I14/100*  3.2406 + I15/100 * -1.5372 + I16/100 * -0.4986</f>
        <v>0.10159929910228443</v>
      </c>
      <c r="O14" s="1218">
        <f t="shared" si="2"/>
        <v>89.727149578766344</v>
      </c>
      <c r="Q14" s="655">
        <v>460.8</v>
      </c>
      <c r="R14" s="708">
        <f t="shared" ref="R14" si="23">Q14/SUM(Q14:Q16)*255</f>
        <v>79.448275862068968</v>
      </c>
      <c r="S14" s="805">
        <f t="shared" si="3"/>
        <v>0.31156186612576064</v>
      </c>
      <c r="T14" s="805">
        <f t="shared" si="4"/>
        <v>7.9094735048350104</v>
      </c>
      <c r="U14" s="805">
        <f t="array" ref="U14:U16">MMULT($AR$25:$AT$27,T14:T16)</f>
        <v>9.5720113334864312</v>
      </c>
      <c r="V14" s="805">
        <f>U14/$AR$41</f>
        <v>0.10070818998481205</v>
      </c>
      <c r="W14" s="805">
        <f t="shared" si="5"/>
        <v>0.46525201583164877</v>
      </c>
      <c r="X14" s="805">
        <f xml:space="preserve"> 116 * W15  - 16</f>
        <v>42.15504675136998</v>
      </c>
      <c r="Y14" s="853">
        <f>SQRT(( ( M14-X14 ) ^ 2 ) + ( ( M15 - X15 ) ^ 2 ) + ( (M16 - X16 ) ^ 2 ))</f>
        <v>4.9607736698632277</v>
      </c>
      <c r="Z14" s="424">
        <f t="shared" si="6"/>
        <v>89.727149578766344</v>
      </c>
      <c r="AA14" s="470">
        <f t="array" ref="AA14:AA16">MMULT(AQ14:AS16,Q14:Q16)</f>
        <v>31.179302700786536</v>
      </c>
      <c r="AB14" s="471">
        <f t="shared" si="7"/>
        <v>0.12227177529720211</v>
      </c>
      <c r="AC14" s="471">
        <f t="shared" si="8"/>
        <v>1.3833405971432859</v>
      </c>
      <c r="AD14" s="471">
        <f t="array" ref="AD14:AD16">MMULT($AR$25:$AT$27,AC14:AC16)</f>
        <v>1.5523456863587752</v>
      </c>
      <c r="AE14" s="471">
        <f>AD14/$AR$41</f>
        <v>1.6332400668708905E-2</v>
      </c>
      <c r="AF14" s="471">
        <f t="shared" si="9"/>
        <v>0.25371725760300184</v>
      </c>
      <c r="AG14" s="471">
        <f xml:space="preserve"> 116 * AF15  - 16</f>
        <v>15.77411178680347</v>
      </c>
      <c r="AH14" s="472">
        <f>SQRT(( ( M14-AG14 ) ^ 2 ) + ( ( M15 - AG15 ) ^ 2 ) + ( (M16 - AG16 ) ^ 2 ))</f>
        <v>29.074259538424961</v>
      </c>
      <c r="AJ14" s="1411" t="s">
        <v>137</v>
      </c>
      <c r="AK14" s="98">
        <v>1</v>
      </c>
      <c r="AL14" s="82">
        <v>1.5994681685999999E-5</v>
      </c>
      <c r="AM14" s="82">
        <v>-1.3813253134000001E-5</v>
      </c>
      <c r="AN14" s="82">
        <v>5.3358077983999998E-6</v>
      </c>
      <c r="AO14" s="81"/>
      <c r="AP14" s="1411" t="s">
        <v>208</v>
      </c>
      <c r="AQ14" s="71">
        <f t="array" ref="AQ14:AS16">MMULT(AK6:BH8,AL14:AN37)</f>
        <v>9.4588147777734652E-2</v>
      </c>
      <c r="AR14" s="71">
        <v>-3.5165637666769348E-2</v>
      </c>
      <c r="AS14" s="71">
        <v>2.3595629227030148E-2</v>
      </c>
      <c r="AT14" s="75"/>
      <c r="AU14" s="75"/>
      <c r="AV14" s="75"/>
    </row>
    <row r="15" spans="1:63" ht="15.75" thickBot="1">
      <c r="A15" s="94"/>
      <c r="B15" s="95"/>
      <c r="C15" s="1422"/>
      <c r="D15" s="383">
        <f t="shared" si="0"/>
        <v>107.64968923603281</v>
      </c>
      <c r="E15" s="371">
        <v>-13.095000000000001</v>
      </c>
      <c r="F15" s="1219">
        <f xml:space="preserve"> (E14  + 16 ) / 116</f>
        <v>0.50981896551724137</v>
      </c>
      <c r="G15" s="1219">
        <f>IF(F15^3&gt;0.008856,F15^3*$AR$38, (F15- 16 / 116 ) / 7.787*$AR$38)</f>
        <v>13.250978893060076</v>
      </c>
      <c r="H15" s="1220">
        <f>G15/SUM(G14:G16)</f>
        <v>0.44993047949017512</v>
      </c>
      <c r="I15" s="1220">
        <v>13.185349437594194</v>
      </c>
      <c r="J15" s="1220">
        <f>I15/SUM(I14:I16)</f>
        <v>0.43175491898559493</v>
      </c>
      <c r="K15" s="1220">
        <f>I15/$AR$42</f>
        <v>0.13185349437594193</v>
      </c>
      <c r="L15" s="1220">
        <f t="shared" si="1"/>
        <v>0.50897589491148132</v>
      </c>
      <c r="M15" s="1220">
        <f t="shared" ref="M15" si="24" xml:space="preserve"> 500 * (L14 - L15 )</f>
        <v>-14.943530200948047</v>
      </c>
      <c r="N15" s="1219">
        <f xml:space="preserve"> I14/100 * -0.9689 + I15/100*  1.8758 + I16/100 *  0.0415</f>
        <v>0.14892865026502292</v>
      </c>
      <c r="O15" s="1222">
        <f t="shared" si="2"/>
        <v>107.64968923603281</v>
      </c>
      <c r="Q15" s="656">
        <v>620</v>
      </c>
      <c r="R15" s="708">
        <f t="shared" ref="R15" si="25">Q15/SUM(Q14:Q16)*255</f>
        <v>106.89655172413794</v>
      </c>
      <c r="S15" s="805">
        <f t="shared" si="3"/>
        <v>0.41920216362407031</v>
      </c>
      <c r="T15" s="805">
        <f t="shared" si="4"/>
        <v>14.672582892253438</v>
      </c>
      <c r="U15" s="805">
        <v>12.600513962123074</v>
      </c>
      <c r="V15" s="805">
        <f>U15/$AR$42</f>
        <v>0.12600513962123075</v>
      </c>
      <c r="W15" s="805">
        <f t="shared" si="5"/>
        <v>0.50133660992560325</v>
      </c>
      <c r="X15" s="805">
        <f xml:space="preserve"> 500 * (W14 - W15 )</f>
        <v>-18.042297046977239</v>
      </c>
      <c r="Y15" s="853"/>
      <c r="Z15" s="424">
        <f t="shared" si="6"/>
        <v>107.64968923603281</v>
      </c>
      <c r="AA15" s="470">
        <v>42.761062964341029</v>
      </c>
      <c r="AB15" s="471">
        <f t="shared" si="7"/>
        <v>0.16769044299741581</v>
      </c>
      <c r="AC15" s="471">
        <f t="shared" si="8"/>
        <v>2.3915413099249228</v>
      </c>
      <c r="AD15" s="471">
        <v>2.0551630813040287</v>
      </c>
      <c r="AE15" s="471">
        <f>AD15/$AR$42</f>
        <v>2.0551630813040286E-2</v>
      </c>
      <c r="AF15" s="471">
        <f t="shared" si="9"/>
        <v>0.27391475678278854</v>
      </c>
      <c r="AG15" s="471">
        <f xml:space="preserve"> 500 * (AF14 - AF15 )</f>
        <v>-10.098749589893346</v>
      </c>
      <c r="AH15" s="472"/>
      <c r="AJ15" s="1412"/>
      <c r="AK15" s="99">
        <v>2</v>
      </c>
      <c r="AL15" s="84">
        <v>5.3529991746000002E-5</v>
      </c>
      <c r="AM15" s="84">
        <v>-4.2211507120999998E-5</v>
      </c>
      <c r="AN15" s="84">
        <v>1.2924100422999999E-5</v>
      </c>
      <c r="AO15" s="81"/>
      <c r="AP15" s="1412"/>
      <c r="AQ15" s="71">
        <v>1.0537270551158667E-2</v>
      </c>
      <c r="AR15" s="71">
        <v>5.962853023703954E-2</v>
      </c>
      <c r="AS15" s="71">
        <v>2.3500752069377157E-3</v>
      </c>
      <c r="AT15" s="75"/>
      <c r="AU15" s="75"/>
      <c r="AV15" s="75"/>
    </row>
    <row r="16" spans="1:63" ht="15.75" thickBot="1">
      <c r="A16" s="96"/>
      <c r="B16" s="97"/>
      <c r="C16" s="1422"/>
      <c r="D16" s="384">
        <f t="shared" si="0"/>
        <v>64.383828506381079</v>
      </c>
      <c r="E16" s="372">
        <v>21.905000000000001</v>
      </c>
      <c r="F16" s="1223">
        <f>F15 - E16 / 200</f>
        <v>0.40029396551724139</v>
      </c>
      <c r="G16" s="1223">
        <f>IF(F16^3&gt;0.008856,F16^3*$AR$39, (F16- 16 / 116 ) / 7.787*$AR$39)</f>
        <v>5.2929965570859583</v>
      </c>
      <c r="H16" s="1224">
        <f>G15</f>
        <v>13.250978893060076</v>
      </c>
      <c r="I16" s="1224">
        <v>6.901927047974608</v>
      </c>
      <c r="J16" s="1224">
        <f>I15</f>
        <v>13.185349437594194</v>
      </c>
      <c r="K16" s="1224">
        <f>I16/$AR$43</f>
        <v>6.3388472470216728E-2</v>
      </c>
      <c r="L16" s="1224">
        <f t="shared" si="1"/>
        <v>0.39872190484447512</v>
      </c>
      <c r="M16" s="1224">
        <f t="shared" ref="M16" si="26" xml:space="preserve"> 200 * ( L15 - L16 )</f>
        <v>22.050798013401241</v>
      </c>
      <c r="N16" s="1223">
        <f xml:space="preserve"> I14/100 *  0.0557 + I15/100 * -0.204 + I16/100 *  1.057</f>
        <v>5.1876847937796608E-2</v>
      </c>
      <c r="O16" s="1226">
        <f t="shared" si="2"/>
        <v>64.383828506381079</v>
      </c>
      <c r="Q16" s="657">
        <v>398.2</v>
      </c>
      <c r="R16" s="708">
        <f t="shared" ref="R16" si="27">Q16/SUM(Q14:Q16)*255</f>
        <v>68.65517241379311</v>
      </c>
      <c r="S16" s="805">
        <f t="shared" si="3"/>
        <v>0.26923597025016904</v>
      </c>
      <c r="T16" s="805">
        <f t="shared" si="4"/>
        <v>5.8919758822201418</v>
      </c>
      <c r="U16" s="805">
        <v>7.5009443078635192</v>
      </c>
      <c r="V16" s="805">
        <f>U16/$AR$43</f>
        <v>6.888994891639208E-2</v>
      </c>
      <c r="W16" s="805">
        <f t="shared" si="5"/>
        <v>0.40993841810838882</v>
      </c>
      <c r="X16" s="805">
        <f xml:space="preserve"> 200 * ( W15 - W16 )</f>
        <v>18.279638363442885</v>
      </c>
      <c r="Y16" s="853"/>
      <c r="Z16" s="424">
        <f t="shared" si="6"/>
        <v>64.383828506381079</v>
      </c>
      <c r="AA16" s="470">
        <v>20.044499438383735</v>
      </c>
      <c r="AB16" s="471">
        <f t="shared" si="7"/>
        <v>7.8605880150524443E-2</v>
      </c>
      <c r="AC16" s="471">
        <f t="shared" si="8"/>
        <v>0.70173876880005615</v>
      </c>
      <c r="AD16" s="471">
        <v>0.97866318970332533</v>
      </c>
      <c r="AE16" s="471">
        <f>AD16/$AR$43</f>
        <v>8.9882092677766538E-3</v>
      </c>
      <c r="AF16" s="471">
        <f t="shared" si="9"/>
        <v>0.20791750664079253</v>
      </c>
      <c r="AG16" s="471">
        <f xml:space="preserve"> 200 * ( AF15 - AF16 )</f>
        <v>13.199450028399202</v>
      </c>
      <c r="AH16" s="472"/>
      <c r="AJ16" s="1412"/>
      <c r="AK16" s="99">
        <v>3</v>
      </c>
      <c r="AL16" s="84">
        <v>-1.7172191425000001E-5</v>
      </c>
      <c r="AM16" s="84">
        <v>-1.7161878617000001E-5</v>
      </c>
      <c r="AN16" s="84">
        <v>5.2068881700000001E-5</v>
      </c>
      <c r="AP16" s="1413"/>
      <c r="AQ16" s="71">
        <v>4.2641382473432169E-3</v>
      </c>
      <c r="AR16" s="71">
        <v>-4.5701496962984242E-2</v>
      </c>
      <c r="AS16" s="71">
        <v>0.11656080525127628</v>
      </c>
      <c r="AT16" s="75"/>
      <c r="AU16" s="75"/>
      <c r="AV16" s="75"/>
    </row>
    <row r="17" spans="1:48">
      <c r="A17" s="92">
        <v>5</v>
      </c>
      <c r="B17" s="93" t="s">
        <v>112</v>
      </c>
      <c r="C17" s="1414"/>
      <c r="D17" s="382">
        <f t="shared" si="0"/>
        <v>129.55778390505861</v>
      </c>
      <c r="E17" s="370">
        <v>55.112000000000002</v>
      </c>
      <c r="F17" s="1215">
        <f xml:space="preserve"> E18 / 500 + F18</f>
        <v>0.63072248275862064</v>
      </c>
      <c r="G17" s="1215">
        <f>IF(F17^3&gt;0.008856,F17^3*$AR$37, (F17- 16 / 116 ) / 7.787*$AR$37)</f>
        <v>24.193075005977811</v>
      </c>
      <c r="H17" s="1216">
        <f>G17/SUM(G17:G19)</f>
        <v>0.29988284284978423</v>
      </c>
      <c r="I17" s="1216">
        <f t="array" ref="I17:I19">MMULT($AR$48:$AT$50,G17:G19)</f>
        <v>24.699955835439631</v>
      </c>
      <c r="J17" s="1216">
        <f>I17/SUM(I17:I19)</f>
        <v>0.26763955287126434</v>
      </c>
      <c r="K17" s="1216">
        <f>I17/$AR$41</f>
        <v>0.2598709673681403</v>
      </c>
      <c r="L17" s="1216">
        <f t="shared" si="1"/>
        <v>0.63814482891133872</v>
      </c>
      <c r="M17" s="1216">
        <f t="shared" ref="M17" si="28" xml:space="preserve"> 116 * L18  - 16</f>
        <v>55.36543670524037</v>
      </c>
      <c r="N17" s="1215">
        <f>I17/100*  3.2406 + I18/100 * -1.5372 + I19/100 * -0.4986</f>
        <v>0.22158652702956053</v>
      </c>
      <c r="O17" s="1218">
        <f t="shared" si="2"/>
        <v>129.55778390505861</v>
      </c>
      <c r="Q17" s="655">
        <v>883</v>
      </c>
      <c r="R17" s="709">
        <f t="shared" ref="R17" si="29">Q17/SUM(Q17:Q19)*255</f>
        <v>62.49375520399667</v>
      </c>
      <c r="S17" s="806">
        <f t="shared" si="3"/>
        <v>0.24507354981959478</v>
      </c>
      <c r="T17" s="806">
        <f t="shared" si="4"/>
        <v>4.8926101858758555</v>
      </c>
      <c r="U17" s="806">
        <f t="array" ref="U17:U19">MMULT($AR$25:$AT$27,T17:T19)</f>
        <v>7.8750351798182185</v>
      </c>
      <c r="V17" s="806">
        <f>U17/$AR$41</f>
        <v>8.2854116172190795E-2</v>
      </c>
      <c r="W17" s="806">
        <f t="shared" si="5"/>
        <v>0.43595135278465702</v>
      </c>
      <c r="X17" s="806">
        <f xml:space="preserve"> 116 * W18  - 16</f>
        <v>34.403691273051841</v>
      </c>
      <c r="Y17" s="854">
        <f>SQRT(( ( M17-X17 ) ^ 2 ) + ( ( M18 - X18 ) ^ 2 ) + ( (M19 - X19 ) ^ 2 ))</f>
        <v>24.395308443686805</v>
      </c>
      <c r="Z17" s="425">
        <f t="shared" si="6"/>
        <v>129.55778390505861</v>
      </c>
      <c r="AA17" s="473">
        <f t="array" ref="AA17:AA19">MMULT(AQ14:AS16,Q17:Q19)</f>
        <v>79.667651175620648</v>
      </c>
      <c r="AB17" s="474">
        <f t="shared" si="7"/>
        <v>0.31242216147302215</v>
      </c>
      <c r="AC17" s="474">
        <f t="shared" si="8"/>
        <v>7.9540978881437008</v>
      </c>
      <c r="AD17" s="474">
        <f t="array" ref="AD17:AD19">MMULT($AR$25:$AT$27,AC17:AC19)</f>
        <v>10.527094761299811</v>
      </c>
      <c r="AE17" s="474">
        <f>AD17/$AR$41</f>
        <v>0.11075672836912065</v>
      </c>
      <c r="AF17" s="474">
        <f t="shared" si="9"/>
        <v>0.48023820406295109</v>
      </c>
      <c r="AG17" s="474">
        <f xml:space="preserve"> 116 * AF18  - 16</f>
        <v>36.779108901138059</v>
      </c>
      <c r="AH17" s="475">
        <f>SQRT(( ( M17-AG17 ) ^ 2 ) + ( ( M18 - AG18 ) ^ 2 ) + ( (M19 - AG19 ) ^ 2 ))</f>
        <v>18.984661776051443</v>
      </c>
      <c r="AJ17" s="1412"/>
      <c r="AK17" s="99">
        <v>4</v>
      </c>
      <c r="AL17" s="84">
        <v>-1.1965844263E-5</v>
      </c>
      <c r="AM17" s="84">
        <v>4.1035138333999999E-5</v>
      </c>
      <c r="AN17" s="84">
        <v>-2.5772229669000001E-5</v>
      </c>
      <c r="AT17" s="75"/>
      <c r="AU17" s="75"/>
      <c r="AV17" s="75"/>
    </row>
    <row r="18" spans="1:48">
      <c r="A18" s="94"/>
      <c r="B18" s="95"/>
      <c r="C18" s="1414"/>
      <c r="D18" s="383">
        <f t="shared" si="0"/>
        <v>128.00022677459134</v>
      </c>
      <c r="E18" s="371">
        <v>8.8439999999999994</v>
      </c>
      <c r="F18" s="1219">
        <f xml:space="preserve"> (E17  + 16 ) / 116</f>
        <v>0.6130344827586206</v>
      </c>
      <c r="G18" s="1219">
        <f>IF(F18^3&gt;0.008856,F18^3*$AR$38, (F18- 16 / 116 ) / 7.787*$AR$38)</f>
        <v>23.038527184189583</v>
      </c>
      <c r="H18" s="1220">
        <f>G18/SUM(G17:G19)</f>
        <v>0.28557176073565316</v>
      </c>
      <c r="I18" s="1220">
        <v>23.285727746380509</v>
      </c>
      <c r="J18" s="1220">
        <f>I18/SUM(I17:I19)</f>
        <v>0.25231550225613381</v>
      </c>
      <c r="K18" s="1220">
        <f>I18/$AR$42</f>
        <v>0.23285727746380508</v>
      </c>
      <c r="L18" s="1220">
        <f t="shared" si="1"/>
        <v>0.61521928194172737</v>
      </c>
      <c r="M18" s="1220">
        <f t="shared" ref="M18" si="30" xml:space="preserve"> 500 * (L17 - L18 )</f>
        <v>11.462773484805677</v>
      </c>
      <c r="N18" s="1219">
        <f xml:space="preserve"> I17/100 * -0.9689 + I18/100*  1.8758 + I19/100 *  0.0415</f>
        <v>0.2158613273214712</v>
      </c>
      <c r="O18" s="1222">
        <f t="shared" si="2"/>
        <v>128.00022677459134</v>
      </c>
      <c r="Q18" s="656">
        <v>1157.8</v>
      </c>
      <c r="R18" s="709">
        <f t="shared" ref="R18" si="31">Q18/SUM(Q17:Q19)*255</f>
        <v>81.942547876769353</v>
      </c>
      <c r="S18" s="806">
        <f t="shared" si="3"/>
        <v>0.32134332500693863</v>
      </c>
      <c r="T18" s="806">
        <f t="shared" si="4"/>
        <v>8.4255104021761014</v>
      </c>
      <c r="U18" s="806">
        <v>8.2037621553704696</v>
      </c>
      <c r="V18" s="806">
        <f>U18/$AR$42</f>
        <v>8.2037621553704698E-2</v>
      </c>
      <c r="W18" s="806">
        <f t="shared" si="5"/>
        <v>0.43451457994010206</v>
      </c>
      <c r="X18" s="806">
        <f xml:space="preserve"> 500 * (W17 - W18 )</f>
        <v>0.71838642227747829</v>
      </c>
      <c r="Y18" s="854"/>
      <c r="Z18" s="425">
        <f t="shared" si="6"/>
        <v>128.00022677459134</v>
      </c>
      <c r="AA18" s="473">
        <v>82.01360969339558</v>
      </c>
      <c r="AB18" s="474">
        <f t="shared" si="7"/>
        <v>0.3216219987976297</v>
      </c>
      <c r="AC18" s="474">
        <f t="shared" si="8"/>
        <v>8.4404915276696837</v>
      </c>
      <c r="AD18" s="474">
        <v>9.4191604052742477</v>
      </c>
      <c r="AE18" s="474">
        <f>AD18/$AR$42</f>
        <v>9.4191604052742475E-2</v>
      </c>
      <c r="AF18" s="474">
        <f t="shared" si="9"/>
        <v>0.45499231811325913</v>
      </c>
      <c r="AG18" s="474">
        <f xml:space="preserve"> 500 * (AF17 - AF18 )</f>
        <v>12.62294297484598</v>
      </c>
      <c r="AH18" s="475"/>
      <c r="AJ18" s="1412"/>
      <c r="AK18" s="99">
        <v>5</v>
      </c>
      <c r="AL18" s="84">
        <v>1.7730657314E-6</v>
      </c>
      <c r="AM18" s="84">
        <v>-6.4173578690999996E-5</v>
      </c>
      <c r="AN18" s="84">
        <v>8.9537557983999995E-5</v>
      </c>
      <c r="AT18" s="75"/>
      <c r="AU18" s="75"/>
      <c r="AV18" s="75"/>
    </row>
    <row r="19" spans="1:48" ht="15.75" thickBot="1">
      <c r="A19" s="96"/>
      <c r="B19" s="97"/>
      <c r="C19" s="1414"/>
      <c r="D19" s="384">
        <f t="shared" si="0"/>
        <v>176.06897196090145</v>
      </c>
      <c r="E19" s="372">
        <v>-25.399000000000001</v>
      </c>
      <c r="F19" s="1223">
        <f>F18 - E19 / 200</f>
        <v>0.74002948275862057</v>
      </c>
      <c r="G19" s="1223">
        <f>IF(F19^3&gt;0.008856,F19^3*$AR$39, (F19- 16 / 116 ) / 7.787*$AR$39)</f>
        <v>33.443486708121064</v>
      </c>
      <c r="H19" s="1224">
        <f>G18</f>
        <v>23.038527184189583</v>
      </c>
      <c r="I19" s="1224">
        <v>44.302453842024704</v>
      </c>
      <c r="J19" s="1224">
        <f>I18</f>
        <v>23.285727746380509</v>
      </c>
      <c r="K19" s="1224">
        <f>I19/$AR$43</f>
        <v>0.40688127478141406</v>
      </c>
      <c r="L19" s="1224">
        <f t="shared" si="1"/>
        <v>0.74100743888934384</v>
      </c>
      <c r="M19" s="1224">
        <f t="shared" ref="M19" si="32" xml:space="preserve"> 200 * ( L18 - L19 )</f>
        <v>-25.157631389523296</v>
      </c>
      <c r="N19" s="1223">
        <f xml:space="preserve"> I17/100 *  0.0557 + I18/100 * -0.204 + I19/100 *  1.057</f>
        <v>0.43453192790792472</v>
      </c>
      <c r="O19" s="1226">
        <f t="shared" si="2"/>
        <v>176.06897196090145</v>
      </c>
      <c r="Q19" s="657">
        <v>1562.2</v>
      </c>
      <c r="R19" s="709">
        <f t="shared" ref="R19" si="33">Q19/SUM(Q17:Q19)*255</f>
        <v>110.56369691923398</v>
      </c>
      <c r="S19" s="806">
        <f t="shared" si="3"/>
        <v>0.43358312517346659</v>
      </c>
      <c r="T19" s="806">
        <f t="shared" si="4"/>
        <v>15.763273409512827</v>
      </c>
      <c r="U19" s="806">
        <v>16.078750022409899</v>
      </c>
      <c r="V19" s="806">
        <f>U19/$AR$43</f>
        <v>0.1476699762351322</v>
      </c>
      <c r="W19" s="806">
        <f t="shared" si="5"/>
        <v>0.52856378245105007</v>
      </c>
      <c r="X19" s="806">
        <f xml:space="preserve"> 200 * ( W18 - W19 )</f>
        <v>-18.809840502189601</v>
      </c>
      <c r="Y19" s="854"/>
      <c r="Z19" s="425">
        <f t="shared" si="6"/>
        <v>176.06897196090145</v>
      </c>
      <c r="AA19" s="473">
        <v>132.94333085220472</v>
      </c>
      <c r="AB19" s="474">
        <f t="shared" si="7"/>
        <v>0.5213463954988421</v>
      </c>
      <c r="AC19" s="474">
        <f t="shared" si="8"/>
        <v>23.433366891922621</v>
      </c>
      <c r="AD19" s="474">
        <v>23.42864743352391</v>
      </c>
      <c r="AE19" s="474">
        <f>AD19/$AR$43</f>
        <v>0.21517268474898663</v>
      </c>
      <c r="AF19" s="474">
        <f t="shared" si="9"/>
        <v>0.59923298726375851</v>
      </c>
      <c r="AG19" s="474">
        <f xml:space="preserve"> 200 * ( AF18 - AF19 )</f>
        <v>-28.848133830099876</v>
      </c>
      <c r="AH19" s="475"/>
      <c r="AJ19" s="1412"/>
      <c r="AK19" s="99">
        <v>6</v>
      </c>
      <c r="AL19" s="84">
        <v>-8.8999656216000002E-5</v>
      </c>
      <c r="AM19" s="84">
        <v>1.4768504005000001E-4</v>
      </c>
      <c r="AN19" s="84">
        <v>-4.4720646645999997E-5</v>
      </c>
      <c r="AO19" s="81"/>
      <c r="AP19" s="345" t="s">
        <v>48</v>
      </c>
      <c r="AU19" s="75"/>
      <c r="AV19" s="75"/>
    </row>
    <row r="20" spans="1:48" ht="15.75" thickBot="1">
      <c r="A20" s="92">
        <v>6</v>
      </c>
      <c r="B20" s="93" t="s">
        <v>113</v>
      </c>
      <c r="C20" s="1415"/>
      <c r="D20" s="382">
        <f t="shared" si="0"/>
        <v>92.422098428867557</v>
      </c>
      <c r="E20" s="370">
        <v>70.718999999999994</v>
      </c>
      <c r="F20" s="1215">
        <f xml:space="preserve"> E21 / 500 + F21</f>
        <v>0.6807835862068965</v>
      </c>
      <c r="G20" s="1215">
        <f>IF(F20^3&gt;0.008856,F20^3*$AR$37, (F20- 16 / 116 ) / 7.787*$AR$37)</f>
        <v>30.423092951763746</v>
      </c>
      <c r="H20" s="1216">
        <f>G20/SUM(G20:G22)</f>
        <v>0.28481166924930046</v>
      </c>
      <c r="I20" s="1216">
        <f t="array" ref="I20:I22">MMULT($AR$48:$AT$50,G20:G22)</f>
        <v>30.295430517119279</v>
      </c>
      <c r="J20" s="1216">
        <f>I20/SUM(I20:I22)</f>
        <v>0.25693525746026269</v>
      </c>
      <c r="K20" s="1216">
        <f>I20/$AR$41</f>
        <v>0.31874157540079412</v>
      </c>
      <c r="L20" s="1216">
        <f t="shared" si="1"/>
        <v>0.68309258584567412</v>
      </c>
      <c r="M20" s="1216">
        <f t="shared" ref="M20" si="34" xml:space="preserve"> 116 * L21  - 16</f>
        <v>70.913594826070963</v>
      </c>
      <c r="N20" s="1215">
        <f>I20/100*  3.2406 + I21/100 * -1.5372 + I22/100 * -0.4986</f>
        <v>0.10804852697667286</v>
      </c>
      <c r="O20" s="1218">
        <f t="shared" si="2"/>
        <v>92.422098428867557</v>
      </c>
      <c r="Q20" s="655">
        <v>894.6</v>
      </c>
      <c r="R20" s="710">
        <f t="shared" ref="R20" si="35">Q20/SUM(Q20:Q22)*255</f>
        <v>46.618506559856137</v>
      </c>
      <c r="S20" s="807">
        <f t="shared" si="3"/>
        <v>0.18281767278374955</v>
      </c>
      <c r="T20" s="807">
        <f t="shared" si="4"/>
        <v>2.8001416192967583</v>
      </c>
      <c r="U20" s="807">
        <f t="array" ref="U20:U22">MMULT($AR$25:$AT$27,T20:T22)</f>
        <v>9.2276784349805983</v>
      </c>
      <c r="V20" s="807">
        <f>U20/$AR$41</f>
        <v>9.7085425473508874E-2</v>
      </c>
      <c r="W20" s="807">
        <f t="shared" si="5"/>
        <v>0.45960493091579857</v>
      </c>
      <c r="X20" s="807">
        <f xml:space="preserve"> 116 * W21  - 16</f>
        <v>43.510362032049137</v>
      </c>
      <c r="Y20" s="855">
        <f>SQRT(( ( M20-X20 ) ^ 2 ) + ( ( M21 - X21 ) ^ 2 ) + ( (M22 - X22 ) ^ 2 ))</f>
        <v>28.498175778644768</v>
      </c>
      <c r="Z20" s="426">
        <f t="shared" si="6"/>
        <v>92.422098428867557</v>
      </c>
      <c r="AA20" s="476">
        <f t="array" ref="AA20:AA22">MMULT(AQ14:AS16,Q20:Q22)</f>
        <v>50.109300856907282</v>
      </c>
      <c r="AB20" s="477">
        <f t="shared" si="7"/>
        <v>0.19650706218395012</v>
      </c>
      <c r="AC20" s="477">
        <f t="shared" si="8"/>
        <v>3.2026873119350596</v>
      </c>
      <c r="AD20" s="477">
        <f t="array" ref="AD20:AD22">MMULT($AR$25:$AT$27,AC20:AC22)</f>
        <v>14.400275524648483</v>
      </c>
      <c r="AE20" s="477">
        <f>AD20/$AR$41</f>
        <v>0.15150689158677796</v>
      </c>
      <c r="AF20" s="477">
        <f t="shared" si="9"/>
        <v>0.53310259432228602</v>
      </c>
      <c r="AG20" s="477">
        <f xml:space="preserve"> 116 * AF21  - 16</f>
        <v>54.000258789563006</v>
      </c>
      <c r="AH20" s="478">
        <f>SQRT(( ( M20-AG20 ) ^ 2 ) + ( ( M21 - AG21 ) ^ 2 ) + ( (M22 - AG22 ) ^ 2 ))</f>
        <v>18.758838269618561</v>
      </c>
      <c r="AJ20" s="1412"/>
      <c r="AK20" s="99">
        <v>7</v>
      </c>
      <c r="AL20" s="84">
        <v>1.1706397977E-4</v>
      </c>
      <c r="AM20" s="84">
        <v>-8.6689581055999997E-5</v>
      </c>
      <c r="AN20" s="84">
        <v>-6.3436668431999998E-6</v>
      </c>
      <c r="AP20" s="76"/>
    </row>
    <row r="21" spans="1:48">
      <c r="A21" s="94"/>
      <c r="B21" s="95"/>
      <c r="C21" s="1415"/>
      <c r="D21" s="383">
        <f t="shared" si="0"/>
        <v>189.90953390734151</v>
      </c>
      <c r="E21" s="371">
        <v>-33.396999999999998</v>
      </c>
      <c r="F21" s="1219">
        <f xml:space="preserve"> (E20  + 16 ) / 116</f>
        <v>0.74757758620689652</v>
      </c>
      <c r="G21" s="1219">
        <f>IF(F21^3&gt;0.008856,F21^3*$AR$38, (F21- 16 / 116 ) / 7.787*$AR$38)</f>
        <v>41.78003657085155</v>
      </c>
      <c r="H21" s="1220">
        <f>G21/SUM(G20:G22)</f>
        <v>0.39113189365419831</v>
      </c>
      <c r="I21" s="1220">
        <v>42.061927614550903</v>
      </c>
      <c r="J21" s="1220">
        <f>I21/SUM(I20:I22)</f>
        <v>0.35672680719333771</v>
      </c>
      <c r="K21" s="1220">
        <f>I21/$AR$42</f>
        <v>0.42061927614550904</v>
      </c>
      <c r="L21" s="1220">
        <f t="shared" si="1"/>
        <v>0.7492551278109566</v>
      </c>
      <c r="M21" s="1220">
        <f t="shared" ref="M21" si="36" xml:space="preserve"> 500 * (L20 - L21 )</f>
        <v>-33.081270982641243</v>
      </c>
      <c r="N21" s="1219">
        <f xml:space="preserve"> I20/100 * -0.9689 + I21/100*  1.8758 + I22/100 *  0.0415</f>
        <v>0.51436987213683083</v>
      </c>
      <c r="O21" s="1222">
        <f t="shared" si="2"/>
        <v>189.90953390734151</v>
      </c>
      <c r="Q21" s="656">
        <v>2193</v>
      </c>
      <c r="R21" s="710">
        <f t="shared" ref="R21" si="37">Q21/SUM(Q20:Q22)*255</f>
        <v>114.27943760984184</v>
      </c>
      <c r="S21" s="807">
        <f t="shared" si="3"/>
        <v>0.4481546572934974</v>
      </c>
      <c r="T21" s="807">
        <f t="shared" si="4"/>
        <v>16.915221517458477</v>
      </c>
      <c r="U21" s="807">
        <v>13.502177385222867</v>
      </c>
      <c r="V21" s="807">
        <f>U21/$AR$42</f>
        <v>0.13502177385222866</v>
      </c>
      <c r="W21" s="807">
        <f t="shared" si="5"/>
        <v>0.51302036234525117</v>
      </c>
      <c r="X21" s="807">
        <f xml:space="preserve"> 500 * (W20 - W21 )</f>
        <v>-26.707715714726298</v>
      </c>
      <c r="Y21" s="855"/>
      <c r="Z21" s="426">
        <f t="shared" si="6"/>
        <v>189.90953390734151</v>
      </c>
      <c r="AA21" s="476">
        <v>144.43577485358236</v>
      </c>
      <c r="AB21" s="477">
        <f t="shared" si="7"/>
        <v>0.56641480334738181</v>
      </c>
      <c r="AC21" s="477">
        <f t="shared" si="8"/>
        <v>28.074363866362241</v>
      </c>
      <c r="AD21" s="477">
        <v>21.974801922782831</v>
      </c>
      <c r="AE21" s="477">
        <f>AD21/$AR$42</f>
        <v>0.2197480192278283</v>
      </c>
      <c r="AF21" s="477">
        <f t="shared" si="9"/>
        <v>0.60345050680657764</v>
      </c>
      <c r="AG21" s="477">
        <f xml:space="preserve"> 500 * (AF20 - AF21 )</f>
        <v>-35.173956242145806</v>
      </c>
      <c r="AH21" s="478"/>
      <c r="AJ21" s="1412"/>
      <c r="AK21" s="99">
        <v>8</v>
      </c>
      <c r="AL21" s="84">
        <v>-5.6970968144999999E-6</v>
      </c>
      <c r="AM21" s="84">
        <v>-1.0811722903E-4</v>
      </c>
      <c r="AN21" s="84">
        <v>1.4439186793000001E-4</v>
      </c>
      <c r="AP21" s="76" t="s">
        <v>174</v>
      </c>
      <c r="AR21" s="333">
        <v>0.43607469999999998</v>
      </c>
      <c r="AS21" s="334">
        <v>0.38506489999999999</v>
      </c>
      <c r="AT21" s="335">
        <v>0.1430804</v>
      </c>
    </row>
    <row r="22" spans="1:48" ht="15.75" thickBot="1">
      <c r="A22" s="96"/>
      <c r="B22" s="97"/>
      <c r="C22" s="1416"/>
      <c r="D22" s="384">
        <f t="shared" si="0"/>
        <v>172.00470214339384</v>
      </c>
      <c r="E22" s="372">
        <v>-0.19900000000000001</v>
      </c>
      <c r="F22" s="1223">
        <f>F21 - E22 / 200</f>
        <v>0.74857258620689648</v>
      </c>
      <c r="G22" s="1223">
        <f>IF(F22^3&gt;0.008856,F22^3*$AR$39, (F22- 16 / 116 ) / 7.787*$AR$39)</f>
        <v>34.615151596104958</v>
      </c>
      <c r="H22" s="1224">
        <f>G21</f>
        <v>41.78003657085155</v>
      </c>
      <c r="I22" s="1224">
        <v>45.553398128804254</v>
      </c>
      <c r="J22" s="1224">
        <f>I21</f>
        <v>42.061927614550903</v>
      </c>
      <c r="K22" s="1224">
        <f>I22/$AR$43</f>
        <v>0.41837015997726235</v>
      </c>
      <c r="L22" s="1224">
        <f t="shared" si="1"/>
        <v>0.74791727948495235</v>
      </c>
      <c r="M22" s="1224">
        <f t="shared" ref="M22" si="38" xml:space="preserve"> 200 * ( L21 - L22 )</f>
        <v>0.26756966520085079</v>
      </c>
      <c r="N22" s="1223">
        <f xml:space="preserve"> I20/100 *  0.0557 + I21/100 * -0.204 + I22/100 *  1.057</f>
        <v>0.41256764068581253</v>
      </c>
      <c r="O22" s="1226">
        <f t="shared" si="2"/>
        <v>172.00470214339384</v>
      </c>
      <c r="Q22" s="657">
        <v>1805.8</v>
      </c>
      <c r="R22" s="711">
        <f t="shared" ref="R22" si="39">Q22/SUM(Q20:Q22)*255</f>
        <v>94.102055830302035</v>
      </c>
      <c r="S22" s="808">
        <f t="shared" si="3"/>
        <v>0.3690276699227531</v>
      </c>
      <c r="T22" s="808">
        <f t="shared" si="4"/>
        <v>11.218638932297349</v>
      </c>
      <c r="U22" s="808">
        <v>12.731415314944027</v>
      </c>
      <c r="V22" s="808">
        <f>U22/$AR$43</f>
        <v>0.11692748468488219</v>
      </c>
      <c r="W22" s="808">
        <f t="shared" si="5"/>
        <v>0.48899625805114155</v>
      </c>
      <c r="X22" s="808">
        <f xml:space="preserve"> 200 * ( W21 - W22 )</f>
        <v>4.8048208588219232</v>
      </c>
      <c r="Y22" s="856"/>
      <c r="Z22" s="427">
        <f t="shared" si="6"/>
        <v>172.00470214339384</v>
      </c>
      <c r="AA22" s="476">
        <v>114.0768173590035</v>
      </c>
      <c r="AB22" s="477">
        <f t="shared" si="7"/>
        <v>0.4473600680745235</v>
      </c>
      <c r="AC22" s="477">
        <f t="shared" si="8"/>
        <v>16.851181735101303</v>
      </c>
      <c r="AD22" s="477">
        <v>19.421907106891553</v>
      </c>
      <c r="AE22" s="477">
        <f>AD22/$AR$43</f>
        <v>0.17837409978501284</v>
      </c>
      <c r="AF22" s="477">
        <f t="shared" si="9"/>
        <v>0.56291643871816532</v>
      </c>
      <c r="AG22" s="477">
        <f xml:space="preserve"> 200 * ( AF21 - AF22 )</f>
        <v>8.1068136176824623</v>
      </c>
      <c r="AH22" s="478"/>
      <c r="AJ22" s="1412"/>
      <c r="AK22" s="99">
        <v>9</v>
      </c>
      <c r="AL22" s="84">
        <v>1.1631386998E-4</v>
      </c>
      <c r="AM22" s="84">
        <v>-1.5691571655000001E-4</v>
      </c>
      <c r="AN22" s="84">
        <v>6.9726510939000001E-5</v>
      </c>
      <c r="AP22" s="89" t="s">
        <v>172</v>
      </c>
      <c r="AQ22" s="74"/>
      <c r="AR22" s="336">
        <v>0.22250449999999999</v>
      </c>
      <c r="AS22" s="337">
        <v>0.71687860000000003</v>
      </c>
      <c r="AT22" s="338">
        <v>6.0616900000000001E-2</v>
      </c>
    </row>
    <row r="23" spans="1:48" ht="15.75" customHeight="1" thickBot="1">
      <c r="A23" s="1390" t="s">
        <v>114</v>
      </c>
      <c r="B23" s="1391"/>
      <c r="C23" s="1391"/>
      <c r="D23" s="1391"/>
      <c r="E23" s="1391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Q23" s="658"/>
      <c r="R23" s="797"/>
      <c r="S23" s="797"/>
      <c r="T23" s="797"/>
      <c r="U23" s="797"/>
      <c r="V23" s="797"/>
      <c r="W23" s="797"/>
      <c r="X23" s="797"/>
      <c r="Y23" s="800"/>
      <c r="Z23" s="419"/>
      <c r="AA23" s="184"/>
      <c r="AB23" s="330"/>
      <c r="AC23" s="330"/>
      <c r="AD23" s="330"/>
      <c r="AE23" s="330"/>
      <c r="AF23" s="330"/>
      <c r="AG23" s="330"/>
      <c r="AH23" s="381"/>
      <c r="AJ23" s="1412"/>
      <c r="AK23" s="99">
        <v>10</v>
      </c>
      <c r="AL23" s="84">
        <v>1.4820774843000001E-5</v>
      </c>
      <c r="AM23" s="84">
        <v>-5.5637220302E-5</v>
      </c>
      <c r="AN23" s="84">
        <v>5.5069616154999998E-5</v>
      </c>
      <c r="AP23" s="80"/>
      <c r="AQ23" s="74"/>
      <c r="AR23" s="339">
        <v>1.39322E-2</v>
      </c>
      <c r="AS23" s="340">
        <v>9.7104499999999996E-2</v>
      </c>
      <c r="AT23" s="341">
        <v>0.71417330000000001</v>
      </c>
    </row>
    <row r="24" spans="1:48" ht="15.75" thickBot="1">
      <c r="A24" s="92">
        <v>7</v>
      </c>
      <c r="B24" s="93" t="s">
        <v>115</v>
      </c>
      <c r="C24" s="1417"/>
      <c r="D24" s="382">
        <f t="shared" si="0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IF(F24^3&gt;0.008856,F24^3*$AR$37, (F24- 16 / 116 ) / 7.787*$AR$37)</f>
        <v>40.718082791990795</v>
      </c>
      <c r="H24" s="1216">
        <f>G24/SUM(G24:G26)</f>
        <v>0.52952864462754456</v>
      </c>
      <c r="I24" s="1216">
        <f t="array" ref="I24:I26">MMULT($AR$48:$AT$50,G24:G26)</f>
        <v>38.506327134135688</v>
      </c>
      <c r="J24" s="1217">
        <f>I24/SUM(I24:I26)</f>
        <v>0.51031401695589362</v>
      </c>
      <c r="K24" s="1217">
        <f>I24/$AR$41</f>
        <v>0.4051293269028553</v>
      </c>
      <c r="L24" s="1217">
        <f t="shared" ref="L24:L41" si="40">IF(K24&gt;0.008856,K24^(1/3),7.787*K24+16/116)</f>
        <v>0.73994236640432509</v>
      </c>
      <c r="M24" s="1217">
        <f t="shared" ref="M24" si="41" xml:space="preserve"> 116 * L25  - 16</f>
        <v>62.036354240270256</v>
      </c>
      <c r="N24" s="1215">
        <f>I24/100*  3.2406 + I25/100 * -1.5372 + I26/100 * -0.4986</f>
        <v>0.74740178306099636</v>
      </c>
      <c r="O24" s="1218">
        <f t="shared" ref="O24:O41" si="42">IF(N24&gt; 0.0031308,(1.055 * (N24^ ( 1 / 2.4 ) ) - 0.055)*255, 12.92 * N24*255)</f>
        <v>224.26557253285961</v>
      </c>
      <c r="Q24" s="655">
        <v>2657.6001000000001</v>
      </c>
      <c r="R24" s="712">
        <f t="shared" ref="R24" si="43">Q24/SUM(Q24:Q26)*255</f>
        <v>150.08371583727433</v>
      </c>
      <c r="S24" s="809">
        <f t="shared" si="3"/>
        <v>0.58856359151872284</v>
      </c>
      <c r="T24" s="809">
        <f t="shared" si="4"/>
        <v>30.536103355221002</v>
      </c>
      <c r="U24" s="809">
        <f t="array" ref="U24:U26">MMULT($AR$25:$AT$27,T24:T26)</f>
        <v>14.882100629560394</v>
      </c>
      <c r="V24" s="809">
        <f>U24/$AR$41</f>
        <v>0.15657622680947736</v>
      </c>
      <c r="W24" s="809">
        <f t="shared" ref="W24:W41" si="44">IF(V24&gt;0.008856,V24^(1/3),7.787*V24+16/116)</f>
        <v>0.53898325692599114</v>
      </c>
      <c r="X24" s="809">
        <f xml:space="preserve"> 116 * W25  - 16</f>
        <v>38.671102198225526</v>
      </c>
      <c r="Y24" s="857">
        <f>SQRT(( ( M24-X24 ) ^ 2 ) + ( ( M25 - X25 ) ^ 2 ) + ( (M26 - X26 ) ^ 2 ))</f>
        <v>33.379545325024395</v>
      </c>
      <c r="Z24" s="428">
        <f t="shared" ref="Z24:Z41" si="45">O24</f>
        <v>224.26557253285961</v>
      </c>
      <c r="AA24" s="479">
        <f t="array" ref="AA24:AA26">MMULT($AQ$14:$AS$16,Q24:Q26)</f>
        <v>227.17963616125797</v>
      </c>
      <c r="AB24" s="480">
        <f t="shared" ref="AB24:AB41" si="46">AA24/255</f>
        <v>0.89090053396571756</v>
      </c>
      <c r="AC24" s="480">
        <f t="shared" ref="AC24:AC41" si="47">IF(AB24&gt;0.04045,(((AB24+0.055)/1.055 )^2.4)*100, AB24/12.92*100)</f>
        <v>76.952587322375692</v>
      </c>
      <c r="AD24" s="480">
        <f t="array" ref="AD24:AD26">MMULT($AR$25:$AT$27,AC24:AC26)</f>
        <v>36.554586733937988</v>
      </c>
      <c r="AE24" s="480">
        <f>AD24/$AR$41</f>
        <v>0.38459485027342249</v>
      </c>
      <c r="AF24" s="480">
        <f t="shared" ref="AF24:AF41" si="48">IF(AE24&gt;0.008856,AE24^(1/3),7.787*AE24+16/116)</f>
        <v>0.72722336109705554</v>
      </c>
      <c r="AG24" s="480">
        <f xml:space="preserve"> 116 * AF25  - 16</f>
        <v>57.446526213779663</v>
      </c>
      <c r="AH24" s="481">
        <f>SQRT(( ( M24-AG24 ) ^ 2 ) + ( ( M25 - AG25 ) ^ 2 ) + ( (M26 - AG26 ) ^ 2 ))</f>
        <v>14.243557084189739</v>
      </c>
      <c r="AJ24" s="1412"/>
      <c r="AK24" s="99">
        <v>11</v>
      </c>
      <c r="AL24" s="84">
        <v>-5.8544957518000002E-5</v>
      </c>
      <c r="AM24" s="84">
        <v>2.3984387571000001E-4</v>
      </c>
      <c r="AN24" s="84">
        <v>-1.7988817393E-4</v>
      </c>
      <c r="AP24" s="76"/>
    </row>
    <row r="25" spans="1:48">
      <c r="A25" s="94"/>
      <c r="B25" s="95"/>
      <c r="C25" s="1418"/>
      <c r="D25" s="383">
        <f t="shared" si="0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IF(F25^3&gt;0.008856,F25^3*$AR$38, (F25- 16 / 116 ) / 7.787*$AR$38)</f>
        <v>31.182032647836948</v>
      </c>
      <c r="H25" s="1220">
        <f>G25/SUM(G24:G26)</f>
        <v>0.4055146596437687</v>
      </c>
      <c r="I25" s="1220">
        <v>30.445067890689934</v>
      </c>
      <c r="J25" s="1221">
        <f>I25/SUM(I24:I26)</f>
        <v>0.40348031214900776</v>
      </c>
      <c r="K25" s="1221">
        <f>I25/$AR$42</f>
        <v>0.30445067890689936</v>
      </c>
      <c r="L25" s="1221">
        <f t="shared" si="40"/>
        <v>0.67272719172646778</v>
      </c>
      <c r="M25" s="1221">
        <f t="shared" ref="M25" si="49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42"/>
        <v>123.75545165140458</v>
      </c>
      <c r="Q25" s="656">
        <v>1157.8</v>
      </c>
      <c r="R25" s="713">
        <f t="shared" ref="R25" si="50">Q25/SUM(Q24:Q26)*255</f>
        <v>65.384903543763485</v>
      </c>
      <c r="S25" s="810">
        <f t="shared" si="3"/>
        <v>0.25641138644613132</v>
      </c>
      <c r="T25" s="810">
        <f t="shared" si="4"/>
        <v>5.3480673548989524</v>
      </c>
      <c r="U25" s="810">
        <v>10.468863110793121</v>
      </c>
      <c r="V25" s="810">
        <f>U25/$AR$42</f>
        <v>0.10468863110793121</v>
      </c>
      <c r="W25" s="810">
        <f t="shared" si="44"/>
        <v>0.47130260515711658</v>
      </c>
      <c r="X25" s="810">
        <f xml:space="preserve"> 500 * (W24 - W25 )</f>
        <v>33.840325884437277</v>
      </c>
      <c r="Y25" s="858"/>
      <c r="Z25" s="429">
        <f t="shared" si="45"/>
        <v>123.75545165140458</v>
      </c>
      <c r="AA25" s="479">
        <v>98.686816223787105</v>
      </c>
      <c r="AB25" s="480">
        <f t="shared" si="46"/>
        <v>0.38700712244622393</v>
      </c>
      <c r="AC25" s="480">
        <f t="shared" si="47"/>
        <v>12.3943666429314</v>
      </c>
      <c r="AD25" s="480">
        <v>25.382816604698185</v>
      </c>
      <c r="AE25" s="480">
        <f>AD25/$AR$42</f>
        <v>0.25382816604698183</v>
      </c>
      <c r="AF25" s="480">
        <f t="shared" si="48"/>
        <v>0.6331597087394798</v>
      </c>
      <c r="AG25" s="480">
        <f xml:space="preserve"> 500 * (AF24 - AF25 )</f>
        <v>47.031826178787874</v>
      </c>
      <c r="AH25" s="481"/>
      <c r="AJ25" s="1412"/>
      <c r="AK25" s="99">
        <v>12</v>
      </c>
      <c r="AL25" s="84">
        <v>8.2059800877999994E-5</v>
      </c>
      <c r="AM25" s="84">
        <v>1.3405685743E-5</v>
      </c>
      <c r="AN25" s="84">
        <v>-7.6188545668999999E-5</v>
      </c>
      <c r="AP25" s="76" t="s">
        <v>174</v>
      </c>
      <c r="AQ25" s="74"/>
      <c r="AR25" s="333">
        <v>0.4124564</v>
      </c>
      <c r="AS25" s="334">
        <v>0.35757610000000001</v>
      </c>
      <c r="AT25" s="335">
        <v>0.1804375</v>
      </c>
    </row>
    <row r="26" spans="1:48" ht="15.75" thickBot="1">
      <c r="A26" s="96"/>
      <c r="B26" s="97"/>
      <c r="C26" s="1418"/>
      <c r="D26" s="384">
        <f t="shared" si="0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IF(F26^3&gt;0.008856,F26^3*$AR$39, (F26- 16 / 116 ) / 7.787*$AR$39)</f>
        <v>4.9948423780458118</v>
      </c>
      <c r="H26" s="1224">
        <f>G25</f>
        <v>31.182032647836948</v>
      </c>
      <c r="I26" s="1224">
        <v>6.5047473790852468</v>
      </c>
      <c r="J26" s="1225">
        <f>I25</f>
        <v>30.445067890689934</v>
      </c>
      <c r="K26" s="1225">
        <f>I26/$AR$43</f>
        <v>5.9740706805334595E-2</v>
      </c>
      <c r="L26" s="1225">
        <f t="shared" si="40"/>
        <v>0.39092200615817502</v>
      </c>
      <c r="M26" s="1225">
        <f t="shared" ref="M26" si="51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42"/>
        <v>46.703112372096498</v>
      </c>
      <c r="Q26" s="657">
        <v>700</v>
      </c>
      <c r="R26" s="713">
        <f t="shared" ref="R26" si="52">Q26/SUM(Q24:Q26)*255</f>
        <v>39.531380618962203</v>
      </c>
      <c r="S26" s="810">
        <f t="shared" si="3"/>
        <v>0.1550250220351459</v>
      </c>
      <c r="T26" s="810">
        <f t="shared" si="4"/>
        <v>2.0779954407256533</v>
      </c>
      <c r="U26" s="810">
        <v>3.2025563999275186</v>
      </c>
      <c r="V26" s="810">
        <f>U26/$AR$43</f>
        <v>2.9412822937717721E-2</v>
      </c>
      <c r="W26" s="810">
        <f t="shared" si="44"/>
        <v>0.30868266153245927</v>
      </c>
      <c r="X26" s="810">
        <f xml:space="preserve"> 200 * ( W25 - W26 )</f>
        <v>32.523988724931463</v>
      </c>
      <c r="Y26" s="858"/>
      <c r="Z26" s="429">
        <f t="shared" si="45"/>
        <v>46.703112372096498</v>
      </c>
      <c r="AA26" s="479">
        <v>40.011744724703405</v>
      </c>
      <c r="AB26" s="480">
        <f t="shared" si="46"/>
        <v>0.15690880284197414</v>
      </c>
      <c r="AC26" s="480">
        <f t="shared" si="47"/>
        <v>2.1230082999141957</v>
      </c>
      <c r="AD26" s="480">
        <v>4.9826064686788492</v>
      </c>
      <c r="AE26" s="480">
        <f>AD26/$AR$43</f>
        <v>4.5761105670112406E-2</v>
      </c>
      <c r="AF26" s="480">
        <f t="shared" si="48"/>
        <v>0.3576834422499644</v>
      </c>
      <c r="AG26" s="480">
        <f xml:space="preserve"> 200 * ( AF25 - AF26 )</f>
        <v>55.095253297903078</v>
      </c>
      <c r="AH26" s="481"/>
      <c r="AJ26" s="1412"/>
      <c r="AK26" s="99">
        <v>13</v>
      </c>
      <c r="AL26" s="84">
        <v>-4.4836218543999999E-6</v>
      </c>
      <c r="AM26" s="84">
        <v>-7.2988763225000005E-5</v>
      </c>
      <c r="AN26" s="84">
        <v>9.6677044127999997E-5</v>
      </c>
      <c r="AP26" s="80" t="s">
        <v>173</v>
      </c>
      <c r="AR26" s="336">
        <v>0.2126729</v>
      </c>
      <c r="AS26" s="337">
        <v>0.71515220000000002</v>
      </c>
      <c r="AT26" s="338">
        <v>7.2175000000000003E-2</v>
      </c>
    </row>
    <row r="27" spans="1:48" ht="15.75" thickBot="1">
      <c r="A27" s="92">
        <v>8</v>
      </c>
      <c r="B27" s="93" t="s">
        <v>116</v>
      </c>
      <c r="C27" s="1419"/>
      <c r="D27" s="382">
        <f t="shared" si="0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IF(F27^3&gt;0.008856,F27^3*$AR$37, (F27- 16 / 116 ) / 7.787*$AR$37)</f>
        <v>12.326051798005418</v>
      </c>
      <c r="H27" s="1216">
        <f>G27/SUM(G27:G29)</f>
        <v>0.23052745763339449</v>
      </c>
      <c r="I27" s="1216">
        <f t="array" ref="I27:I29">MMULT($AR$48:$AT$50,G27:G29)</f>
        <v>13.406311599853042</v>
      </c>
      <c r="J27" s="1217">
        <f>I27/SUM(I27:I29)</f>
        <v>0.20714746526211641</v>
      </c>
      <c r="K27" s="1217">
        <f>I27/$AR$41</f>
        <v>0.14104928719321014</v>
      </c>
      <c r="L27" s="1217">
        <f t="shared" si="40"/>
        <v>0.5205434249852271</v>
      </c>
      <c r="M27" s="1217">
        <f t="shared" ref="M27" si="53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42"/>
        <v>67.856400699023411</v>
      </c>
      <c r="Q27" s="655">
        <v>413.8</v>
      </c>
      <c r="R27" s="714">
        <f t="shared" ref="R27:R39" si="54">Q27/SUM(Q27:Q29)*255</f>
        <v>35.23877905423457</v>
      </c>
      <c r="S27" s="811">
        <f t="shared" si="3"/>
        <v>0.13819129040876302</v>
      </c>
      <c r="T27" s="811">
        <f t="shared" si="4"/>
        <v>1.7004513094099745</v>
      </c>
      <c r="U27" s="811">
        <f t="array" ref="U27:U29">MMULT($AR$25:$AT$27,T27:T29)</f>
        <v>8.3028916913059785</v>
      </c>
      <c r="V27" s="811">
        <f>U27/$AR$41</f>
        <v>8.7355641854093016E-2</v>
      </c>
      <c r="W27" s="811">
        <f t="shared" si="44"/>
        <v>0.44370772138790998</v>
      </c>
      <c r="X27" s="811">
        <f xml:space="preserve"> 116 * W28  - 16</f>
        <v>32.901069671061435</v>
      </c>
      <c r="Y27" s="859">
        <f>SQRT(( ( M27-X27 ) ^ 2 ) + ( ( M28 - X28 ) ^ 2 ) + ( (M29 - X29 ) ^ 2 ))</f>
        <v>9.7207445250117388</v>
      </c>
      <c r="Z27" s="430">
        <f t="shared" si="45"/>
        <v>67.856400699023411</v>
      </c>
      <c r="AA27" s="482">
        <f t="array" ref="AA27:AA29">MMULT($AQ$14:$AS$16,Q27:Q29)</f>
        <v>47.874955838764166</v>
      </c>
      <c r="AB27" s="483">
        <f t="shared" si="46"/>
        <v>0.18774492485789868</v>
      </c>
      <c r="AC27" s="483">
        <f t="shared" si="47"/>
        <v>2.94140263997939</v>
      </c>
      <c r="AD27" s="483">
        <f t="array" ref="AD27:AD29">MMULT($AR$25:$AT$27,AC27:AC29)</f>
        <v>9.1117935994692729</v>
      </c>
      <c r="AE27" s="483">
        <f>AD27/$AR$41</f>
        <v>9.5866188301253832E-2</v>
      </c>
      <c r="AF27" s="483">
        <f t="shared" si="48"/>
        <v>0.45767285343543029</v>
      </c>
      <c r="AG27" s="483">
        <f xml:space="preserve"> 116 * AF28  - 16</f>
        <v>30.586583438998005</v>
      </c>
      <c r="AH27" s="484">
        <f>SQRT(( ( M27-AG27 ) ^ 2 ) + ( ( M28 - AG28 ) ^ 2 ) + ( (M29 - AG29 ) ^ 2 ))</f>
        <v>18.243637203982857</v>
      </c>
      <c r="AJ27" s="1412"/>
      <c r="AK27" s="99">
        <v>14</v>
      </c>
      <c r="AL27" s="84">
        <v>-6.0935783684000003E-5</v>
      </c>
      <c r="AM27" s="84">
        <v>1.5204869607999999E-4</v>
      </c>
      <c r="AN27" s="84">
        <v>-9.2114611468000005E-5</v>
      </c>
      <c r="AP27" s="76"/>
      <c r="AR27" s="339">
        <v>1.9333900000000001E-2</v>
      </c>
      <c r="AS27" s="340">
        <v>0.11919200000000001</v>
      </c>
      <c r="AT27" s="341">
        <v>0.95030409999999998</v>
      </c>
    </row>
    <row r="28" spans="1:48">
      <c r="A28" s="94"/>
      <c r="B28" s="95"/>
      <c r="C28" s="1419"/>
      <c r="D28" s="383">
        <f t="shared" si="0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IF(F28^3&gt;0.008856,F28^3*$AR$38, (F28- 16 / 116 ) / 7.787*$AR$38)</f>
        <v>11.263032720181233</v>
      </c>
      <c r="H28" s="1220">
        <f>G28/SUM(G27:G29)</f>
        <v>0.21064638870374264</v>
      </c>
      <c r="I28" s="1220">
        <v>11.654013845803803</v>
      </c>
      <c r="J28" s="1221">
        <f>I28/SUM(I27:I29)</f>
        <v>0.18007185722240932</v>
      </c>
      <c r="K28" s="1221">
        <f>I28/$AR$42</f>
        <v>0.11654013845803803</v>
      </c>
      <c r="L28" s="1221">
        <f t="shared" si="40"/>
        <v>0.48845569396887573</v>
      </c>
      <c r="M28" s="1221">
        <f t="shared" ref="M28" si="55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42"/>
        <v>91.231366881754894</v>
      </c>
      <c r="Q28" s="656">
        <v>887.6</v>
      </c>
      <c r="R28" s="714">
        <f t="shared" ref="R28:R40" si="56">Q28/SUM(Q27:Q29)*255</f>
        <v>75.587095912369747</v>
      </c>
      <c r="S28" s="811">
        <f t="shared" si="3"/>
        <v>0.29641998397007746</v>
      </c>
      <c r="T28" s="811">
        <f t="shared" si="4"/>
        <v>7.1478855144214775</v>
      </c>
      <c r="U28" s="811">
        <v>7.4917126184109186</v>
      </c>
      <c r="V28" s="811">
        <f>U28/$AR$42</f>
        <v>7.4917126184109187E-2</v>
      </c>
      <c r="W28" s="811">
        <f t="shared" si="44"/>
        <v>0.4215609454401848</v>
      </c>
      <c r="X28" s="811">
        <f xml:space="preserve"> 500 * (W27 - W28 )</f>
        <v>11.073387973862591</v>
      </c>
      <c r="Y28" s="859"/>
      <c r="Z28" s="430">
        <f t="shared" si="45"/>
        <v>91.231366881754894</v>
      </c>
      <c r="AA28" s="482">
        <v>61.265283317811303</v>
      </c>
      <c r="AB28" s="483">
        <f t="shared" si="46"/>
        <v>0.24025601301102473</v>
      </c>
      <c r="AC28" s="483">
        <f t="shared" si="47"/>
        <v>4.7062077988479913</v>
      </c>
      <c r="AD28" s="483">
        <v>6.4775178205678632</v>
      </c>
      <c r="AE28" s="483">
        <f>AD28/$AR$42</f>
        <v>6.477517820567863E-2</v>
      </c>
      <c r="AF28" s="483">
        <f t="shared" si="48"/>
        <v>0.40160847792239662</v>
      </c>
      <c r="AG28" s="483">
        <f xml:space="preserve"> 500 * (AF27 - AF28 )</f>
        <v>28.032187756516834</v>
      </c>
      <c r="AH28" s="484"/>
      <c r="AJ28" s="1412"/>
      <c r="AK28" s="99">
        <v>15</v>
      </c>
      <c r="AL28" s="84">
        <v>9.6622403057000005E-5</v>
      </c>
      <c r="AM28" s="84">
        <v>-1.2372883183999999E-4</v>
      </c>
      <c r="AN28" s="84">
        <v>4.6967637797000001E-5</v>
      </c>
      <c r="AP28" s="76"/>
    </row>
    <row r="29" spans="1:48" ht="15.75" thickBot="1">
      <c r="A29" s="96"/>
      <c r="B29" s="97"/>
      <c r="C29" s="1419"/>
      <c r="D29" s="384">
        <f t="shared" si="0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IF(F29^3&gt;0.008856,F29^3*$AR$39, (F29- 16 / 116 ) / 7.787*$AR$39)</f>
        <v>29.879825105617961</v>
      </c>
      <c r="H29" s="1224">
        <f>G28</f>
        <v>11.263032720181233</v>
      </c>
      <c r="I29" s="1224">
        <v>39.658359781262121</v>
      </c>
      <c r="J29" s="1225">
        <f>I28</f>
        <v>11.654013845803803</v>
      </c>
      <c r="K29" s="1225">
        <f>I29/$AR$43</f>
        <v>0.36422912466833318</v>
      </c>
      <c r="L29" s="1225">
        <f t="shared" si="40"/>
        <v>0.7141534798282988</v>
      </c>
      <c r="M29" s="1225">
        <f t="shared" ref="M29" si="57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42"/>
        <v>170.17236470319924</v>
      </c>
      <c r="Q29" s="657">
        <v>1693</v>
      </c>
      <c r="R29" s="714">
        <f t="shared" ref="R29:R41" si="58">Q29/SUM(Q27:Q29)*255</f>
        <v>144.17412503339568</v>
      </c>
      <c r="S29" s="811">
        <f t="shared" si="3"/>
        <v>0.56538872562115949</v>
      </c>
      <c r="T29" s="811">
        <f t="shared" si="4"/>
        <v>27.963237355639087</v>
      </c>
      <c r="U29" s="811">
        <v>27.458426234142909</v>
      </c>
      <c r="V29" s="811">
        <f>U29/$AR$43</f>
        <v>0.25218285897837961</v>
      </c>
      <c r="W29" s="811">
        <f t="shared" si="44"/>
        <v>0.63178870100995643</v>
      </c>
      <c r="X29" s="811">
        <f xml:space="preserve"> 200 * ( W28 - W29 )</f>
        <v>-42.045551113954325</v>
      </c>
      <c r="Y29" s="859"/>
      <c r="Z29" s="430">
        <f t="shared" si="45"/>
        <v>170.17236470319924</v>
      </c>
      <c r="AA29" s="482">
        <v>158.53729499281656</v>
      </c>
      <c r="AB29" s="483">
        <f t="shared" si="46"/>
        <v>0.62171488232477079</v>
      </c>
      <c r="AC29" s="483">
        <f t="shared" si="47"/>
        <v>34.448303845548899</v>
      </c>
      <c r="AD29" s="483">
        <v>33.354175486932277</v>
      </c>
      <c r="AE29" s="483">
        <f>AD29/$AR$43</f>
        <v>0.30633042336207011</v>
      </c>
      <c r="AF29" s="483">
        <f t="shared" si="48"/>
        <v>0.67410887316174517</v>
      </c>
      <c r="AG29" s="483">
        <f xml:space="preserve"> 200 * ( AF28 - AF29 )</f>
        <v>-54.500079047869711</v>
      </c>
      <c r="AH29" s="484"/>
      <c r="AJ29" s="1412"/>
      <c r="AK29" s="99">
        <v>16</v>
      </c>
      <c r="AL29" s="84">
        <v>4.0700480873000002E-5</v>
      </c>
      <c r="AM29" s="84">
        <v>1.5385007918000001E-4</v>
      </c>
      <c r="AN29" s="84">
        <v>-1.8048778289999999E-4</v>
      </c>
      <c r="AP29" s="76" t="s">
        <v>49</v>
      </c>
      <c r="AR29" s="346">
        <v>1.0144664999999999</v>
      </c>
      <c r="AS29" s="331">
        <v>0</v>
      </c>
      <c r="AT29" s="331">
        <v>0</v>
      </c>
    </row>
    <row r="30" spans="1:48">
      <c r="A30" s="92">
        <v>9</v>
      </c>
      <c r="B30" s="93" t="s">
        <v>117</v>
      </c>
      <c r="C30" s="1392"/>
      <c r="D30" s="382">
        <f t="shared" si="0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IF(F30^3&gt;0.008856,F30^3*$AR$37, (F30- 16 / 116 ) / 7.787*$AR$37)</f>
        <v>29.671839945112154</v>
      </c>
      <c r="H30" s="1216">
        <f>G30/SUM(G30:G32)</f>
        <v>0.50118296689010589</v>
      </c>
      <c r="I30" s="1216">
        <f t="array" ref="I30:I32">MMULT($AR$48:$AT$50,G30:G32)</f>
        <v>28.548799048791913</v>
      </c>
      <c r="J30" s="1217">
        <f>I30/SUM(I30:I32)</f>
        <v>0.46827612618607922</v>
      </c>
      <c r="K30" s="1217">
        <f>I30/$AR$41</f>
        <v>0.30036507253034722</v>
      </c>
      <c r="L30" s="1217">
        <f t="shared" si="40"/>
        <v>0.66970438620871597</v>
      </c>
      <c r="M30" s="1217">
        <f t="shared" ref="M30" si="59" xml:space="preserve"> 116 * L31  - 16</f>
        <v>50.619717045587052</v>
      </c>
      <c r="N30" s="1215">
        <f>I30/100*  3.2406 + I31/100 * -1.5372 + I32/100 * -0.4986</f>
        <v>0.5667860447179659</v>
      </c>
      <c r="O30" s="1218">
        <f t="shared" si="42"/>
        <v>198.324194853623</v>
      </c>
      <c r="Q30" s="655">
        <v>2100.1999999999998</v>
      </c>
      <c r="R30" s="715">
        <f t="shared" si="54"/>
        <v>146.00627044711013</v>
      </c>
      <c r="S30" s="812">
        <f t="shared" si="3"/>
        <v>0.57257360959651027</v>
      </c>
      <c r="T30" s="812">
        <f t="shared" si="4"/>
        <v>28.746786998324637</v>
      </c>
      <c r="U30" s="812">
        <f t="array" ref="U30:U32">MMULT($AR$25:$AT$27,T30:T32)</f>
        <v>13.815542952048393</v>
      </c>
      <c r="V30" s="812">
        <f>U30/$AR$41</f>
        <v>0.14535485551409716</v>
      </c>
      <c r="W30" s="812">
        <f t="shared" si="44"/>
        <v>0.5257870046969928</v>
      </c>
      <c r="X30" s="812">
        <f xml:space="preserve"> 116 * W31  - 16</f>
        <v>35.665022927419301</v>
      </c>
      <c r="Y30" s="860">
        <f>SQRT(( ( M30-X30 ) ^ 2 ) + ( ( M31 - X31 ) ^ 2 ) + ( (M32 - X32 ) ^ 2 ))</f>
        <v>16.955808998163207</v>
      </c>
      <c r="Z30" s="431">
        <f t="shared" si="45"/>
        <v>198.324194853623</v>
      </c>
      <c r="AA30" s="485">
        <f t="array" ref="AA30:AA32">MMULT($AQ$14:$AS$16,Q30:Q32)</f>
        <v>192.01113866960065</v>
      </c>
      <c r="AB30" s="486">
        <f t="shared" si="46"/>
        <v>0.75298485752784572</v>
      </c>
      <c r="AC30" s="486">
        <f t="shared" si="47"/>
        <v>52.718352420228499</v>
      </c>
      <c r="AD30" s="486">
        <f t="array" ref="AD30:AD32">MMULT($AR$25:$AT$27,AC30:AC32)</f>
        <v>24.975706331315536</v>
      </c>
      <c r="AE30" s="486">
        <f>AD30/$AR$41</f>
        <v>0.26277216883558174</v>
      </c>
      <c r="AF30" s="486">
        <f t="shared" si="48"/>
        <v>0.64051079732064964</v>
      </c>
      <c r="AG30" s="486">
        <f xml:space="preserve"> 116 * AF31  - 16</f>
        <v>46.771217243718851</v>
      </c>
      <c r="AH30" s="487">
        <f>SQRT(( ( M30-AG30 ) ^ 2 ) + ( ( M31 - AG31 ) ^ 2 ) + ( (M32 - AG32 ) ^ 2 ))</f>
        <v>11.072836929467197</v>
      </c>
      <c r="AJ30" s="1412"/>
      <c r="AK30" s="99">
        <v>17</v>
      </c>
      <c r="AL30" s="84">
        <v>1.0470885008999999E-4</v>
      </c>
      <c r="AM30" s="84">
        <v>-2.0711232536E-4</v>
      </c>
      <c r="AN30" s="84">
        <v>1.4201579589000001E-4</v>
      </c>
      <c r="AP30" s="76" t="s">
        <v>172</v>
      </c>
      <c r="AR30" s="346">
        <v>0</v>
      </c>
      <c r="AS30" s="331">
        <v>1</v>
      </c>
      <c r="AT30" s="331">
        <v>0</v>
      </c>
    </row>
    <row r="31" spans="1:48">
      <c r="A31" s="94"/>
      <c r="B31" s="95"/>
      <c r="C31" s="1392"/>
      <c r="D31" s="383">
        <f t="shared" si="0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IF(F31^3&gt;0.008856,F31^3*$AR$38, (F31- 16 / 116 ) / 7.787*$AR$38)</f>
        <v>19.375794446434863</v>
      </c>
      <c r="H31" s="1220">
        <f>G31/SUM(G30:G32)</f>
        <v>0.32727387868364144</v>
      </c>
      <c r="I31" s="1220">
        <v>18.942372976704565</v>
      </c>
      <c r="J31" s="1221">
        <f>I31/SUM(I30:I32)</f>
        <v>0.31070522522307092</v>
      </c>
      <c r="K31" s="1221">
        <f>I31/$AR$42</f>
        <v>0.18942372976704566</v>
      </c>
      <c r="L31" s="1221">
        <f t="shared" si="40"/>
        <v>0.57430790556540567</v>
      </c>
      <c r="M31" s="1221">
        <f t="shared" ref="M31" si="60" xml:space="preserve"> 500 * (L30 - L31 )</f>
        <v>47.698240321655149</v>
      </c>
      <c r="N31" s="1219">
        <f xml:space="preserve"> I30/100 * -0.9689 + I31/100*  1.8758 + I32/100 *  0.0415</f>
        <v>8.4303662685842981E-2</v>
      </c>
      <c r="O31" s="1222">
        <f t="shared" si="42"/>
        <v>81.965589373165727</v>
      </c>
      <c r="Q31" s="656">
        <v>742.6</v>
      </c>
      <c r="R31" s="715">
        <f t="shared" si="56"/>
        <v>51.62568157033806</v>
      </c>
      <c r="S31" s="812">
        <f t="shared" si="3"/>
        <v>0.202453653217012</v>
      </c>
      <c r="T31" s="812">
        <f t="shared" si="4"/>
        <v>3.387441765823771</v>
      </c>
      <c r="U31" s="812">
        <v>8.8351903716376423</v>
      </c>
      <c r="V31" s="812">
        <f>U31/$AR$42</f>
        <v>8.8351903716376426E-2</v>
      </c>
      <c r="W31" s="812">
        <f t="shared" si="44"/>
        <v>0.44538812868464916</v>
      </c>
      <c r="X31" s="812">
        <f xml:space="preserve"> 500 * (W30 - W31 )</f>
        <v>40.199438006171818</v>
      </c>
      <c r="Y31" s="860"/>
      <c r="Z31" s="431">
        <f t="shared" si="45"/>
        <v>81.965589373165727</v>
      </c>
      <c r="AA31" s="485">
        <v>68.349804226334001</v>
      </c>
      <c r="AB31" s="486">
        <f t="shared" si="46"/>
        <v>0.26803844794640785</v>
      </c>
      <c r="AC31" s="486">
        <f t="shared" si="47"/>
        <v>5.8398838963006492</v>
      </c>
      <c r="AD31" s="486">
        <v>15.845563336633921</v>
      </c>
      <c r="AE31" s="486">
        <f>AD31/$AR$42</f>
        <v>0.15845563336633922</v>
      </c>
      <c r="AF31" s="486">
        <f t="shared" si="48"/>
        <v>0.54113118313550734</v>
      </c>
      <c r="AG31" s="486">
        <f xml:space="preserve"> 500 * (AF30 - AF31 )</f>
        <v>49.689807092571151</v>
      </c>
      <c r="AH31" s="487"/>
      <c r="AJ31" s="1412"/>
      <c r="AK31" s="99">
        <v>18</v>
      </c>
      <c r="AL31" s="84">
        <v>-5.1618897837999998E-5</v>
      </c>
      <c r="AM31" s="84">
        <v>1.1534170223999999E-5</v>
      </c>
      <c r="AN31" s="84">
        <v>6.0333766599999998E-5</v>
      </c>
      <c r="AP31" s="76"/>
      <c r="AR31" s="346">
        <v>0</v>
      </c>
      <c r="AS31" s="331">
        <v>0</v>
      </c>
      <c r="AT31" s="331">
        <v>0.75788690000000003</v>
      </c>
    </row>
    <row r="32" spans="1:48" ht="15.75" thickBot="1">
      <c r="A32" s="96"/>
      <c r="B32" s="97"/>
      <c r="C32" s="1392"/>
      <c r="D32" s="384">
        <f t="shared" si="0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IF(F32^3&gt;0.008856,F32^3*$AR$39, (F32- 16 / 116 ) / 7.787*$AR$39)</f>
        <v>10.15597368242466</v>
      </c>
      <c r="H32" s="1224">
        <f>G31</f>
        <v>19.375794446434863</v>
      </c>
      <c r="I32" s="1224">
        <v>13.474564753165298</v>
      </c>
      <c r="J32" s="1225">
        <f>I31</f>
        <v>18.942372976704565</v>
      </c>
      <c r="K32" s="1225">
        <f>I32/$AR$43</f>
        <v>0.12375269558301387</v>
      </c>
      <c r="L32" s="1225">
        <f t="shared" si="40"/>
        <v>0.49833136495291397</v>
      </c>
      <c r="M32" s="1225">
        <f t="shared" ref="M32" si="61" xml:space="preserve"> 200 * ( L31 - L32 )</f>
        <v>15.195308122498341</v>
      </c>
      <c r="N32" s="1223">
        <f xml:space="preserve"> I30/100 *  0.0557 + I31/100 * -0.204 + I32/100 *  1.057</f>
        <v>0.11968538963865696</v>
      </c>
      <c r="O32" s="1226">
        <f t="shared" si="42"/>
        <v>97.056852604465689</v>
      </c>
      <c r="Q32" s="657">
        <v>825.2</v>
      </c>
      <c r="R32" s="715">
        <f t="shared" si="58"/>
        <v>57.368047982551801</v>
      </c>
      <c r="S32" s="812">
        <f t="shared" si="3"/>
        <v>0.22497273718647764</v>
      </c>
      <c r="T32" s="812">
        <f t="shared" si="4"/>
        <v>4.1425893151491779</v>
      </c>
      <c r="U32" s="812">
        <v>4.896263074901432</v>
      </c>
      <c r="V32" s="812">
        <f>U32/$AR$43</f>
        <v>4.4968113249097032E-2</v>
      </c>
      <c r="W32" s="812">
        <f t="shared" si="44"/>
        <v>0.35560529743388947</v>
      </c>
      <c r="X32" s="812">
        <f xml:space="preserve"> 200 * ( W31 - W32 )</f>
        <v>17.956566250151941</v>
      </c>
      <c r="Y32" s="860"/>
      <c r="Z32" s="431">
        <f t="shared" si="45"/>
        <v>97.056852604465689</v>
      </c>
      <c r="AA32" s="485">
        <v>71.203587995711317</v>
      </c>
      <c r="AB32" s="486">
        <f t="shared" si="46"/>
        <v>0.27922975684592671</v>
      </c>
      <c r="AC32" s="486">
        <f t="shared" si="47"/>
        <v>6.3372722967499229</v>
      </c>
      <c r="AD32" s="486">
        <v>7.7376546416431911</v>
      </c>
      <c r="AE32" s="486">
        <f>AD32/$AR$43</f>
        <v>7.1063936901473987E-2</v>
      </c>
      <c r="AF32" s="486">
        <f t="shared" si="48"/>
        <v>0.41420603392116662</v>
      </c>
      <c r="AG32" s="486">
        <f xml:space="preserve"> 200 * ( AF31 - AF32 )</f>
        <v>25.385029842868146</v>
      </c>
      <c r="AH32" s="487"/>
      <c r="AJ32" s="1412"/>
      <c r="AK32" s="99">
        <v>19</v>
      </c>
      <c r="AL32" s="84">
        <v>-1.8033834411E-5</v>
      </c>
      <c r="AM32" s="84">
        <v>2.1277911437E-5</v>
      </c>
      <c r="AN32" s="84">
        <v>6.8657240456000004E-5</v>
      </c>
      <c r="AP32" s="76"/>
    </row>
    <row r="33" spans="1:51">
      <c r="A33" s="92">
        <v>10</v>
      </c>
      <c r="B33" s="93" t="s">
        <v>118</v>
      </c>
      <c r="C33" s="1423"/>
      <c r="D33" s="382">
        <f t="shared" si="0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IF(F33^3&gt;0.008856,F33^3*$AR$37, (F33- 16 / 116 ) / 7.787*$AR$37)</f>
        <v>8.5143237847005686</v>
      </c>
      <c r="H33" s="1216">
        <f>G33/SUM(G33:G35)</f>
        <v>0.33186275702243384</v>
      </c>
      <c r="I33" s="1216">
        <f t="array" ref="I33:I35">MMULT($AR$48:$AT$50,G33:G35)</f>
        <v>8.6698010004617139</v>
      </c>
      <c r="J33" s="1217">
        <f>I33/SUM(I33:I35)</f>
        <v>0.29500443423613082</v>
      </c>
      <c r="K33" s="1217">
        <f>I33/$AR$41</f>
        <v>9.1215935278985277E-2</v>
      </c>
      <c r="L33" s="1217">
        <f t="shared" si="40"/>
        <v>0.4501496379376016</v>
      </c>
      <c r="M33" s="1217">
        <f t="shared" ref="M33" si="62" xml:space="preserve"> 116 * L34  - 16</f>
        <v>30.442928764338248</v>
      </c>
      <c r="N33" s="1215">
        <f>I33/100*  3.2406 + I34/100 * -1.5372 + I35/100 * -0.4986</f>
        <v>0.11099400632354926</v>
      </c>
      <c r="O33" s="1218">
        <f t="shared" si="42"/>
        <v>93.621713838781943</v>
      </c>
      <c r="Q33" s="655">
        <v>468</v>
      </c>
      <c r="R33" s="716">
        <f t="shared" si="54"/>
        <v>75.646551724137936</v>
      </c>
      <c r="S33" s="813">
        <f t="shared" si="3"/>
        <v>0.29665314401622722</v>
      </c>
      <c r="T33" s="813">
        <f t="shared" si="4"/>
        <v>7.1592727467268</v>
      </c>
      <c r="U33" s="813">
        <f t="array" ref="U33:U35">MMULT($AR$25:$AT$27,T33:T35)</f>
        <v>7.912689159499978</v>
      </c>
      <c r="V33" s="813">
        <f>U33/$AR$41</f>
        <v>8.3250277857270391E-2</v>
      </c>
      <c r="W33" s="813">
        <f t="shared" si="44"/>
        <v>0.43664507284953558</v>
      </c>
      <c r="X33" s="813">
        <f xml:space="preserve"> 116 * W34  - 16</f>
        <v>31.571931522506453</v>
      </c>
      <c r="Y33" s="861">
        <f>SQRT(( ( M33-X33 ) ^ 2 ) + ( ( M34 - X34 ) ^ 2 ) + ( (M35 - X35 ) ^ 2 ))</f>
        <v>11.769271614282834</v>
      </c>
      <c r="Z33" s="432">
        <f t="shared" si="45"/>
        <v>93.621713838781943</v>
      </c>
      <c r="AA33" s="488">
        <f t="array" ref="AA33:AA35">MMULT($AQ$14:$AS$16,Q33:Q35)</f>
        <v>45.416663653533888</v>
      </c>
      <c r="AB33" s="489">
        <f t="shared" si="46"/>
        <v>0.17810456334719171</v>
      </c>
      <c r="AC33" s="489">
        <f t="shared" si="47"/>
        <v>2.6687995648022458</v>
      </c>
      <c r="AD33" s="489">
        <f t="array" ref="AD33:AD35">MMULT($AR$25:$AT$27,AC33:AC35)</f>
        <v>2.4905301621729126</v>
      </c>
      <c r="AE33" s="489">
        <f>AD33/$AR$41</f>
        <v>2.6203143309866832E-2</v>
      </c>
      <c r="AF33" s="489">
        <f t="shared" si="48"/>
        <v>0.29701915897774461</v>
      </c>
      <c r="AG33" s="489">
        <f xml:space="preserve"> 116 * AF34  - 16</f>
        <v>15.207981357311173</v>
      </c>
      <c r="AH33" s="490">
        <f>SQRT(( ( M33-AG33 ) ^ 2 ) + ( ( M34 - AG34 ) ^ 2 ) + ( (M35 - AG35 ) ^ 2 ))</f>
        <v>19.285978049039741</v>
      </c>
      <c r="AJ33" s="1412"/>
      <c r="AK33" s="99">
        <v>20</v>
      </c>
      <c r="AL33" s="84">
        <v>-1.7164501061E-5</v>
      </c>
      <c r="AM33" s="84">
        <v>1.1872162176E-5</v>
      </c>
      <c r="AN33" s="84">
        <v>5.7691526714999999E-5</v>
      </c>
      <c r="AP33" s="1395" t="s">
        <v>162</v>
      </c>
      <c r="AQ33" s="1395"/>
      <c r="AR33" s="1395"/>
      <c r="AS33" s="1395"/>
      <c r="AT33" s="1395"/>
    </row>
    <row r="34" spans="1:51">
      <c r="A34" s="94"/>
      <c r="B34" s="95"/>
      <c r="C34" s="1423"/>
      <c r="D34" s="383">
        <f t="shared" si="0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IF(F34^3&gt;0.008856,F34^3*$AR$38, (F34- 16 / 116 ) / 7.787*$AR$38)</f>
        <v>6.3690156537094742</v>
      </c>
      <c r="H34" s="1220">
        <f>G34/SUM(G33:G35)</f>
        <v>0.24824509236506528</v>
      </c>
      <c r="I34" s="1220">
        <v>6.4177800664010629</v>
      </c>
      <c r="J34" s="1221">
        <f>I34/SUM(I33:I35)</f>
        <v>0.21837566715080733</v>
      </c>
      <c r="K34" s="1221">
        <f>I34/$AR$42</f>
        <v>6.4177800664010631E-2</v>
      </c>
      <c r="L34" s="1221">
        <f t="shared" si="40"/>
        <v>0.40037007555464005</v>
      </c>
      <c r="M34" s="1221">
        <f t="shared" ref="M34" si="63" xml:space="preserve"> 500 * (L33 - L34 )</f>
        <v>24.889781191480775</v>
      </c>
      <c r="N34" s="1219">
        <f xml:space="preserve"> I33/100 * -0.9689 + I34/100*  1.8758 + I35/100 *  0.0415</f>
        <v>4.2317986835244223E-2</v>
      </c>
      <c r="O34" s="1222">
        <f t="shared" si="42"/>
        <v>58.004664131651644</v>
      </c>
      <c r="Q34" s="656">
        <v>426</v>
      </c>
      <c r="R34" s="716">
        <f t="shared" si="56"/>
        <v>68.857758620689665</v>
      </c>
      <c r="S34" s="813">
        <f t="shared" si="3"/>
        <v>0.27003042596348886</v>
      </c>
      <c r="T34" s="813">
        <f t="shared" si="4"/>
        <v>5.9266835310139356</v>
      </c>
      <c r="U34" s="813">
        <v>6.8972884279708335</v>
      </c>
      <c r="V34" s="813">
        <f>U34/$AR$42</f>
        <v>6.8972884279708338E-2</v>
      </c>
      <c r="W34" s="813">
        <f t="shared" si="44"/>
        <v>0.41010285795264184</v>
      </c>
      <c r="X34" s="813">
        <f xml:space="preserve"> 500 * (W33 - W34 )</f>
        <v>13.271107448446868</v>
      </c>
      <c r="Y34" s="861"/>
      <c r="Z34" s="432">
        <f t="shared" si="45"/>
        <v>58.004664131651644</v>
      </c>
      <c r="AA34" s="488">
        <v>31.939707910383724</v>
      </c>
      <c r="AB34" s="489">
        <f t="shared" si="46"/>
        <v>0.12525375651130871</v>
      </c>
      <c r="AC34" s="489">
        <f t="shared" si="47"/>
        <v>1.439847428332337</v>
      </c>
      <c r="AD34" s="489">
        <v>1.9472560683354065</v>
      </c>
      <c r="AE34" s="489">
        <f>AD34/$AR$42</f>
        <v>1.9472560683354064E-2</v>
      </c>
      <c r="AF34" s="489">
        <f t="shared" si="48"/>
        <v>0.26903432204578598</v>
      </c>
      <c r="AG34" s="489">
        <f xml:space="preserve"> 500 * (AF33 - AF34 )</f>
        <v>13.992418465979316</v>
      </c>
      <c r="AH34" s="490"/>
      <c r="AJ34" s="1412"/>
      <c r="AK34" s="99">
        <v>21</v>
      </c>
      <c r="AL34" s="84">
        <v>-1.0489987311999999E-5</v>
      </c>
      <c r="AM34" s="84">
        <v>2.1006373216E-6</v>
      </c>
      <c r="AN34" s="84">
        <v>4.0186679529000002E-5</v>
      </c>
      <c r="AP34" s="318"/>
      <c r="AQ34" s="318"/>
      <c r="AR34" s="318"/>
      <c r="AS34" s="318"/>
      <c r="AT34" s="318"/>
    </row>
    <row r="35" spans="1:51" ht="15.75" thickBot="1">
      <c r="A35" s="96"/>
      <c r="B35" s="97"/>
      <c r="C35" s="1423"/>
      <c r="D35" s="384">
        <f t="shared" si="0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IF(F35^3&gt;0.008856,F35^3*$AR$39, (F35- 16 / 116 ) / 7.787*$AR$39)</f>
        <v>10.772819936307023</v>
      </c>
      <c r="H35" s="1224">
        <f>G34</f>
        <v>6.3690156537094742</v>
      </c>
      <c r="I35" s="1224">
        <v>14.301133116064159</v>
      </c>
      <c r="J35" s="1225">
        <f>I34</f>
        <v>6.4177800664010629</v>
      </c>
      <c r="K35" s="1225">
        <f>I35/$AR$43</f>
        <v>0.13134404008030784</v>
      </c>
      <c r="L35" s="1225">
        <f t="shared" si="40"/>
        <v>0.50831952339290942</v>
      </c>
      <c r="M35" s="1225">
        <f t="shared" ref="M35" si="64" xml:space="preserve"> 200 * ( L34 - L35 )</f>
        <v>-21.589889567653874</v>
      </c>
      <c r="N35" s="1223">
        <f xml:space="preserve"> I33/100 *  0.0557 + I34/100 * -0.204 + I35/100 *  1.057</f>
        <v>0.14289978485859717</v>
      </c>
      <c r="O35" s="1226">
        <f t="shared" si="42"/>
        <v>105.57259954157003</v>
      </c>
      <c r="Q35" s="657">
        <v>683.6</v>
      </c>
      <c r="R35" s="716">
        <f t="shared" si="58"/>
        <v>110.49568965517243</v>
      </c>
      <c r="S35" s="813">
        <f t="shared" si="3"/>
        <v>0.43331643002028403</v>
      </c>
      <c r="T35" s="813">
        <f t="shared" si="4"/>
        <v>15.742630621754003</v>
      </c>
      <c r="U35" s="813">
        <v>15.805116351424932</v>
      </c>
      <c r="V35" s="813">
        <f>U35/$AR$43</f>
        <v>0.14515687803812288</v>
      </c>
      <c r="W35" s="813">
        <f t="shared" si="44"/>
        <v>0.5255481839178332</v>
      </c>
      <c r="X35" s="813">
        <f xml:space="preserve"> 200 * ( W34 - W35 )</f>
        <v>-23.089065193038273</v>
      </c>
      <c r="Y35" s="861"/>
      <c r="Z35" s="432">
        <f t="shared" si="45"/>
        <v>105.57259954157003</v>
      </c>
      <c r="AA35" s="488">
        <v>62.207745463297812</v>
      </c>
      <c r="AB35" s="489">
        <f t="shared" si="46"/>
        <v>0.24395194299332476</v>
      </c>
      <c r="AC35" s="489">
        <f t="shared" si="47"/>
        <v>4.8488350444608512</v>
      </c>
      <c r="AD35" s="489">
        <v>4.8310844215585478</v>
      </c>
      <c r="AE35" s="489">
        <f>AD35/$AR$43</f>
        <v>4.4369501405715751E-2</v>
      </c>
      <c r="AF35" s="489">
        <f t="shared" si="48"/>
        <v>0.35402031389306116</v>
      </c>
      <c r="AG35" s="489">
        <f xml:space="preserve"> 200 * ( AF34 - AF35 )</f>
        <v>-16.997198369455035</v>
      </c>
      <c r="AH35" s="490"/>
      <c r="AJ35" s="1412"/>
      <c r="AK35" s="99">
        <v>22</v>
      </c>
      <c r="AL35" s="84">
        <v>-4.2957906317999998E-6</v>
      </c>
      <c r="AM35" s="84">
        <v>-2.1905336876999998E-6</v>
      </c>
      <c r="AN35" s="84">
        <v>2.3826723148E-5</v>
      </c>
      <c r="AP35" s="1396" t="s">
        <v>166</v>
      </c>
      <c r="AQ35" s="1396"/>
      <c r="AR35" s="1396"/>
      <c r="AS35" s="1396"/>
      <c r="AT35" s="1396"/>
    </row>
    <row r="36" spans="1:51" ht="15.75" thickBot="1">
      <c r="A36" s="92">
        <v>11</v>
      </c>
      <c r="B36" s="93" t="s">
        <v>119</v>
      </c>
      <c r="C36" s="1424"/>
      <c r="D36" s="382">
        <f t="shared" si="0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IF(F36^3&gt;0.008856,F36^3*$AR$37, (F36- 16 / 116 ) / 7.787*$AR$37)</f>
        <v>35.361526716483262</v>
      </c>
      <c r="H36" s="1216">
        <f>G36/SUM(G36:G38)</f>
        <v>0.39835246185045525</v>
      </c>
      <c r="I36" s="1216">
        <f t="array" ref="I36:I38">MMULT($AR$48:$AT$50,G36:G38)</f>
        <v>33.331878806276151</v>
      </c>
      <c r="J36" s="1217">
        <f>I36/SUM(I36:I38)</f>
        <v>0.37515956001437456</v>
      </c>
      <c r="K36" s="1217">
        <f>I36/$AR$41</f>
        <v>0.3506883837078093</v>
      </c>
      <c r="L36" s="1217">
        <f t="shared" si="40"/>
        <v>0.70519159402631204</v>
      </c>
      <c r="M36" s="1217">
        <f t="shared" ref="M36" si="65" xml:space="preserve"> 116 * L37  - 16</f>
        <v>72.285478736290671</v>
      </c>
      <c r="N36" s="1215">
        <f>I36/100*  3.2406 + I37/100 * -1.5372 + I38/100 * -0.4986</f>
        <v>0.34548345195153179</v>
      </c>
      <c r="O36" s="1218">
        <f t="shared" si="42"/>
        <v>158.74592602769013</v>
      </c>
      <c r="Q36" s="655">
        <v>1845.6</v>
      </c>
      <c r="R36" s="717">
        <f t="shared" si="54"/>
        <v>87.001885606536774</v>
      </c>
      <c r="S36" s="814">
        <f t="shared" si="3"/>
        <v>0.3411838651236736</v>
      </c>
      <c r="T36" s="814">
        <f t="shared" si="4"/>
        <v>9.5311736023216262</v>
      </c>
      <c r="U36" s="814">
        <f t="array" ref="U36:U38">MMULT($AR$25:$AT$27,T36:T38)</f>
        <v>10.771551709618869</v>
      </c>
      <c r="V36" s="814">
        <f>U36/$AR$41</f>
        <v>0.11332868696138615</v>
      </c>
      <c r="W36" s="814">
        <f t="shared" si="44"/>
        <v>0.48392711000980276</v>
      </c>
      <c r="X36" s="814">
        <f xml:space="preserve"> 116 * W37  - 16</f>
        <v>45.230203840156449</v>
      </c>
      <c r="Y36" s="862">
        <f>SQRT(( ( M36-X36 ) ^ 2 ) + ( ( M37 - X37 ) ^ 2 ) + ( (M38 - X38 ) ^ 2 ))</f>
        <v>38.311061595509948</v>
      </c>
      <c r="Z36" s="433">
        <f t="shared" si="45"/>
        <v>158.74592602769013</v>
      </c>
      <c r="AA36" s="491">
        <f t="array" ref="AA36:AA38">MMULT($AQ$14:$AS$16,Q36:Q38)</f>
        <v>114.39132650022057</v>
      </c>
      <c r="AB36" s="492">
        <f t="shared" si="46"/>
        <v>0.44859343725576695</v>
      </c>
      <c r="AC36" s="492">
        <f t="shared" si="47"/>
        <v>16.950645654690419</v>
      </c>
      <c r="AD36" s="492">
        <f t="array" ref="AD36:AD38">MMULT($AR$25:$AT$27,AC36:AC38)</f>
        <v>21.250991623741552</v>
      </c>
      <c r="AE36" s="492">
        <f>AD36/$AR$41</f>
        <v>0.22358403341232813</v>
      </c>
      <c r="AF36" s="492">
        <f t="shared" si="48"/>
        <v>0.60694163299752346</v>
      </c>
      <c r="AG36" s="492">
        <f xml:space="preserve"> 116 * AF37  - 16</f>
        <v>63.214974806462251</v>
      </c>
      <c r="AH36" s="493">
        <f>SQRT(( ( M36-AG36 ) ^ 2 ) + ( ( M37 - AG37 ) ^ 2 ) + ( (M38 - AG38 ) ^ 2 ))</f>
        <v>13.819668735981061</v>
      </c>
      <c r="AJ36" s="1412"/>
      <c r="AK36" s="99">
        <v>23</v>
      </c>
      <c r="AL36" s="84">
        <v>-2.3069179567000001E-6</v>
      </c>
      <c r="AM36" s="84">
        <v>-2.9979922851000001E-6</v>
      </c>
      <c r="AN36" s="84">
        <v>1.3745117137E-5</v>
      </c>
      <c r="AP36" s="76"/>
    </row>
    <row r="37" spans="1:51" ht="15.75" thickBot="1">
      <c r="A37" s="94"/>
      <c r="B37" s="95"/>
      <c r="C37" s="1424"/>
      <c r="D37" s="383">
        <f t="shared" si="0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IF(F37^3&gt;0.008856,F37^3*$AR$38, (F37- 16 / 116 ) / 7.787*$AR$38)</f>
        <v>44.455639126807164</v>
      </c>
      <c r="H37" s="1220">
        <f>G37/SUM(G36:G38)</f>
        <v>0.50079888889650959</v>
      </c>
      <c r="I37" s="1220">
        <v>44.085306181079623</v>
      </c>
      <c r="J37" s="1221">
        <f>I37/SUM(I36:I38)</f>
        <v>0.49619237385678483</v>
      </c>
      <c r="K37" s="1221">
        <f>I37/$AR$42</f>
        <v>0.44085306181079625</v>
      </c>
      <c r="L37" s="1221">
        <f t="shared" si="40"/>
        <v>0.76108171324388507</v>
      </c>
      <c r="M37" s="1221">
        <f t="shared" ref="M37" si="66" xml:space="preserve"> 500 * (L36 - L37 )</f>
        <v>-27.945059608786515</v>
      </c>
      <c r="N37" s="1219">
        <f xml:space="preserve"> I36/100 * -0.9689 + I37/100*  1.8758 + I38/100 *  0.0415</f>
        <v>0.50874305841580747</v>
      </c>
      <c r="O37" s="1222">
        <f t="shared" si="42"/>
        <v>188.97701415884313</v>
      </c>
      <c r="Q37" s="656">
        <v>2455.1999999999998</v>
      </c>
      <c r="R37" s="717">
        <f t="shared" si="56"/>
        <v>115.73852922690132</v>
      </c>
      <c r="S37" s="814">
        <f t="shared" si="3"/>
        <v>0.45387658520353458</v>
      </c>
      <c r="T37" s="814">
        <f t="shared" si="4"/>
        <v>17.380570222882223</v>
      </c>
      <c r="U37" s="814">
        <v>14.706968019260261</v>
      </c>
      <c r="V37" s="814">
        <f>U37/$AR$42</f>
        <v>0.14706968019260261</v>
      </c>
      <c r="W37" s="814">
        <f t="shared" si="44"/>
        <v>0.52784658482893487</v>
      </c>
      <c r="X37" s="814">
        <f xml:space="preserve"> 500 * (W36 - W37 )</f>
        <v>-21.959737409566056</v>
      </c>
      <c r="Y37" s="862"/>
      <c r="Z37" s="433">
        <f t="shared" si="45"/>
        <v>188.97701415884313</v>
      </c>
      <c r="AA37" s="491">
        <v>168.45284734160904</v>
      </c>
      <c r="AB37" s="492">
        <f t="shared" si="46"/>
        <v>0.66059940133964334</v>
      </c>
      <c r="AC37" s="492">
        <f t="shared" si="47"/>
        <v>39.391454894097627</v>
      </c>
      <c r="AD37" s="492">
        <v>31.84548720696008</v>
      </c>
      <c r="AE37" s="492">
        <f>AD37/$AR$42</f>
        <v>0.31845487206960077</v>
      </c>
      <c r="AF37" s="492">
        <f t="shared" si="48"/>
        <v>0.68288771384881253</v>
      </c>
      <c r="AG37" s="492">
        <f xml:space="preserve"> 500 * (AF36 - AF37 )</f>
        <v>-37.973040425644534</v>
      </c>
      <c r="AH37" s="493"/>
      <c r="AJ37" s="1413"/>
      <c r="AK37" s="100">
        <v>24</v>
      </c>
      <c r="AL37" s="86">
        <v>-1.8940946755000001E-7</v>
      </c>
      <c r="AM37" s="86">
        <v>-2.8824733169000002E-6</v>
      </c>
      <c r="AN37" s="86">
        <v>7.1086258466E-6</v>
      </c>
      <c r="AP37" s="320" t="s">
        <v>146</v>
      </c>
      <c r="AQ37" s="320" t="s">
        <v>163</v>
      </c>
      <c r="AR37" s="319">
        <v>96.421999999999997</v>
      </c>
      <c r="AS37" s="321"/>
      <c r="AT37" s="321"/>
    </row>
    <row r="38" spans="1:51" ht="15.75" thickBot="1">
      <c r="A38" s="96"/>
      <c r="B38" s="97"/>
      <c r="C38" s="1424"/>
      <c r="D38" s="384">
        <f t="shared" si="0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IF(F38^3&gt;0.008856,F38^3*$AR$39, (F38- 16 / 116 ) / 7.787*$AR$39)</f>
        <v>8.9522785633523227</v>
      </c>
      <c r="H38" s="1224">
        <f>G37</f>
        <v>44.455639126807164</v>
      </c>
      <c r="I38" s="1224">
        <v>11.430021265362438</v>
      </c>
      <c r="J38" s="1225">
        <f>I37</f>
        <v>44.085306181079623</v>
      </c>
      <c r="K38" s="1225">
        <f>I38/$AR$43</f>
        <v>0.10497526028271115</v>
      </c>
      <c r="L38" s="1225">
        <f t="shared" si="40"/>
        <v>0.47173234292589566</v>
      </c>
      <c r="M38" s="1225">
        <f t="shared" ref="M38" si="67" xml:space="preserve"> 200 * ( L37 - L38 )</f>
        <v>57.869874063597884</v>
      </c>
      <c r="N38" s="1223">
        <f xml:space="preserve"> I36/100 *  0.0557 + I37/100 * -0.204 + I38/100 *  1.057</f>
        <v>4.9447156660574337E-2</v>
      </c>
      <c r="O38" s="1226">
        <f t="shared" si="42"/>
        <v>62.832253035292226</v>
      </c>
      <c r="Q38" s="657">
        <v>1108.5999999999999</v>
      </c>
      <c r="R38" s="717">
        <f t="shared" si="58"/>
        <v>52.259585166561905</v>
      </c>
      <c r="S38" s="814">
        <f t="shared" si="3"/>
        <v>0.20493954967279179</v>
      </c>
      <c r="T38" s="814">
        <f t="shared" si="4"/>
        <v>3.4664725556267637</v>
      </c>
      <c r="U38" s="814">
        <v>5.5501027654652955</v>
      </c>
      <c r="V38" s="814">
        <f>U38/$AR$43</f>
        <v>5.097308822741195E-2</v>
      </c>
      <c r="W38" s="814">
        <f t="shared" si="44"/>
        <v>0.37077773641809225</v>
      </c>
      <c r="X38" s="814">
        <f xml:space="preserve"> 200 * ( W37 - W38 )</f>
        <v>31.413769682168525</v>
      </c>
      <c r="Y38" s="862"/>
      <c r="Z38" s="433">
        <f t="shared" si="45"/>
        <v>62.832253035292226</v>
      </c>
      <c r="AA38" s="491">
        <v>24.882886907342595</v>
      </c>
      <c r="AB38" s="492">
        <f t="shared" si="46"/>
        <v>9.7579948656245474E-2</v>
      </c>
      <c r="AC38" s="492">
        <f t="shared" si="47"/>
        <v>0.96513488035998118</v>
      </c>
      <c r="AD38" s="492">
        <v>5.940040013619603</v>
      </c>
      <c r="AE38" s="492">
        <f>AD38/$AR$43</f>
        <v>5.4554338267861865E-2</v>
      </c>
      <c r="AF38" s="492">
        <f t="shared" si="48"/>
        <v>0.37926528922564096</v>
      </c>
      <c r="AG38" s="492">
        <f xml:space="preserve"> 200 * ( AF37 - AF38 )</f>
        <v>60.724484924634311</v>
      </c>
      <c r="AH38" s="493"/>
      <c r="AP38" s="322"/>
      <c r="AQ38" s="320" t="s">
        <v>164</v>
      </c>
      <c r="AR38" s="319">
        <v>100</v>
      </c>
      <c r="AS38" s="321"/>
      <c r="AT38" s="321"/>
    </row>
    <row r="39" spans="1:51" ht="15.75" thickBot="1">
      <c r="A39" s="92">
        <v>12</v>
      </c>
      <c r="B39" s="93" t="s">
        <v>120</v>
      </c>
      <c r="C39" s="1403"/>
      <c r="D39" s="382">
        <f t="shared" si="0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IF(F39^3&gt;0.008856,F39^3*$AR$37, (F39- 16 / 116 ) / 7.787*$AR$37)</f>
        <v>48.785005521306303</v>
      </c>
      <c r="H39" s="1216">
        <f>G39/SUM(G39:G41)</f>
        <v>0.49568679631414136</v>
      </c>
      <c r="I39" s="1216">
        <f t="array" ref="I39:I41">MMULT($AR$48:$AT$50,G39:G41)</f>
        <v>45.996902394099358</v>
      </c>
      <c r="J39" s="1217">
        <f>I39/SUM(I39:I41)</f>
        <v>0.47655804287629788</v>
      </c>
      <c r="K39" s="1217">
        <f>I39/$AR$41</f>
        <v>0.48393849773374603</v>
      </c>
      <c r="L39" s="1217">
        <f t="shared" si="40"/>
        <v>0.78510918341971647</v>
      </c>
      <c r="M39" s="1217">
        <f t="shared" ref="M39" si="68" xml:space="preserve"> 116 * L40  - 16</f>
        <v>71.386119196075384</v>
      </c>
      <c r="N39" s="1215">
        <f>I39/100*  3.2406 + I40/100 * -1.5372 + I41/100 * -0.4986</f>
        <v>0.79465331720385057</v>
      </c>
      <c r="O39" s="1218">
        <f t="shared" si="42"/>
        <v>230.43061395257749</v>
      </c>
      <c r="Q39" s="655">
        <v>2903.6001000000001</v>
      </c>
      <c r="R39" s="718">
        <f t="shared" si="54"/>
        <v>133.37500669425719</v>
      </c>
      <c r="S39" s="815">
        <f t="shared" si="3"/>
        <v>0.52303924193826346</v>
      </c>
      <c r="T39" s="815">
        <f t="shared" si="4"/>
        <v>23.598895200333018</v>
      </c>
      <c r="U39" s="815">
        <f t="array" ref="U39:U41">MMULT($AR$25:$AT$27,T39:T41)</f>
        <v>13.107429304086839</v>
      </c>
      <c r="V39" s="815">
        <f>U39/$AR$41</f>
        <v>0.13790471350055067</v>
      </c>
      <c r="W39" s="815">
        <f t="shared" si="44"/>
        <v>0.51664595891175225</v>
      </c>
      <c r="X39" s="815">
        <f xml:space="preserve"> 116 * W40  - 16</f>
        <v>39.840463482284825</v>
      </c>
      <c r="Y39" s="863">
        <f>SQRT(( ( M39-X39 ) ^ 2 ) + ( ( M40 - X40 ) ^ 2 ) + ( (M41 - X41 ) ^ 2 ))</f>
        <v>47.016839905106949</v>
      </c>
      <c r="Z39" s="434">
        <f t="shared" si="45"/>
        <v>230.43061395257749</v>
      </c>
      <c r="AA39" s="494">
        <f t="array" ref="AA39:AA41">MMULT($AQ$14:$AS$16,Q39:Q41)</f>
        <v>232.65688212977881</v>
      </c>
      <c r="AB39" s="495">
        <f t="shared" si="46"/>
        <v>0.91237992992070116</v>
      </c>
      <c r="AC39" s="495">
        <f t="shared" si="47"/>
        <v>81.213283917529395</v>
      </c>
      <c r="AD39" s="495">
        <f t="array" ref="AD39:AD41">MMULT($AR$25:$AT$27,AC39:AC41)</f>
        <v>42.946118435988325</v>
      </c>
      <c r="AE39" s="495">
        <f>AD39/$AR$41</f>
        <v>0.45184086226801823</v>
      </c>
      <c r="AF39" s="495">
        <f t="shared" si="48"/>
        <v>0.76735295156938788</v>
      </c>
      <c r="AG39" s="495">
        <f xml:space="preserve"> 116 * AF40  - 16</f>
        <v>66.321834726066626</v>
      </c>
      <c r="AH39" s="496">
        <f>SQRT(( ( M39-AG39 ) ^ 2 ) + ( ( M40 - AG40 ) ^ 2 ) + ( (M41 - AG41 ) ^ 2 ))</f>
        <v>14.057293313096134</v>
      </c>
      <c r="AJ39" s="366" t="s">
        <v>139</v>
      </c>
      <c r="AK39" s="308"/>
      <c r="AL39" s="308"/>
      <c r="AM39" s="308"/>
      <c r="AN39" s="308"/>
      <c r="AP39" s="322"/>
      <c r="AQ39" s="320" t="s">
        <v>165</v>
      </c>
      <c r="AR39" s="319">
        <v>82.521000000000001</v>
      </c>
      <c r="AS39" s="321"/>
      <c r="AT39" s="321"/>
    </row>
    <row r="40" spans="1:51" ht="15.75" thickBot="1">
      <c r="A40" s="94"/>
      <c r="B40" s="95"/>
      <c r="C40" s="1403"/>
      <c r="D40" s="383">
        <f t="shared" si="0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IF(F40^3&gt;0.008856,F40^3*$AR$38, (F40- 16 / 116 ) / 7.787*$AR$38)</f>
        <v>43.571271294091417</v>
      </c>
      <c r="H40" s="1220">
        <f>G40/SUM(G39:G41)</f>
        <v>0.44271192855907199</v>
      </c>
      <c r="I40" s="1220">
        <v>42.751700185521585</v>
      </c>
      <c r="J40" s="1221">
        <f>I40/SUM(I39:I41)</f>
        <v>0.44293562195744796</v>
      </c>
      <c r="K40" s="1221">
        <f>I40/$AR$42</f>
        <v>0.42751700185521585</v>
      </c>
      <c r="L40" s="1221">
        <f t="shared" si="40"/>
        <v>0.75332861375927052</v>
      </c>
      <c r="M40" s="1221">
        <f t="shared" ref="M40" si="69" xml:space="preserve"> 500 * (L39 - L40 )</f>
        <v>15.890284830222978</v>
      </c>
      <c r="N40" s="1219">
        <f xml:space="preserve"> I39/100 * -0.9689 + I40/100*  1.8758 + I41/100 *  0.0415</f>
        <v>0.35949711679901047</v>
      </c>
      <c r="O40" s="1222">
        <f t="shared" si="42"/>
        <v>161.63210798319847</v>
      </c>
      <c r="Q40" s="656">
        <v>1777.8</v>
      </c>
      <c r="R40" s="718">
        <f t="shared" si="56"/>
        <v>81.662101782215274</v>
      </c>
      <c r="S40" s="815">
        <f t="shared" si="3"/>
        <v>0.32024353640084419</v>
      </c>
      <c r="T40" s="815">
        <f t="shared" si="4"/>
        <v>8.3665387223665615</v>
      </c>
      <c r="U40" s="815">
        <v>11.155089916311494</v>
      </c>
      <c r="V40" s="815">
        <f>U40/$AR$42</f>
        <v>0.11155089916311495</v>
      </c>
      <c r="W40" s="815">
        <f t="shared" si="44"/>
        <v>0.48138330588176576</v>
      </c>
      <c r="X40" s="815">
        <f xml:space="preserve"> 500 * (W39 - W40 )</f>
        <v>17.631326514993244</v>
      </c>
      <c r="Y40" s="863"/>
      <c r="Z40" s="434">
        <f t="shared" si="45"/>
        <v>161.63210798319847</v>
      </c>
      <c r="AA40" s="494">
        <v>138.64818631151607</v>
      </c>
      <c r="AB40" s="495">
        <f t="shared" si="46"/>
        <v>0.54371837769221987</v>
      </c>
      <c r="AC40" s="495">
        <f t="shared" si="47"/>
        <v>25.676055784936725</v>
      </c>
      <c r="AD40" s="495">
        <v>35.741366722475021</v>
      </c>
      <c r="AE40" s="495">
        <f>AD40/$AR$42</f>
        <v>0.35741366722475021</v>
      </c>
      <c r="AF40" s="495">
        <f t="shared" si="48"/>
        <v>0.70967098901781578</v>
      </c>
      <c r="AG40" s="495">
        <f xml:space="preserve"> 500 * (AF39 - AF40 )</f>
        <v>28.840981275786049</v>
      </c>
      <c r="AH40" s="496"/>
      <c r="AP40" s="323"/>
      <c r="AQ40" s="321"/>
      <c r="AR40" s="321"/>
      <c r="AS40" s="321"/>
      <c r="AT40" s="321"/>
    </row>
    <row r="41" spans="1:51" ht="15.75" thickBot="1">
      <c r="A41" s="96"/>
      <c r="B41" s="97"/>
      <c r="C41" s="1404"/>
      <c r="D41" s="384">
        <f t="shared" si="0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IF(F41^3&gt;0.008856,F41^3*$AR$39, (F41- 16 / 116 ) / 7.787*$AR$39)</f>
        <v>6.0627367311903075</v>
      </c>
      <c r="H41" s="1224">
        <f>G40</f>
        <v>43.571271294091417</v>
      </c>
      <c r="I41" s="1224">
        <v>7.770390398615211</v>
      </c>
      <c r="J41" s="1225">
        <f>I40</f>
        <v>42.751700185521585</v>
      </c>
      <c r="K41" s="1225">
        <f>I41/$AR$43</f>
        <v>7.1364587663962337E-2</v>
      </c>
      <c r="L41" s="1225">
        <f t="shared" si="40"/>
        <v>0.41478934034612885</v>
      </c>
      <c r="M41" s="1225">
        <f t="shared" ref="M41" si="70" xml:space="preserve"> 200 * ( L40 - L41 )</f>
        <v>67.707854682628337</v>
      </c>
      <c r="N41" s="1223">
        <f xml:space="preserve"> I39/100 *  0.0557 + I40/100 * -0.204 + I41/100 *  1.057</f>
        <v>2.0539832768412099E-2</v>
      </c>
      <c r="O41" s="1226">
        <f t="shared" si="42"/>
        <v>39.272644590202006</v>
      </c>
      <c r="Q41" s="657">
        <v>870</v>
      </c>
      <c r="R41" s="719">
        <f t="shared" si="58"/>
        <v>39.962891523527553</v>
      </c>
      <c r="S41" s="816">
        <f t="shared" si="3"/>
        <v>0.15671722166089236</v>
      </c>
      <c r="T41" s="816">
        <f t="shared" si="4"/>
        <v>2.1184047603041911</v>
      </c>
      <c r="U41" s="816">
        <v>3.466611892486624</v>
      </c>
      <c r="V41" s="816">
        <f>U41/$AR$43</f>
        <v>3.1837953514199865E-2</v>
      </c>
      <c r="W41" s="816">
        <f t="shared" si="44"/>
        <v>0.31694340165913426</v>
      </c>
      <c r="X41" s="816">
        <f xml:space="preserve"> 200 * ( W40 - W41 )</f>
        <v>32.887980844526297</v>
      </c>
      <c r="Y41" s="864"/>
      <c r="Z41" s="435">
        <f t="shared" si="45"/>
        <v>39.272644590202006</v>
      </c>
      <c r="AA41" s="494">
        <v>32.541131509216569</v>
      </c>
      <c r="AB41" s="495">
        <f t="shared" si="46"/>
        <v>0.12761228042830028</v>
      </c>
      <c r="AC41" s="495">
        <f t="shared" si="47"/>
        <v>1.4854773992442876</v>
      </c>
      <c r="AD41" s="495">
        <v>6.0422052140104832</v>
      </c>
      <c r="AE41" s="495">
        <f>AD41/$AR$43</f>
        <v>5.5492640853122006E-2</v>
      </c>
      <c r="AF41" s="495">
        <f t="shared" si="48"/>
        <v>0.38142732106541</v>
      </c>
      <c r="AG41" s="495">
        <f xml:space="preserve"> 200 * ( AF40 - AF41 )</f>
        <v>65.648733590481157</v>
      </c>
      <c r="AH41" s="496"/>
      <c r="AP41" s="320" t="s">
        <v>33</v>
      </c>
      <c r="AQ41" s="320" t="s">
        <v>163</v>
      </c>
      <c r="AR41" s="319">
        <v>95.046999999999997</v>
      </c>
      <c r="AS41" s="321"/>
      <c r="AT41" s="321"/>
    </row>
    <row r="42" spans="1:51" ht="15.75" customHeight="1" thickBot="1">
      <c r="A42" s="1390" t="s">
        <v>121</v>
      </c>
      <c r="B42" s="1391"/>
      <c r="C42" s="1391"/>
      <c r="D42" s="1391"/>
      <c r="E42" s="1391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Q42" s="658"/>
      <c r="R42" s="419"/>
      <c r="S42" s="797">
        <f t="shared" si="3"/>
        <v>0</v>
      </c>
      <c r="T42" s="797">
        <f t="shared" si="4"/>
        <v>0</v>
      </c>
      <c r="U42" s="797"/>
      <c r="V42" s="797"/>
      <c r="W42" s="797"/>
      <c r="X42" s="797"/>
      <c r="Y42" s="800"/>
      <c r="Z42" s="419"/>
      <c r="AA42" s="184"/>
      <c r="AB42" s="330"/>
      <c r="AC42" s="330"/>
      <c r="AD42" s="330"/>
      <c r="AE42" s="330"/>
      <c r="AF42" s="330"/>
      <c r="AG42" s="330"/>
      <c r="AH42" s="381"/>
      <c r="AP42" s="322"/>
      <c r="AQ42" s="320" t="s">
        <v>164</v>
      </c>
      <c r="AR42" s="319">
        <v>100</v>
      </c>
      <c r="AS42" s="321"/>
      <c r="AT42" s="321"/>
    </row>
    <row r="43" spans="1:51" ht="15.75" thickBot="1">
      <c r="A43" s="92">
        <v>13</v>
      </c>
      <c r="B43" s="93" t="s">
        <v>122</v>
      </c>
      <c r="C43" s="1405"/>
      <c r="D43" s="382">
        <f t="shared" si="0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IF(F43^3&gt;0.008856,F43^3*$AR$37, (F43- 16 / 116 ) / 7.787*$AR$37)</f>
        <v>6.8605278494588378</v>
      </c>
      <c r="H43" s="1216">
        <f>G43/SUM(G43:G45)</f>
        <v>0.20182392493888132</v>
      </c>
      <c r="I43" s="1216">
        <f t="array" ref="I43:I45">MMULT($AR$48:$AT$50,G43:G45)</f>
        <v>7.7736812148504111</v>
      </c>
      <c r="J43" s="1216">
        <f>I43/SUM(I43:I45)</f>
        <v>0.18404429682692211</v>
      </c>
      <c r="K43" s="1216">
        <f>I43/$AR$41</f>
        <v>8.1787759896160966E-2</v>
      </c>
      <c r="L43" s="1216">
        <f t="shared" ref="L43:L60" si="71">IF(K43&gt;0.008856,K43^(1/3),7.787*K43+16/116)</f>
        <v>0.43407299821924528</v>
      </c>
      <c r="M43" s="1216">
        <f t="shared" ref="M43" si="72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ref="O43:O57" si="73">IF(N43&gt; 0.0031308,(1.055 * (N43^ ( 1 / 2.4 ) ) - 0.055)*255, 12.92 * N43*255)</f>
        <v>35.342853388950573</v>
      </c>
      <c r="Q43" s="655">
        <v>181</v>
      </c>
      <c r="R43" s="720">
        <f t="shared" ref="R43" si="74">Q43/SUM(Q43:Q45)*255</f>
        <v>26.636080332409971</v>
      </c>
      <c r="S43" s="817">
        <f t="shared" si="3"/>
        <v>0.10445521698984303</v>
      </c>
      <c r="T43" s="817">
        <f t="shared" si="4"/>
        <v>1.0728204805964288</v>
      </c>
      <c r="U43" s="817">
        <f t="array" ref="U43:U45">MMULT($AR$25:$AT$27,T43:T45)</f>
        <v>8.7619675654232161</v>
      </c>
      <c r="V43" s="817">
        <f>U43/$AR$41</f>
        <v>9.2185629903344835E-2</v>
      </c>
      <c r="W43" s="817">
        <f t="shared" ref="W43:W60" si="75">IF(V43&gt;0.008856,V43^(1/3),7.787*V43+16/116)</f>
        <v>0.45173916265975389</v>
      </c>
      <c r="X43" s="817">
        <f xml:space="preserve"> 116 * W44  - 16</f>
        <v>32.730213270746994</v>
      </c>
      <c r="Y43" s="818">
        <f>SQRT(( ( M43-X43 ) ^ 2 ) + ( ( M44 - X44 ) ^ 2 ) + ( (M45 - X45 ) ^ 2 ))</f>
        <v>5.7304434572766709</v>
      </c>
      <c r="Z43" s="436">
        <f t="shared" ref="Z43:Z60" si="76">O43</f>
        <v>35.342853388950573</v>
      </c>
      <c r="AA43" s="563">
        <f t="array" ref="AA43:AA45">MMULT(AQ14:AS16,Q43:Q45)</f>
        <v>24.414280002269408</v>
      </c>
      <c r="AB43" s="497">
        <f t="shared" ref="AB43:AB60" si="77">AA43/255</f>
        <v>9.5742274518703555E-2</v>
      </c>
      <c r="AC43" s="497">
        <f t="shared" ref="AC43:AC60" si="78">IF(AB43&gt;0.04045,(((AB43+0.055)/1.055 )^2.4)*100, AB43/12.92*100)</f>
        <v>0.93747188152490812</v>
      </c>
      <c r="AD43" s="497">
        <f t="array" ref="AD43:AD45">MMULT($AR$25:$AT$27,AC43:AC45)</f>
        <v>3.2951508521396828</v>
      </c>
      <c r="AE43" s="497">
        <f>AD43/$AR$41</f>
        <v>3.4668646586843169E-2</v>
      </c>
      <c r="AF43" s="497">
        <f t="shared" ref="AF43:AF60" si="79">IF(AE43&gt;0.008856,AE43^(1/3),7.787*AE43+16/116)</f>
        <v>0.32607109050588023</v>
      </c>
      <c r="AG43" s="497">
        <f xml:space="preserve"> 116 * AF44  - 16</f>
        <v>16.913074938959376</v>
      </c>
      <c r="AH43" s="498">
        <f>SQRT(( ( M43-AG43 ) ^ 2 ) + ( ( M44 - AG44 ) ^ 2 ) + ( (M45 - AG45 ) ^ 2 ))</f>
        <v>15.410316633448286</v>
      </c>
      <c r="AP43" s="322"/>
      <c r="AQ43" s="320" t="s">
        <v>165</v>
      </c>
      <c r="AR43" s="319">
        <v>108.883</v>
      </c>
      <c r="AS43" s="321"/>
      <c r="AT43" s="321"/>
    </row>
    <row r="44" spans="1:51">
      <c r="A44" s="94"/>
      <c r="B44" s="95"/>
      <c r="C44" s="1406"/>
      <c r="D44" s="383">
        <f t="shared" si="0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IF(F44^3&gt;0.008856,F44^3*$AR$38, (F44- 16 / 116 ) / 7.787*$AR$38)</f>
        <v>5.7520163033893335</v>
      </c>
      <c r="H44" s="1220">
        <f>G44/SUM(G43:G45)</f>
        <v>0.16921358416379614</v>
      </c>
      <c r="I44" s="1220">
        <v>6.0642662674514325</v>
      </c>
      <c r="J44" s="1220">
        <f>I44/SUM(I43:I45)</f>
        <v>0.14357337149768873</v>
      </c>
      <c r="K44" s="1220">
        <f>I44/$AR$42</f>
        <v>6.0642662674514326E-2</v>
      </c>
      <c r="L44" s="1220">
        <f t="shared" si="71"/>
        <v>0.39287954722983948</v>
      </c>
      <c r="M44" s="1220">
        <f t="shared" ref="M44" si="80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73"/>
        <v>63.330751517613386</v>
      </c>
      <c r="Q44" s="656">
        <v>499</v>
      </c>
      <c r="R44" s="721">
        <f t="shared" ref="R44" si="81">Q44/SUM(Q43:Q45)*255</f>
        <v>73.43317174515235</v>
      </c>
      <c r="S44" s="819">
        <f t="shared" si="3"/>
        <v>0.28797322253000923</v>
      </c>
      <c r="T44" s="819">
        <f t="shared" si="4"/>
        <v>6.7424636002716767</v>
      </c>
      <c r="U44" s="819">
        <v>7.4134603413712625</v>
      </c>
      <c r="V44" s="819">
        <f>U44/$AR$42</f>
        <v>7.4134603413712627E-2</v>
      </c>
      <c r="W44" s="819">
        <f t="shared" si="75"/>
        <v>0.42008804543747408</v>
      </c>
      <c r="X44" s="819">
        <f xml:space="preserve"> 500 * (W43 - W44 )</f>
        <v>15.825558611139906</v>
      </c>
      <c r="Y44" s="820"/>
      <c r="Z44" s="437">
        <f t="shared" si="76"/>
        <v>63.330751517613386</v>
      </c>
      <c r="AA44" s="564">
        <v>34.136041735906474</v>
      </c>
      <c r="AB44" s="499">
        <f t="shared" si="77"/>
        <v>0.13386683033688812</v>
      </c>
      <c r="AC44" s="499">
        <f t="shared" si="78"/>
        <v>1.6105260625794764</v>
      </c>
      <c r="AD44" s="499">
        <v>2.284185699075076</v>
      </c>
      <c r="AE44" s="499">
        <f>AD44/$AR$42</f>
        <v>2.284185699075076E-2</v>
      </c>
      <c r="AF44" s="499">
        <f t="shared" si="79"/>
        <v>0.2837334046462015</v>
      </c>
      <c r="AG44" s="499">
        <f xml:space="preserve"> 500 * (AF43 - AF44 )</f>
        <v>21.168842929839364</v>
      </c>
      <c r="AH44" s="500"/>
      <c r="AI44" s="69"/>
      <c r="AP44" s="76"/>
      <c r="AU44" s="74"/>
      <c r="AV44" s="74"/>
      <c r="AW44" s="74"/>
      <c r="AX44" s="74"/>
      <c r="AY44" s="74"/>
    </row>
    <row r="45" spans="1:51" ht="15.75" thickBot="1">
      <c r="A45" s="96"/>
      <c r="B45" s="97"/>
      <c r="C45" s="1406"/>
      <c r="D45" s="384">
        <f t="shared" si="0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IF(F45^3&gt;0.008856,F45^3*$AR$39, (F45- 16 / 116 ) / 7.787*$AR$39)</f>
        <v>21.380094983153285</v>
      </c>
      <c r="H45" s="1224">
        <f>G44</f>
        <v>5.7520163033893335</v>
      </c>
      <c r="I45" s="1224">
        <v>28.400151436682279</v>
      </c>
      <c r="J45" s="1224">
        <f>I44</f>
        <v>6.0642662674514325</v>
      </c>
      <c r="K45" s="1224">
        <f>I45/$AR$43</f>
        <v>0.26083182348651562</v>
      </c>
      <c r="L45" s="1224">
        <f t="shared" si="71"/>
        <v>0.63893036131725889</v>
      </c>
      <c r="M45" s="1224">
        <f t="shared" ref="M45" si="82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73"/>
        <v>147.08684100238494</v>
      </c>
      <c r="Q45" s="657">
        <v>1052.8</v>
      </c>
      <c r="R45" s="721">
        <f t="shared" ref="R45" si="83">Q45/SUM(Q43:Q45)*255</f>
        <v>154.93074792243766</v>
      </c>
      <c r="S45" s="819">
        <f t="shared" si="3"/>
        <v>0.60757156048014771</v>
      </c>
      <c r="T45" s="819">
        <f t="shared" si="4"/>
        <v>32.745588104318877</v>
      </c>
      <c r="U45" s="819">
        <v>31.942656157778838</v>
      </c>
      <c r="V45" s="819">
        <f>U45/$AR$43</f>
        <v>0.29336678965291957</v>
      </c>
      <c r="W45" s="819">
        <f t="shared" si="75"/>
        <v>0.66446225557588157</v>
      </c>
      <c r="X45" s="819">
        <f xml:space="preserve"> 200 * ( W44 - W45 )</f>
        <v>-48.874842027681495</v>
      </c>
      <c r="Y45" s="820"/>
      <c r="Z45" s="437">
        <f t="shared" si="76"/>
        <v>147.08684100238494</v>
      </c>
      <c r="AA45" s="564">
        <v>100.68197780678364</v>
      </c>
      <c r="AB45" s="499">
        <f t="shared" si="77"/>
        <v>0.39483128551679858</v>
      </c>
      <c r="AC45" s="499">
        <f t="shared" si="78"/>
        <v>12.927462120563449</v>
      </c>
      <c r="AD45" s="499">
        <v>12.495107065827327</v>
      </c>
      <c r="AE45" s="499">
        <f>AD45/$AR$43</f>
        <v>0.11475718951376548</v>
      </c>
      <c r="AF45" s="499">
        <f t="shared" si="79"/>
        <v>0.48595191866536097</v>
      </c>
      <c r="AG45" s="499">
        <f xml:space="preserve"> 200 * ( AF44 - AF45 )</f>
        <v>-40.443702803831897</v>
      </c>
      <c r="AH45" s="500"/>
      <c r="AI45" s="69"/>
      <c r="AP45" s="1402" t="s">
        <v>169</v>
      </c>
      <c r="AQ45" s="1402"/>
      <c r="AR45" s="1402"/>
      <c r="AS45" s="1402"/>
      <c r="AT45" s="1402"/>
      <c r="AU45" s="74"/>
      <c r="AV45" s="74"/>
      <c r="AW45" s="74"/>
      <c r="AX45" s="74"/>
      <c r="AY45" s="74"/>
    </row>
    <row r="46" spans="1:51">
      <c r="A46" s="92">
        <v>14</v>
      </c>
      <c r="B46" s="93" t="s">
        <v>123</v>
      </c>
      <c r="C46" s="1407"/>
      <c r="D46" s="382">
        <f t="shared" si="0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IF(F46^3&gt;0.008856,F46^3*$AR$37, (F46- 16 / 116 ) / 7.787*$AR$37)</f>
        <v>14.984375662794568</v>
      </c>
      <c r="H46" s="1216">
        <f>G46/SUM(G46:G48)</f>
        <v>0.32526343853311385</v>
      </c>
      <c r="I46" s="1216">
        <f t="array" ref="I46:I48">MMULT($AR$48:$AT$50,G46:G48)</f>
        <v>14.283601798249475</v>
      </c>
      <c r="J46" s="1216">
        <f>I46/SUM(I46:I48)</f>
        <v>0.29972281293948838</v>
      </c>
      <c r="K46" s="1216">
        <f>I46/$AR$41</f>
        <v>0.1502793544062356</v>
      </c>
      <c r="L46" s="1216">
        <f t="shared" si="71"/>
        <v>0.53165892265584302</v>
      </c>
      <c r="M46" s="1216">
        <f t="shared" ref="M46" si="84" xml:space="preserve"> 116 * L47  - 16</f>
        <v>55.23286542210424</v>
      </c>
      <c r="N46" s="1215">
        <f>I46/100*  3.2406 + I47/100 * -1.5372 + I48/100 * -0.4986</f>
        <v>5.5979147796490186E-2</v>
      </c>
      <c r="O46" s="1218">
        <f t="shared" si="73"/>
        <v>66.910103142073083</v>
      </c>
      <c r="Q46" s="655">
        <v>595.4</v>
      </c>
      <c r="R46" s="722">
        <f t="shared" ref="R46:R58" si="85">Q46/SUM(Q46:Q48)*255</f>
        <v>57.698183476476409</v>
      </c>
      <c r="S46" s="821">
        <f t="shared" si="3"/>
        <v>0.22626738618226042</v>
      </c>
      <c r="T46" s="821">
        <f t="shared" si="4"/>
        <v>4.1887129786596748</v>
      </c>
      <c r="U46" s="821">
        <f t="array" ref="U46:U48">MMULT($AR$25:$AT$27,T46:T48)</f>
        <v>10.655379924606921</v>
      </c>
      <c r="V46" s="821">
        <f>U46/$AR$41</f>
        <v>0.11210643076169602</v>
      </c>
      <c r="W46" s="821">
        <f t="shared" si="75"/>
        <v>0.4821810909702553</v>
      </c>
      <c r="X46" s="821">
        <f xml:space="preserve"> 116 * W47  - 16</f>
        <v>48.354503380091572</v>
      </c>
      <c r="Y46" s="822">
        <f>SQRT(( ( M46-X46 ) ^ 2 ) + ( ( M47 - X47 ) ^ 2 ) + ( (M48 - X48 ) ^ 2 ))</f>
        <v>10.066846850045701</v>
      </c>
      <c r="Z46" s="438">
        <f t="shared" si="76"/>
        <v>66.910103142073083</v>
      </c>
      <c r="AA46" s="501">
        <f t="array" ref="AA46:AA48">MMULT(AQ14:AS16,Q46:Q48)</f>
        <v>25.982706510146823</v>
      </c>
      <c r="AB46" s="502">
        <f t="shared" si="77"/>
        <v>0.10189296670645813</v>
      </c>
      <c r="AC46" s="502">
        <f t="shared" si="78"/>
        <v>1.0319114642521852</v>
      </c>
      <c r="AD46" s="502">
        <f t="array" ref="AD46:AD48">MMULT($AR$25:$AT$27,AC46:AC48)</f>
        <v>4.029631267317475</v>
      </c>
      <c r="AE46" s="502">
        <f>AD46/$AR$41</f>
        <v>4.2396196274658592E-2</v>
      </c>
      <c r="AF46" s="502">
        <f t="shared" si="79"/>
        <v>0.34869225251020686</v>
      </c>
      <c r="AG46" s="502">
        <f xml:space="preserve"> 116 * AF47  - 16</f>
        <v>32.197888962811163</v>
      </c>
      <c r="AH46" s="503">
        <f>SQRT(( ( M46-AG46 ) ^ 2 ) + ( ( M47 - AG47 ) ^ 2 ) + ( (M48 - AG48 ) ^ 2 ))</f>
        <v>24.377537840116347</v>
      </c>
      <c r="AP46" s="332" t="s">
        <v>167</v>
      </c>
      <c r="AQ46" s="332"/>
      <c r="AR46" s="332"/>
      <c r="AS46" s="332"/>
      <c r="AT46" s="332"/>
    </row>
    <row r="47" spans="1:51" ht="15.75" thickBot="1">
      <c r="A47" s="94"/>
      <c r="B47" s="95"/>
      <c r="C47" s="1407"/>
      <c r="D47" s="383">
        <f t="shared" si="0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IF(F47^3&gt;0.008856,F47^3*$AR$38, (F47- 16 / 116 ) / 7.787*$AR$38)</f>
        <v>23.183647760810512</v>
      </c>
      <c r="H47" s="1220">
        <f>G47/SUM(G46:G48)</f>
        <v>0.50324372253594474</v>
      </c>
      <c r="I47" s="1220">
        <v>23.156199170786447</v>
      </c>
      <c r="J47" s="1220">
        <f>I47/SUM(I46:I48)</f>
        <v>0.48590273311215859</v>
      </c>
      <c r="K47" s="1220">
        <f>I47/$AR$42</f>
        <v>0.23156199170786448</v>
      </c>
      <c r="L47" s="1220">
        <f t="shared" si="71"/>
        <v>0.6140764260526228</v>
      </c>
      <c r="M47" s="1220">
        <f t="shared" ref="M47" si="86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73"/>
        <v>148.92451179357417</v>
      </c>
      <c r="Q47" s="656">
        <v>1333.8</v>
      </c>
      <c r="R47" s="722">
        <f t="shared" ref="R47:R59" si="87">Q47/SUM(Q46:Q48)*255</f>
        <v>129.25400927263055</v>
      </c>
      <c r="S47" s="821">
        <f t="shared" si="3"/>
        <v>0.50687846773580614</v>
      </c>
      <c r="T47" s="821">
        <f t="shared" si="4"/>
        <v>22.046306020217763</v>
      </c>
      <c r="U47" s="821">
        <v>17.075084517743043</v>
      </c>
      <c r="V47" s="821">
        <f>U47/$AR$42</f>
        <v>0.17075084517743044</v>
      </c>
      <c r="W47" s="821">
        <f t="shared" si="75"/>
        <v>0.55478020155251351</v>
      </c>
      <c r="X47" s="821">
        <f xml:space="preserve"> 500 * (W46 - W47 )</f>
        <v>-36.299555291129103</v>
      </c>
      <c r="Y47" s="822"/>
      <c r="Z47" s="438">
        <f t="shared" si="76"/>
        <v>148.92451179357417</v>
      </c>
      <c r="AA47" s="501">
        <v>87.456647326634865</v>
      </c>
      <c r="AB47" s="502">
        <f t="shared" si="77"/>
        <v>0.34296724441817594</v>
      </c>
      <c r="AC47" s="502">
        <f t="shared" si="78"/>
        <v>9.6344667887565851</v>
      </c>
      <c r="AD47" s="502">
        <v>7.1731528113520406</v>
      </c>
      <c r="AE47" s="502">
        <f>AD47/$AR$42</f>
        <v>7.1731528113520404E-2</v>
      </c>
      <c r="AF47" s="502">
        <f t="shared" si="79"/>
        <v>0.41549904278285488</v>
      </c>
      <c r="AG47" s="502">
        <f xml:space="preserve"> 500 * (AF46 - AF47 )</f>
        <v>-33.403395136324008</v>
      </c>
      <c r="AH47" s="503"/>
      <c r="AI47" s="69"/>
      <c r="AO47" s="74"/>
      <c r="AP47" s="76"/>
      <c r="AU47" s="74"/>
      <c r="AV47" s="74"/>
      <c r="AW47" s="74"/>
      <c r="AX47" s="74"/>
      <c r="AY47" s="74"/>
    </row>
    <row r="48" spans="1:51" ht="15.75" thickBot="1">
      <c r="A48" s="96"/>
      <c r="B48" s="97"/>
      <c r="C48" s="1407"/>
      <c r="D48" s="384">
        <f t="shared" si="0"/>
        <v>74.120275922324538</v>
      </c>
      <c r="E48" s="372">
        <v>31.37</v>
      </c>
      <c r="F48" s="1223">
        <f>F47 - E48 / 200</f>
        <v>0.45746896551724126</v>
      </c>
      <c r="G48" s="1223">
        <f>IF(F48^3&gt;0.008856,F48^3*$AR$39, (F48- 16 / 116 ) / 7.787*$AR$39)</f>
        <v>7.9004056945635952</v>
      </c>
      <c r="H48" s="1224">
        <f>G47</f>
        <v>23.183647760810512</v>
      </c>
      <c r="I48" s="1224">
        <v>10.21623714886743</v>
      </c>
      <c r="J48" s="1224">
        <f>I47</f>
        <v>23.156199170786447</v>
      </c>
      <c r="K48" s="1224">
        <f>I48/$AR$43</f>
        <v>9.382766041409063E-2</v>
      </c>
      <c r="L48" s="1224">
        <f t="shared" si="71"/>
        <v>0.45440555210953226</v>
      </c>
      <c r="M48" s="1224">
        <f t="shared" ref="M48" si="88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73"/>
        <v>74.120275922324538</v>
      </c>
      <c r="Q48" s="657">
        <v>702.2</v>
      </c>
      <c r="R48" s="722">
        <f t="shared" ref="R48:R60" si="89">Q48/SUM(Q46:Q48)*255</f>
        <v>68.047807250893072</v>
      </c>
      <c r="S48" s="821">
        <f t="shared" si="3"/>
        <v>0.26685414608193364</v>
      </c>
      <c r="T48" s="821">
        <f t="shared" si="4"/>
        <v>5.7886322005108921</v>
      </c>
      <c r="U48" s="821">
        <v>8.2096883785574271</v>
      </c>
      <c r="V48" s="821">
        <f>U48/$AR$43</f>
        <v>7.5399175064587015E-2</v>
      </c>
      <c r="W48" s="821">
        <f t="shared" si="75"/>
        <v>0.42246318097426544</v>
      </c>
      <c r="X48" s="821">
        <f xml:space="preserve"> 200 * ( W47 - W48 )</f>
        <v>26.463404115649613</v>
      </c>
      <c r="Y48" s="822"/>
      <c r="Z48" s="438">
        <f t="shared" si="76"/>
        <v>74.120275922324538</v>
      </c>
      <c r="AA48" s="501">
        <v>23.431208710685979</v>
      </c>
      <c r="AB48" s="502">
        <f t="shared" si="77"/>
        <v>9.1887092983082272E-2</v>
      </c>
      <c r="AC48" s="502">
        <f t="shared" si="78"/>
        <v>0.88095722757290451</v>
      </c>
      <c r="AD48" s="502">
        <v>2.0054795038313444</v>
      </c>
      <c r="AE48" s="502">
        <f>AD48/$AR$43</f>
        <v>1.8418665024212636E-2</v>
      </c>
      <c r="AF48" s="502">
        <f t="shared" si="79"/>
        <v>0.26409046211272019</v>
      </c>
      <c r="AG48" s="502">
        <f xml:space="preserve"> 200 * ( AF47 - AF48 )</f>
        <v>30.281716134026937</v>
      </c>
      <c r="AH48" s="503"/>
      <c r="AI48" s="69"/>
      <c r="AO48" s="74"/>
      <c r="AP48" s="89" t="s">
        <v>168</v>
      </c>
      <c r="AQ48" s="324" t="s">
        <v>163</v>
      </c>
      <c r="AR48" s="333">
        <v>0.9555766</v>
      </c>
      <c r="AS48" s="334">
        <v>-2.3039299999999999E-2</v>
      </c>
      <c r="AT48" s="335">
        <v>6.31636E-2</v>
      </c>
      <c r="AU48" s="74"/>
      <c r="AV48" s="74"/>
      <c r="AW48" s="74"/>
      <c r="AX48" s="74"/>
      <c r="AY48" s="74"/>
    </row>
    <row r="49" spans="1:65">
      <c r="A49" s="92">
        <v>15</v>
      </c>
      <c r="B49" s="93" t="s">
        <v>124</v>
      </c>
      <c r="C49" s="1408"/>
      <c r="D49" s="382">
        <f t="shared" si="0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IF(F49^3&gt;0.008856,F49^3*$AR$37, (F49- 16 / 116 ) / 7.787*$AR$37)</f>
        <v>21.631501234234467</v>
      </c>
      <c r="H49" s="1216">
        <f>G49/SUM(G49:G51)</f>
        <v>0.56858460191264737</v>
      </c>
      <c r="I49" s="1216">
        <f t="array" ref="I49:I51">MMULT($AR$48:$AT$50,G49:G51)</f>
        <v>20.62408349598757</v>
      </c>
      <c r="J49" s="1216">
        <f>I49/SUM(I49:I51)</f>
        <v>0.54404393629571024</v>
      </c>
      <c r="K49" s="1216">
        <f>I49/$AR$41</f>
        <v>0.21698826365890109</v>
      </c>
      <c r="L49" s="1216">
        <f t="shared" si="71"/>
        <v>0.6009136669251236</v>
      </c>
      <c r="M49" s="1216">
        <f t="shared" ref="M49" si="90" xml:space="preserve"> 116 * L50  - 16</f>
        <v>41.468062941473491</v>
      </c>
      <c r="N49" s="1215">
        <f>I49/100*  3.2406 + I50/100 * -1.5372 + I51/100 * -0.4986</f>
        <v>0.45587651504853977</v>
      </c>
      <c r="O49" s="1218">
        <f t="shared" si="73"/>
        <v>179.90529060715122</v>
      </c>
      <c r="Q49" s="655">
        <v>1565.4</v>
      </c>
      <c r="R49" s="723">
        <f t="shared" si="85"/>
        <v>167.49622356495468</v>
      </c>
      <c r="S49" s="823">
        <f t="shared" si="3"/>
        <v>0.65684793554884191</v>
      </c>
      <c r="T49" s="823">
        <f t="shared" si="4"/>
        <v>38.897657552291385</v>
      </c>
      <c r="U49" s="823">
        <f t="array" ref="U49:U51">MMULT($AR$25:$AT$27,T49:T51)</f>
        <v>17.357279518572188</v>
      </c>
      <c r="V49" s="823">
        <f>U49/$AR$41</f>
        <v>0.18261785767643574</v>
      </c>
      <c r="W49" s="823">
        <f t="shared" si="75"/>
        <v>0.56734567422369353</v>
      </c>
      <c r="X49" s="823">
        <f xml:space="preserve"> 116 * W50  - 16</f>
        <v>38.077536756021807</v>
      </c>
      <c r="Y49" s="824">
        <f>SQRT(( ( M49-X49 ) ^ 2 ) + ( ( M50 - X50 ) ^ 2 ) + ( (M51 - X51 ) ^ 2 ))</f>
        <v>4.6981535316399352</v>
      </c>
      <c r="Z49" s="439">
        <f t="shared" si="76"/>
        <v>179.90529060715122</v>
      </c>
      <c r="AA49" s="504">
        <f t="array" ref="AA49:AA51">MMULT(AQ14:AS16,Q49:Q51)</f>
        <v>144.2128529569741</v>
      </c>
      <c r="AB49" s="505">
        <f t="shared" si="77"/>
        <v>0.56554059983127103</v>
      </c>
      <c r="AC49" s="505">
        <f t="shared" si="78"/>
        <v>27.979669462270369</v>
      </c>
      <c r="AD49" s="505">
        <f t="array" ref="AD49:AD51">MMULT($AR$25:$AT$27,AC49:AC51)</f>
        <v>12.683563000300895</v>
      </c>
      <c r="AE49" s="505">
        <f>AD49/$AR$41</f>
        <v>0.13344516923522989</v>
      </c>
      <c r="AF49" s="505">
        <f t="shared" si="79"/>
        <v>0.51101574985664766</v>
      </c>
      <c r="AG49" s="505">
        <f xml:space="preserve"> 116 * AF50  - 16</f>
        <v>33.297836591840799</v>
      </c>
      <c r="AH49" s="506">
        <f>SQRT(( ( M49-AG49 ) ^ 2 ) + ( ( M50 - AG50 ) ^ 2 ) + ( (M51 - AG51 ) ^ 2 ))</f>
        <v>12.708089490826614</v>
      </c>
      <c r="AP49" s="89"/>
      <c r="AQ49" s="324" t="s">
        <v>164</v>
      </c>
      <c r="AR49" s="336">
        <v>-2.8289499999999999E-2</v>
      </c>
      <c r="AS49" s="337">
        <v>1.0099416000000001</v>
      </c>
      <c r="AT49" s="338">
        <v>2.1007700000000001E-2</v>
      </c>
    </row>
    <row r="50" spans="1:65" ht="15.75" thickBot="1">
      <c r="A50" s="94"/>
      <c r="B50" s="95"/>
      <c r="C50" s="1408"/>
      <c r="D50" s="383">
        <f t="shared" si="0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IF(F50^3&gt;0.008856,F50^3*$AR$38, (F50- 16 / 116 ) / 7.787*$AR$38)</f>
        <v>12.565415505216301</v>
      </c>
      <c r="H50" s="1220">
        <f>G50/SUM(G49:G51)</f>
        <v>0.33028229042159035</v>
      </c>
      <c r="I50" s="1220">
        <v>12.159219782354153</v>
      </c>
      <c r="J50" s="1220">
        <f>I50/SUM(I49:I51)</f>
        <v>0.32074878837469817</v>
      </c>
      <c r="K50" s="1220">
        <f>I50/$AR$42</f>
        <v>0.12159219782354153</v>
      </c>
      <c r="L50" s="1220">
        <f t="shared" si="71"/>
        <v>0.49541433570235771</v>
      </c>
      <c r="M50" s="1220">
        <f t="shared" ref="M50" si="91" xml:space="preserve"> 500 * (L49 - L50 )</f>
        <v>52.749665611382945</v>
      </c>
      <c r="N50" s="1219">
        <f xml:space="preserve"> I49/100 * -0.9689 + I50/100*  1.8758 + I51/100 *  0.0415</f>
        <v>3.038300426051882E-2</v>
      </c>
      <c r="O50" s="1222">
        <f t="shared" si="73"/>
        <v>48.716578063950486</v>
      </c>
      <c r="Q50" s="656">
        <v>394</v>
      </c>
      <c r="R50" s="723">
        <f t="shared" si="87"/>
        <v>42.157603222557903</v>
      </c>
      <c r="S50" s="823">
        <f t="shared" si="3"/>
        <v>0.16532393420610941</v>
      </c>
      <c r="T50" s="823">
        <f t="shared" si="4"/>
        <v>2.3309991971943367</v>
      </c>
      <c r="U50" s="823">
        <v>10.131569684558631</v>
      </c>
      <c r="V50" s="823">
        <f>U50/$AR$42</f>
        <v>0.10131569684558631</v>
      </c>
      <c r="W50" s="823">
        <f t="shared" si="75"/>
        <v>0.46618566168984316</v>
      </c>
      <c r="X50" s="823">
        <f xml:space="preserve"> 500 * (W49 - W50 )</f>
        <v>50.580006266925189</v>
      </c>
      <c r="Y50" s="824"/>
      <c r="Z50" s="439">
        <f t="shared" si="76"/>
        <v>48.716578063950486</v>
      </c>
      <c r="AA50" s="507">
        <v>40.984646106877562</v>
      </c>
      <c r="AB50" s="508">
        <f t="shared" si="77"/>
        <v>0.160724102379912</v>
      </c>
      <c r="AC50" s="508">
        <f t="shared" si="78"/>
        <v>2.2159038205380788</v>
      </c>
      <c r="AD50" s="508">
        <v>7.6755519436606185</v>
      </c>
      <c r="AE50" s="508">
        <f>AD50/$AR$42</f>
        <v>7.675551943660619E-2</v>
      </c>
      <c r="AF50" s="508">
        <f t="shared" si="79"/>
        <v>0.42498134992966208</v>
      </c>
      <c r="AG50" s="508">
        <f xml:space="preserve"> 500 * (AF49 - AF50 )</f>
        <v>43.017199963492793</v>
      </c>
      <c r="AH50" s="509"/>
      <c r="AP50" s="76"/>
      <c r="AQ50" s="324" t="s">
        <v>165</v>
      </c>
      <c r="AR50" s="339">
        <v>1.22982E-2</v>
      </c>
      <c r="AS50" s="340">
        <v>-2.0483000000000001E-2</v>
      </c>
      <c r="AT50" s="341">
        <v>1.3299098</v>
      </c>
    </row>
    <row r="51" spans="1:65" ht="15.75" thickBot="1">
      <c r="A51" s="96"/>
      <c r="B51" s="97"/>
      <c r="C51" s="1408"/>
      <c r="D51" s="384">
        <f t="shared" si="0"/>
        <v>56.959990730530549</v>
      </c>
      <c r="E51" s="372">
        <v>28.19</v>
      </c>
      <c r="F51" s="1223">
        <f>F50 - E51 / 200</f>
        <v>0.35992068965517243</v>
      </c>
      <c r="G51" s="1223">
        <f>IF(F51^3&gt;0.008856,F51^3*$AR$39, (F51- 16 / 116 ) / 7.787*$AR$39)</f>
        <v>3.8475557303783536</v>
      </c>
      <c r="H51" s="1224">
        <f>G50</f>
        <v>12.565415505216301</v>
      </c>
      <c r="I51" s="1224">
        <v>5.1255531945618475</v>
      </c>
      <c r="J51" s="1224">
        <f>I50</f>
        <v>12.159219782354153</v>
      </c>
      <c r="K51" s="1224">
        <f>I51/$AR$43</f>
        <v>4.7073952725052097E-2</v>
      </c>
      <c r="L51" s="1224">
        <f t="shared" si="71"/>
        <v>0.36107178721143929</v>
      </c>
      <c r="M51" s="1224">
        <f t="shared" ref="M51" si="92" xml:space="preserve"> 200 * ( L50 - L51 )</f>
        <v>26.868509698183686</v>
      </c>
      <c r="N51" s="1223">
        <f xml:space="preserve"> I49/100 *  0.0557 + I50/100 * -0.204 + I51/100 *  1.057</f>
        <v>4.0859903417781333E-2</v>
      </c>
      <c r="O51" s="1226">
        <f t="shared" si="73"/>
        <v>56.959990730530549</v>
      </c>
      <c r="Q51" s="657">
        <v>423.8</v>
      </c>
      <c r="R51" s="723">
        <f t="shared" si="89"/>
        <v>45.346173212487408</v>
      </c>
      <c r="S51" s="823">
        <f t="shared" si="3"/>
        <v>0.17782813024504865</v>
      </c>
      <c r="T51" s="823">
        <f t="shared" si="4"/>
        <v>2.6612101923679408</v>
      </c>
      <c r="U51" s="823">
        <v>3.5588388344312767</v>
      </c>
      <c r="V51" s="823">
        <f>U51/$AR$43</f>
        <v>3.2684981442753017E-2</v>
      </c>
      <c r="W51" s="823">
        <f t="shared" si="75"/>
        <v>0.31972952875661947</v>
      </c>
      <c r="X51" s="823">
        <f xml:space="preserve"> 200 * ( W50 - W51 )</f>
        <v>29.291226586644736</v>
      </c>
      <c r="Y51" s="824"/>
      <c r="Z51" s="439">
        <f t="shared" si="76"/>
        <v>56.959990730530549</v>
      </c>
      <c r="AA51" s="507">
        <v>38.067161474466168</v>
      </c>
      <c r="AB51" s="508">
        <f t="shared" si="77"/>
        <v>0.14928298617437713</v>
      </c>
      <c r="AC51" s="508">
        <f t="shared" si="78"/>
        <v>1.9442467035944135</v>
      </c>
      <c r="AD51" s="508">
        <v>2.6526997534314196</v>
      </c>
      <c r="AE51" s="508">
        <f>AD51/$AR$43</f>
        <v>2.4362845930323555E-2</v>
      </c>
      <c r="AF51" s="508">
        <f t="shared" si="79"/>
        <v>0.28989630034003072</v>
      </c>
      <c r="AG51" s="508">
        <f xml:space="preserve"> 200 * ( AF50 - AF51 )</f>
        <v>27.01700991792627</v>
      </c>
      <c r="AH51" s="509"/>
      <c r="AP51" s="76"/>
    </row>
    <row r="52" spans="1:65">
      <c r="A52" s="92">
        <v>16</v>
      </c>
      <c r="B52" s="93" t="s">
        <v>125</v>
      </c>
      <c r="C52" s="1409"/>
      <c r="D52" s="382">
        <f t="shared" si="0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IF(F52^3&gt;0.008856,F52^3*$AR$37, (F52- 16 / 116 ) / 7.787*$AR$37)</f>
        <v>59.341454392690757</v>
      </c>
      <c r="H52" s="1216">
        <f>G52/SUM(G52:G54)</f>
        <v>0.46968411788557529</v>
      </c>
      <c r="I52" s="1216">
        <f t="array" ref="I52:I54">MMULT($AR$48:$AT$50,G52:G54)</f>
        <v>55.781875161413609</v>
      </c>
      <c r="J52" s="1216">
        <f>I52/SUM(I52:I54)</f>
        <v>0.45083813847108956</v>
      </c>
      <c r="K52" s="1216">
        <f>I52/$AR$41</f>
        <v>0.58688727851919165</v>
      </c>
      <c r="L52" s="1216">
        <f t="shared" si="71"/>
        <v>0.83724307724079261</v>
      </c>
      <c r="M52" s="1216">
        <f t="shared" ref="M52" si="93" xml:space="preserve"> 116 * L53  - 16</f>
        <v>81.222107529224289</v>
      </c>
      <c r="N52" s="1215">
        <f>I52/100*  3.2406 + I53/100 * -1.5372 + I54/100 * -0.4986</f>
        <v>0.85741975999435582</v>
      </c>
      <c r="O52" s="1218">
        <f t="shared" si="73"/>
        <v>238.29785697467756</v>
      </c>
      <c r="Q52" s="655">
        <v>3486</v>
      </c>
      <c r="R52" s="724">
        <f t="shared" si="85"/>
        <v>119.69864268016806</v>
      </c>
      <c r="S52" s="825">
        <f t="shared" si="3"/>
        <v>0.469406441883012</v>
      </c>
      <c r="T52" s="825">
        <f t="shared" si="4"/>
        <v>18.680880402775252</v>
      </c>
      <c r="U52" s="825">
        <f t="array" ref="U52:U54">MMULT($AR$25:$AT$27,T52:T54)</f>
        <v>12.211405205353824</v>
      </c>
      <c r="V52" s="825">
        <f>U52/$AR$41</f>
        <v>0.1284775448499566</v>
      </c>
      <c r="W52" s="825">
        <f t="shared" si="75"/>
        <v>0.50459438049604455</v>
      </c>
      <c r="X52" s="825">
        <f xml:space="preserve"> 116 * W53  - 16</f>
        <v>41.805471081064255</v>
      </c>
      <c r="Y52" s="826">
        <f>SQRT(( ( M52-X52 ) ^ 2 ) + ( ( M53 - X53 ) ^ 2 ) + ( (M54 - X54 ) ^ 2 ))</f>
        <v>60.422615916176625</v>
      </c>
      <c r="Z52" s="440">
        <f t="shared" si="76"/>
        <v>238.29785697467756</v>
      </c>
      <c r="AA52" s="510">
        <f t="array" ref="AA52:AA54">MMULT(AQ14:AS16,Q52:Q54)</f>
        <v>259.51871014191266</v>
      </c>
      <c r="AB52" s="511">
        <f t="shared" si="77"/>
        <v>1.0177204319290694</v>
      </c>
      <c r="AC52" s="511">
        <f t="shared" si="78"/>
        <v>104.07869141943176</v>
      </c>
      <c r="AD52" s="511">
        <f t="array" ref="AD52:AD54">MMULT($AR$25:$AT$27,AC52:AC54)</f>
        <v>64.933714017136523</v>
      </c>
      <c r="AE52" s="511">
        <f>AD52/$AR$41</f>
        <v>0.68317478739083326</v>
      </c>
      <c r="AF52" s="511">
        <f t="shared" si="79"/>
        <v>0.88073233949305818</v>
      </c>
      <c r="AG52" s="511">
        <f xml:space="preserve"> 116 * AF53  - 16</f>
        <v>84.940490681640057</v>
      </c>
      <c r="AH52" s="512">
        <f>SQRT(( ( M52-AG52 ) ^ 2 ) + ( ( M53 - AG53 ) ^ 2 ) + ( (M54 - AG54 ) ^ 2 ))</f>
        <v>7.5020466761039897</v>
      </c>
      <c r="AP52" s="365" t="s">
        <v>159</v>
      </c>
      <c r="AQ52" s="308"/>
      <c r="AR52" s="308"/>
      <c r="AS52" s="308"/>
      <c r="AT52" s="308"/>
    </row>
    <row r="53" spans="1:65">
      <c r="A53" s="94"/>
      <c r="B53" s="95"/>
      <c r="C53" s="1409"/>
      <c r="D53" s="383">
        <f t="shared" si="0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IF(F53^3&gt;0.008856,F53^3*$AR$38, (F53- 16 / 116 ) / 7.787*$AR$38)</f>
        <v>59.806683849009602</v>
      </c>
      <c r="H53" s="1220">
        <f>G53/SUM(G52:G54)</f>
        <v>0.47336638164270384</v>
      </c>
      <c r="I53" s="1220">
        <v>58.873672283415338</v>
      </c>
      <c r="J53" s="1220">
        <f>I53/SUM(I52:I54)</f>
        <v>0.47582654294799287</v>
      </c>
      <c r="K53" s="1220">
        <f>I53/$AR$42</f>
        <v>0.58873672283415335</v>
      </c>
      <c r="L53" s="1220">
        <f t="shared" si="71"/>
        <v>0.83812161663124385</v>
      </c>
      <c r="M53" s="1220">
        <f t="shared" ref="M53" si="94" xml:space="preserve"> 500 * (L52 - L53 )</f>
        <v>-0.43926969522561921</v>
      </c>
      <c r="N53" s="1219">
        <f xml:space="preserve"> I52/100 * -0.9689 + I53/100*  1.8758 + I54/100 *  0.0415</f>
        <v>0.56764735240268382</v>
      </c>
      <c r="O53" s="1222">
        <f t="shared" si="73"/>
        <v>198.45859080039978</v>
      </c>
      <c r="Q53" s="656">
        <v>2777.2</v>
      </c>
      <c r="R53" s="724">
        <f t="shared" si="87"/>
        <v>95.360605407734568</v>
      </c>
      <c r="S53" s="825">
        <f t="shared" si="3"/>
        <v>0.37396315846170419</v>
      </c>
      <c r="T53" s="825">
        <f t="shared" si="4"/>
        <v>11.534587910797772</v>
      </c>
      <c r="U53" s="825">
        <v>12.374648356449564</v>
      </c>
      <c r="V53" s="825">
        <f>U53/$AR$42</f>
        <v>0.12374648356449564</v>
      </c>
      <c r="W53" s="825">
        <f t="shared" si="75"/>
        <v>0.49832302656089877</v>
      </c>
      <c r="X53" s="825">
        <f xml:space="preserve"> 500 * (W52 - W53 )</f>
        <v>3.1356769675728868</v>
      </c>
      <c r="Y53" s="826"/>
      <c r="Z53" s="440">
        <f t="shared" si="76"/>
        <v>198.45859080039978</v>
      </c>
      <c r="AA53" s="510">
        <v>205.06688679635528</v>
      </c>
      <c r="AB53" s="511">
        <f t="shared" si="77"/>
        <v>0.80418386978962852</v>
      </c>
      <c r="AC53" s="511">
        <f t="shared" si="78"/>
        <v>61.094311229223742</v>
      </c>
      <c r="AD53" s="511">
        <v>65.890418653853658</v>
      </c>
      <c r="AE53" s="511">
        <f>AD53/$AR$42</f>
        <v>0.65890418653853655</v>
      </c>
      <c r="AF53" s="511">
        <f t="shared" si="79"/>
        <v>0.87017664380724191</v>
      </c>
      <c r="AG53" s="511">
        <f xml:space="preserve"> 500 * (AF52 - AF53 )</f>
        <v>5.2778478429081339</v>
      </c>
      <c r="AH53" s="512"/>
      <c r="AP53" s="76"/>
    </row>
    <row r="54" spans="1:65" ht="15.75" thickBot="1">
      <c r="A54" s="96"/>
      <c r="B54" s="97"/>
      <c r="C54" s="1409"/>
      <c r="D54" s="384">
        <f t="shared" si="0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IF(F54^3&gt;0.008856,F54^3*$AR$39, (F54- 16 / 116 ) / 7.787*$AR$39)</f>
        <v>7.1951893969564678</v>
      </c>
      <c r="H54" s="1224">
        <f>G53</f>
        <v>59.806683849009602</v>
      </c>
      <c r="I54" s="1224">
        <v>9.0737256610014221</v>
      </c>
      <c r="J54" s="1224">
        <f>I53</f>
        <v>58.873672283415338</v>
      </c>
      <c r="K54" s="1224">
        <f>I54/$AR$43</f>
        <v>8.3334640494856158E-2</v>
      </c>
      <c r="L54" s="1224">
        <f t="shared" si="71"/>
        <v>0.43679251617774939</v>
      </c>
      <c r="M54" s="1224">
        <f t="shared" ref="M54" si="95" xml:space="preserve"> 200 * ( L53 - L54 )</f>
        <v>80.265820090698895</v>
      </c>
      <c r="N54" s="1223">
        <f xml:space="preserve"> I52/100 *  0.0557 + I53/100 * -0.204 + I54/100 *  1.057</f>
        <v>6.8774932435251152E-3</v>
      </c>
      <c r="O54" s="1226">
        <f t="shared" si="73"/>
        <v>19.759840938184311</v>
      </c>
      <c r="Q54" s="657">
        <v>1163.2</v>
      </c>
      <c r="R54" s="724">
        <f t="shared" si="89"/>
        <v>39.940751912097383</v>
      </c>
      <c r="S54" s="825">
        <f t="shared" si="3"/>
        <v>0.15663039965528386</v>
      </c>
      <c r="T54" s="825">
        <f t="shared" si="4"/>
        <v>2.1163204175649688</v>
      </c>
      <c r="U54" s="825">
        <v>3.7471528456087264</v>
      </c>
      <c r="V54" s="825">
        <f>U54/$AR$43</f>
        <v>3.4414489365729516E-2</v>
      </c>
      <c r="W54" s="825">
        <f t="shared" si="75"/>
        <v>0.32527232202046091</v>
      </c>
      <c r="X54" s="825">
        <f xml:space="preserve"> 200 * ( W53 - W54 )</f>
        <v>34.610140908087573</v>
      </c>
      <c r="Y54" s="826"/>
      <c r="Z54" s="440">
        <f t="shared" si="76"/>
        <v>19.759840938184311</v>
      </c>
      <c r="AA54" s="510">
        <v>23.526117232923198</v>
      </c>
      <c r="AB54" s="511">
        <f t="shared" si="77"/>
        <v>9.2259283266365483E-2</v>
      </c>
      <c r="AC54" s="511">
        <f t="shared" si="78"/>
        <v>0.88632405145704052</v>
      </c>
      <c r="AD54" s="511">
        <v>10.136477536096024</v>
      </c>
      <c r="AE54" s="511">
        <f>AD54/$AR$43</f>
        <v>9.3095134558158973E-2</v>
      </c>
      <c r="AF54" s="511">
        <f t="shared" si="79"/>
        <v>0.45321992507916947</v>
      </c>
      <c r="AG54" s="511">
        <f xml:space="preserve"> 200 * ( AF53 - AF54 )</f>
        <v>83.391343745614492</v>
      </c>
      <c r="AH54" s="512"/>
    </row>
    <row r="55" spans="1:65">
      <c r="A55" s="92">
        <v>17</v>
      </c>
      <c r="B55" s="93" t="s">
        <v>126</v>
      </c>
      <c r="C55" s="1410"/>
      <c r="D55" s="382">
        <f t="shared" si="0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IF(F55^3&gt;0.008856,F55^3*$AR$37, (F55- 16 / 116 ) / 7.787*$AR$37)</f>
        <v>31.075907250316828</v>
      </c>
      <c r="H55" s="1216">
        <f>G55/SUM(G55:G57)</f>
        <v>0.41585711526606517</v>
      </c>
      <c r="I55" s="1216">
        <f t="array" ref="I55:I57">MMULT($AR$48:$AT$50,G55:G57)</f>
        <v>30.721068603919768</v>
      </c>
      <c r="J55" s="1216">
        <f>I55/SUM(I55:I57)</f>
        <v>0.37495281391466306</v>
      </c>
      <c r="K55" s="1216">
        <f>I55/$AR$41</f>
        <v>0.32321976079118508</v>
      </c>
      <c r="L55" s="1216">
        <f t="shared" si="71"/>
        <v>0.68627677464218007</v>
      </c>
      <c r="M55" s="1216">
        <f t="shared" ref="M55" si="96" xml:space="preserve"> 116 * L56  - 16</f>
        <v>51.726490324936563</v>
      </c>
      <c r="N55" s="1215">
        <f>I55/100*  3.2406 + I56/100 * -1.5372 + I57/100 * -0.4986</f>
        <v>0.53349890318021687</v>
      </c>
      <c r="O55" s="1218">
        <f t="shared" si="73"/>
        <v>193.03598609620454</v>
      </c>
      <c r="Q55" s="655">
        <v>1897</v>
      </c>
      <c r="R55" s="725">
        <f t="shared" si="85"/>
        <v>115.70393226176807</v>
      </c>
      <c r="S55" s="827">
        <f t="shared" si="3"/>
        <v>0.45374091083046303</v>
      </c>
      <c r="T55" s="827">
        <f t="shared" si="4"/>
        <v>17.369450868795859</v>
      </c>
      <c r="U55" s="827">
        <f t="array" ref="U55:U57">MMULT($AR$25:$AT$27,T55:T57)</f>
        <v>10.127766651023702</v>
      </c>
      <c r="V55" s="827">
        <f>U55/$AR$41</f>
        <v>0.10655535315184805</v>
      </c>
      <c r="W55" s="827">
        <f t="shared" si="75"/>
        <v>0.47408741222297146</v>
      </c>
      <c r="X55" s="827">
        <f xml:space="preserve"> 116 * W56  - 16</f>
        <v>31.599759266113729</v>
      </c>
      <c r="Y55" s="828">
        <f>SQRT(( ( M55-X55 ) ^ 2 ) + ( ( M56 - X56 ) ^ 2 ) + ( (M57 - X57 ) ^ 2 ))</f>
        <v>29.045624682969972</v>
      </c>
      <c r="Z55" s="441">
        <f t="shared" si="76"/>
        <v>193.03598609620454</v>
      </c>
      <c r="AA55" s="513">
        <f t="array" ref="AA55:AA57">MMULT(AQ14:AS16,Q55:Q57)</f>
        <v>182.35189145937238</v>
      </c>
      <c r="AB55" s="514">
        <f t="shared" si="77"/>
        <v>0.71510545670342107</v>
      </c>
      <c r="AC55" s="514">
        <f t="shared" si="78"/>
        <v>46.980169406398907</v>
      </c>
      <c r="AD55" s="514">
        <f t="array" ref="AD55:AD57">MMULT($AR$25:$AT$27,AC55:AC57)</f>
        <v>26.165743203480147</v>
      </c>
      <c r="AE55" s="514">
        <f>AD55/$AR$41</f>
        <v>0.27529267839574262</v>
      </c>
      <c r="AF55" s="514">
        <f t="shared" si="79"/>
        <v>0.65052634164154344</v>
      </c>
      <c r="AG55" s="514">
        <f xml:space="preserve"> 116 * AF56  - 16</f>
        <v>47.926364520633996</v>
      </c>
      <c r="AH55" s="515">
        <f>SQRT(( ( M55-AG55 ) ^ 2 ) + ( ( M56 - AG56 ) ^ 2 ) + ( (M57 - AG57 ) ^ 2 ))</f>
        <v>5.8937717617965202</v>
      </c>
    </row>
    <row r="56" spans="1:65">
      <c r="A56" s="94"/>
      <c r="B56" s="95"/>
      <c r="C56" s="1410"/>
      <c r="D56" s="383">
        <f t="shared" si="0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IF(F56^3&gt;0.008856,F56^3*$AR$38, (F56- 16 / 116 ) / 7.787*$AR$38)</f>
        <v>20.08661574027834</v>
      </c>
      <c r="H56" s="1220">
        <f>G56/SUM(G55:G57)</f>
        <v>0.26879865517441731</v>
      </c>
      <c r="I56" s="1220">
        <v>19.902230133562615</v>
      </c>
      <c r="J56" s="1220">
        <f>I56/SUM(I55:I57)</f>
        <v>0.24290812562439182</v>
      </c>
      <c r="K56" s="1220">
        <f>I56/$AR$42</f>
        <v>0.19902230133562615</v>
      </c>
      <c r="L56" s="1220">
        <f t="shared" si="71"/>
        <v>0.58384905452531521</v>
      </c>
      <c r="M56" s="1220">
        <f t="shared" ref="M56" si="97" xml:space="preserve"> 500 * (L55 - L56 )</f>
        <v>51.213860058432424</v>
      </c>
      <c r="N56" s="1219">
        <f xml:space="preserve"> I55/100 * -0.9689 + I56/100*  1.8758 + I57/100 *  0.0415</f>
        <v>8.8663191243852579E-2</v>
      </c>
      <c r="O56" s="1222">
        <f t="shared" si="73"/>
        <v>84.003503526946432</v>
      </c>
      <c r="Q56" s="656">
        <v>867.4</v>
      </c>
      <c r="R56" s="725">
        <f t="shared" si="87"/>
        <v>52.905424799081516</v>
      </c>
      <c r="S56" s="827">
        <f t="shared" si="3"/>
        <v>0.20747225411404516</v>
      </c>
      <c r="T56" s="827">
        <f t="shared" si="4"/>
        <v>3.5480869914740483</v>
      </c>
      <c r="U56" s="827">
        <v>6.9093994521508897</v>
      </c>
      <c r="V56" s="827">
        <f>U56/$AR$42</f>
        <v>6.9093994521508897E-2</v>
      </c>
      <c r="W56" s="827">
        <f t="shared" si="75"/>
        <v>0.41034275229408385</v>
      </c>
      <c r="X56" s="827">
        <f xml:space="preserve"> 500 * (W55 - W56 )</f>
        <v>31.872329964443807</v>
      </c>
      <c r="Y56" s="828"/>
      <c r="Z56" s="441">
        <f t="shared" si="76"/>
        <v>84.003503526946432</v>
      </c>
      <c r="AA56" s="513">
        <v>75.039635886262673</v>
      </c>
      <c r="AB56" s="514">
        <f t="shared" si="77"/>
        <v>0.29427308190691243</v>
      </c>
      <c r="AC56" s="514">
        <f t="shared" si="78"/>
        <v>7.0435301194606437</v>
      </c>
      <c r="AD56" s="514">
        <v>16.736554382199653</v>
      </c>
      <c r="AE56" s="514">
        <f>AD56/$AR$42</f>
        <v>0.16736554382199653</v>
      </c>
      <c r="AF56" s="514">
        <f t="shared" si="79"/>
        <v>0.55108934931581033</v>
      </c>
      <c r="AG56" s="514">
        <f xml:space="preserve"> 500 * (AF55 - AF56 )</f>
        <v>49.718496162866558</v>
      </c>
      <c r="AH56" s="515"/>
    </row>
    <row r="57" spans="1:65" ht="15.75" thickBot="1">
      <c r="A57" s="96"/>
      <c r="B57" s="97"/>
      <c r="C57" s="1410"/>
      <c r="D57" s="384">
        <f t="shared" si="0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IF(F57^3&gt;0.008856,F57^3*$AR$39, (F57- 16 / 116 ) / 7.787*$AR$39)</f>
        <v>23.564843957147154</v>
      </c>
      <c r="H57" s="1224">
        <f>G56</f>
        <v>20.08661574027834</v>
      </c>
      <c r="I57" s="1224">
        <v>31.309860486418504</v>
      </c>
      <c r="J57" s="1224">
        <f>I56</f>
        <v>19.902230133562615</v>
      </c>
      <c r="K57" s="1224">
        <f>I57/$AR$43</f>
        <v>0.28755508652791073</v>
      </c>
      <c r="L57" s="1224">
        <f t="shared" si="71"/>
        <v>0.66004521157065177</v>
      </c>
      <c r="M57" s="1224">
        <f t="shared" ref="M57" si="98" xml:space="preserve"> 200 * ( L56 - L57 )</f>
        <v>-15.239231409067312</v>
      </c>
      <c r="N57" s="1223">
        <f xml:space="preserve"> I55/100 *  0.0557 + I56/100 * -0.204 + I57/100 *  1.057</f>
        <v>0.30745631108135918</v>
      </c>
      <c r="O57" s="1226">
        <f t="shared" si="73"/>
        <v>150.55196979242695</v>
      </c>
      <c r="Q57" s="657">
        <v>1416.4</v>
      </c>
      <c r="R57" s="725">
        <f t="shared" si="89"/>
        <v>86.39064293915041</v>
      </c>
      <c r="S57" s="827">
        <f t="shared" si="3"/>
        <v>0.33878683505549179</v>
      </c>
      <c r="T57" s="827">
        <f t="shared" si="4"/>
        <v>9.3933598438864827</v>
      </c>
      <c r="U57" s="827">
        <v>9.6852711832606726</v>
      </c>
      <c r="V57" s="827">
        <f>U57/$AR$43</f>
        <v>8.8951178634503761E-2</v>
      </c>
      <c r="W57" s="827">
        <f t="shared" si="75"/>
        <v>0.44639285606730428</v>
      </c>
      <c r="X57" s="827">
        <f xml:space="preserve"> 200 * ( W56 - W57 )</f>
        <v>-7.210020754644086</v>
      </c>
      <c r="Y57" s="828"/>
      <c r="Z57" s="441">
        <f t="shared" si="76"/>
        <v>150.55196979242695</v>
      </c>
      <c r="AA57" s="513">
        <v>133.54431634742531</v>
      </c>
      <c r="AB57" s="514">
        <f t="shared" si="77"/>
        <v>0.52370320136245219</v>
      </c>
      <c r="AC57" s="514">
        <f t="shared" si="78"/>
        <v>23.664003482521341</v>
      </c>
      <c r="AD57" s="514">
        <v>24.235841871139439</v>
      </c>
      <c r="AE57" s="514">
        <f>AD57/$AR$43</f>
        <v>0.22258609581972796</v>
      </c>
      <c r="AF57" s="514">
        <f t="shared" si="79"/>
        <v>0.60603728509943777</v>
      </c>
      <c r="AG57" s="514">
        <f xml:space="preserve"> 200 * ( AF56 - AF57 )</f>
        <v>-10.989587156725488</v>
      </c>
      <c r="AH57" s="515"/>
    </row>
    <row r="58" spans="1:65">
      <c r="A58" s="92">
        <v>18</v>
      </c>
      <c r="B58" s="93" t="s">
        <v>127</v>
      </c>
      <c r="C58" s="1397"/>
      <c r="D58" s="382">
        <f t="shared" si="0"/>
        <v>0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IF(F58^3&gt;0.008856,F58^3*$AR$37, (F58- 16 / 116 ) / 7.787*$AR$37)</f>
        <v>13.608750149830058</v>
      </c>
      <c r="H58" s="1216">
        <f>G58/SUM(G58:G60)</f>
        <v>0.21312678234962057</v>
      </c>
      <c r="I58" s="1216">
        <f t="array" ref="I58:I60">MMULT($AR$48:$AT$50,G58:G60)</f>
        <v>14.513962671267748</v>
      </c>
      <c r="J58" s="1216">
        <f>I58/SUM(I58:I60)</f>
        <v>0.19301690833904903</v>
      </c>
      <c r="K58" s="1216">
        <f>I58/$AR$41</f>
        <v>0.15270300663111669</v>
      </c>
      <c r="L58" s="1216">
        <f t="shared" si="71"/>
        <v>0.53450182948811376</v>
      </c>
      <c r="M58" s="1216">
        <f t="shared" ref="M58" si="99" xml:space="preserve"> 116 * L59  - 16</f>
        <v>51.562892750533919</v>
      </c>
      <c r="N58" s="1215">
        <f>I58/100*  3.2406 + I59/100 * -1.5372 + I60/100 * -0.4986</f>
        <v>-3.7427884985883397E-2</v>
      </c>
      <c r="O58" s="1218">
        <v>0</v>
      </c>
      <c r="Q58" s="655">
        <v>351</v>
      </c>
      <c r="R58" s="726">
        <f t="shared" si="85"/>
        <v>27.426916712630998</v>
      </c>
      <c r="S58" s="829">
        <f t="shared" si="3"/>
        <v>0.1075565361279647</v>
      </c>
      <c r="T58" s="829">
        <f t="shared" si="4"/>
        <v>1.1235819255833266</v>
      </c>
      <c r="U58" s="829">
        <f t="array" ref="U58:U60">MMULT($AR$25:$AT$27,T58:T60)</f>
        <v>8.9297481173084172</v>
      </c>
      <c r="V58" s="829">
        <f>U58/$AR$41</f>
        <v>9.3950867647673436E-2</v>
      </c>
      <c r="W58" s="829">
        <f t="shared" si="75"/>
        <v>0.45460436186739339</v>
      </c>
      <c r="X58" s="829">
        <f xml:space="preserve"> 116 * W59  - 16</f>
        <v>39.789968847951926</v>
      </c>
      <c r="Y58" s="830">
        <f>SQRT(( ( M58-X58 ) ^ 2 ) + ( ( M59 - X59 ) ^ 2 ) + ( (M60 - X60 ) ^ 2 ))</f>
        <v>17.686902657285046</v>
      </c>
      <c r="Z58" s="442">
        <f t="shared" si="76"/>
        <v>0</v>
      </c>
      <c r="AA58" s="516">
        <f t="array" ref="AA58:AA60">MMULT(AQ14:AS16,Q58:Q60)</f>
        <v>25.70698726952952</v>
      </c>
      <c r="AB58" s="517">
        <f t="shared" si="77"/>
        <v>0.10081171478246871</v>
      </c>
      <c r="AC58" s="517">
        <f t="shared" si="78"/>
        <v>1.0149259437888634</v>
      </c>
      <c r="AD58" s="517">
        <f t="array" ref="AD58:AD60">MMULT($AR$25:$AT$27,AC58:AC60)</f>
        <v>7.7162393402263376</v>
      </c>
      <c r="AE58" s="517">
        <f>AD58/$AR$41</f>
        <v>8.1183407579685188E-2</v>
      </c>
      <c r="AF58" s="517">
        <f t="shared" si="79"/>
        <v>0.43300119220832306</v>
      </c>
      <c r="AG58" s="517">
        <f xml:space="preserve"> 116 * AF59  - 16</f>
        <v>34.622670373361679</v>
      </c>
      <c r="AH58" s="518">
        <f>SQRT(( ( M58-AG58 ) ^ 2 ) + ( ( M59 - AG59 ) ^ 2 ) + ( (M60 - AG60 ) ^ 2 ))</f>
        <v>28.150846457482032</v>
      </c>
      <c r="BJ58"/>
      <c r="BL58" s="42"/>
      <c r="BM58" s="42"/>
    </row>
    <row r="59" spans="1:65">
      <c r="A59" s="94"/>
      <c r="B59" s="95"/>
      <c r="C59" s="1397"/>
      <c r="D59" s="383">
        <f t="shared" si="0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IF(F59^3&gt;0.008856,F59^3*$AR$38, (F59- 16 / 116 ) / 7.787*$AR$38)</f>
        <v>19.301416385132129</v>
      </c>
      <c r="H59" s="1220">
        <f>G59/SUM(G58:G60)</f>
        <v>0.30227968943972605</v>
      </c>
      <c r="I59" s="1220">
        <v>19.758352992191142</v>
      </c>
      <c r="J59" s="1220">
        <f>I59/SUM(I58:I60)</f>
        <v>0.2627605082638137</v>
      </c>
      <c r="K59" s="1220">
        <f>I59/$AR$42</f>
        <v>0.19758352992191142</v>
      </c>
      <c r="L59" s="1220">
        <f t="shared" si="71"/>
        <v>0.58243873060805107</v>
      </c>
      <c r="M59" s="1220">
        <f t="shared" ref="M59" si="100" xml:space="preserve"> 500 * (L58 - L59 )</f>
        <v>-23.968450559968659</v>
      </c>
      <c r="N59" s="1219">
        <f xml:space="preserve"> I58/100 * -0.9689 + I59/100*  1.8758 + I60/100 *  0.0415</f>
        <v>0.24698443604398265</v>
      </c>
      <c r="O59" s="1222">
        <f t="shared" ref="O59:O60" si="101">IF(N59&gt; 0.0031308,(1.055 * (N59^ ( 1 / 2.4 ) ) - 0.055)*255, 12.92 * N59*255)</f>
        <v>136.1986469903801</v>
      </c>
      <c r="Q59" s="656">
        <v>1297</v>
      </c>
      <c r="R59" s="726">
        <f t="shared" si="87"/>
        <v>101.34675491818348</v>
      </c>
      <c r="S59" s="829">
        <f t="shared" si="3"/>
        <v>0.39743825458111171</v>
      </c>
      <c r="T59" s="829">
        <f t="shared" si="4"/>
        <v>13.108000847338861</v>
      </c>
      <c r="U59" s="829">
        <v>11.12485576583329</v>
      </c>
      <c r="V59" s="829">
        <f>U59/$AR$42</f>
        <v>0.1112485576583329</v>
      </c>
      <c r="W59" s="829">
        <f t="shared" si="75"/>
        <v>0.48094800730993037</v>
      </c>
      <c r="X59" s="829">
        <f xml:space="preserve"> 500 * (W58 - W59 )</f>
        <v>-13.171822721268489</v>
      </c>
      <c r="Y59" s="830"/>
      <c r="Z59" s="442">
        <f t="shared" si="76"/>
        <v>136.1986469903801</v>
      </c>
      <c r="AA59" s="516">
        <v>84.833097170184161</v>
      </c>
      <c r="AB59" s="517">
        <f t="shared" si="77"/>
        <v>0.33267881243209474</v>
      </c>
      <c r="AC59" s="517">
        <f t="shared" si="78"/>
        <v>9.0474680122235984</v>
      </c>
      <c r="AD59" s="517">
        <v>8.3111512221217136</v>
      </c>
      <c r="AE59" s="517">
        <f>AD59/$AR$42</f>
        <v>8.311151222121714E-2</v>
      </c>
      <c r="AF59" s="517">
        <f t="shared" si="79"/>
        <v>0.43640233080484203</v>
      </c>
      <c r="AG59" s="517">
        <f xml:space="preserve"> 500 * (AF58 - AF59 )</f>
        <v>-1.7005692982594856</v>
      </c>
      <c r="AH59" s="518"/>
    </row>
    <row r="60" spans="1:65" ht="15.75" thickBot="1">
      <c r="A60" s="96"/>
      <c r="B60" s="97"/>
      <c r="C60" s="1398"/>
      <c r="D60" s="384">
        <f t="shared" si="0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IF(F60^3&gt;0.008856,F60^3*$AR$39, (F60- 16 / 116 ) / 7.787*$AR$39)</f>
        <v>30.942672605197082</v>
      </c>
      <c r="H60" s="1224">
        <f>G59</f>
        <v>19.301416385132129</v>
      </c>
      <c r="I60" s="1224">
        <v>40.922975755119111</v>
      </c>
      <c r="J60" s="1224">
        <f>I59</f>
        <v>19.758352992191142</v>
      </c>
      <c r="K60" s="1224">
        <f>I60/$AR$43</f>
        <v>0.37584357296473381</v>
      </c>
      <c r="L60" s="1224">
        <f t="shared" si="71"/>
        <v>0.72166511030647063</v>
      </c>
      <c r="M60" s="1224">
        <f t="shared" ref="M60" si="102" xml:space="preserve"> 200 * ( L59 - L60 )</f>
        <v>-27.845275939683912</v>
      </c>
      <c r="N60" s="1223">
        <f xml:space="preserve"> I58/100 *  0.0557 + I59/100 * -0.204 + I60/100 *  1.057</f>
        <v>0.40033309083543522</v>
      </c>
      <c r="O60" s="1226">
        <f t="shared" si="101"/>
        <v>169.68590110948557</v>
      </c>
      <c r="Q60" s="657">
        <v>1615.4</v>
      </c>
      <c r="R60" s="727">
        <f t="shared" si="89"/>
        <v>126.22632836918551</v>
      </c>
      <c r="S60" s="831">
        <f t="shared" si="3"/>
        <v>0.49500520929092356</v>
      </c>
      <c r="T60" s="831">
        <f t="shared" si="4"/>
        <v>20.944713484664355</v>
      </c>
      <c r="U60" s="831">
        <v>21.487939155388872</v>
      </c>
      <c r="V60" s="831">
        <f>U60/$AR$43</f>
        <v>0.19734888968331946</v>
      </c>
      <c r="W60" s="831">
        <f t="shared" si="75"/>
        <v>0.58220808099074572</v>
      </c>
      <c r="X60" s="831">
        <f xml:space="preserve"> 200 * ( W59 - W60 )</f>
        <v>-20.252014736163069</v>
      </c>
      <c r="Y60" s="832"/>
      <c r="Z60" s="443">
        <f t="shared" si="76"/>
        <v>169.68590110948557</v>
      </c>
      <c r="AA60" s="516">
        <v>130.51419576673862</v>
      </c>
      <c r="AB60" s="517">
        <f t="shared" si="77"/>
        <v>0.5118203755558377</v>
      </c>
      <c r="AC60" s="517">
        <f t="shared" si="78"/>
        <v>22.514545549006797</v>
      </c>
      <c r="AD60" s="517">
        <v>22.493673228875483</v>
      </c>
      <c r="AE60" s="517">
        <f>AD60/$AR$43</f>
        <v>0.20658572255425994</v>
      </c>
      <c r="AF60" s="517">
        <f t="shared" si="79"/>
        <v>0.59115327668005291</v>
      </c>
      <c r="AG60" s="517">
        <f xml:space="preserve"> 200 * ( AF59 - AF60 )</f>
        <v>-30.950189175042176</v>
      </c>
      <c r="AH60" s="518"/>
    </row>
    <row r="61" spans="1:65" ht="15.75" customHeight="1" thickBot="1">
      <c r="A61" s="1390" t="s">
        <v>128</v>
      </c>
      <c r="B61" s="1391"/>
      <c r="C61" s="1391"/>
      <c r="D61" s="1391"/>
      <c r="E61" s="1391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Q61" s="658"/>
      <c r="R61" s="419"/>
      <c r="S61" s="797">
        <f t="shared" si="3"/>
        <v>0</v>
      </c>
      <c r="T61" s="797">
        <f t="shared" si="4"/>
        <v>0</v>
      </c>
      <c r="U61" s="797"/>
      <c r="V61" s="797"/>
      <c r="W61" s="797"/>
      <c r="X61" s="797"/>
      <c r="Y61" s="800"/>
      <c r="Z61" s="419"/>
      <c r="AA61" s="184"/>
      <c r="AB61" s="330"/>
      <c r="AC61" s="330"/>
      <c r="AD61" s="330"/>
      <c r="AE61" s="330"/>
      <c r="AF61" s="330"/>
      <c r="AG61" s="330"/>
      <c r="AH61" s="381"/>
    </row>
    <row r="62" spans="1:65">
      <c r="A62" s="92">
        <v>19</v>
      </c>
      <c r="B62" s="93" t="s">
        <v>129</v>
      </c>
      <c r="C62" s="1399"/>
      <c r="D62" s="382">
        <f t="shared" si="0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IF(F62^3&gt;0.008856,F62^3*$AR$37, (F62- 16 / 116 ) / 7.787*$AR$37)</f>
        <v>87.815122906722792</v>
      </c>
      <c r="H62" s="1216">
        <f>G62/SUM(G62:G64)</f>
        <v>0.34694698652697464</v>
      </c>
      <c r="I62" s="1216">
        <f t="array" ref="I62:I64">MMULT($AR$48:$AT$50,G62:G64)</f>
        <v>86.483089485732179</v>
      </c>
      <c r="J62" s="1216">
        <f>I62/SUM(I62:I64)</f>
        <v>0.31406139191257065</v>
      </c>
      <c r="K62" s="1216">
        <f>I62/$AR$41</f>
        <v>0.90989815023864173</v>
      </c>
      <c r="L62" s="1217">
        <f t="shared" ref="L62:L79" si="103">IF(K62&gt;0.008856,K62^(1/3),7.787*K62+16/116)</f>
        <v>0.96901595398130502</v>
      </c>
      <c r="M62" s="1217">
        <f t="shared" ref="M62" si="104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ref="O62:O79" si="105">IF(N62&gt; 0.0031308,(1.055 * (N62^ ( 1 / 2.4 ) ) - 0.055)*255, 12.92 * N62*255)</f>
        <v>244.94459763984261</v>
      </c>
      <c r="Q62" s="1328">
        <v>4208.3999000000003</v>
      </c>
      <c r="R62" s="728">
        <f t="shared" ref="R62" si="106">Q62/SUM(Q62:Q64)*255</f>
        <v>76.220718363145579</v>
      </c>
      <c r="S62" s="833">
        <f t="shared" si="3"/>
        <v>0.29890477789468856</v>
      </c>
      <c r="T62" s="833">
        <f t="shared" si="4"/>
        <v>7.2697841957417131</v>
      </c>
      <c r="U62" s="833">
        <f t="array" ref="U62:U64">MMULT($AR$25:$AT$27,T62:T64)</f>
        <v>8.5068006417328697</v>
      </c>
      <c r="V62" s="833">
        <f>U62/$AR$41</f>
        <v>8.9500990475584394E-2</v>
      </c>
      <c r="W62" s="833">
        <f t="shared" ref="W62:W79" si="107">IF(V62&gt;0.008856,V62^(1/3),7.787*V62+16/116)</f>
        <v>0.44731069337611012</v>
      </c>
      <c r="X62" s="833">
        <f xml:space="preserve"> 116 * W63  - 16</f>
        <v>37.450830058765902</v>
      </c>
      <c r="Y62" s="834">
        <f>SQRT(( ( M62-X62 ) ^ 2 ) + ( ( M63 - X63 ) ^ 2 ) + ( (M64 - X64 ) ^ 2 ))</f>
        <v>59.410061656493639</v>
      </c>
      <c r="Z62" s="444">
        <f t="shared" ref="Z62:Z79" si="108">O62</f>
        <v>244.94459763984261</v>
      </c>
      <c r="AA62" s="455">
        <f t="array" ref="AA62:AA64">MMULT($AQ$14:$AS$16,Q62:Q64)</f>
        <v>334.58537753669373</v>
      </c>
      <c r="AB62" s="456">
        <f t="shared" ref="AB62:AB79" si="109">AA62/255</f>
        <v>1.31209951975174</v>
      </c>
      <c r="AC62" s="456">
        <f t="shared" ref="AC62:AC79" si="110">IF(AB62&gt;0.04045,(((AB62+0.055)/1.055 )^2.4)*100, AB62/12.92*100)</f>
        <v>186.25777500080548</v>
      </c>
      <c r="AD62" s="456">
        <f t="array" ref="AD62:AD64">MMULT($AR$25:$AT$27,AC62:AC64)</f>
        <v>191.19781470477696</v>
      </c>
      <c r="AE62" s="456">
        <f>AD62/$AR$41</f>
        <v>2.0116133566001766</v>
      </c>
      <c r="AF62" s="456">
        <f t="shared" ref="AF62:AF79" si="111">IF(AE62&gt;0.008856,AE62^(1/3),7.787*AE62+16/116)</f>
        <v>1.262354996980473</v>
      </c>
      <c r="AG62" s="456">
        <f xml:space="preserve"> 116 * AF63  - 16</f>
        <v>132.23494731058238</v>
      </c>
      <c r="AH62" s="457">
        <f>SQRT(( ( M62-AG62 ) ^ 2 ) + ( ( M63 - AG63 ) ^ 2 ) + ( (M64 - AG64 ) ^ 2 ))</f>
        <v>36.43557135012901</v>
      </c>
    </row>
    <row r="63" spans="1:65">
      <c r="A63" s="94"/>
      <c r="B63" s="95"/>
      <c r="C63" s="1400"/>
      <c r="D63" s="383">
        <f t="shared" si="0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IF(F63^3&gt;0.008856,F63^3*$AR$38, (F63- 16 / 116 ) / 7.787*$AR$38)</f>
        <v>91.313541686750369</v>
      </c>
      <c r="H63" s="1220">
        <f>G63/SUM(G62:G64)</f>
        <v>0.36076881827034307</v>
      </c>
      <c r="I63" s="1220">
        <v>91.291238095968254</v>
      </c>
      <c r="J63" s="1220">
        <f>I63/SUM(I62:I64)</f>
        <v>0.33152207531359967</v>
      </c>
      <c r="K63" s="1220">
        <f>I63/$AR$42</f>
        <v>0.91291238095968252</v>
      </c>
      <c r="L63" s="1221">
        <f t="shared" si="103"/>
        <v>0.97008479825486504</v>
      </c>
      <c r="M63" s="1221">
        <f t="shared" ref="M63" si="112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105"/>
        <v>245.22561578043522</v>
      </c>
      <c r="Q63" s="1329">
        <v>5044</v>
      </c>
      <c r="R63" s="729">
        <f t="shared" ref="R63" si="113">Q63/SUM(Q62:Q64)*255</f>
        <v>91.354745879474578</v>
      </c>
      <c r="S63" s="835">
        <f t="shared" si="3"/>
        <v>0.35825390540970425</v>
      </c>
      <c r="T63" s="835">
        <f t="shared" si="4"/>
        <v>10.546656865581991</v>
      </c>
      <c r="U63" s="835">
        <v>9.7833906247675486</v>
      </c>
      <c r="V63" s="835">
        <f>U63/$AR$42</f>
        <v>9.7833906247675489E-2</v>
      </c>
      <c r="W63" s="835">
        <f t="shared" si="107"/>
        <v>0.46078301774798192</v>
      </c>
      <c r="X63" s="835">
        <f xml:space="preserve"> 500 * (W62 - W63 )</f>
        <v>-6.7361621859358953</v>
      </c>
      <c r="Y63" s="836"/>
      <c r="Z63" s="445">
        <f t="shared" si="108"/>
        <v>245.22561578043522</v>
      </c>
      <c r="AA63" s="455">
        <v>356.45516787328489</v>
      </c>
      <c r="AB63" s="456">
        <f t="shared" si="109"/>
        <v>1.3978634034246467</v>
      </c>
      <c r="AC63" s="456">
        <f t="shared" si="110"/>
        <v>215.54282930926013</v>
      </c>
      <c r="AD63" s="456">
        <v>208.67856535913617</v>
      </c>
      <c r="AE63" s="456">
        <f>AD63/$AR$42</f>
        <v>2.0867856535913618</v>
      </c>
      <c r="AF63" s="456">
        <f t="shared" si="111"/>
        <v>1.2778874768153654</v>
      </c>
      <c r="AG63" s="456">
        <f xml:space="preserve"> 500 * (AF62 - AF63 )</f>
        <v>-7.7662399174461827</v>
      </c>
      <c r="AH63" s="457"/>
    </row>
    <row r="64" spans="1:65" ht="15.75" thickBot="1">
      <c r="A64" s="96"/>
      <c r="B64" s="97"/>
      <c r="C64" s="1400"/>
      <c r="D64" s="384">
        <f t="shared" si="0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IF(F64^3&gt;0.008856,F64^3*$AR$39, (F64- 16 / 116 ) / 7.787*$AR$39)</f>
        <v>73.979522872784855</v>
      </c>
      <c r="H64" s="1224">
        <f>G63</f>
        <v>91.313541686750369</v>
      </c>
      <c r="I64" s="1224">
        <v>97.595685138002494</v>
      </c>
      <c r="J64" s="1224">
        <f>I63</f>
        <v>91.291238095968254</v>
      </c>
      <c r="K64" s="1224">
        <f>I64/$AR$43</f>
        <v>0.8963353796093283</v>
      </c>
      <c r="L64" s="1225">
        <f t="shared" si="103"/>
        <v>0.96417717527417512</v>
      </c>
      <c r="M64" s="1225">
        <f t="shared" ref="M64" si="114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105"/>
        <v>242.67159053813759</v>
      </c>
      <c r="Q64" s="1330">
        <v>4827</v>
      </c>
      <c r="R64" s="729">
        <f t="shared" ref="R64" si="115">Q64/SUM(Q62:Q64)*255</f>
        <v>87.424535757379829</v>
      </c>
      <c r="S64" s="835">
        <f t="shared" si="3"/>
        <v>0.34284131669560719</v>
      </c>
      <c r="T64" s="835">
        <f t="shared" si="4"/>
        <v>9.6271517480973436</v>
      </c>
      <c r="U64" s="835">
        <v>10.546352183323572</v>
      </c>
      <c r="V64" s="835">
        <f>U64/$AR$43</f>
        <v>9.6859493064331184E-2</v>
      </c>
      <c r="W64" s="835">
        <f t="shared" si="107"/>
        <v>0.45924813069484044</v>
      </c>
      <c r="X64" s="835">
        <f xml:space="preserve"> 200 * ( W63 - W64 )</f>
        <v>0.3069774106282952</v>
      </c>
      <c r="Y64" s="836"/>
      <c r="Z64" s="445">
        <f t="shared" si="108"/>
        <v>242.67159053813759</v>
      </c>
      <c r="AA64" s="455">
        <v>350.06585524032346</v>
      </c>
      <c r="AB64" s="456">
        <f t="shared" si="109"/>
        <v>1.3728072754522489</v>
      </c>
      <c r="AC64" s="456">
        <f t="shared" si="110"/>
        <v>206.72886217423644</v>
      </c>
      <c r="AD64" s="456">
        <v>225.7473554196292</v>
      </c>
      <c r="AE64" s="456">
        <f>AD64/$AR$43</f>
        <v>2.0733021263156712</v>
      </c>
      <c r="AF64" s="456">
        <f t="shared" si="111"/>
        <v>1.2751292195196455</v>
      </c>
      <c r="AG64" s="456">
        <f xml:space="preserve"> 200 * ( AF63 - AF64 )</f>
        <v>0.55165145914397584</v>
      </c>
      <c r="AH64" s="457"/>
    </row>
    <row r="65" spans="1:34">
      <c r="A65" s="92">
        <v>20</v>
      </c>
      <c r="B65" s="93" t="s">
        <v>130</v>
      </c>
      <c r="C65" s="1401"/>
      <c r="D65" s="382">
        <f t="shared" si="0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IF(F65^3&gt;0.008856,F65^3*$AR$37, (F65- 16 / 116 ) / 7.787*$AR$37)</f>
        <v>56.569247128485323</v>
      </c>
      <c r="H65" s="1216">
        <f>G65/SUM(G65:G67)</f>
        <v>0.34402428912881217</v>
      </c>
      <c r="I65" s="1216">
        <f t="array" ref="I65:I67">MMULT($AR$48:$AT$50,G65:G67)</f>
        <v>55.788819575678076</v>
      </c>
      <c r="J65" s="1216">
        <f>I65/SUM(I65:I67)</f>
        <v>0.31115296554234889</v>
      </c>
      <c r="K65" s="1216">
        <f>I65/$AR$41</f>
        <v>0.58696034146977893</v>
      </c>
      <c r="L65" s="1217">
        <f t="shared" si="103"/>
        <v>0.8372778192395478</v>
      </c>
      <c r="M65" s="1217">
        <f t="shared" ref="M65" si="116" xml:space="preserve"> 116 * L66  - 16</f>
        <v>81.264407867823977</v>
      </c>
      <c r="N65" s="1215">
        <f>I65/100*  3.2406 + I66/100 * -1.5372 + I67/100 * -0.4986</f>
        <v>0.57981984786745056</v>
      </c>
      <c r="O65" s="1218">
        <f t="shared" si="105"/>
        <v>200.34536911982687</v>
      </c>
      <c r="Q65" s="1328">
        <v>2945.2</v>
      </c>
      <c r="R65" s="730">
        <f t="shared" ref="R65:R77" si="117">Q65/SUM(Q65:Q67)*255</f>
        <v>74.406157620609505</v>
      </c>
      <c r="S65" s="837">
        <f t="shared" si="3"/>
        <v>0.29178885341415495</v>
      </c>
      <c r="T65" s="837">
        <f t="shared" si="4"/>
        <v>6.9238939668349415</v>
      </c>
      <c r="U65" s="837">
        <f t="array" ref="U65:U67">MMULT($AR$25:$AT$27,T65:T67)</f>
        <v>8.4448804240558974</v>
      </c>
      <c r="V65" s="837">
        <f>U65/$AR$41</f>
        <v>8.8849521016506547E-2</v>
      </c>
      <c r="W65" s="837">
        <f t="shared" si="107"/>
        <v>0.44622273828172393</v>
      </c>
      <c r="X65" s="837">
        <f xml:space="preserve"> 116 * W66  - 16</f>
        <v>37.405563787124002</v>
      </c>
      <c r="Y65" s="838">
        <f>SQRT(( ( M65-X65 ) ^ 2 ) + ( ( M66 - X66 ) ^ 2 ) + ( (M67 - X67 ) ^ 2 ))</f>
        <v>44.337950020893878</v>
      </c>
      <c r="Z65" s="446">
        <f t="shared" si="108"/>
        <v>200.34536911982687</v>
      </c>
      <c r="AA65" s="519">
        <f t="array" ref="AA65:AA67">MMULT($AQ$14:$AS$16,Q65:Q67)</f>
        <v>234.48921599198013</v>
      </c>
      <c r="AB65" s="520">
        <f t="shared" si="109"/>
        <v>0.91956555290972597</v>
      </c>
      <c r="AC65" s="520">
        <f t="shared" si="110"/>
        <v>82.668609534026913</v>
      </c>
      <c r="AD65" s="520">
        <f t="array" ref="AD65:AD67">MMULT($AR$25:$AT$27,AC65:AC67)</f>
        <v>88.500822615948778</v>
      </c>
      <c r="AE65" s="520">
        <f>AD65/$AR$41</f>
        <v>0.93112694367995608</v>
      </c>
      <c r="AF65" s="520">
        <f t="shared" si="111"/>
        <v>0.97649411724373281</v>
      </c>
      <c r="AG65" s="520">
        <f xml:space="preserve"> 116 * AF66  - 16</f>
        <v>98.698300414545088</v>
      </c>
      <c r="AH65" s="521">
        <f>SQRT(( ( M65-AG65 ) ^ 2 ) + ( ( M66 - AG66 ) ^ 2 ) + ( (M67 - AG67 ) ^ 2 ))</f>
        <v>18.610847139679827</v>
      </c>
    </row>
    <row r="66" spans="1:34">
      <c r="A66" s="94"/>
      <c r="B66" s="95"/>
      <c r="C66" s="1401"/>
      <c r="D66" s="383">
        <f t="shared" si="0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IF(F66^3&gt;0.008856,F66^3*$AR$38, (F66- 16 / 116 ) / 7.787*$AR$38)</f>
        <v>58.937083331214446</v>
      </c>
      <c r="H66" s="1220">
        <f>G66/SUM(G65:G67)</f>
        <v>0.35842421855631845</v>
      </c>
      <c r="I66" s="1220">
        <v>58.950551710216978</v>
      </c>
      <c r="J66" s="1220">
        <f>I66/SUM(I65:I67)</f>
        <v>0.32878700650960413</v>
      </c>
      <c r="K66" s="1220">
        <f>I66/$AR$42</f>
        <v>0.58950551710216981</v>
      </c>
      <c r="L66" s="1221">
        <f t="shared" si="103"/>
        <v>0.83848627472262049</v>
      </c>
      <c r="M66" s="1221">
        <f t="shared" ref="M66" si="118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105"/>
        <v>202.21765470389457</v>
      </c>
      <c r="Q66" s="1329">
        <v>3620.8</v>
      </c>
      <c r="R66" s="730">
        <f t="shared" ref="R66:R78" si="119">Q66/SUM(Q65:Q67)*255</f>
        <v>91.474200567942063</v>
      </c>
      <c r="S66" s="837">
        <f t="shared" si="3"/>
        <v>0.35872235516840023</v>
      </c>
      <c r="T66" s="837">
        <f t="shared" si="4"/>
        <v>10.575372382401879</v>
      </c>
      <c r="U66" s="837">
        <v>9.7585556870998218</v>
      </c>
      <c r="V66" s="837">
        <f>U66/$AR$42</f>
        <v>9.7585556870998222E-2</v>
      </c>
      <c r="W66" s="837">
        <f t="shared" si="107"/>
        <v>0.46039279126831034</v>
      </c>
      <c r="X66" s="837">
        <f xml:space="preserve"> 500 * (W65 - W66 )</f>
        <v>-7.0850264932932063</v>
      </c>
      <c r="Y66" s="838"/>
      <c r="Z66" s="446">
        <f t="shared" si="108"/>
        <v>202.21765470389457</v>
      </c>
      <c r="AA66" s="519">
        <v>255.22747704454628</v>
      </c>
      <c r="AB66" s="520">
        <f t="shared" si="109"/>
        <v>1.0008920668413579</v>
      </c>
      <c r="AC66" s="520">
        <f t="shared" si="110"/>
        <v>100.20305476596516</v>
      </c>
      <c r="AD66" s="520">
        <v>96.671171192464868</v>
      </c>
      <c r="AE66" s="520">
        <f>AD66/$AR$42</f>
        <v>0.96671171192464866</v>
      </c>
      <c r="AF66" s="520">
        <f t="shared" si="111"/>
        <v>0.98877845184952662</v>
      </c>
      <c r="AG66" s="520">
        <f xml:space="preserve"> 500 * (AF65 - AF66 )</f>
        <v>-6.1421673028969064</v>
      </c>
      <c r="AH66" s="521"/>
    </row>
    <row r="67" spans="1:34" ht="15.75" thickBot="1">
      <c r="A67" s="96"/>
      <c r="B67" s="97"/>
      <c r="C67" s="1401"/>
      <c r="D67" s="384">
        <f t="shared" si="0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IF(F67^3&gt;0.008856,F67^3*$AR$39, (F67- 16 / 116 ) / 7.787*$AR$39)</f>
        <v>48.92754504292278</v>
      </c>
      <c r="H67" s="1224">
        <f>G66</f>
        <v>58.937083331214446</v>
      </c>
      <c r="I67" s="1224">
        <v>64.557713279686695</v>
      </c>
      <c r="J67" s="1224">
        <f>I66</f>
        <v>58.950551710216978</v>
      </c>
      <c r="K67" s="1224">
        <f>I67/$AR$43</f>
        <v>0.59290902417904257</v>
      </c>
      <c r="L67" s="1225">
        <f t="shared" si="103"/>
        <v>0.84009684454997624</v>
      </c>
      <c r="M67" s="1225">
        <f t="shared" ref="M67" si="120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105"/>
        <v>202.39139072207513</v>
      </c>
      <c r="Q67" s="1330">
        <v>3527.6001000000001</v>
      </c>
      <c r="R67" s="730">
        <f t="shared" ref="R67:R79" si="121">Q67/SUM(Q65:Q67)*255</f>
        <v>89.119641811448432</v>
      </c>
      <c r="S67" s="837">
        <f t="shared" si="3"/>
        <v>0.34948879141744482</v>
      </c>
      <c r="T67" s="837">
        <f t="shared" si="4"/>
        <v>10.017738175082599</v>
      </c>
      <c r="U67" s="837">
        <v>10.914263319076147</v>
      </c>
      <c r="V67" s="837">
        <f>U67/$AR$43</f>
        <v>0.10023845154042547</v>
      </c>
      <c r="W67" s="837">
        <f t="shared" si="107"/>
        <v>0.46452752184410767</v>
      </c>
      <c r="X67" s="837">
        <f xml:space="preserve"> 200 * ( W66 - W67 )</f>
        <v>-0.82694611515946592</v>
      </c>
      <c r="Y67" s="838"/>
      <c r="Z67" s="446">
        <f t="shared" si="108"/>
        <v>202.39139072207513</v>
      </c>
      <c r="AA67" s="519">
        <v>258.26266802298466</v>
      </c>
      <c r="AB67" s="520">
        <f t="shared" si="109"/>
        <v>1.0127947765607241</v>
      </c>
      <c r="AC67" s="520">
        <f t="shared" si="110"/>
        <v>102.93540978587106</v>
      </c>
      <c r="AD67" s="520">
        <v>111.36165108822823</v>
      </c>
      <c r="AE67" s="520">
        <f>AD67/$AR$43</f>
        <v>1.0227643533722273</v>
      </c>
      <c r="AF67" s="520">
        <f t="shared" si="111"/>
        <v>1.0075312555895237</v>
      </c>
      <c r="AG67" s="520">
        <f xml:space="preserve"> 200 * ( AF66 - AF67 )</f>
        <v>-3.7505607479994207</v>
      </c>
      <c r="AH67" s="521"/>
    </row>
    <row r="68" spans="1:34">
      <c r="A68" s="92">
        <v>21</v>
      </c>
      <c r="B68" s="93" t="s">
        <v>131</v>
      </c>
      <c r="C68" s="1379"/>
      <c r="D68" s="382">
        <f t="shared" si="0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IF(F68^3&gt;0.008856,F68^3*$AR$37, (F68- 16 / 116 ) / 7.787*$AR$37)</f>
        <v>34.807647454138859</v>
      </c>
      <c r="H68" s="1216">
        <f>G68/SUM(G68:G70)</f>
        <v>0.34319113984126032</v>
      </c>
      <c r="I68" s="1216">
        <f t="array" ref="I68:I70">MMULT($AR$48:$AT$50,G68:G70)</f>
        <v>34.337921099816981</v>
      </c>
      <c r="J68" s="1216">
        <f>I68/SUM(I68:I70)</f>
        <v>0.31034444818578666</v>
      </c>
      <c r="K68" s="1216">
        <f>I68/$AR$41</f>
        <v>0.36127306595491687</v>
      </c>
      <c r="L68" s="1217">
        <f t="shared" si="103"/>
        <v>0.71221622249017846</v>
      </c>
      <c r="M68" s="1217">
        <f t="shared" ref="M68" si="122" xml:space="preserve"> 116 * L69  - 16</f>
        <v>66.775721536939102</v>
      </c>
      <c r="N68" s="1215">
        <f>I68/100*  3.2406 + I69/100 * -1.5372 + I70/100 * -0.4986</f>
        <v>0.35490601129233601</v>
      </c>
      <c r="O68" s="1218">
        <f t="shared" si="105"/>
        <v>160.69389383573181</v>
      </c>
      <c r="Q68" s="1328">
        <v>1724.2</v>
      </c>
      <c r="R68" s="731">
        <f t="shared" si="117"/>
        <v>73.378784338596091</v>
      </c>
      <c r="S68" s="839">
        <f t="shared" si="3"/>
        <v>0.28775993858272975</v>
      </c>
      <c r="T68" s="839">
        <f t="shared" si="4"/>
        <v>6.7324049726416426</v>
      </c>
      <c r="U68" s="839">
        <f t="array" ref="U68:U70">MMULT($AR$25:$AT$27,T68:T70)</f>
        <v>8.3954844884075257</v>
      </c>
      <c r="V68" s="839">
        <f>U68/$AR$41</f>
        <v>8.8329820913942855E-2</v>
      </c>
      <c r="W68" s="839">
        <f t="shared" si="107"/>
        <v>0.4453510186086227</v>
      </c>
      <c r="X68" s="839">
        <f xml:space="preserve"> 116 * W69  - 16</f>
        <v>37.271565300893492</v>
      </c>
      <c r="Y68" s="840">
        <f>SQRT(( ( M68-X68 ) ^ 2 ) + ( ( M69 - X69 ) ^ 2 ) + ( (M70 - X70 ) ^ 2 ))</f>
        <v>30.192524722459623</v>
      </c>
      <c r="Z68" s="447">
        <f t="shared" si="108"/>
        <v>160.69389383573181</v>
      </c>
      <c r="AA68" s="522">
        <f t="array" ref="AA68:AA70">MMULT($AQ$14:$AS$16,Q68:Q70)</f>
        <v>137.93071025450416</v>
      </c>
      <c r="AB68" s="523">
        <f t="shared" si="109"/>
        <v>0.54090474609609474</v>
      </c>
      <c r="AC68" s="523">
        <f t="shared" si="110"/>
        <v>25.387417400168566</v>
      </c>
      <c r="AD68" s="523">
        <f t="array" ref="AD68:AD70">MMULT($AR$25:$AT$27,AC68:AC70)</f>
        <v>27.622592324744083</v>
      </c>
      <c r="AE68" s="523">
        <f>AD68/$AR$41</f>
        <v>0.290620349140363</v>
      </c>
      <c r="AF68" s="523">
        <f t="shared" si="111"/>
        <v>0.6623822306974434</v>
      </c>
      <c r="AG68" s="523">
        <f xml:space="preserve"> 116 * AF69  - 16</f>
        <v>61.596705019446588</v>
      </c>
      <c r="AH68" s="524">
        <f>SQRT(( ( M68-AG68 ) ^ 2 ) + ( ( M69 - AG69 ) ^ 2 ) + ( (M70 - AG70 ) ^ 2 ))</f>
        <v>7.2977963124642997</v>
      </c>
    </row>
    <row r="69" spans="1:34">
      <c r="A69" s="94"/>
      <c r="B69" s="95"/>
      <c r="C69" s="1379"/>
      <c r="D69" s="383">
        <f t="shared" si="0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IF(F69^3&gt;0.008856,F69^3*$AR$38, (F69- 16 / 116 ) / 7.787*$AR$38)</f>
        <v>36.323018537500005</v>
      </c>
      <c r="H69" s="1220">
        <f>G69/SUM(G68:G70)</f>
        <v>0.35813216480039922</v>
      </c>
      <c r="I69" s="1220">
        <v>36.335819338953193</v>
      </c>
      <c r="J69" s="1220">
        <f>I69/SUM(I68:I70)</f>
        <v>0.32840135456499631</v>
      </c>
      <c r="K69" s="1220">
        <f>I69/$AR$42</f>
        <v>0.36335819338953196</v>
      </c>
      <c r="L69" s="1221">
        <f t="shared" si="103"/>
        <v>0.71358380635292329</v>
      </c>
      <c r="M69" s="1221">
        <f t="shared" ref="M69" si="123" xml:space="preserve"> 500 * (L68 - L69 )</f>
        <v>-0.68379193137241279</v>
      </c>
      <c r="N69" s="1219">
        <f xml:space="preserve"> I68/100 * -0.9689 + I69/100*  1.8758 + I70/100 *  0.0415</f>
        <v>0.36547506663615681</v>
      </c>
      <c r="O69" s="1222">
        <f t="shared" si="105"/>
        <v>162.84331466380013</v>
      </c>
      <c r="Q69" s="1329">
        <v>2141.8000000000002</v>
      </c>
      <c r="R69" s="731">
        <f t="shared" si="119"/>
        <v>91.151073133282154</v>
      </c>
      <c r="S69" s="839">
        <f t="shared" si="3"/>
        <v>0.35745518875796922</v>
      </c>
      <c r="T69" s="839">
        <f t="shared" si="4"/>
        <v>10.497801303261923</v>
      </c>
      <c r="U69" s="839">
        <v>9.6852850352784863</v>
      </c>
      <c r="V69" s="839">
        <f>U69/$AR$42</f>
        <v>9.6852850352784861E-2</v>
      </c>
      <c r="W69" s="839">
        <f t="shared" si="107"/>
        <v>0.45923763190425426</v>
      </c>
      <c r="X69" s="839">
        <f xml:space="preserve"> 500 * (W68 - W69 )</f>
        <v>-6.943306647815783</v>
      </c>
      <c r="Y69" s="840"/>
      <c r="Z69" s="447">
        <f t="shared" si="108"/>
        <v>162.84331466380013</v>
      </c>
      <c r="AA69" s="522">
        <v>150.87653782090726</v>
      </c>
      <c r="AB69" s="523">
        <f t="shared" si="109"/>
        <v>0.59167269733689121</v>
      </c>
      <c r="AC69" s="523">
        <f t="shared" si="110"/>
        <v>30.891354950741135</v>
      </c>
      <c r="AD69" s="523">
        <v>29.933387860636319</v>
      </c>
      <c r="AE69" s="523">
        <f>AD69/$AR$42</f>
        <v>0.29933387860636318</v>
      </c>
      <c r="AF69" s="523">
        <f t="shared" si="111"/>
        <v>0.66893711223660857</v>
      </c>
      <c r="AG69" s="523">
        <f xml:space="preserve"> 500 * (AF68 - AF69 )</f>
        <v>-3.2774407695825847</v>
      </c>
      <c r="AH69" s="524"/>
    </row>
    <row r="70" spans="1:34" ht="15.75" thickBot="1">
      <c r="A70" s="96"/>
      <c r="B70" s="97"/>
      <c r="C70" s="1379"/>
      <c r="D70" s="384">
        <f t="shared" ref="D70:D79" si="124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IF(F70^3&gt;0.008856,F70^3*$AR$39, (F70- 16 / 116 ) / 7.787*$AR$39)</f>
        <v>30.292836579665259</v>
      </c>
      <c r="H70" s="1224">
        <f>G69</f>
        <v>36.323018537500005</v>
      </c>
      <c r="I70" s="1224">
        <v>39.970807258312185</v>
      </c>
      <c r="J70" s="1224">
        <f>I69</f>
        <v>36.335819338953193</v>
      </c>
      <c r="K70" s="1224">
        <f>I70/$AR$43</f>
        <v>0.36709869546496871</v>
      </c>
      <c r="L70" s="1225">
        <f t="shared" si="103"/>
        <v>0.71602405656155932</v>
      </c>
      <c r="M70" s="1225">
        <f t="shared" ref="M70" si="125" xml:space="preserve"> 200 * ( L69 - L70 )</f>
        <v>-0.48805004172720601</v>
      </c>
      <c r="N70" s="1223">
        <f xml:space="preserve"> I68/100 *  0.0557 + I69/100 * -0.204 + I70/100 *  1.057</f>
        <v>0.36749258332149332</v>
      </c>
      <c r="O70" s="1226">
        <f t="shared" si="105"/>
        <v>163.24947770284862</v>
      </c>
      <c r="Q70" s="1330">
        <v>2125.8000000000002</v>
      </c>
      <c r="R70" s="731">
        <f t="shared" si="121"/>
        <v>90.470142528121784</v>
      </c>
      <c r="S70" s="839">
        <f t="shared" ref="S70:S79" si="126">R70/255</f>
        <v>0.35478487265930109</v>
      </c>
      <c r="T70" s="839">
        <f t="shared" ref="T70:T79" si="127">IF(S70&gt;0.04045,(((S70+0.055)/1.055 )^2.4)*100, S70/12.92*100)</f>
        <v>10.335424296248512</v>
      </c>
      <c r="U70" s="839">
        <v>11.203213661403526</v>
      </c>
      <c r="V70" s="839">
        <f>U70/$AR$43</f>
        <v>0.10289222065339425</v>
      </c>
      <c r="W70" s="839">
        <f t="shared" si="107"/>
        <v>0.46859125580085054</v>
      </c>
      <c r="X70" s="839">
        <f xml:space="preserve"> 200 * ( W69 - W70 )</f>
        <v>-1.870724779319255</v>
      </c>
      <c r="Y70" s="840"/>
      <c r="Z70" s="447">
        <f t="shared" si="108"/>
        <v>163.24947770284862</v>
      </c>
      <c r="AA70" s="522">
        <v>157.25372077391265</v>
      </c>
      <c r="AB70" s="523">
        <f t="shared" si="109"/>
        <v>0.61668125793691231</v>
      </c>
      <c r="AC70" s="523">
        <f t="shared" si="110"/>
        <v>33.836532381414557</v>
      </c>
      <c r="AD70" s="523">
        <v>36.327835620402873</v>
      </c>
      <c r="AE70" s="523">
        <f>AD70/$AR$43</f>
        <v>0.33364102403867341</v>
      </c>
      <c r="AF70" s="523">
        <f t="shared" si="111"/>
        <v>0.69357454956085018</v>
      </c>
      <c r="AG70" s="523">
        <f xml:space="preserve"> 200 * ( AF69 - AF70 )</f>
        <v>-4.9274874648483236</v>
      </c>
      <c r="AH70" s="524"/>
    </row>
    <row r="71" spans="1:34">
      <c r="A71" s="92">
        <v>22</v>
      </c>
      <c r="B71" s="93" t="s">
        <v>132</v>
      </c>
      <c r="C71" s="1380"/>
      <c r="D71" s="382">
        <f t="shared" si="124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IF(F71^3&gt;0.008856,F71^3*$AR$37, (F71- 16 / 116 ) / 7.787*$AR$37)</f>
        <v>18.43936121807641</v>
      </c>
      <c r="H71" s="1216">
        <f>G71/SUM(G71:G73)</f>
        <v>0.34459067138088834</v>
      </c>
      <c r="I71" s="1216">
        <f t="array" ref="I71:I73">MMULT($AR$48:$AT$50,G71:G73)</f>
        <v>18.184329325516259</v>
      </c>
      <c r="J71" s="1216">
        <f>I71/SUM(I71:I73)</f>
        <v>0.31167001185498577</v>
      </c>
      <c r="K71" s="1216">
        <f>I71/$AR$41</f>
        <v>0.19131934017397981</v>
      </c>
      <c r="L71" s="1217">
        <f t="shared" si="103"/>
        <v>0.57621729778570396</v>
      </c>
      <c r="M71" s="1217">
        <f t="shared" ref="M71" si="128" xml:space="preserve"> 116 * L72  - 16</f>
        <v>50.870690052543708</v>
      </c>
      <c r="N71" s="1215">
        <f>I71/100*  3.2406 + I72/100 * -1.5372 + I73/100 * -0.4986</f>
        <v>0.19007386551273386</v>
      </c>
      <c r="O71" s="1218">
        <f t="shared" si="105"/>
        <v>120.66757106732852</v>
      </c>
      <c r="Q71" s="1328">
        <v>927.6</v>
      </c>
      <c r="R71" s="732">
        <f t="shared" si="117"/>
        <v>73.752182589174367</v>
      </c>
      <c r="S71" s="841">
        <f t="shared" si="126"/>
        <v>0.28922424544774261</v>
      </c>
      <c r="T71" s="841">
        <f t="shared" si="127"/>
        <v>6.8016392337245488</v>
      </c>
      <c r="U71" s="841">
        <f t="array" ref="U71:U73">MMULT($AR$25:$AT$27,T71:T73)</f>
        <v>8.3782925600169182</v>
      </c>
      <c r="V71" s="841">
        <f>U71/$AR$41</f>
        <v>8.8148942733772953E-2</v>
      </c>
      <c r="W71" s="841">
        <f t="shared" si="107"/>
        <v>0.44504682036300952</v>
      </c>
      <c r="X71" s="841">
        <f xml:space="preserve"> 116 * W72  - 16</f>
        <v>37.088794726565048</v>
      </c>
      <c r="Y71" s="842">
        <f>SQRT(( ( M71-X71 ) ^ 2 ) + ( ( M72 - X72 ) ^ 2 ) + ( (M73 - X73 ) ^ 2 ))</f>
        <v>15.246255514277227</v>
      </c>
      <c r="Z71" s="448">
        <f t="shared" si="108"/>
        <v>120.66757106732852</v>
      </c>
      <c r="AA71" s="525">
        <f t="array" ref="AA71:AA73">MMULT($AQ$14:$AS$16,Q71:Q73)</f>
        <v>74.681745046178293</v>
      </c>
      <c r="AB71" s="526">
        <f t="shared" si="109"/>
        <v>0.29286958841638544</v>
      </c>
      <c r="AC71" s="526">
        <f t="shared" si="110"/>
        <v>6.9757933869179016</v>
      </c>
      <c r="AD71" s="526">
        <f t="array" ref="AD71:AD73">MMULT($AR$25:$AT$27,AC71:AC73)</f>
        <v>7.4092932953783457</v>
      </c>
      <c r="AE71" s="526">
        <f>AD71/$AR$41</f>
        <v>7.7953994291017556E-2</v>
      </c>
      <c r="AF71" s="526">
        <f t="shared" si="111"/>
        <v>0.42718184878916299</v>
      </c>
      <c r="AG71" s="526">
        <f xml:space="preserve"> 116 * AF72  - 16</f>
        <v>33.816088864787766</v>
      </c>
      <c r="AH71" s="527">
        <f>SQRT(( ( M71-AG71 ) ^ 2 ) + ( ( M72 - AG72 ) ^ 2 ) + ( (M73 - AG73 ) ^ 2 ))</f>
        <v>17.402629164004889</v>
      </c>
    </row>
    <row r="72" spans="1:34">
      <c r="A72" s="94"/>
      <c r="B72" s="95"/>
      <c r="C72" s="1380"/>
      <c r="D72" s="383">
        <f t="shared" si="124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IF(F72^3&gt;0.008856,F72^3*$AR$38, (F72- 16 / 116 ) / 7.787*$AR$38)</f>
        <v>19.154091120507889</v>
      </c>
      <c r="H72" s="1220">
        <f>G72/SUM(G71:G73)</f>
        <v>0.35794738444822705</v>
      </c>
      <c r="I72" s="1220">
        <v>19.157262348610743</v>
      </c>
      <c r="J72" s="1220">
        <f>I72/SUM(I71:I73)</f>
        <v>0.32834558131997932</v>
      </c>
      <c r="K72" s="1220">
        <f>I72/$AR$42</f>
        <v>0.19157262348610743</v>
      </c>
      <c r="L72" s="1221">
        <f t="shared" si="103"/>
        <v>0.57647146597020438</v>
      </c>
      <c r="M72" s="1221">
        <f t="shared" ref="M72" si="129" xml:space="preserve"> 500 * (L71 - L72 )</f>
        <v>-0.127084092250207</v>
      </c>
      <c r="N72" s="1219">
        <f xml:space="preserve"> I71/100 * -0.9689 + I72/100*  1.8758 + I73/100 *  0.0415</f>
        <v>0.1918802981706797</v>
      </c>
      <c r="O72" s="1222">
        <f t="shared" si="105"/>
        <v>121.19947386215865</v>
      </c>
      <c r="Q72" s="1329">
        <v>1137.5999999999999</v>
      </c>
      <c r="R72" s="732">
        <f t="shared" si="119"/>
        <v>90.448989773010723</v>
      </c>
      <c r="S72" s="841">
        <f t="shared" si="126"/>
        <v>0.35470192067847345</v>
      </c>
      <c r="T72" s="841">
        <f t="shared" si="127"/>
        <v>10.330403774546442</v>
      </c>
      <c r="U72" s="841">
        <v>9.5859383006245835</v>
      </c>
      <c r="V72" s="841">
        <f>U72/$AR$42</f>
        <v>9.585938300624583E-2</v>
      </c>
      <c r="W72" s="841">
        <f t="shared" si="107"/>
        <v>0.45766202350487112</v>
      </c>
      <c r="X72" s="841">
        <f xml:space="preserve"> 500 * (W71 - W72 )</f>
        <v>-6.3076015709307987</v>
      </c>
      <c r="Y72" s="842"/>
      <c r="Z72" s="448">
        <f t="shared" si="108"/>
        <v>121.19947386215865</v>
      </c>
      <c r="AA72" s="525">
        <v>80.291574047233823</v>
      </c>
      <c r="AB72" s="526">
        <f t="shared" si="109"/>
        <v>0.31486891783228949</v>
      </c>
      <c r="AC72" s="526">
        <f t="shared" si="110"/>
        <v>8.081814999644152</v>
      </c>
      <c r="AD72" s="526">
        <v>7.9201774981340165</v>
      </c>
      <c r="AE72" s="526">
        <f>AD72/$AR$42</f>
        <v>7.9201774981340164E-2</v>
      </c>
      <c r="AF72" s="526">
        <f t="shared" si="111"/>
        <v>0.42944904193782557</v>
      </c>
      <c r="AG72" s="526">
        <f xml:space="preserve"> 500 * (AF71 - AF72 )</f>
        <v>-1.1335965743312915</v>
      </c>
      <c r="AH72" s="527"/>
    </row>
    <row r="73" spans="1:34" ht="15.75" thickBot="1">
      <c r="A73" s="96"/>
      <c r="B73" s="97"/>
      <c r="C73" s="1380"/>
      <c r="D73" s="384">
        <f t="shared" si="124"/>
        <v>121.54290035174313</v>
      </c>
      <c r="E73" s="372">
        <v>-0.27</v>
      </c>
      <c r="F73" s="1223">
        <f>F72 - E73 / 200</f>
        <v>0.57778965517241365</v>
      </c>
      <c r="G73" s="1223">
        <f>IF(F73^3&gt;0.008856,F73^3*$AR$39, (F73- 16 / 116 ) / 7.787*$AR$39)</f>
        <v>15.917460026465561</v>
      </c>
      <c r="H73" s="1224">
        <f>G72</f>
        <v>19.154091120507889</v>
      </c>
      <c r="I73" s="1224">
        <v>21.003223784015592</v>
      </c>
      <c r="J73" s="1224">
        <f>I72</f>
        <v>19.157262348610743</v>
      </c>
      <c r="K73" s="1224">
        <f>I73/$AR$43</f>
        <v>0.19289718123137306</v>
      </c>
      <c r="L73" s="1225">
        <f t="shared" si="103"/>
        <v>0.57779701491624003</v>
      </c>
      <c r="M73" s="1225">
        <f t="shared" ref="M73" si="130" xml:space="preserve"> 200 * ( L72 - L73 )</f>
        <v>-0.26510978920712969</v>
      </c>
      <c r="N73" s="1223">
        <f xml:space="preserve"> I71/100 *  0.0557 + I72/100 * -0.204 + I73/100 *  1.057</f>
        <v>0.19305193164019147</v>
      </c>
      <c r="O73" s="1226">
        <f t="shared" si="105"/>
        <v>121.54290035174313</v>
      </c>
      <c r="Q73" s="1330">
        <v>1142</v>
      </c>
      <c r="R73" s="732">
        <f t="shared" si="121"/>
        <v>90.798827637814924</v>
      </c>
      <c r="S73" s="841">
        <f t="shared" si="126"/>
        <v>0.356073833873784</v>
      </c>
      <c r="T73" s="841">
        <f t="shared" si="127"/>
        <v>10.4136193111107</v>
      </c>
      <c r="U73" s="841">
        <v>11.258908826664321</v>
      </c>
      <c r="V73" s="841">
        <f>U73/$AR$43</f>
        <v>0.10340373452847847</v>
      </c>
      <c r="W73" s="841">
        <f t="shared" si="107"/>
        <v>0.4693664839137241</v>
      </c>
      <c r="X73" s="841">
        <f xml:space="preserve"> 200 * ( W72 - W73 )</f>
        <v>-2.3408920817705958</v>
      </c>
      <c r="Y73" s="842"/>
      <c r="Z73" s="448">
        <f t="shared" si="108"/>
        <v>121.54290035174313</v>
      </c>
      <c r="AA73" s="525">
        <v>85.077831290102196</v>
      </c>
      <c r="AB73" s="526">
        <f t="shared" si="109"/>
        <v>0.33363855407883214</v>
      </c>
      <c r="AC73" s="526">
        <f t="shared" si="110"/>
        <v>9.1013164080200823</v>
      </c>
      <c r="AD73" s="526">
        <v>9.7471752831396739</v>
      </c>
      <c r="AE73" s="526">
        <f>AD73/$AR$43</f>
        <v>8.9519716421660622E-2</v>
      </c>
      <c r="AF73" s="526">
        <f t="shared" si="111"/>
        <v>0.4473418875627721</v>
      </c>
      <c r="AG73" s="526">
        <f xml:space="preserve"> 200 * ( AF72 - AF73 )</f>
        <v>-3.5785691249893059</v>
      </c>
      <c r="AH73" s="527"/>
    </row>
    <row r="74" spans="1:34">
      <c r="A74" s="92">
        <v>23</v>
      </c>
      <c r="B74" s="93" t="s">
        <v>133</v>
      </c>
      <c r="C74" s="1381"/>
      <c r="D74" s="382">
        <f t="shared" si="124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IF(F74^3&gt;0.008856,F74^3*$AR$37, (F74- 16 / 116 ) / 7.787*$AR$37)</f>
        <v>8.4663972666156759</v>
      </c>
      <c r="H74" s="1216">
        <f>G74/SUM(G74:G76)</f>
        <v>0.34014730083358202</v>
      </c>
      <c r="I74" s="1216">
        <f t="array" ref="I74:I76">MMULT($AR$48:$AT$50,G74:G76)</f>
        <v>8.3664692366306088</v>
      </c>
      <c r="J74" s="1216">
        <f>I74/SUM(I74:I76)</f>
        <v>0.30728973096477313</v>
      </c>
      <c r="K74" s="1216">
        <f>I74/$AR$41</f>
        <v>8.8024548240666287E-2</v>
      </c>
      <c r="L74" s="1217">
        <f t="shared" si="103"/>
        <v>0.44483737396442985</v>
      </c>
      <c r="M74" s="1217">
        <f t="shared" ref="M74" si="131" xml:space="preserve"> 116 * L75  - 16</f>
        <v>35.671205048177505</v>
      </c>
      <c r="N74" s="1215">
        <f>I74/100*  3.2406 + I75/100 * -1.5372 + I76/100 * -0.4986</f>
        <v>8.5291721079064992E-2</v>
      </c>
      <c r="O74" s="1218">
        <f t="shared" si="105"/>
        <v>82.432760070363386</v>
      </c>
      <c r="Q74" s="1328">
        <v>424</v>
      </c>
      <c r="R74" s="733">
        <f t="shared" si="117"/>
        <v>71.735668789808912</v>
      </c>
      <c r="S74" s="843">
        <f t="shared" si="126"/>
        <v>0.28131634819532908</v>
      </c>
      <c r="T74" s="843">
        <f t="shared" si="127"/>
        <v>6.4326399819894382</v>
      </c>
      <c r="U74" s="843">
        <f t="array" ref="U74:U76">MMULT($AR$25:$AT$27,T74:T76)</f>
        <v>8.2962487725642475</v>
      </c>
      <c r="V74" s="843">
        <f>U74/$AR$41</f>
        <v>8.728575097124841E-2</v>
      </c>
      <c r="W74" s="843">
        <f t="shared" si="107"/>
        <v>0.44358935697251828</v>
      </c>
      <c r="X74" s="843">
        <f xml:space="preserve"> 116 * W75  - 16</f>
        <v>36.88472738451167</v>
      </c>
      <c r="Y74" s="844">
        <f>SQRT(( ( M74-X74 ) ^ 2 ) + ( ( M75 - X75 ) ^ 2 ) + ( (M76 - X76 ) ^ 2 ))</f>
        <v>6.6782998844132804</v>
      </c>
      <c r="Z74" s="449">
        <f t="shared" si="108"/>
        <v>82.432760070363386</v>
      </c>
      <c r="AA74" s="528">
        <f t="array" ref="AA74:AA76">MMULT($AQ$14:$AS$16,Q74:Q76)</f>
        <v>34.403166248977215</v>
      </c>
      <c r="AB74" s="529">
        <f t="shared" si="109"/>
        <v>0.13491437744696946</v>
      </c>
      <c r="AC74" s="529">
        <f t="shared" si="110"/>
        <v>1.6320479825470717</v>
      </c>
      <c r="AD74" s="529">
        <f t="array" ref="AD74:AD76">MMULT($AR$25:$AT$27,AC74:AC76)</f>
        <v>1.7630717480228042</v>
      </c>
      <c r="AE74" s="529">
        <f>AD74/$AR$41</f>
        <v>1.8549472871556224E-2</v>
      </c>
      <c r="AF74" s="529">
        <f t="shared" si="111"/>
        <v>0.26471417085443993</v>
      </c>
      <c r="AG74" s="529">
        <f xml:space="preserve"> 116 * AF75  - 16</f>
        <v>14.766794907971246</v>
      </c>
      <c r="AH74" s="530">
        <f>SQRT(( ( M74-AG74 ) ^ 2 ) + ( ( M75 - AG75 ) ^ 2 ) + ( (M76 - AG76 ) ^ 2 ))</f>
        <v>21.007240321654383</v>
      </c>
    </row>
    <row r="75" spans="1:34">
      <c r="A75" s="94"/>
      <c r="B75" s="95"/>
      <c r="C75" s="1381"/>
      <c r="D75" s="383">
        <f t="shared" si="124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IF(F75^3&gt;0.008856,F75^3*$AR$38, (F75- 16 / 116 ) / 7.787*$AR$38)</f>
        <v>8.830562171241132</v>
      </c>
      <c r="H75" s="1220">
        <f>G75/SUM(G74:G76)</f>
        <v>0.35477804700174326</v>
      </c>
      <c r="I75" s="1220">
        <v>8.8383623483462674</v>
      </c>
      <c r="J75" s="1220">
        <f>I75/SUM(I74:I76)</f>
        <v>0.32462176234407364</v>
      </c>
      <c r="K75" s="1220">
        <f>I75/$AR$42</f>
        <v>8.8383623483462681E-2</v>
      </c>
      <c r="L75" s="1221">
        <f t="shared" si="103"/>
        <v>0.44544142282911642</v>
      </c>
      <c r="M75" s="1221">
        <f t="shared" ref="M75" si="132" xml:space="preserve"> 500 * (L74 - L75 )</f>
        <v>-0.30202443234328413</v>
      </c>
      <c r="N75" s="1219">
        <f xml:space="preserve"> I74/100 * -0.9689 + I75/100*  1.8758 + I76/100 *  0.0415</f>
        <v>8.8886334170558357E-2</v>
      </c>
      <c r="O75" s="1222">
        <f t="shared" si="105"/>
        <v>84.106225276765315</v>
      </c>
      <c r="Q75" s="1329">
        <v>532</v>
      </c>
      <c r="R75" s="733">
        <f t="shared" si="119"/>
        <v>90.007961783439484</v>
      </c>
      <c r="S75" s="843">
        <f t="shared" si="126"/>
        <v>0.35297239915074308</v>
      </c>
      <c r="T75" s="843">
        <f t="shared" si="127"/>
        <v>10.226051480749787</v>
      </c>
      <c r="U75" s="843">
        <v>9.4758208678815432</v>
      </c>
      <c r="V75" s="843">
        <f>U75/$AR$42</f>
        <v>9.4758208678815431E-2</v>
      </c>
      <c r="W75" s="843">
        <f t="shared" si="107"/>
        <v>0.45590282228027301</v>
      </c>
      <c r="X75" s="843">
        <f xml:space="preserve"> 500 * (W74 - W75 )</f>
        <v>-6.1567326538773672</v>
      </c>
      <c r="Y75" s="844"/>
      <c r="Z75" s="449">
        <f t="shared" si="108"/>
        <v>84.106225276765315</v>
      </c>
      <c r="AA75" s="528">
        <v>37.48554225386038</v>
      </c>
      <c r="AB75" s="529">
        <f t="shared" si="109"/>
        <v>0.14700212648572697</v>
      </c>
      <c r="AC75" s="529">
        <f t="shared" si="110"/>
        <v>1.8925543312018285</v>
      </c>
      <c r="AD75" s="529">
        <v>1.8658331372559185</v>
      </c>
      <c r="AE75" s="529">
        <f>AD75/$AR$42</f>
        <v>1.8658331372559185E-2</v>
      </c>
      <c r="AF75" s="529">
        <f t="shared" si="111"/>
        <v>0.265230990585959</v>
      </c>
      <c r="AG75" s="529">
        <f xml:space="preserve"> 500 * (AF74 - AF75 )</f>
        <v>-0.25840986575953462</v>
      </c>
      <c r="AH75" s="530"/>
    </row>
    <row r="76" spans="1:34" ht="15.75" thickBot="1">
      <c r="A76" s="96"/>
      <c r="B76" s="97"/>
      <c r="C76" s="1381"/>
      <c r="D76" s="384">
        <f t="shared" si="124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IF(F76^3&gt;0.008856,F76^3*$AR$39, (F76- 16 / 116 ) / 7.787*$AR$39)</f>
        <v>7.5934255390855299</v>
      </c>
      <c r="H76" s="1224">
        <f>G75</f>
        <v>8.830562171241132</v>
      </c>
      <c r="I76" s="1224">
        <v>10.02181608191089</v>
      </c>
      <c r="J76" s="1224">
        <f>I75</f>
        <v>8.8383623483462674</v>
      </c>
      <c r="K76" s="1224">
        <f>I76/$AR$43</f>
        <v>9.2042064251636066E-2</v>
      </c>
      <c r="L76" s="1225">
        <f t="shared" si="103"/>
        <v>0.45150453490012216</v>
      </c>
      <c r="M76" s="1225">
        <f t="shared" ref="M76" si="133" xml:space="preserve"> 200 * ( L75 - L76 )</f>
        <v>-1.2126224142011477</v>
      </c>
      <c r="N76" s="1223">
        <f xml:space="preserve"> I74/100 *  0.0557 + I75/100 * -0.204 + I76/100 *  1.057</f>
        <v>9.2560460159974961E-2</v>
      </c>
      <c r="O76" s="1226">
        <f t="shared" si="105"/>
        <v>85.776392403274841</v>
      </c>
      <c r="Q76" s="1330">
        <v>551.20000000000005</v>
      </c>
      <c r="R76" s="733">
        <f t="shared" si="121"/>
        <v>93.256369426751604</v>
      </c>
      <c r="S76" s="843">
        <f t="shared" si="126"/>
        <v>0.36571125265392784</v>
      </c>
      <c r="T76" s="843">
        <f t="shared" si="127"/>
        <v>11.009206158426526</v>
      </c>
      <c r="U76" s="843">
        <v>11.805325296339293</v>
      </c>
      <c r="V76" s="843">
        <f>U76/$AR$43</f>
        <v>0.10842211636655211</v>
      </c>
      <c r="W76" s="843">
        <f t="shared" si="107"/>
        <v>0.47683994232330307</v>
      </c>
      <c r="X76" s="843">
        <f xml:space="preserve"> 200 * ( W75 - W76 )</f>
        <v>-4.187424008606011</v>
      </c>
      <c r="Y76" s="844"/>
      <c r="Z76" s="449">
        <f t="shared" si="108"/>
        <v>85.776392403274841</v>
      </c>
      <c r="AA76" s="528">
        <v>41.743114087069401</v>
      </c>
      <c r="AB76" s="529">
        <f t="shared" si="109"/>
        <v>0.16369848661595843</v>
      </c>
      <c r="AC76" s="529">
        <f t="shared" si="110"/>
        <v>2.289939262763661</v>
      </c>
      <c r="AD76" s="529">
        <v>2.4332698584896599</v>
      </c>
      <c r="AE76" s="529">
        <f>AD76/$AR$43</f>
        <v>2.234756443604291E-2</v>
      </c>
      <c r="AF76" s="529">
        <f t="shared" si="111"/>
        <v>0.28167181964020011</v>
      </c>
      <c r="AG76" s="529">
        <f xml:space="preserve"> 200 * ( AF75 - AF76 )</f>
        <v>-3.2881658108482203</v>
      </c>
      <c r="AH76" s="530"/>
    </row>
    <row r="77" spans="1:34">
      <c r="A77" s="92">
        <v>24</v>
      </c>
      <c r="B77" s="93" t="s">
        <v>134</v>
      </c>
      <c r="C77" s="1382"/>
      <c r="D77" s="382">
        <f t="shared" si="124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IF(F77^3&gt;0.008856,F77^3*$AR$37, (F77- 16 / 116 ) / 7.787*$AR$37)</f>
        <v>2.9897357488456109</v>
      </c>
      <c r="H77" s="1216">
        <f>G77/SUM(G77:G79)</f>
        <v>0.34057446099560401</v>
      </c>
      <c r="I77" s="1216">
        <f t="array" ref="I77:I79">MMULT($AR$48:$AT$50,G77:G79)</f>
        <v>2.9548703214714056</v>
      </c>
      <c r="J77" s="1216">
        <f>I77/SUM(I77:I79)</f>
        <v>0.30764660220912321</v>
      </c>
      <c r="K77" s="1216">
        <f>I77/$AR$41</f>
        <v>3.1088517485784988E-2</v>
      </c>
      <c r="L77" s="1217">
        <f t="shared" si="103"/>
        <v>0.31443677800446584</v>
      </c>
      <c r="M77" s="1217">
        <f t="shared" ref="M77" si="134" xml:space="preserve"> 116 * L78  - 16</f>
        <v>20.471432931123296</v>
      </c>
      <c r="N77" s="1215">
        <f>I77/100*  3.2406 + I78/100 * -1.5372 + I79/100 * -0.4986</f>
        <v>3.0319253007234818E-2</v>
      </c>
      <c r="O77" s="1218">
        <f t="shared" si="105"/>
        <v>48.661691226720095</v>
      </c>
      <c r="Q77" s="1328">
        <v>203</v>
      </c>
      <c r="R77" s="734">
        <f t="shared" si="117"/>
        <v>73.949999999999989</v>
      </c>
      <c r="S77" s="845">
        <f t="shared" si="126"/>
        <v>0.28999999999999998</v>
      </c>
      <c r="T77" s="845">
        <f t="shared" si="127"/>
        <v>6.8384854158166224</v>
      </c>
      <c r="U77" s="845">
        <f t="array" ref="U77:U79">MMULT($AR$25:$AT$27,T77:T79)</f>
        <v>8.2988982201527026</v>
      </c>
      <c r="V77" s="845">
        <f>U77/$AR$41</f>
        <v>8.7313626102377806E-2</v>
      </c>
      <c r="W77" s="845">
        <f t="shared" si="107"/>
        <v>0.44363657275631985</v>
      </c>
      <c r="X77" s="845">
        <f xml:space="preserve"> 116 * W78  - 16</f>
        <v>36.496631572376621</v>
      </c>
      <c r="Y77" s="846">
        <f>SQRT(( ( M77-X77 ) ^ 2 ) + ( ( M78 - X78 ) ^ 2 ) + ( (M79 - X79 ) ^ 2 ))</f>
        <v>16.995260569355217</v>
      </c>
      <c r="Z77" s="450">
        <f t="shared" si="108"/>
        <v>48.661691226720095</v>
      </c>
      <c r="AA77" s="531">
        <f t="array" ref="AA77:AA79">MMULT($AQ$14:$AS$16,Q77:Q79)</f>
        <v>16.684690629657119</v>
      </c>
      <c r="AB77" s="532">
        <f t="shared" si="109"/>
        <v>6.5430159331988702E-2</v>
      </c>
      <c r="AC77" s="532">
        <f t="shared" si="110"/>
        <v>0.54696397504278449</v>
      </c>
      <c r="AD77" s="532">
        <f t="array" ref="AD77:AD79">MMULT($AR$25:$AT$27,AC77:AC79)</f>
        <v>0.55051731806934046</v>
      </c>
      <c r="AE77" s="532">
        <f>AD77/$AR$41</f>
        <v>5.7920535952669782E-3</v>
      </c>
      <c r="AF77" s="532">
        <f t="shared" si="111"/>
        <v>0.18303375582910258</v>
      </c>
      <c r="AG77" s="532">
        <f xml:space="preserve"> 116 * AF78  - 16</f>
        <v>5.1646265928590154</v>
      </c>
      <c r="AH77" s="533">
        <f>SQRT(( ( M77-AG77 ) ^ 2 ) + ( ( M78 - AG78 ) ^ 2 ) + ( (M79 - AG79 ) ^ 2 ))</f>
        <v>15.314713973778797</v>
      </c>
    </row>
    <row r="78" spans="1:34">
      <c r="A78" s="94"/>
      <c r="B78" s="95"/>
      <c r="C78" s="1382"/>
      <c r="D78" s="383">
        <f t="shared" si="124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IF(F78^3&gt;0.008856,F78^3*$AR$38, (F78- 16 / 116 ) / 7.787*$AR$38)</f>
        <v>3.1053586043004144</v>
      </c>
      <c r="H78" s="1220">
        <f>G78/SUM(G77:G79)</f>
        <v>0.3537455888086547</v>
      </c>
      <c r="I78" s="1220">
        <v>3.1080250641062577</v>
      </c>
      <c r="J78" s="1220">
        <f>I78/SUM(I77:I79)</f>
        <v>0.32359232268336802</v>
      </c>
      <c r="K78" s="1220">
        <f>I78/$AR$42</f>
        <v>3.1080250641062578E-2</v>
      </c>
      <c r="L78" s="1221">
        <f t="shared" si="103"/>
        <v>0.31440890457864912</v>
      </c>
      <c r="M78" s="1221">
        <f t="shared" ref="M78" si="135" xml:space="preserve"> 500 * (L77 - L78 )</f>
        <v>1.3936712908363402E-2</v>
      </c>
      <c r="N78" s="1219">
        <f xml:space="preserve"> I77/100 * -0.9689 + I78/100*  1.8758 + I79/100 *  0.0415</f>
        <v>3.1140467456574263E-2</v>
      </c>
      <c r="O78" s="1222">
        <f t="shared" si="105"/>
        <v>49.363641330697085</v>
      </c>
      <c r="Q78" s="1329">
        <v>242.4</v>
      </c>
      <c r="R78" s="734">
        <f t="shared" si="119"/>
        <v>88.30285714285715</v>
      </c>
      <c r="S78" s="845">
        <f t="shared" si="126"/>
        <v>0.34628571428571431</v>
      </c>
      <c r="T78" s="845">
        <f t="shared" si="127"/>
        <v>9.8284034325665033</v>
      </c>
      <c r="U78" s="845">
        <v>9.2687324524564065</v>
      </c>
      <c r="V78" s="845">
        <f>U78/$AR$42</f>
        <v>9.268732452456406E-2</v>
      </c>
      <c r="W78" s="845">
        <f t="shared" si="107"/>
        <v>0.45255716872738466</v>
      </c>
      <c r="X78" s="845">
        <f xml:space="preserve"> 500 * (W77 - W78 )</f>
        <v>-4.4602979855324074</v>
      </c>
      <c r="Y78" s="846"/>
      <c r="Z78" s="450">
        <f t="shared" si="108"/>
        <v>49.363641330697085</v>
      </c>
      <c r="AA78" s="531">
        <v>17.191350799029937</v>
      </c>
      <c r="AB78" s="532">
        <f t="shared" si="109"/>
        <v>6.7417061956980148E-2</v>
      </c>
      <c r="AC78" s="532">
        <f t="shared" si="110"/>
        <v>0.56887229301351783</v>
      </c>
      <c r="AD78" s="532">
        <v>0.57175604265940771</v>
      </c>
      <c r="AE78" s="532">
        <f>AD78/$AR$42</f>
        <v>5.7175604265940769E-3</v>
      </c>
      <c r="AF78" s="532">
        <f t="shared" si="111"/>
        <v>0.1824536775246467</v>
      </c>
      <c r="AG78" s="532">
        <f xml:space="preserve"> 500 * (AF77 - AF78 )</f>
        <v>0.29003915222794441</v>
      </c>
      <c r="AH78" s="533"/>
    </row>
    <row r="79" spans="1:34" ht="15.75" thickBot="1">
      <c r="A79" s="96"/>
      <c r="B79" s="97"/>
      <c r="C79" s="1383"/>
      <c r="D79" s="384">
        <f t="shared" si="124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IF(F79^3&gt;0.008856,F79^3*$AR$39, (F79- 16 / 116 ) / 7.787*$AR$39)</f>
        <v>2.6834139945019237</v>
      </c>
      <c r="H79" s="1224">
        <f>G78</f>
        <v>3.1053586043004144</v>
      </c>
      <c r="I79" s="1224">
        <v>3.5418598766398226</v>
      </c>
      <c r="J79" s="1224">
        <f>I78</f>
        <v>3.1080250641062577</v>
      </c>
      <c r="K79" s="1224">
        <f>I79/$AR$43</f>
        <v>3.2529043805183754E-2</v>
      </c>
      <c r="L79" s="1225">
        <f t="shared" si="103"/>
        <v>0.31922024931181825</v>
      </c>
      <c r="M79" s="1225">
        <f t="shared" ref="M79" si="136" xml:space="preserve"> 200 * ( L78 - L79 )</f>
        <v>-0.96226894663382634</v>
      </c>
      <c r="N79" s="1223">
        <f xml:space="preserve"> I77/100 *  0.0557 + I78/100 * -0.204 + I79/100 *  1.057</f>
        <v>3.2742950534365732E-2</v>
      </c>
      <c r="O79" s="1226">
        <f t="shared" si="105"/>
        <v>50.702931476399115</v>
      </c>
      <c r="Q79" s="1330">
        <v>254.6</v>
      </c>
      <c r="R79" s="735">
        <f t="shared" si="121"/>
        <v>92.747142857142862</v>
      </c>
      <c r="S79" s="847">
        <f t="shared" si="126"/>
        <v>0.36371428571428571</v>
      </c>
      <c r="T79" s="847">
        <f t="shared" si="127"/>
        <v>10.884206306608837</v>
      </c>
      <c r="U79" s="847">
        <v>11.646987533531558</v>
      </c>
      <c r="V79" s="847">
        <f>U79/$AR$43</f>
        <v>0.10696791540949054</v>
      </c>
      <c r="W79" s="847">
        <f t="shared" si="107"/>
        <v>0.47469848330467168</v>
      </c>
      <c r="X79" s="847">
        <f xml:space="preserve"> 200 * ( W78 - W79 )</f>
        <v>-4.4282629154574042</v>
      </c>
      <c r="Y79" s="848"/>
      <c r="Z79" s="451">
        <f t="shared" si="108"/>
        <v>50.702931476399115</v>
      </c>
      <c r="AA79" s="534">
        <v>19.463958217358233</v>
      </c>
      <c r="AB79" s="535">
        <f t="shared" si="109"/>
        <v>7.632924791120875E-2</v>
      </c>
      <c r="AC79" s="535">
        <f t="shared" si="110"/>
        <v>0.67338214096112392</v>
      </c>
      <c r="AD79" s="535">
        <v>0.71829778256808086</v>
      </c>
      <c r="AE79" s="535">
        <f>AD79/$AR$43</f>
        <v>6.5969690637480679E-3</v>
      </c>
      <c r="AF79" s="535">
        <f t="shared" si="111"/>
        <v>0.18930163258216481</v>
      </c>
      <c r="AG79" s="535">
        <f xml:space="preserve"> 200 * ( AF78 - AF79 )</f>
        <v>-1.3695910115036236</v>
      </c>
      <c r="AH79" s="536"/>
    </row>
    <row r="80" spans="1:34">
      <c r="D80" s="663"/>
    </row>
    <row r="81" spans="4:34">
      <c r="D81" s="663"/>
      <c r="U81" s="795" t="s">
        <v>182</v>
      </c>
      <c r="Y81" s="798">
        <f>SUM(Y5:Y80)</f>
        <v>562.98703223287271</v>
      </c>
      <c r="Z81" s="386"/>
      <c r="AH81" s="183">
        <f t="shared" ref="AH81" si="137">SUM(AH5:AH80)</f>
        <v>432.05800671290098</v>
      </c>
    </row>
    <row r="82" spans="4:34">
      <c r="D82" s="663"/>
      <c r="Y82" s="798">
        <f>Y81/24</f>
        <v>23.457793009703028</v>
      </c>
      <c r="Z82" s="386"/>
      <c r="AH82" s="183">
        <f t="shared" ref="AH82" si="138">AH81/24</f>
        <v>18.002416946370875</v>
      </c>
    </row>
    <row r="83" spans="4:34">
      <c r="D83" s="663"/>
    </row>
    <row r="84" spans="4:34">
      <c r="D84" s="663"/>
    </row>
    <row r="85" spans="4:34">
      <c r="D85" s="663"/>
      <c r="Z85" s="73"/>
    </row>
    <row r="86" spans="4:34">
      <c r="D86" s="663"/>
      <c r="Z86" s="73"/>
    </row>
    <row r="87" spans="4:34">
      <c r="D87" s="663"/>
    </row>
    <row r="88" spans="4:34">
      <c r="D88" s="663"/>
    </row>
    <row r="89" spans="4:34">
      <c r="D89" s="663"/>
    </row>
    <row r="90" spans="4:34">
      <c r="D90" s="663"/>
    </row>
    <row r="91" spans="4:34">
      <c r="D91" s="663"/>
    </row>
    <row r="92" spans="4:34">
      <c r="D92" s="663"/>
    </row>
    <row r="93" spans="4:34">
      <c r="D93" s="663"/>
    </row>
    <row r="94" spans="4:34">
      <c r="D94" s="663"/>
    </row>
    <row r="95" spans="4:34">
      <c r="D95" s="663"/>
    </row>
    <row r="96" spans="4:34">
      <c r="D96" s="663"/>
    </row>
    <row r="97" spans="4:15">
      <c r="D97" s="663"/>
    </row>
    <row r="98" spans="4:15">
      <c r="D98" s="663"/>
      <c r="F98" s="379"/>
      <c r="G98" s="379"/>
      <c r="H98" s="379"/>
      <c r="I98" s="380"/>
    </row>
    <row r="99" spans="4:15">
      <c r="D99" s="663"/>
      <c r="I99" s="380"/>
    </row>
    <row r="100" spans="4:15">
      <c r="D100" s="663"/>
      <c r="I100" s="380"/>
    </row>
    <row r="101" spans="4:15">
      <c r="D101" s="663"/>
    </row>
    <row r="102" spans="4:15">
      <c r="D102" s="663"/>
      <c r="F102" s="379"/>
      <c r="G102" s="379"/>
      <c r="H102" s="379"/>
      <c r="J102" s="380"/>
      <c r="K102" s="380"/>
      <c r="L102" s="380"/>
      <c r="M102" s="380"/>
      <c r="N102" s="380"/>
      <c r="O102" s="380"/>
    </row>
    <row r="103" spans="4:15">
      <c r="D103" s="663"/>
      <c r="J103" s="380"/>
      <c r="K103" s="380"/>
      <c r="L103" s="380"/>
      <c r="M103" s="380"/>
      <c r="N103" s="380"/>
      <c r="O103" s="380"/>
    </row>
    <row r="104" spans="4:15">
      <c r="D104" s="663"/>
      <c r="J104" s="380"/>
      <c r="K104" s="380"/>
      <c r="L104" s="380"/>
      <c r="M104" s="380"/>
      <c r="N104" s="380"/>
      <c r="O104" s="380"/>
    </row>
    <row r="105" spans="4:15">
      <c r="D105" s="663"/>
    </row>
    <row r="106" spans="4:15">
      <c r="D106" s="663"/>
    </row>
  </sheetData>
  <mergeCells count="41">
    <mergeCell ref="C68:C70"/>
    <mergeCell ref="C71:C73"/>
    <mergeCell ref="C74:C76"/>
    <mergeCell ref="C77:C79"/>
    <mergeCell ref="AP33:AT33"/>
    <mergeCell ref="AP35:AT35"/>
    <mergeCell ref="C58:C60"/>
    <mergeCell ref="C62:C64"/>
    <mergeCell ref="C65:C67"/>
    <mergeCell ref="AP45:AT45"/>
    <mergeCell ref="C55:C57"/>
    <mergeCell ref="A61:E61"/>
    <mergeCell ref="C39:C41"/>
    <mergeCell ref="C43:C45"/>
    <mergeCell ref="C46:C48"/>
    <mergeCell ref="C49:C51"/>
    <mergeCell ref="C52:C54"/>
    <mergeCell ref="A42:E42"/>
    <mergeCell ref="AP14:AP16"/>
    <mergeCell ref="C17:C19"/>
    <mergeCell ref="C20:C22"/>
    <mergeCell ref="C24:C26"/>
    <mergeCell ref="C27:C29"/>
    <mergeCell ref="A4:E4"/>
    <mergeCell ref="C30:C32"/>
    <mergeCell ref="C5:C7"/>
    <mergeCell ref="AJ6:AJ8"/>
    <mergeCell ref="C8:C10"/>
    <mergeCell ref="AJ10:AJ12"/>
    <mergeCell ref="C11:C13"/>
    <mergeCell ref="C14:C16"/>
    <mergeCell ref="AJ14:AJ37"/>
    <mergeCell ref="C33:C35"/>
    <mergeCell ref="C36:C38"/>
    <mergeCell ref="A23:E23"/>
    <mergeCell ref="AJ2:BH2"/>
    <mergeCell ref="C3:D3"/>
    <mergeCell ref="AK3:BH3"/>
    <mergeCell ref="Q2:AH2"/>
    <mergeCell ref="A2:E2"/>
    <mergeCell ref="F2:O2"/>
  </mergeCells>
  <hyperlinks>
    <hyperlink ref="AJ39" r:id="rId1" xr:uid="{2D934EED-1589-49E6-8373-B33F61DD0CA6}"/>
    <hyperlink ref="AP52" r:id="rId2" xr:uid="{7EAEB83B-4315-433F-8AD9-C05C05FD7918}"/>
  </hyperlinks>
  <pageMargins left="0.7" right="0.7" top="0.75" bottom="0.75" header="0.3" footer="0.3"/>
  <pageSetup paperSize="9" orientation="portrait" verticalDpi="0"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6A441-1679-458E-9ACA-357268924071}">
  <dimension ref="A1:BL106"/>
  <sheetViews>
    <sheetView showGridLines="0" zoomScale="80" zoomScaleNormal="80" workbookViewId="0">
      <pane ySplit="3" topLeftCell="A4" activePane="bottomLeft" state="frozen"/>
      <selection pane="bottomLeft" activeCell="U54" sqref="U54"/>
    </sheetView>
  </sheetViews>
  <sheetFormatPr defaultRowHeight="15" outlineLevelCol="2"/>
  <cols>
    <col min="1" max="1" width="8.7109375" customWidth="1"/>
    <col min="2" max="2" width="15" customWidth="1"/>
    <col min="3" max="3" width="14" customWidth="1"/>
    <col min="4" max="4" width="6.7109375" style="73" customWidth="1"/>
    <col min="5" max="5" width="11.140625" style="81" bestFit="1" customWidth="1"/>
    <col min="6" max="6" width="9.28515625" style="81" customWidth="1" outlineLevel="2"/>
    <col min="7" max="8" width="10.5703125" style="81" customWidth="1" outlineLevel="1"/>
    <col min="9" max="9" width="10.5703125" style="81" customWidth="1"/>
    <col min="10" max="10" width="10.5703125" style="81" hidden="1" customWidth="1" outlineLevel="1"/>
    <col min="11" max="12" width="9.28515625" style="81" hidden="1" customWidth="1" outlineLevel="1"/>
    <col min="13" max="13" width="11.28515625" style="81" bestFit="1" customWidth="1" collapsed="1"/>
    <col min="14" max="14" width="10" style="81" hidden="1" customWidth="1" outlineLevel="1"/>
    <col min="15" max="15" width="12.28515625" style="81" bestFit="1" customWidth="1" collapsed="1"/>
    <col min="16" max="16" width="2" customWidth="1"/>
    <col min="17" max="17" width="11.5703125" style="183" bestFit="1" customWidth="1"/>
    <col min="18" max="18" width="9" style="653" customWidth="1"/>
    <col min="19" max="19" width="9.28515625" style="183" customWidth="1" outlineLevel="1"/>
    <col min="20" max="20" width="10.42578125" style="183" customWidth="1" outlineLevel="1"/>
    <col min="21" max="21" width="14.28515625" style="183" customWidth="1" outlineLevel="1"/>
    <col min="22" max="23" width="12.7109375" style="183" customWidth="1" outlineLevel="1"/>
    <col min="24" max="24" width="10" style="183" customWidth="1" outlineLevel="1"/>
    <col min="25" max="25" width="12.7109375" style="183" customWidth="1"/>
    <col min="26" max="26" width="9.7109375" customWidth="1"/>
    <col min="27" max="27" width="9.7109375" style="183" customWidth="1"/>
    <col min="28" max="29" width="9.7109375" style="183" customWidth="1" outlineLevel="1"/>
    <col min="30" max="30" width="9.7109375" style="183" customWidth="1"/>
    <col min="31" max="31" width="9.7109375" style="183" hidden="1" customWidth="1" outlineLevel="1"/>
    <col min="32" max="32" width="9.7109375" style="73" customWidth="1" collapsed="1"/>
    <col min="33" max="33" width="11.85546875" style="342" customWidth="1" collapsed="1"/>
    <col min="34" max="34" width="2.28515625" style="29" customWidth="1"/>
    <col min="35" max="35" width="10.85546875" style="76" bestFit="1" customWidth="1"/>
    <col min="36" max="50" width="10.7109375" style="73" customWidth="1"/>
    <col min="51" max="59" width="10.7109375" style="75" customWidth="1"/>
    <col min="60" max="60" width="11.5703125" style="42" bestFit="1" customWidth="1"/>
    <col min="61" max="61" width="12.7109375" style="42" bestFit="1" customWidth="1"/>
    <col min="62" max="62" width="10.28515625" style="42" bestFit="1" customWidth="1"/>
  </cols>
  <sheetData>
    <row r="1" spans="1:62" ht="15.75" thickBot="1"/>
    <row r="2" spans="1:62" ht="52.5" customHeight="1" thickBot="1">
      <c r="A2" s="1387" t="s">
        <v>219</v>
      </c>
      <c r="B2" s="1388"/>
      <c r="C2" s="1388"/>
      <c r="D2" s="1388"/>
      <c r="E2" s="1389"/>
      <c r="F2" s="1384" t="s">
        <v>218</v>
      </c>
      <c r="G2" s="1385"/>
      <c r="H2" s="1385"/>
      <c r="I2" s="1385"/>
      <c r="J2" s="1385"/>
      <c r="K2" s="1385"/>
      <c r="L2" s="1385"/>
      <c r="M2" s="1385"/>
      <c r="N2" s="1385"/>
      <c r="O2" s="1386"/>
      <c r="Q2" s="1385" t="s">
        <v>184</v>
      </c>
      <c r="R2" s="1385"/>
      <c r="S2" s="1385"/>
      <c r="T2" s="1385"/>
      <c r="U2" s="1385"/>
      <c r="V2" s="1385"/>
      <c r="W2" s="1385"/>
      <c r="X2" s="1385"/>
      <c r="Y2" s="1385"/>
      <c r="Z2" s="1385"/>
      <c r="AA2" s="1385"/>
      <c r="AB2" s="1385"/>
      <c r="AC2" s="1385"/>
      <c r="AD2" s="1385"/>
      <c r="AE2" s="1385"/>
      <c r="AF2" s="1385"/>
      <c r="AG2" s="1386"/>
      <c r="AH2" s="13"/>
      <c r="AI2" s="1435"/>
      <c r="AJ2" s="1436"/>
      <c r="AK2" s="1436"/>
      <c r="AL2" s="1436"/>
      <c r="AM2" s="1436"/>
      <c r="AN2" s="1436"/>
      <c r="AO2" s="1436"/>
      <c r="AP2" s="1436"/>
      <c r="AQ2" s="1436"/>
      <c r="AR2" s="1436"/>
      <c r="AS2" s="1436"/>
      <c r="AT2" s="1436"/>
      <c r="AU2" s="1436"/>
      <c r="AV2" s="1436"/>
      <c r="AW2" s="1436"/>
      <c r="AX2" s="1436"/>
      <c r="AY2" s="1436"/>
      <c r="AZ2" s="1436"/>
      <c r="BA2" s="1436"/>
      <c r="BB2" s="1436"/>
      <c r="BC2" s="1436"/>
      <c r="BD2" s="1436"/>
      <c r="BE2" s="1436"/>
      <c r="BF2" s="1436"/>
      <c r="BG2" s="1437"/>
    </row>
    <row r="3" spans="1:62" s="13" customFormat="1" ht="45.75" customHeight="1" thickBot="1">
      <c r="A3" s="91" t="s">
        <v>105</v>
      </c>
      <c r="B3" s="91" t="s">
        <v>106</v>
      </c>
      <c r="C3" s="1428" t="s">
        <v>140</v>
      </c>
      <c r="D3" s="1429"/>
      <c r="E3" s="368" t="s">
        <v>145</v>
      </c>
      <c r="F3" s="374"/>
      <c r="G3" s="375" t="s">
        <v>144</v>
      </c>
      <c r="H3" s="375" t="s">
        <v>161</v>
      </c>
      <c r="I3" s="375" t="s">
        <v>141</v>
      </c>
      <c r="J3" s="375" t="s">
        <v>160</v>
      </c>
      <c r="K3" s="368"/>
      <c r="L3" s="368"/>
      <c r="M3" s="375" t="s">
        <v>179</v>
      </c>
      <c r="N3" s="368"/>
      <c r="O3" s="375" t="s">
        <v>140</v>
      </c>
      <c r="Q3" s="1345" t="s">
        <v>223</v>
      </c>
      <c r="R3" s="418" t="s">
        <v>152</v>
      </c>
      <c r="S3" s="387" t="s">
        <v>152</v>
      </c>
      <c r="T3" s="387"/>
      <c r="U3" s="387" t="s">
        <v>180</v>
      </c>
      <c r="V3" s="387"/>
      <c r="W3" s="387"/>
      <c r="X3" s="387" t="s">
        <v>181</v>
      </c>
      <c r="Y3" s="388" t="s">
        <v>175</v>
      </c>
      <c r="Z3" s="325" t="s">
        <v>150</v>
      </c>
      <c r="AA3" s="325" t="s">
        <v>203</v>
      </c>
      <c r="AB3" s="325"/>
      <c r="AC3" s="325"/>
      <c r="AD3" s="325" t="s">
        <v>204</v>
      </c>
      <c r="AE3" s="182"/>
      <c r="AF3" s="326" t="s">
        <v>205</v>
      </c>
      <c r="AG3" s="348" t="s">
        <v>206</v>
      </c>
      <c r="AI3" s="1339" t="s">
        <v>138</v>
      </c>
      <c r="AJ3" s="1432" t="s">
        <v>157</v>
      </c>
      <c r="AK3" s="1433"/>
      <c r="AL3" s="1433"/>
      <c r="AM3" s="1433"/>
      <c r="AN3" s="1433"/>
      <c r="AO3" s="1433"/>
      <c r="AP3" s="1433"/>
      <c r="AQ3" s="1433"/>
      <c r="AR3" s="1433"/>
      <c r="AS3" s="1433"/>
      <c r="AT3" s="1433"/>
      <c r="AU3" s="1433"/>
      <c r="AV3" s="1433"/>
      <c r="AW3" s="1433"/>
      <c r="AX3" s="1433"/>
      <c r="AY3" s="1433"/>
      <c r="AZ3" s="1433"/>
      <c r="BA3" s="1433"/>
      <c r="BB3" s="1433"/>
      <c r="BC3" s="1433"/>
      <c r="BD3" s="1433"/>
      <c r="BE3" s="1433"/>
      <c r="BF3" s="1433"/>
      <c r="BG3" s="1434"/>
      <c r="BH3" s="72"/>
      <c r="BI3" s="72"/>
      <c r="BJ3" s="72"/>
    </row>
    <row r="4" spans="1:62" ht="15.75" customHeight="1" thickBot="1">
      <c r="A4" s="1390" t="s">
        <v>107</v>
      </c>
      <c r="B4" s="1391"/>
      <c r="C4" s="1391"/>
      <c r="D4" s="1391"/>
      <c r="E4" s="1391"/>
      <c r="F4" s="369"/>
      <c r="G4" s="369"/>
      <c r="H4" s="369"/>
      <c r="I4" s="369"/>
      <c r="J4" s="369"/>
      <c r="K4" s="369"/>
      <c r="L4" s="369"/>
      <c r="M4" s="369"/>
      <c r="N4" s="369"/>
      <c r="O4" s="376"/>
      <c r="Q4" s="658"/>
      <c r="R4" s="419"/>
      <c r="S4" s="330"/>
      <c r="T4" s="330"/>
      <c r="U4" s="330"/>
      <c r="V4" s="330"/>
      <c r="W4" s="330"/>
      <c r="X4" s="330"/>
      <c r="Y4" s="330"/>
      <c r="Z4" s="419"/>
      <c r="AA4" s="184"/>
      <c r="AB4" s="184"/>
      <c r="AC4" s="184"/>
      <c r="AD4" s="184"/>
      <c r="AE4" s="184"/>
      <c r="AF4" s="184"/>
      <c r="AG4" s="343"/>
      <c r="AI4" s="1340"/>
      <c r="AJ4" s="1335">
        <v>1</v>
      </c>
      <c r="AK4" s="1335">
        <v>2</v>
      </c>
      <c r="AL4" s="1335">
        <v>3</v>
      </c>
      <c r="AM4" s="1335">
        <v>4</v>
      </c>
      <c r="AN4" s="1335">
        <v>5</v>
      </c>
      <c r="AO4" s="1335">
        <v>6</v>
      </c>
      <c r="AP4" s="1336">
        <v>7</v>
      </c>
      <c r="AQ4" s="1337">
        <v>8</v>
      </c>
      <c r="AR4" s="1337">
        <v>9</v>
      </c>
      <c r="AS4" s="1337">
        <v>10</v>
      </c>
      <c r="AT4" s="1337">
        <v>11</v>
      </c>
      <c r="AU4" s="1337">
        <v>12</v>
      </c>
      <c r="AV4" s="1338">
        <v>13</v>
      </c>
      <c r="AW4" s="1335">
        <v>14</v>
      </c>
      <c r="AX4" s="1335">
        <v>15</v>
      </c>
      <c r="AY4" s="1335">
        <v>16</v>
      </c>
      <c r="AZ4" s="1335">
        <v>17</v>
      </c>
      <c r="BA4" s="1335">
        <v>18</v>
      </c>
      <c r="BB4" s="1336">
        <v>19</v>
      </c>
      <c r="BC4" s="1337">
        <v>20</v>
      </c>
      <c r="BD4" s="1337">
        <v>21</v>
      </c>
      <c r="BE4" s="1337">
        <v>22</v>
      </c>
      <c r="BF4" s="1337">
        <v>23</v>
      </c>
      <c r="BG4" s="1337">
        <v>24</v>
      </c>
    </row>
    <row r="5" spans="1:62" ht="15.75" thickBot="1">
      <c r="A5" s="92">
        <v>1</v>
      </c>
      <c r="B5" s="93" t="s">
        <v>108</v>
      </c>
      <c r="C5" s="1393"/>
      <c r="D5" s="382">
        <f>O5</f>
        <v>115.49937887293277</v>
      </c>
      <c r="E5" s="370">
        <v>37.985999999999997</v>
      </c>
      <c r="F5" s="1215">
        <f xml:space="preserve"> E6 / 500 + F6</f>
        <v>0.49250655172413793</v>
      </c>
      <c r="G5" s="1215">
        <f>IF(F5^3&gt;0.008856,F5^3*$AQ$23, (F5- 16 / 116 ) / 7.787*$AQ$23)</f>
        <v>11.518930874764393</v>
      </c>
      <c r="H5" s="1216">
        <f>G5/SUM(G5:G7)</f>
        <v>0.43160133720790084</v>
      </c>
      <c r="I5" s="1342">
        <f t="array" ref="I5:I7">MMULT($AQ$34:$AS$36,G5:G7)</f>
        <v>11.096462537410472</v>
      </c>
      <c r="J5" s="1216">
        <f>I5/SUM(I5:I7)</f>
        <v>0.39970041178632115</v>
      </c>
      <c r="K5" s="1216">
        <f>I5/$AQ$27</f>
        <v>0.11674710971846006</v>
      </c>
      <c r="L5" s="1216">
        <f>IF(K5&gt;0.008856,K5^(1/3),7.787*K5+16/116)</f>
        <v>0.48874468310491292</v>
      </c>
      <c r="M5" s="1216">
        <f xml:space="preserve"> 116 * L6  - 16</f>
        <v>37.773205820821701</v>
      </c>
      <c r="N5" s="1215">
        <f>I5/100*  3.2406 + I6/100 * -1.5372 + I7/100 * -0.4986</f>
        <v>0.17303792868395071</v>
      </c>
      <c r="O5" s="1218">
        <f>IF(N5&gt; 0.0031308,(1.055 * (N5^ ( 1 / 2.4 ) ) - 0.055)*255, 12.92 * N5*255)</f>
        <v>115.49937887293277</v>
      </c>
      <c r="P5" s="4"/>
      <c r="Q5" s="1346">
        <v>592.6</v>
      </c>
      <c r="R5" s="704">
        <f>Q5/SUM(Q5:Q7)*255</f>
        <v>109.34370477568741</v>
      </c>
      <c r="S5" s="389">
        <f>R5/255</f>
        <v>0.42879884225759768</v>
      </c>
      <c r="T5" s="389">
        <f>IF(S5&gt;0.04045,(((S5+0.055)/1.055 )^2.4)*100, S5/12.92*100)</f>
        <v>15.395353885821345</v>
      </c>
      <c r="U5" s="389">
        <f t="array" ref="U5:U7">MMULT($AQ$47:$AS$49,T5:T7)</f>
        <v>10.120833249422821</v>
      </c>
      <c r="V5" s="389">
        <f>U5/$AQ$27</f>
        <v>0.10648240606671248</v>
      </c>
      <c r="W5" s="389">
        <f>IF(V5&gt;0.008856,V5^(1/3),7.787*V5+16/116)</f>
        <v>0.47397920183080783</v>
      </c>
      <c r="X5" s="389">
        <f xml:space="preserve"> 116 * W6  - 16</f>
        <v>36.329736062878631</v>
      </c>
      <c r="Y5" s="389">
        <f>SQRT(( ( M5-X5 ) ^ 2 ) + ( ( M6 - X6 ) ^ 2 ) + ( (M7 - X7 ) ^ 2 ))</f>
        <v>2.7753941761000616</v>
      </c>
      <c r="Z5" s="420">
        <f t="shared" ref="Z5:Z22" si="0">O5</f>
        <v>115.49937887293277</v>
      </c>
      <c r="AA5" s="566">
        <f t="array" ref="AA5:AA7">MMULT($AP$14:$AR$16,Q5:Q7)</f>
        <v>9.8835742895281147</v>
      </c>
      <c r="AB5" s="566">
        <f>AA5/$AQ$27</f>
        <v>0.10398617830681783</v>
      </c>
      <c r="AC5" s="566">
        <f>IF(AB5&gt;0.008856,AB5^(1/3),7.787*AB5+16/116)</f>
        <v>0.47024610365539327</v>
      </c>
      <c r="AD5" s="566">
        <f xml:space="preserve"> 116 * AC6  - 16</f>
        <v>35.72812654616834</v>
      </c>
      <c r="AE5" s="566">
        <f>AA5/100*  3.2406 + AA6/100 * -1.5372 + AA7/100 * -0.4986</f>
        <v>0.15222521990792548</v>
      </c>
      <c r="AF5" s="567">
        <f>IF(AE5&gt; 0.0031308,(1.055 * (AE5^ ( 1 / 2.4 ) ) - 0.055)*255, 12.92 * AE5*255)</f>
        <v>108.76473467818124</v>
      </c>
      <c r="AG5" s="568">
        <f>SQRT(( ( M5-AD5 ) ^ 2 ) + ( ( M6 - AD6 ) ^ 2 ) + ( (M7 - AD7 ) ^ 2 ))</f>
        <v>3.0222699993179409</v>
      </c>
      <c r="AH5" s="661"/>
      <c r="AI5" s="662"/>
      <c r="AJ5" s="663"/>
      <c r="AK5" s="663"/>
      <c r="AL5" s="663"/>
      <c r="AM5" s="663"/>
      <c r="AN5" s="663"/>
      <c r="AO5" s="663"/>
      <c r="AP5" s="663"/>
      <c r="AQ5" s="663"/>
      <c r="AR5" s="663"/>
      <c r="AS5" s="663"/>
      <c r="AT5" s="663"/>
      <c r="AU5" s="663"/>
      <c r="AV5" s="663"/>
      <c r="AW5" s="663"/>
      <c r="AX5" s="663"/>
      <c r="AY5" s="664"/>
      <c r="AZ5" s="664"/>
      <c r="BA5" s="664"/>
      <c r="BB5" s="664"/>
      <c r="BC5" s="664"/>
      <c r="BD5" s="664"/>
      <c r="BE5" s="664"/>
      <c r="BF5" s="664"/>
      <c r="BG5" s="664"/>
      <c r="BH5" s="665"/>
      <c r="BI5" s="665"/>
    </row>
    <row r="6" spans="1:62" ht="15.75" thickBot="1">
      <c r="A6" s="94"/>
      <c r="B6" s="95"/>
      <c r="C6" s="1394"/>
      <c r="D6" s="383">
        <f t="shared" ref="D6:D69" si="1">O6</f>
        <v>80.924531967466507</v>
      </c>
      <c r="E6" s="371">
        <v>13.555</v>
      </c>
      <c r="F6" s="1219">
        <f xml:space="preserve"> (E5  + 16 ) / 116</f>
        <v>0.46539655172413791</v>
      </c>
      <c r="G6" s="1219">
        <f>IF(F6^3&gt;0.008856,F6^3*$AQ$24, (F6- 16 / 116 ) / 7.787*$AQ$24)</f>
        <v>10.080207762032574</v>
      </c>
      <c r="H6" s="1220">
        <f>G6/SUM(G5:G7)</f>
        <v>0.37769400621702293</v>
      </c>
      <c r="I6" s="1343">
        <v>9.9614788827959391</v>
      </c>
      <c r="J6" s="1220">
        <f>I6/SUM(I5:I7)</f>
        <v>0.35881770411342706</v>
      </c>
      <c r="K6" s="1220">
        <f>I6/$AQ$28</f>
        <v>9.9614788827959391E-2</v>
      </c>
      <c r="L6" s="1220">
        <f t="shared" ref="L6:L22" si="2">IF(K6&gt;0.008856,K6^(1/3),7.787*K6+16/116)</f>
        <v>0.46356211914501466</v>
      </c>
      <c r="M6" s="1220">
        <f xml:space="preserve"> 500 * (L5 - L6 )</f>
        <v>12.591281979949132</v>
      </c>
      <c r="N6" s="1219">
        <f xml:space="preserve"> I5/100 * -0.9689 + I6/100*  1.8758 + I7/100 *  0.0415</f>
        <v>8.2125958597699694E-2</v>
      </c>
      <c r="O6" s="1222">
        <f t="shared" ref="O6:O22" si="3">IF(N6&gt; 0.0031308,(1.055 * (N6^ ( 1 / 2.4 ) ) - 0.055)*255, 12.92 * N6*255)</f>
        <v>80.924531967466507</v>
      </c>
      <c r="P6" s="4"/>
      <c r="Q6" s="1347">
        <v>424.6</v>
      </c>
      <c r="R6" s="705">
        <f>Q6/SUM(Q5:Q7)*255</f>
        <v>78.345151953690319</v>
      </c>
      <c r="S6" s="390">
        <f t="shared" ref="S6:S22" si="4">R6/255</f>
        <v>0.30723589001447182</v>
      </c>
      <c r="T6" s="390">
        <f t="shared" ref="T6:T22" si="5">IF(S6&gt;0.04045,(((S6+0.055)/1.055 )^2.4)*100, S6/12.92*100)</f>
        <v>7.6872966946547354</v>
      </c>
      <c r="U6" s="390">
        <v>9.1806126755923199</v>
      </c>
      <c r="V6" s="390">
        <f>U6/$AQ$28</f>
        <v>9.1806126755923201E-2</v>
      </c>
      <c r="W6" s="390">
        <f t="shared" ref="W6:W22" si="6">IF(V6&gt;0.008856,V6^(1/3),7.787*V6+16/116)</f>
        <v>0.45111841433516059</v>
      </c>
      <c r="X6" s="390">
        <f xml:space="preserve"> 500 * (W5 - W6 )</f>
        <v>11.430393747823619</v>
      </c>
      <c r="Y6" s="390"/>
      <c r="Z6" s="421">
        <f t="shared" si="0"/>
        <v>80.924531967466507</v>
      </c>
      <c r="AA6" s="569">
        <v>8.8676038130809367</v>
      </c>
      <c r="AB6" s="569">
        <f>AA6/$AQ$28</f>
        <v>8.8676038130809362E-2</v>
      </c>
      <c r="AC6" s="569">
        <f t="shared" ref="AC6:AC22" si="7">IF(AB6&gt;0.008856,AB6^(1/3),7.787*AB6+16/116)</f>
        <v>0.44593212539800292</v>
      </c>
      <c r="AD6" s="569">
        <f xml:space="preserve"> 500 * (AC5 - AC6 )</f>
        <v>12.156989128695173</v>
      </c>
      <c r="AE6" s="569">
        <f xml:space="preserve"> AA5/100 * -0.9689 + AA6/100*  1.8758 + AA7/100 *  0.0415</f>
        <v>7.3219134103546427E-2</v>
      </c>
      <c r="AF6" s="570">
        <f>IF(AE6&gt; 0.0031308,(1.055 * (AE6^ ( 1 / 2.4 ) ) - 0.055)*255, 12.92 * AE6*255)</f>
        <v>76.489790793870924</v>
      </c>
      <c r="AG6" s="571"/>
      <c r="AH6" s="661"/>
      <c r="AI6" s="1443" t="s">
        <v>220</v>
      </c>
      <c r="AJ6" s="666">
        <f>I5</f>
        <v>11.096462537410472</v>
      </c>
      <c r="AK6" s="666">
        <f>I8</f>
        <v>37.846819885568948</v>
      </c>
      <c r="AL6" s="666">
        <f>I11</f>
        <v>17.259184587792387</v>
      </c>
      <c r="AM6" s="666">
        <f>I14</f>
        <v>10.451691011485027</v>
      </c>
      <c r="AN6" s="666">
        <f>I17</f>
        <v>24.699955835439631</v>
      </c>
      <c r="AO6" s="666">
        <f>I20</f>
        <v>30.295430517119279</v>
      </c>
      <c r="AP6" s="667">
        <f>I24</f>
        <v>38.506327134135688</v>
      </c>
      <c r="AQ6" s="667">
        <f>I27</f>
        <v>13.406311599853042</v>
      </c>
      <c r="AR6" s="667">
        <f>I30</f>
        <v>28.548799048791913</v>
      </c>
      <c r="AS6" s="667">
        <f>I33</f>
        <v>8.6698010004617139</v>
      </c>
      <c r="AT6" s="667">
        <f>I36</f>
        <v>33.331878806276151</v>
      </c>
      <c r="AU6" s="667">
        <f>I39</f>
        <v>45.996902394099358</v>
      </c>
      <c r="AV6" s="666">
        <f>I43</f>
        <v>7.7736812148504111</v>
      </c>
      <c r="AW6" s="666">
        <f>I46</f>
        <v>14.283601798249475</v>
      </c>
      <c r="AX6" s="666">
        <f>I49</f>
        <v>20.62408349598757</v>
      </c>
      <c r="AY6" s="666">
        <f>I52</f>
        <v>55.781875161413609</v>
      </c>
      <c r="AZ6" s="666">
        <f>I55</f>
        <v>30.721068603919768</v>
      </c>
      <c r="BA6" s="666">
        <f>I58</f>
        <v>14.513962671267748</v>
      </c>
      <c r="BB6" s="667">
        <f>I62</f>
        <v>86.483089485732179</v>
      </c>
      <c r="BC6" s="667">
        <f>I65</f>
        <v>55.788819575678076</v>
      </c>
      <c r="BD6" s="667">
        <f>I68</f>
        <v>34.337921099816981</v>
      </c>
      <c r="BE6" s="667">
        <f>I71</f>
        <v>18.184329325516259</v>
      </c>
      <c r="BF6" s="667">
        <f>I74</f>
        <v>8.3664692366306088</v>
      </c>
      <c r="BG6" s="667">
        <f>I77</f>
        <v>2.9548703214714056</v>
      </c>
      <c r="BH6" s="665"/>
      <c r="BI6" s="665"/>
    </row>
    <row r="7" spans="1:62" ht="15.75" thickBot="1">
      <c r="A7" s="96"/>
      <c r="B7" s="97"/>
      <c r="C7" s="1394"/>
      <c r="D7" s="384">
        <f t="shared" si="1"/>
        <v>67.355100176800789</v>
      </c>
      <c r="E7" s="372">
        <v>14.058999999999999</v>
      </c>
      <c r="F7" s="1223">
        <f>F6 - E7 / 200</f>
        <v>0.39510155172413791</v>
      </c>
      <c r="G7" s="1223">
        <f>IF(F7^3&gt;0.008856,F7^3*$AQ$25, (F7- 16 / 116 ) / 7.787*$AQ$25)</f>
        <v>5.0896824620490859</v>
      </c>
      <c r="H7" s="1224">
        <f>G6</f>
        <v>10.080207762032574</v>
      </c>
      <c r="I7" s="1344">
        <v>6.7040078052615222</v>
      </c>
      <c r="J7" s="1224">
        <f>I6</f>
        <v>9.9614788827959391</v>
      </c>
      <c r="K7" s="1224">
        <f>I7/$AQ$29</f>
        <v>6.1570748466349405E-2</v>
      </c>
      <c r="L7" s="1224">
        <f t="shared" si="2"/>
        <v>0.39487364107882977</v>
      </c>
      <c r="M7" s="1224">
        <f xml:space="preserve"> 200 * ( L6 - L7 )</f>
        <v>13.737695613236978</v>
      </c>
      <c r="N7" s="1223">
        <f xml:space="preserve"> I5/100 *  0.0557 + I6/100 * -0.204 + I7/100 *  1.057</f>
        <v>5.6720675214048208E-2</v>
      </c>
      <c r="O7" s="1226">
        <f t="shared" si="3"/>
        <v>67.355100176800789</v>
      </c>
      <c r="P7" s="4"/>
      <c r="Q7" s="1348">
        <v>364.8</v>
      </c>
      <c r="R7" s="705">
        <f>Q7/SUM(Q5:Q7)*255</f>
        <v>67.311143270622296</v>
      </c>
      <c r="S7" s="390">
        <f t="shared" si="4"/>
        <v>0.26396526772793055</v>
      </c>
      <c r="T7" s="390">
        <f t="shared" si="5"/>
        <v>5.6647173527310493</v>
      </c>
      <c r="U7" s="390">
        <v>6.5971206257638313</v>
      </c>
      <c r="V7" s="390">
        <f>U7/$AQ$29</f>
        <v>6.0589078421460024E-2</v>
      </c>
      <c r="W7" s="390">
        <f t="shared" si="6"/>
        <v>0.39276379615183943</v>
      </c>
      <c r="X7" s="390">
        <f xml:space="preserve"> 200 * ( W6 - W7 )</f>
        <v>11.670923636664233</v>
      </c>
      <c r="Y7" s="390"/>
      <c r="Z7" s="421">
        <f t="shared" si="0"/>
        <v>67.355100176800789</v>
      </c>
      <c r="AA7" s="569">
        <v>6.3676459494268887</v>
      </c>
      <c r="AB7" s="569">
        <f>AA7/$AQ$29</f>
        <v>5.8481543945582769E-2</v>
      </c>
      <c r="AC7" s="569">
        <f t="shared" si="7"/>
        <v>0.3881559757136418</v>
      </c>
      <c r="AD7" s="569">
        <f xml:space="preserve"> 200 * ( AC6 - AC7 )</f>
        <v>11.555229936872225</v>
      </c>
      <c r="AE7" s="569">
        <f xml:space="preserve"> AA5/100 *  0.0557 + AA6/100 * -0.204 + AA7/100 *  1.057</f>
        <v>5.4721256786024249E-2</v>
      </c>
      <c r="AF7" s="570">
        <f t="shared" ref="AF7:AF22" si="8">IF(AE7&gt; 0.0031308,(1.055 * (AE7^ ( 1 / 2.4 ) ) - 0.055)*255, 12.92 * AE7*255)</f>
        <v>66.147298190338375</v>
      </c>
      <c r="AG7" s="571"/>
      <c r="AH7" s="661"/>
      <c r="AI7" s="1443"/>
      <c r="AJ7" s="668">
        <f>I6</f>
        <v>9.9614788827959391</v>
      </c>
      <c r="AK7" s="668">
        <f>I9</f>
        <v>34.594737633856717</v>
      </c>
      <c r="AL7" s="668">
        <f>I12</f>
        <v>18.604922057669455</v>
      </c>
      <c r="AM7" s="668">
        <f>I15</f>
        <v>13.185349437594194</v>
      </c>
      <c r="AN7" s="668">
        <f>I18</f>
        <v>23.285727746380509</v>
      </c>
      <c r="AO7" s="668">
        <f>I21</f>
        <v>42.061927614550903</v>
      </c>
      <c r="AP7" s="669">
        <f>I25</f>
        <v>30.445067890689934</v>
      </c>
      <c r="AQ7" s="669">
        <f>I28</f>
        <v>11.654013845803803</v>
      </c>
      <c r="AR7" s="669">
        <f>I31</f>
        <v>18.942372976704565</v>
      </c>
      <c r="AS7" s="669">
        <f>I34</f>
        <v>6.4177800664010629</v>
      </c>
      <c r="AT7" s="669">
        <f>I37</f>
        <v>44.085306181079623</v>
      </c>
      <c r="AU7" s="669">
        <f>I40</f>
        <v>42.751700185521585</v>
      </c>
      <c r="AV7" s="668">
        <f>I44</f>
        <v>6.0642662674514325</v>
      </c>
      <c r="AW7" s="668">
        <f>I47</f>
        <v>23.156199170786447</v>
      </c>
      <c r="AX7" s="668">
        <f>I50</f>
        <v>12.159219782354153</v>
      </c>
      <c r="AY7" s="668">
        <f>I53</f>
        <v>58.873672283415338</v>
      </c>
      <c r="AZ7" s="668">
        <f>I56</f>
        <v>19.902230133562615</v>
      </c>
      <c r="BA7" s="668">
        <f>I59</f>
        <v>19.758352992191142</v>
      </c>
      <c r="BB7" s="669">
        <f>I63</f>
        <v>91.291238095968254</v>
      </c>
      <c r="BC7" s="669">
        <f>I66</f>
        <v>58.950551710216978</v>
      </c>
      <c r="BD7" s="669">
        <f>I69</f>
        <v>36.335819338953193</v>
      </c>
      <c r="BE7" s="669">
        <f>I72</f>
        <v>19.157262348610743</v>
      </c>
      <c r="BF7" s="669">
        <f>I75</f>
        <v>8.8383623483462674</v>
      </c>
      <c r="BG7" s="669">
        <f>I78</f>
        <v>3.1080250641062577</v>
      </c>
      <c r="BH7" s="665"/>
      <c r="BI7" s="665"/>
    </row>
    <row r="8" spans="1:62" ht="15.75" thickBot="1">
      <c r="A8" s="92">
        <v>2</v>
      </c>
      <c r="B8" s="93" t="s">
        <v>109</v>
      </c>
      <c r="C8" s="1420"/>
      <c r="D8" s="382">
        <f t="shared" si="1"/>
        <v>198.5664405575157</v>
      </c>
      <c r="E8" s="370">
        <v>65.710999999999999</v>
      </c>
      <c r="F8" s="1215">
        <f xml:space="preserve"> E9 / 500 + F9</f>
        <v>0.74066517241379304</v>
      </c>
      <c r="G8" s="1215">
        <f>IF(F8^3&gt;0.008856,F8^3*$AQ$23, (F8- 16 / 116 ) / 7.787*$AQ$23)</f>
        <v>39.177967948419948</v>
      </c>
      <c r="H8" s="1216">
        <f>G8/SUM(G8:G10)</f>
        <v>0.41965319885542374</v>
      </c>
      <c r="I8" s="1342">
        <f t="array" ref="I8:I10">MMULT($AQ$34:$AS$36,G8:G10)</f>
        <v>37.846819885568948</v>
      </c>
      <c r="J8" s="1216">
        <f>I8/SUM(I8:I10)</f>
        <v>0.38706319116865656</v>
      </c>
      <c r="K8" s="1216">
        <f>I8/$AQ$27</f>
        <v>0.39819057819361947</v>
      </c>
      <c r="L8" s="1216">
        <f t="shared" si="2"/>
        <v>0.7356936258024972</v>
      </c>
      <c r="M8" s="1216">
        <f t="shared" ref="M8" si="9" xml:space="preserve"> 116 * L9  - 16</f>
        <v>65.431919053115664</v>
      </c>
      <c r="N8" s="1215">
        <f>I8/100*  3.2406 + I9/100 * -1.5372 + I10/100 * -0.4986</f>
        <v>0.56833908448621961</v>
      </c>
      <c r="O8" s="1218">
        <f t="shared" si="3"/>
        <v>198.5664405575157</v>
      </c>
      <c r="P8" s="4"/>
      <c r="Q8" s="1346">
        <v>1977</v>
      </c>
      <c r="R8" s="706">
        <f t="shared" ref="R8" si="10">Q8/SUM(Q8:Q10)*255</f>
        <v>110.73562359970126</v>
      </c>
      <c r="S8" s="391">
        <f t="shared" si="4"/>
        <v>0.43425734744980887</v>
      </c>
      <c r="T8" s="391">
        <f t="shared" si="5"/>
        <v>15.815530072566453</v>
      </c>
      <c r="U8" s="391">
        <f t="array" ref="U8:U10">MMULT($AQ$47:$AS$49,T8:T10)</f>
        <v>10.26086716972992</v>
      </c>
      <c r="V8" s="391">
        <f>U8/$AQ$27</f>
        <v>0.10795571843119636</v>
      </c>
      <c r="W8" s="391">
        <f t="shared" si="6"/>
        <v>0.47615522094408252</v>
      </c>
      <c r="X8" s="391">
        <f xml:space="preserve"> 116 * W9  - 16</f>
        <v>36.515929981539152</v>
      </c>
      <c r="Y8" s="391">
        <f t="shared" ref="Y8" si="11">SQRT(( ( M8-X8 ) ^ 2 ) + ( ( M9 - X9 ) ^ 2 ) + ( (M10 - X10 ) ^ 2 ))</f>
        <v>29.701942108114636</v>
      </c>
      <c r="Z8" s="422">
        <f t="shared" si="0"/>
        <v>198.5664405575157</v>
      </c>
      <c r="AA8" s="572">
        <f t="array" ref="AA8:AA10">MMULT($AP$14:$AR$16,Q8:Q10)</f>
        <v>32.767496038863904</v>
      </c>
      <c r="AB8" s="572">
        <f>AA8/$AQ$27</f>
        <v>0.34475045018636996</v>
      </c>
      <c r="AC8" s="572">
        <f t="shared" si="7"/>
        <v>0.70118876250221818</v>
      </c>
      <c r="AD8" s="572">
        <f xml:space="preserve"> 116 * AC9  - 16</f>
        <v>61.18220302005497</v>
      </c>
      <c r="AE8" s="572">
        <f>AA8/100*  3.2406 + AA9/100 * -1.5372 + AA10/100 * -0.4986</f>
        <v>0.50899084799385874</v>
      </c>
      <c r="AF8" s="573">
        <f t="shared" si="8"/>
        <v>189.01820607174557</v>
      </c>
      <c r="AG8" s="574">
        <f>SQRT(( ( M8-AD8 ) ^ 2 ) + ( ( M9 - AD9 ) ^ 2 ) + ( (M10 - AD10 ) ^ 2 ))</f>
        <v>4.7626938940156558</v>
      </c>
      <c r="AH8" s="661"/>
      <c r="AI8" s="1443"/>
      <c r="AJ8" s="670">
        <f>I7</f>
        <v>6.7040078052615222</v>
      </c>
      <c r="AK8" s="670">
        <f>I10</f>
        <v>25.337876818668772</v>
      </c>
      <c r="AL8" s="670">
        <f>I13</f>
        <v>34.028684106750006</v>
      </c>
      <c r="AM8" s="670">
        <f>I16</f>
        <v>6.901927047974608</v>
      </c>
      <c r="AN8" s="670">
        <f>I19</f>
        <v>44.302453842024704</v>
      </c>
      <c r="AO8" s="670">
        <f>I22</f>
        <v>45.553398128804254</v>
      </c>
      <c r="AP8" s="671">
        <f>I26</f>
        <v>6.5047473790852468</v>
      </c>
      <c r="AQ8" s="671">
        <f>I29</f>
        <v>39.658359781262121</v>
      </c>
      <c r="AR8" s="671">
        <f>I32</f>
        <v>13.474564753165298</v>
      </c>
      <c r="AS8" s="671">
        <f>I35</f>
        <v>14.301133116064159</v>
      </c>
      <c r="AT8" s="671">
        <f>I38</f>
        <v>11.430021265362438</v>
      </c>
      <c r="AU8" s="671">
        <f>I41</f>
        <v>7.770390398615211</v>
      </c>
      <c r="AV8" s="670">
        <f>I45</f>
        <v>28.400151436682279</v>
      </c>
      <c r="AW8" s="670">
        <f>I48</f>
        <v>10.21623714886743</v>
      </c>
      <c r="AX8" s="670">
        <f>I51</f>
        <v>5.1255531945618475</v>
      </c>
      <c r="AY8" s="670">
        <f>I54</f>
        <v>9.0737256610014221</v>
      </c>
      <c r="AZ8" s="670">
        <f>I57</f>
        <v>31.309860486418504</v>
      </c>
      <c r="BA8" s="670">
        <f>I60</f>
        <v>40.922975755119111</v>
      </c>
      <c r="BB8" s="671">
        <f>I64</f>
        <v>97.595685138002494</v>
      </c>
      <c r="BC8" s="671">
        <f>I67</f>
        <v>64.557713279686695</v>
      </c>
      <c r="BD8" s="671">
        <f>I70</f>
        <v>39.970807258312185</v>
      </c>
      <c r="BE8" s="671">
        <f>I73</f>
        <v>21.003223784015592</v>
      </c>
      <c r="BF8" s="671">
        <f>I76</f>
        <v>10.02181608191089</v>
      </c>
      <c r="BG8" s="671">
        <f>I79</f>
        <v>3.5418598766398226</v>
      </c>
      <c r="BH8" s="665"/>
      <c r="BI8" s="665"/>
    </row>
    <row r="9" spans="1:62" ht="15.75" thickBot="1">
      <c r="A9" s="94"/>
      <c r="B9" s="95"/>
      <c r="C9" s="1420"/>
      <c r="D9" s="383">
        <f t="shared" si="1"/>
        <v>147.22394537812542</v>
      </c>
      <c r="E9" s="371">
        <v>18.13</v>
      </c>
      <c r="F9" s="1219">
        <f xml:space="preserve"> (E8  + 16 ) / 116</f>
        <v>0.70440517241379308</v>
      </c>
      <c r="G9" s="1219">
        <f>IF(F9^3&gt;0.008856,F9^3*$AQ$24, (F9- 16 / 116 ) / 7.787*$AQ$24)</f>
        <v>34.951644057543291</v>
      </c>
      <c r="H9" s="1220">
        <f>G9/SUM(G8:G10)</f>
        <v>0.37438310361872018</v>
      </c>
      <c r="I9" s="1343">
        <v>34.594737633856717</v>
      </c>
      <c r="J9" s="1220">
        <f>I9/SUM(I8:I10)</f>
        <v>0.35380382253222714</v>
      </c>
      <c r="K9" s="1220">
        <f>I9/$AQ$28</f>
        <v>0.34594737633856715</v>
      </c>
      <c r="L9" s="1220">
        <f t="shared" si="2"/>
        <v>0.70199930218203155</v>
      </c>
      <c r="M9" s="1220">
        <f t="shared" ref="M9" si="12" xml:space="preserve"> 500 * (L8 - L9 )</f>
        <v>16.847161810232826</v>
      </c>
      <c r="N9" s="1219">
        <f xml:space="preserve"> I8/100 * -0.9689 + I9/100*  1.8758 + I10/100 *  0.0415</f>
        <v>0.29274546954435426</v>
      </c>
      <c r="O9" s="1222">
        <f t="shared" si="3"/>
        <v>147.22394537812542</v>
      </c>
      <c r="P9" s="4"/>
      <c r="Q9" s="1347">
        <v>1402.2</v>
      </c>
      <c r="R9" s="706">
        <f t="shared" ref="R9" si="13">Q9/SUM(Q8:Q10)*255</f>
        <v>78.539955190440622</v>
      </c>
      <c r="S9" s="391">
        <f t="shared" si="4"/>
        <v>0.30799982427623773</v>
      </c>
      <c r="T9" s="391">
        <f t="shared" si="5"/>
        <v>7.7262630901151734</v>
      </c>
      <c r="U9" s="391">
        <v>9.278958111672619</v>
      </c>
      <c r="V9" s="391">
        <f>U9/$AQ$28</f>
        <v>9.2789581116726194E-2</v>
      </c>
      <c r="W9" s="391">
        <f t="shared" si="6"/>
        <v>0.4527235343236134</v>
      </c>
      <c r="X9" s="391">
        <f xml:space="preserve"> 500 * (W8 - W9 )</f>
        <v>11.715843310234565</v>
      </c>
      <c r="Y9" s="391"/>
      <c r="Z9" s="422">
        <f t="shared" si="0"/>
        <v>147.22394537812542</v>
      </c>
      <c r="AA9" s="572">
        <v>29.456255887050904</v>
      </c>
      <c r="AB9" s="572">
        <f>AA9/$AQ$28</f>
        <v>0.29456255887050903</v>
      </c>
      <c r="AC9" s="572">
        <f t="shared" si="7"/>
        <v>0.66536381913840492</v>
      </c>
      <c r="AD9" s="572">
        <f xml:space="preserve"> 500 * (AC8 - AC9 )</f>
        <v>17.912471681906627</v>
      </c>
      <c r="AE9" s="572">
        <f xml:space="preserve"> AA8/100 * -0.9689 + AA9/100*  1.8758 + AA10/100 *  0.0415</f>
        <v>0.24338539886601174</v>
      </c>
      <c r="AF9" s="573">
        <f t="shared" si="8"/>
        <v>135.28263749040255</v>
      </c>
      <c r="AG9" s="574"/>
      <c r="AH9" s="661"/>
      <c r="AI9" s="662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72"/>
      <c r="AW9" s="672"/>
      <c r="AX9" s="672"/>
      <c r="AY9" s="672"/>
      <c r="AZ9" s="664"/>
      <c r="BA9" s="664"/>
      <c r="BB9" s="664"/>
      <c r="BC9" s="664"/>
      <c r="BD9" s="664"/>
      <c r="BE9" s="664"/>
      <c r="BF9" s="664"/>
      <c r="BG9" s="664"/>
      <c r="BH9" s="665"/>
      <c r="BI9" s="665"/>
    </row>
    <row r="10" spans="1:62" ht="15.75" thickBot="1">
      <c r="A10" s="96"/>
      <c r="B10" s="97"/>
      <c r="C10" s="1420"/>
      <c r="D10" s="384">
        <f t="shared" si="1"/>
        <v>128.67442122465755</v>
      </c>
      <c r="E10" s="372">
        <v>17.809999999999999</v>
      </c>
      <c r="F10" s="1223">
        <f>F9 - E10 / 200</f>
        <v>0.61535517241379312</v>
      </c>
      <c r="G10" s="1223">
        <f>IF(F10^3&gt;0.008856,F10^3*$AQ$25, (F10- 16 / 116 ) / 7.787*$AQ$25)</f>
        <v>19.228351320124247</v>
      </c>
      <c r="H10" s="1224">
        <f>G9</f>
        <v>34.951644057543291</v>
      </c>
      <c r="I10" s="1344">
        <v>25.337876818668772</v>
      </c>
      <c r="J10" s="1224">
        <f>I9</f>
        <v>34.594737633856717</v>
      </c>
      <c r="K10" s="1224">
        <f>I10/$AQ$29</f>
        <v>0.23270737230484806</v>
      </c>
      <c r="L10" s="1224">
        <f t="shared" si="2"/>
        <v>0.61508723490326866</v>
      </c>
      <c r="M10" s="1224">
        <f t="shared" ref="M10" si="14" xml:space="preserve"> 200 * ( L9 - L10 )</f>
        <v>17.382413455752577</v>
      </c>
      <c r="N10" s="1223">
        <f xml:space="preserve"> I8/100 *  0.0557 + I9/100 * -0.204 + I10/100 *  1.057</f>
        <v>0.21832877187652311</v>
      </c>
      <c r="O10" s="1226">
        <f t="shared" si="3"/>
        <v>128.67442122465755</v>
      </c>
      <c r="P10" s="4"/>
      <c r="Q10" s="1348">
        <v>1173.4000000000001</v>
      </c>
      <c r="R10" s="706">
        <f t="shared" ref="R10" si="15">Q10/SUM(Q8:Q10)*255</f>
        <v>65.724421209858107</v>
      </c>
      <c r="S10" s="391">
        <f t="shared" si="4"/>
        <v>0.25774282827395334</v>
      </c>
      <c r="T10" s="391">
        <f t="shared" si="5"/>
        <v>5.4031093789821361</v>
      </c>
      <c r="U10" s="391">
        <v>6.3612816227021787</v>
      </c>
      <c r="V10" s="391">
        <f>U10/$AQ$29</f>
        <v>5.84230928859618E-2</v>
      </c>
      <c r="W10" s="391">
        <f t="shared" si="6"/>
        <v>0.38802661472488892</v>
      </c>
      <c r="X10" s="391">
        <f xml:space="preserve"> 200 * ( W9 - W10 )</f>
        <v>12.939383919744895</v>
      </c>
      <c r="Y10" s="391"/>
      <c r="Z10" s="422">
        <f t="shared" si="0"/>
        <v>128.67442122465755</v>
      </c>
      <c r="AA10" s="572">
        <v>20.070409776537982</v>
      </c>
      <c r="AB10" s="572">
        <f>AA10/$AQ$29</f>
        <v>0.18433005865505159</v>
      </c>
      <c r="AC10" s="572">
        <f t="shared" si="7"/>
        <v>0.56911328083415391</v>
      </c>
      <c r="AD10" s="572">
        <f xml:space="preserve"> 200 * ( AC9 - AC10 )</f>
        <v>19.250107660850201</v>
      </c>
      <c r="AE10" s="572">
        <f xml:space="preserve"> AA8/100 *  0.0557 + AA9/100 * -0.204 + AA10/100 *  1.057</f>
        <v>0.17030496462206979</v>
      </c>
      <c r="AF10" s="573">
        <f t="shared" si="8"/>
        <v>114.64303995322381</v>
      </c>
      <c r="AG10" s="574"/>
      <c r="AH10" s="661"/>
      <c r="AI10" s="1439" t="s">
        <v>221</v>
      </c>
      <c r="AJ10" s="666">
        <f>Q5</f>
        <v>592.6</v>
      </c>
      <c r="AK10" s="666">
        <f>Q8</f>
        <v>1977</v>
      </c>
      <c r="AL10" s="666">
        <f>Q11</f>
        <v>521.20000000000005</v>
      </c>
      <c r="AM10" s="666">
        <f>Q14</f>
        <v>460.8</v>
      </c>
      <c r="AN10" s="666">
        <f>Q17</f>
        <v>883</v>
      </c>
      <c r="AO10" s="666">
        <f>Q20</f>
        <v>894.6</v>
      </c>
      <c r="AP10" s="667">
        <f>Q24</f>
        <v>2657.6001000000001</v>
      </c>
      <c r="AQ10" s="667">
        <f>Q27</f>
        <v>413.8</v>
      </c>
      <c r="AR10" s="667">
        <f>Q30</f>
        <v>2100.1999999999998</v>
      </c>
      <c r="AS10" s="667">
        <f>Q33</f>
        <v>468</v>
      </c>
      <c r="AT10" s="667">
        <f>Q36</f>
        <v>1845.6</v>
      </c>
      <c r="AU10" s="667">
        <f>Q39</f>
        <v>2903.6001000000001</v>
      </c>
      <c r="AV10" s="666">
        <f>Q43</f>
        <v>181</v>
      </c>
      <c r="AW10" s="666">
        <f>Q46</f>
        <v>595.4</v>
      </c>
      <c r="AX10" s="666">
        <f>Q49</f>
        <v>1565.4</v>
      </c>
      <c r="AY10" s="666">
        <f>Q52</f>
        <v>3486</v>
      </c>
      <c r="AZ10" s="666">
        <f>Q55</f>
        <v>1897</v>
      </c>
      <c r="BA10" s="666">
        <f>Q58</f>
        <v>351</v>
      </c>
      <c r="BB10" s="667">
        <f>Q62</f>
        <v>4208.3999000000003</v>
      </c>
      <c r="BC10" s="667">
        <f>Q65</f>
        <v>2945.2</v>
      </c>
      <c r="BD10" s="667">
        <f>Q68</f>
        <v>1724.2</v>
      </c>
      <c r="BE10" s="667">
        <f>Q71</f>
        <v>927.6</v>
      </c>
      <c r="BF10" s="667">
        <f>Q74</f>
        <v>424</v>
      </c>
      <c r="BG10" s="667">
        <f>Q77</f>
        <v>203</v>
      </c>
      <c r="BH10" s="665"/>
      <c r="BI10" s="665"/>
    </row>
    <row r="11" spans="1:62">
      <c r="A11" s="92">
        <v>3</v>
      </c>
      <c r="B11" s="93" t="s">
        <v>110</v>
      </c>
      <c r="C11" s="1421"/>
      <c r="D11" s="382">
        <f t="shared" si="1"/>
        <v>90.590111987322274</v>
      </c>
      <c r="E11" s="370">
        <v>49.927</v>
      </c>
      <c r="F11" s="1215">
        <f xml:space="preserve"> E12 / 500 + F12</f>
        <v>0.55857620689655163</v>
      </c>
      <c r="G11" s="1215">
        <f>IF(F11^3&gt;0.008856,F11^3*$AQ$23, (F11- 16 / 116 ) / 7.787*$AQ$23)</f>
        <v>16.804416347693039</v>
      </c>
      <c r="H11" s="1216">
        <f>G11/SUM(G11:G13)</f>
        <v>0.27604076783496151</v>
      </c>
      <c r="I11" s="1342">
        <f t="array" ref="I11:I13">MMULT($AQ$34:$AS$36,G11:G13)</f>
        <v>17.259184587792387</v>
      </c>
      <c r="J11" s="1216">
        <f>I11/SUM(I11:I13)</f>
        <v>0.24693798032733721</v>
      </c>
      <c r="K11" s="1216">
        <f>I11/$AQ$27</f>
        <v>0.18158579005957459</v>
      </c>
      <c r="L11" s="1216">
        <f t="shared" si="2"/>
        <v>0.56627486686879502</v>
      </c>
      <c r="M11" s="1216">
        <f t="shared" ref="M11" si="16" xml:space="preserve"> 116 * L12  - 16</f>
        <v>50.221743009310785</v>
      </c>
      <c r="N11" s="1215">
        <f>I11/100*  3.2406 + I12/100 * -1.5372 + I13/100 * -0.4986</f>
        <v>0.10363925492524978</v>
      </c>
      <c r="O11" s="1218">
        <f t="shared" si="3"/>
        <v>90.590111987322274</v>
      </c>
      <c r="P11" s="4"/>
      <c r="Q11" s="1346">
        <v>521.20000000000005</v>
      </c>
      <c r="R11" s="707">
        <f t="shared" ref="R11" si="17">Q11/SUM(Q11:Q13)*255</f>
        <v>49.919621394230774</v>
      </c>
      <c r="S11" s="393">
        <f t="shared" si="4"/>
        <v>0.19576322115384617</v>
      </c>
      <c r="T11" s="393">
        <f t="shared" si="5"/>
        <v>3.1800014104674403</v>
      </c>
      <c r="U11" s="393">
        <f t="array" ref="U11:U13">MMULT($AQ$47:$AS$49,T11:T13)</f>
        <v>8.0984225276570747</v>
      </c>
      <c r="V11" s="393">
        <f>U11/$AQ$27</f>
        <v>8.5204399167328526E-2</v>
      </c>
      <c r="W11" s="393">
        <f t="shared" si="6"/>
        <v>0.44003511973003306</v>
      </c>
      <c r="X11" s="393">
        <f xml:space="preserve"> 116 * W12  - 16</f>
        <v>36.745414207222268</v>
      </c>
      <c r="Y11" s="393">
        <f t="shared" ref="Y11" si="18">SQRT(( ( M11-X11 ) ^ 2 ) + ( ( M12 - X12 ) ^ 2 ) + ( (M13 - X13 ) ^ 2 ))</f>
        <v>14.991226630077433</v>
      </c>
      <c r="Z11" s="423">
        <f t="shared" si="0"/>
        <v>90.590111987322274</v>
      </c>
      <c r="AA11" s="575">
        <f t="array" ref="AA11:AA13">MMULT($AP$14:$AR$16,Q11:Q13)</f>
        <v>13.97898121358218</v>
      </c>
      <c r="AB11" s="575">
        <f>AA11/$AQ$27</f>
        <v>0.1470744075413446</v>
      </c>
      <c r="AC11" s="575">
        <f t="shared" si="7"/>
        <v>0.52785224039789114</v>
      </c>
      <c r="AD11" s="575">
        <f xml:space="preserve"> 116 * AC12  - 16</f>
        <v>45.927994241168953</v>
      </c>
      <c r="AE11" s="575">
        <f>AA11/100*  3.2406 + AA12/100 * -1.5372 + AA13/100 * -0.4986</f>
        <v>8.2708674638114515E-2</v>
      </c>
      <c r="AF11" s="576">
        <f t="shared" si="8"/>
        <v>81.204663350753279</v>
      </c>
      <c r="AG11" s="577">
        <f>SQRT(( ( M11-AD11 ) ^ 2 ) + ( ( M12 - AD12 ) ^ 2 ) + ( (M13 - AD13 ) ^ 2 ))</f>
        <v>4.8399679211510316</v>
      </c>
      <c r="AH11" s="661"/>
      <c r="AI11" s="1440"/>
      <c r="AJ11" s="668">
        <f>Q6</f>
        <v>424.6</v>
      </c>
      <c r="AK11" s="668">
        <f>Q9</f>
        <v>1402.2</v>
      </c>
      <c r="AL11" s="668">
        <f>Q12</f>
        <v>952</v>
      </c>
      <c r="AM11" s="668">
        <f>Q15</f>
        <v>620</v>
      </c>
      <c r="AN11" s="668">
        <f>Q18</f>
        <v>1157.8</v>
      </c>
      <c r="AO11" s="668">
        <f>Q21</f>
        <v>2193</v>
      </c>
      <c r="AP11" s="669">
        <f>Q25</f>
        <v>1157.8</v>
      </c>
      <c r="AQ11" s="669">
        <f>Q28</f>
        <v>887.6</v>
      </c>
      <c r="AR11" s="669">
        <f>Q31</f>
        <v>742.6</v>
      </c>
      <c r="AS11" s="669">
        <f>Q34</f>
        <v>426</v>
      </c>
      <c r="AT11" s="669">
        <f>Q37</f>
        <v>2455.1999999999998</v>
      </c>
      <c r="AU11" s="669">
        <f>Q40</f>
        <v>1777.8</v>
      </c>
      <c r="AV11" s="668">
        <f>Q44</f>
        <v>499</v>
      </c>
      <c r="AW11" s="668">
        <f>Q47</f>
        <v>1333.8</v>
      </c>
      <c r="AX11" s="668">
        <f>Q50</f>
        <v>394</v>
      </c>
      <c r="AY11" s="668">
        <f>Q53</f>
        <v>2777.2</v>
      </c>
      <c r="AZ11" s="668">
        <f>Q56</f>
        <v>867.4</v>
      </c>
      <c r="BA11" s="668">
        <f>Q59</f>
        <v>1297</v>
      </c>
      <c r="BB11" s="669">
        <f>Q63</f>
        <v>5044</v>
      </c>
      <c r="BC11" s="669">
        <f>Q66</f>
        <v>3620.8</v>
      </c>
      <c r="BD11" s="669">
        <f>Q69</f>
        <v>2141.8000000000002</v>
      </c>
      <c r="BE11" s="669">
        <f>Q72</f>
        <v>1137.5999999999999</v>
      </c>
      <c r="BF11" s="669">
        <f>Q75</f>
        <v>532</v>
      </c>
      <c r="BG11" s="669">
        <f>Q78</f>
        <v>242.4</v>
      </c>
      <c r="BH11" s="665"/>
      <c r="BI11" s="665"/>
    </row>
    <row r="12" spans="1:62" ht="15.75" thickBot="1">
      <c r="A12" s="94"/>
      <c r="B12" s="95"/>
      <c r="C12" s="1421"/>
      <c r="D12" s="383">
        <f t="shared" si="1"/>
        <v>122.36943007700241</v>
      </c>
      <c r="E12" s="371">
        <v>-4.88</v>
      </c>
      <c r="F12" s="1219">
        <f xml:space="preserve"> (E11  + 16 ) / 116</f>
        <v>0.56833620689655162</v>
      </c>
      <c r="G12" s="1219">
        <f>IF(F12^3&gt;0.008856,F12^3*$AQ$24, (F12- 16 / 116 ) / 7.787*$AQ$24)</f>
        <v>18.357602989115406</v>
      </c>
      <c r="H12" s="1220">
        <f>G12/SUM(G11:G13)</f>
        <v>0.30155446758021298</v>
      </c>
      <c r="I12" s="1343">
        <v>18.604922057669455</v>
      </c>
      <c r="J12" s="1220">
        <f>I12/SUM(I11:I13)</f>
        <v>0.26619229046996778</v>
      </c>
      <c r="K12" s="1220">
        <f>I12/$AQ$28</f>
        <v>0.18604922057669454</v>
      </c>
      <c r="L12" s="1220">
        <f t="shared" si="2"/>
        <v>0.57087709490785166</v>
      </c>
      <c r="M12" s="1220">
        <f t="shared" ref="M12" si="19" xml:space="preserve"> 500 * (L11 - L12 )</f>
        <v>-2.3011140195283164</v>
      </c>
      <c r="N12" s="1219">
        <f xml:space="preserve"> I11/100 * -0.9689 + I12/100*  1.8758 + I13/100 *  0.0415</f>
        <v>0.19588879239094442</v>
      </c>
      <c r="O12" s="1222">
        <f t="shared" si="3"/>
        <v>122.36943007700241</v>
      </c>
      <c r="P12" s="4"/>
      <c r="Q12" s="1347">
        <v>952</v>
      </c>
      <c r="R12" s="707">
        <f t="shared" ref="R12" si="20">Q12/SUM(Q11:Q13)*255</f>
        <v>91.18088942307692</v>
      </c>
      <c r="S12" s="393">
        <f t="shared" si="4"/>
        <v>0.35757211538461536</v>
      </c>
      <c r="T12" s="393">
        <f t="shared" si="5"/>
        <v>10.504945154728777</v>
      </c>
      <c r="U12" s="393">
        <v>9.401132070155402</v>
      </c>
      <c r="V12" s="393">
        <f>U12/$AQ$28</f>
        <v>9.4011320701554019E-2</v>
      </c>
      <c r="W12" s="393">
        <f t="shared" si="6"/>
        <v>0.45470184661398505</v>
      </c>
      <c r="X12" s="393">
        <f xml:space="preserve"> 500 * (W11 - W12 )</f>
        <v>-7.333363441975993</v>
      </c>
      <c r="Y12" s="393"/>
      <c r="Z12" s="423">
        <f t="shared" si="0"/>
        <v>122.36943007700241</v>
      </c>
      <c r="AA12" s="575">
        <v>15.215529644132181</v>
      </c>
      <c r="AB12" s="575">
        <f>AA12/$AQ$28</f>
        <v>0.15215529644132181</v>
      </c>
      <c r="AC12" s="575">
        <f t="shared" si="7"/>
        <v>0.53386201932042199</v>
      </c>
      <c r="AD12" s="575">
        <f xml:space="preserve"> 500 * (AC11 - AC12 )</f>
        <v>-3.0048894612654253</v>
      </c>
      <c r="AE12" s="575">
        <f xml:space="preserve"> AA11/100 * -0.9689 + AA12/100*  1.8758 + AA13/100 *  0.0415</f>
        <v>0.1613236334197769</v>
      </c>
      <c r="AF12" s="576">
        <f t="shared" si="8"/>
        <v>111.77099210708811</v>
      </c>
      <c r="AG12" s="577"/>
      <c r="AH12" s="661"/>
      <c r="AI12" s="1441"/>
      <c r="AJ12" s="670">
        <f>Q7</f>
        <v>364.8</v>
      </c>
      <c r="AK12" s="670">
        <f>Q10</f>
        <v>1173.4000000000001</v>
      </c>
      <c r="AL12" s="670">
        <f>Q13</f>
        <v>1189.2</v>
      </c>
      <c r="AM12" s="670">
        <f>Q16</f>
        <v>398.2</v>
      </c>
      <c r="AN12" s="670">
        <f>Q19</f>
        <v>1562.2</v>
      </c>
      <c r="AO12" s="670">
        <f>Q22</f>
        <v>1805.8</v>
      </c>
      <c r="AP12" s="671">
        <f>Q26</f>
        <v>700</v>
      </c>
      <c r="AQ12" s="671">
        <f>Q29</f>
        <v>1693</v>
      </c>
      <c r="AR12" s="671">
        <f>Q32</f>
        <v>825.2</v>
      </c>
      <c r="AS12" s="671">
        <f>Q35</f>
        <v>683.6</v>
      </c>
      <c r="AT12" s="671">
        <f>Q38</f>
        <v>1108.5999999999999</v>
      </c>
      <c r="AU12" s="671">
        <f>Q41</f>
        <v>870</v>
      </c>
      <c r="AV12" s="670">
        <f>Q45</f>
        <v>1052.8</v>
      </c>
      <c r="AW12" s="670">
        <f>Q48</f>
        <v>702.2</v>
      </c>
      <c r="AX12" s="670">
        <f>Q51</f>
        <v>423.8</v>
      </c>
      <c r="AY12" s="670">
        <f>Q54</f>
        <v>1163.2</v>
      </c>
      <c r="AZ12" s="670">
        <f>Q57</f>
        <v>1416.4</v>
      </c>
      <c r="BA12" s="670">
        <f>Q60</f>
        <v>1615.4</v>
      </c>
      <c r="BB12" s="671">
        <f>Q64</f>
        <v>4827</v>
      </c>
      <c r="BC12" s="671">
        <f>Q67</f>
        <v>3527.6001000000001</v>
      </c>
      <c r="BD12" s="671">
        <f>Q70</f>
        <v>2125.8000000000002</v>
      </c>
      <c r="BE12" s="671">
        <f>Q73</f>
        <v>1142</v>
      </c>
      <c r="BF12" s="671">
        <f>Q76</f>
        <v>551.20000000000005</v>
      </c>
      <c r="BG12" s="671">
        <f>Q79</f>
        <v>254.6</v>
      </c>
      <c r="BH12" s="665"/>
      <c r="BI12" s="665"/>
    </row>
    <row r="13" spans="1:62" ht="15.75" thickBot="1">
      <c r="A13" s="96"/>
      <c r="B13" s="97"/>
      <c r="C13" s="1421"/>
      <c r="D13" s="384">
        <f t="shared" si="1"/>
        <v>155.7634429623528</v>
      </c>
      <c r="E13" s="372">
        <v>-21.925000000000001</v>
      </c>
      <c r="F13" s="1223">
        <f>F12 - E13 / 200</f>
        <v>0.67796120689655159</v>
      </c>
      <c r="G13" s="1223">
        <f>IF(F13^3&gt;0.008856,F13^3*$AQ$25, (F13- 16 / 116 ) / 7.787*$AQ$25)</f>
        <v>25.714555089111201</v>
      </c>
      <c r="H13" s="1224">
        <f>G12</f>
        <v>18.357602989115406</v>
      </c>
      <c r="I13" s="1344">
        <v>34.028684106750006</v>
      </c>
      <c r="J13" s="1224">
        <f>I12</f>
        <v>18.604922057669455</v>
      </c>
      <c r="K13" s="1224">
        <f>I13/$AQ$29</f>
        <v>0.31252522530376647</v>
      </c>
      <c r="L13" s="1224">
        <f t="shared" si="2"/>
        <v>0.6786226628598292</v>
      </c>
      <c r="M13" s="1224">
        <f t="shared" ref="M13" si="21" xml:space="preserve"> 200 * ( L12 - L13 )</f>
        <v>-21.549113590395507</v>
      </c>
      <c r="N13" s="1223">
        <f xml:space="preserve"> I11/100 *  0.0557 + I12/100 * -0.204 + I13/100 *  1.057</f>
        <v>0.33134251582610225</v>
      </c>
      <c r="O13" s="1226">
        <f t="shared" si="3"/>
        <v>155.7634429623528</v>
      </c>
      <c r="P13" s="4"/>
      <c r="Q13" s="1348">
        <v>1189.2</v>
      </c>
      <c r="R13" s="707">
        <f t="shared" ref="R13" si="22">Q13/SUM(Q11:Q13)*255</f>
        <v>113.89948918269231</v>
      </c>
      <c r="S13" s="393">
        <f t="shared" si="4"/>
        <v>0.44666466346153844</v>
      </c>
      <c r="T13" s="393">
        <f t="shared" si="5"/>
        <v>16.79525195571286</v>
      </c>
      <c r="U13" s="393">
        <v>17.274184046199217</v>
      </c>
      <c r="V13" s="393">
        <f>U13/$AQ$29</f>
        <v>0.15864904572981289</v>
      </c>
      <c r="W13" s="393">
        <f t="shared" si="6"/>
        <v>0.54135126346995854</v>
      </c>
      <c r="X13" s="393">
        <f xml:space="preserve"> 200 * ( W12 - W13 )</f>
        <v>-17.329883371194697</v>
      </c>
      <c r="Y13" s="393"/>
      <c r="Z13" s="423">
        <f t="shared" si="0"/>
        <v>155.7634429623528</v>
      </c>
      <c r="AA13" s="575">
        <v>27.356812851911311</v>
      </c>
      <c r="AB13" s="575">
        <f>AA13/$AQ$29</f>
        <v>0.2512496243849941</v>
      </c>
      <c r="AC13" s="575">
        <f t="shared" si="7"/>
        <v>0.63100839966030009</v>
      </c>
      <c r="AD13" s="575">
        <f xml:space="preserve"> 200 * ( AC12 - AC13 )</f>
        <v>-19.429276067975621</v>
      </c>
      <c r="AE13" s="575">
        <f xml:space="preserve"> AA11/100 *  0.0557 + AA12/100 * -0.204 + AA13/100 *  1.057</f>
        <v>0.26590812390663815</v>
      </c>
      <c r="AF13" s="576">
        <f t="shared" si="8"/>
        <v>140.89142843442778</v>
      </c>
      <c r="AG13" s="577"/>
      <c r="AH13" s="661"/>
      <c r="AI13" s="662"/>
      <c r="AJ13" s="663"/>
      <c r="AK13" s="663"/>
      <c r="AL13" s="663"/>
      <c r="AM13" s="664"/>
      <c r="AN13" s="664"/>
      <c r="AO13" s="664"/>
      <c r="AP13" s="664"/>
      <c r="AQ13" s="664"/>
      <c r="AR13" s="663"/>
      <c r="AS13" s="663"/>
      <c r="AT13" s="663"/>
      <c r="AU13" s="663"/>
      <c r="AV13" s="663"/>
      <c r="AW13" s="663"/>
      <c r="AX13" s="663"/>
      <c r="AY13" s="664"/>
      <c r="AZ13" s="664"/>
      <c r="BA13" s="664"/>
      <c r="BB13" s="664"/>
      <c r="BC13" s="664"/>
      <c r="BD13" s="664"/>
      <c r="BE13" s="664"/>
      <c r="BF13" s="664"/>
      <c r="BG13" s="664"/>
      <c r="BH13" s="665"/>
      <c r="BI13" s="665"/>
    </row>
    <row r="14" spans="1:62">
      <c r="A14" s="92">
        <v>4</v>
      </c>
      <c r="B14" s="93" t="s">
        <v>111</v>
      </c>
      <c r="C14" s="1422"/>
      <c r="D14" s="382">
        <f t="shared" si="1"/>
        <v>89.727149578766344</v>
      </c>
      <c r="E14" s="370">
        <v>43.139000000000003</v>
      </c>
      <c r="F14" s="1215">
        <f xml:space="preserve"> E15 / 500 + F15</f>
        <v>0.48362896551724138</v>
      </c>
      <c r="G14" s="1215">
        <f>IF(F14^3&gt;0.008856,F14^3*$AQ$23, (F14- 16 / 116 ) / 7.787*$AQ$23)</f>
        <v>10.907194224055665</v>
      </c>
      <c r="H14" s="1216">
        <f>G14/SUM(G14:G16)</f>
        <v>0.37034842231105086</v>
      </c>
      <c r="I14" s="1342">
        <f t="array" ref="I14:I16">MMULT($AQ$34:$AS$36,G14:G16)</f>
        <v>10.451691011485027</v>
      </c>
      <c r="J14" s="1216">
        <f>I14/SUM(I14:I16)</f>
        <v>0.34224113871869855</v>
      </c>
      <c r="K14" s="1216">
        <f>I14/$AQ$27</f>
        <v>0.10996339717702849</v>
      </c>
      <c r="L14" s="1216">
        <f t="shared" si="2"/>
        <v>0.47908883450958523</v>
      </c>
      <c r="M14" s="1216">
        <f t="shared" ref="M14" si="23" xml:space="preserve"> 116 * L15  - 16</f>
        <v>43.041203809731833</v>
      </c>
      <c r="N14" s="1215">
        <f>I14/100*  3.2406 + I15/100 * -1.5372 + I16/100 * -0.4986</f>
        <v>0.10159929910228443</v>
      </c>
      <c r="O14" s="1218">
        <f t="shared" si="3"/>
        <v>89.727149578766344</v>
      </c>
      <c r="P14" s="4"/>
      <c r="Q14" s="1346">
        <v>460.8</v>
      </c>
      <c r="R14" s="708">
        <f t="shared" ref="R14" si="24">Q14/SUM(Q14:Q16)*255</f>
        <v>79.448275862068968</v>
      </c>
      <c r="S14" s="394">
        <f t="shared" si="4"/>
        <v>0.31156186612576064</v>
      </c>
      <c r="T14" s="394">
        <f t="shared" si="5"/>
        <v>7.9094735048350104</v>
      </c>
      <c r="U14" s="394">
        <f t="array" ref="U14:U16">MMULT($AQ$47:$AS$49,T14:T16)</f>
        <v>9.5720113334864312</v>
      </c>
      <c r="V14" s="394">
        <f>U14/$AQ$27</f>
        <v>0.10070818998481205</v>
      </c>
      <c r="W14" s="394">
        <f t="shared" si="6"/>
        <v>0.46525201583164877</v>
      </c>
      <c r="X14" s="394">
        <f xml:space="preserve"> 116 * W15  - 16</f>
        <v>42.15504675136998</v>
      </c>
      <c r="Y14" s="394">
        <f t="shared" ref="Y14" si="25">SQRT(( ( M14-X14 ) ^ 2 ) + ( ( M15 - X15 ) ^ 2 ) + ( (M16 - X16 ) ^ 2 ))</f>
        <v>4.9607736698632277</v>
      </c>
      <c r="Z14" s="424">
        <f t="shared" si="0"/>
        <v>89.727149578766344</v>
      </c>
      <c r="AA14" s="578">
        <f t="array" ref="AA14:AA16">MMULT($AP$14:$AR$16,Q14:Q16)</f>
        <v>9.2522832909290837</v>
      </c>
      <c r="AB14" s="578">
        <f>AA14/$AQ$27</f>
        <v>9.7344295884447526E-2</v>
      </c>
      <c r="AC14" s="578">
        <f t="shared" si="7"/>
        <v>0.46001306812976428</v>
      </c>
      <c r="AD14" s="578">
        <f xml:space="preserve"> 116 * AC15  - 16</f>
        <v>40.289249071986887</v>
      </c>
      <c r="AE14" s="578">
        <f>AA14/100*  3.2406 + AA15/100 * -1.5372 + AA16/100 * -0.4986</f>
        <v>9.0964536716575312E-2</v>
      </c>
      <c r="AF14" s="579">
        <f t="shared" si="8"/>
        <v>85.055765523311791</v>
      </c>
      <c r="AG14" s="580">
        <f>SQRT(( ( M14-AD14 ) ^ 2 ) + ( ( M15 - AD15 ) ^ 2 ) + ( (M16 - AD16 ) ^ 2 ))</f>
        <v>5.2455252901516092</v>
      </c>
      <c r="AH14" s="661"/>
      <c r="AI14" s="1439" t="s">
        <v>222</v>
      </c>
      <c r="AJ14" s="673">
        <v>1</v>
      </c>
      <c r="AK14" s="674">
        <v>1.5994681685999999E-5</v>
      </c>
      <c r="AL14" s="674">
        <v>-1.3813253134000001E-5</v>
      </c>
      <c r="AM14" s="674">
        <v>5.3358077983999998E-6</v>
      </c>
      <c r="AN14" s="359"/>
      <c r="AO14" s="1439" t="s">
        <v>202</v>
      </c>
      <c r="AP14" s="674">
        <f t="array" ref="AP14:AR16">MMULT(AJ6:BG8,AK14:AM37)</f>
        <v>1.1683063406445841E-2</v>
      </c>
      <c r="AQ14" s="674">
        <v>4.0729017948242709E-3</v>
      </c>
      <c r="AR14" s="674">
        <v>3.3740044210140443E-3</v>
      </c>
      <c r="AS14" s="664"/>
      <c r="AT14" s="663"/>
      <c r="AU14" s="675"/>
      <c r="AV14" s="675"/>
      <c r="AW14" s="675"/>
      <c r="AX14" s="663"/>
      <c r="AY14" s="664"/>
      <c r="AZ14" s="664"/>
      <c r="BA14" s="664"/>
      <c r="BB14" s="664"/>
      <c r="BC14" s="664"/>
      <c r="BD14" s="664"/>
      <c r="BE14" s="664"/>
      <c r="BF14" s="664"/>
      <c r="BG14" s="664"/>
      <c r="BH14" s="665"/>
      <c r="BI14" s="665"/>
    </row>
    <row r="15" spans="1:62">
      <c r="A15" s="94"/>
      <c r="B15" s="95"/>
      <c r="C15" s="1422"/>
      <c r="D15" s="383">
        <f t="shared" si="1"/>
        <v>107.64968923603281</v>
      </c>
      <c r="E15" s="371">
        <v>-13.095000000000001</v>
      </c>
      <c r="F15" s="1219">
        <f xml:space="preserve"> (E14  + 16 ) / 116</f>
        <v>0.50981896551724137</v>
      </c>
      <c r="G15" s="1219">
        <f>IF(F15^3&gt;0.008856,F15^3*$AQ$24, (F15- 16 / 116 ) / 7.787*$AQ$24)</f>
        <v>13.250978893060076</v>
      </c>
      <c r="H15" s="1220">
        <f>G15/SUM(G14:G16)</f>
        <v>0.44993047949017512</v>
      </c>
      <c r="I15" s="1343">
        <v>13.185349437594194</v>
      </c>
      <c r="J15" s="1220">
        <f>I15/SUM(I14:I16)</f>
        <v>0.43175491898559493</v>
      </c>
      <c r="K15" s="1220">
        <f>I15/$AQ$28</f>
        <v>0.13185349437594193</v>
      </c>
      <c r="L15" s="1220">
        <f t="shared" si="2"/>
        <v>0.50897589491148132</v>
      </c>
      <c r="M15" s="1220">
        <f t="shared" ref="M15" si="26" xml:space="preserve"> 500 * (L14 - L15 )</f>
        <v>-14.943530200948047</v>
      </c>
      <c r="N15" s="1219">
        <f xml:space="preserve"> I14/100 * -0.9689 + I15/100*  1.8758 + I16/100 *  0.0415</f>
        <v>0.14892865026502292</v>
      </c>
      <c r="O15" s="1222">
        <f t="shared" si="3"/>
        <v>107.64968923603281</v>
      </c>
      <c r="P15" s="4"/>
      <c r="Q15" s="1347">
        <v>620</v>
      </c>
      <c r="R15" s="708">
        <f t="shared" ref="R15" si="27">Q15/SUM(Q14:Q16)*255</f>
        <v>106.89655172413794</v>
      </c>
      <c r="S15" s="394">
        <f t="shared" si="4"/>
        <v>0.41920216362407031</v>
      </c>
      <c r="T15" s="394">
        <f t="shared" si="5"/>
        <v>14.672582892253438</v>
      </c>
      <c r="U15" s="394">
        <v>12.600513962123074</v>
      </c>
      <c r="V15" s="394">
        <f>U15/$AQ$28</f>
        <v>0.12600513962123075</v>
      </c>
      <c r="W15" s="394">
        <f t="shared" si="6"/>
        <v>0.50133660992560325</v>
      </c>
      <c r="X15" s="394">
        <f xml:space="preserve"> 500 * (W14 - W15 )</f>
        <v>-18.042297046977239</v>
      </c>
      <c r="Y15" s="394"/>
      <c r="Z15" s="424">
        <f t="shared" si="0"/>
        <v>107.64968923603281</v>
      </c>
      <c r="AA15" s="578">
        <v>11.426215147812032</v>
      </c>
      <c r="AB15" s="578">
        <f>AA15/$AQ$28</f>
        <v>0.11426215147812031</v>
      </c>
      <c r="AC15" s="578">
        <f t="shared" si="7"/>
        <v>0.48525214717230075</v>
      </c>
      <c r="AD15" s="578">
        <f xml:space="preserve"> 500 * (AC14 - AC15 )</f>
        <v>-12.619539521268235</v>
      </c>
      <c r="AE15" s="578">
        <f xml:space="preserve"> AA14/100 * -0.9689 + AA15/100*  1.8758 + AA16/100 *  0.0415</f>
        <v>0.12745267085425471</v>
      </c>
      <c r="AF15" s="579">
        <f t="shared" si="8"/>
        <v>100.00558843034901</v>
      </c>
      <c r="AG15" s="580"/>
      <c r="AH15" s="661"/>
      <c r="AI15" s="1440"/>
      <c r="AJ15" s="676">
        <v>2</v>
      </c>
      <c r="AK15" s="677">
        <v>5.3529991746000002E-5</v>
      </c>
      <c r="AL15" s="677">
        <v>-4.2211507120999998E-5</v>
      </c>
      <c r="AM15" s="677">
        <v>1.2924100422999999E-5</v>
      </c>
      <c r="AN15" s="359"/>
      <c r="AO15" s="1440"/>
      <c r="AP15" s="677">
        <v>4.6091633830008067E-3</v>
      </c>
      <c r="AQ15" s="677">
        <v>1.6638156699859234E-2</v>
      </c>
      <c r="AR15" s="677">
        <v>-2.5448128904758068E-3</v>
      </c>
      <c r="AS15" s="664"/>
      <c r="AT15" s="663"/>
      <c r="AU15" s="675"/>
      <c r="AV15" s="675"/>
      <c r="AW15" s="675"/>
      <c r="AX15" s="663"/>
      <c r="AY15" s="664"/>
      <c r="AZ15" s="664"/>
      <c r="BA15" s="664"/>
      <c r="BB15" s="664"/>
      <c r="BC15" s="664"/>
      <c r="BD15" s="664"/>
      <c r="BE15" s="664"/>
      <c r="BF15" s="664"/>
      <c r="BG15" s="664"/>
      <c r="BH15" s="665"/>
      <c r="BI15" s="665"/>
    </row>
    <row r="16" spans="1:62" ht="15.75" thickBot="1">
      <c r="A16" s="96"/>
      <c r="B16" s="97"/>
      <c r="C16" s="1422"/>
      <c r="D16" s="384">
        <f t="shared" si="1"/>
        <v>64.383828506381079</v>
      </c>
      <c r="E16" s="372">
        <v>21.905000000000001</v>
      </c>
      <c r="F16" s="1223">
        <f>F15 - E16 / 200</f>
        <v>0.40029396551724139</v>
      </c>
      <c r="G16" s="1223">
        <f>IF(F16^3&gt;0.008856,F16^3*$AQ$25, (F16- 16 / 116 ) / 7.787*$AQ$25)</f>
        <v>5.2929965570859583</v>
      </c>
      <c r="H16" s="1224">
        <f>G15</f>
        <v>13.250978893060076</v>
      </c>
      <c r="I16" s="1344">
        <v>6.901927047974608</v>
      </c>
      <c r="J16" s="1224">
        <f>I15</f>
        <v>13.185349437594194</v>
      </c>
      <c r="K16" s="1224">
        <f>I16/$AQ$29</f>
        <v>6.3388472470216728E-2</v>
      </c>
      <c r="L16" s="1224">
        <f t="shared" si="2"/>
        <v>0.39872190484447512</v>
      </c>
      <c r="M16" s="1224">
        <f t="shared" ref="M16" si="28" xml:space="preserve"> 200 * ( L15 - L16 )</f>
        <v>22.050798013401241</v>
      </c>
      <c r="N16" s="1223">
        <f xml:space="preserve"> I14/100 *  0.0557 + I15/100 * -0.204 + I16/100 *  1.057</f>
        <v>5.1876847937796608E-2</v>
      </c>
      <c r="O16" s="1226">
        <f t="shared" si="3"/>
        <v>64.383828506381079</v>
      </c>
      <c r="P16" s="4"/>
      <c r="Q16" s="1348">
        <v>398.2</v>
      </c>
      <c r="R16" s="708">
        <f t="shared" ref="R16" si="29">Q16/SUM(Q14:Q16)*255</f>
        <v>68.65517241379311</v>
      </c>
      <c r="S16" s="394">
        <f t="shared" si="4"/>
        <v>0.26923597025016904</v>
      </c>
      <c r="T16" s="394">
        <f t="shared" si="5"/>
        <v>5.8919758822201418</v>
      </c>
      <c r="U16" s="394">
        <v>7.5009443078635192</v>
      </c>
      <c r="V16" s="394">
        <f>U16/$AQ$29</f>
        <v>6.888994891639208E-2</v>
      </c>
      <c r="W16" s="394">
        <f t="shared" si="6"/>
        <v>0.40993841810838882</v>
      </c>
      <c r="X16" s="394">
        <f xml:space="preserve"> 200 * ( W15 - W16 )</f>
        <v>18.279638363442885</v>
      </c>
      <c r="Y16" s="394"/>
      <c r="Z16" s="424">
        <f t="shared" si="0"/>
        <v>64.383828506381079</v>
      </c>
      <c r="AA16" s="578">
        <v>6.6628913672495056</v>
      </c>
      <c r="AB16" s="578">
        <f>AA16/$AQ$29</f>
        <v>6.1193128103096954E-2</v>
      </c>
      <c r="AC16" s="578">
        <f t="shared" si="7"/>
        <v>0.39406471684465538</v>
      </c>
      <c r="AD16" s="578">
        <f xml:space="preserve"> 200 * ( AC15 - AC16 )</f>
        <v>18.237486065529072</v>
      </c>
      <c r="AE16" s="578">
        <f xml:space="preserve"> AA14/100 *  0.0557 + AA15/100 * -0.204 + AA16/100 *  1.057</f>
        <v>5.2270804643338234E-2</v>
      </c>
      <c r="AF16" s="579">
        <f t="shared" si="8"/>
        <v>64.631382241139804</v>
      </c>
      <c r="AG16" s="580"/>
      <c r="AH16" s="661"/>
      <c r="AI16" s="1440"/>
      <c r="AJ16" s="676">
        <v>3</v>
      </c>
      <c r="AK16" s="677">
        <v>-1.7172191425000001E-5</v>
      </c>
      <c r="AL16" s="677">
        <v>-1.7161878617000001E-5</v>
      </c>
      <c r="AM16" s="677">
        <v>5.2068881700000001E-5</v>
      </c>
      <c r="AN16" s="663"/>
      <c r="AO16" s="1441"/>
      <c r="AP16" s="678">
        <v>-3.0165574917540776E-3</v>
      </c>
      <c r="AQ16" s="678">
        <v>-5.4241082683760562E-3</v>
      </c>
      <c r="AR16" s="678">
        <v>2.8668679522458409E-2</v>
      </c>
      <c r="AS16" s="664"/>
      <c r="AT16" s="663"/>
      <c r="AU16" s="675"/>
      <c r="AV16" s="675"/>
      <c r="AW16" s="675"/>
      <c r="AX16" s="663"/>
      <c r="AY16" s="664"/>
      <c r="AZ16" s="664"/>
      <c r="BA16" s="664"/>
      <c r="BB16" s="664"/>
      <c r="BC16" s="664"/>
      <c r="BD16" s="664"/>
      <c r="BE16" s="664"/>
      <c r="BF16" s="664"/>
      <c r="BG16" s="664"/>
      <c r="BH16" s="665"/>
      <c r="BI16" s="665"/>
    </row>
    <row r="17" spans="1:61">
      <c r="A17" s="92">
        <v>5</v>
      </c>
      <c r="B17" s="93" t="s">
        <v>112</v>
      </c>
      <c r="C17" s="1414"/>
      <c r="D17" s="382">
        <f t="shared" si="1"/>
        <v>129.55778390505861</v>
      </c>
      <c r="E17" s="370">
        <v>55.112000000000002</v>
      </c>
      <c r="F17" s="1215">
        <f xml:space="preserve"> E18 / 500 + F18</f>
        <v>0.63072248275862064</v>
      </c>
      <c r="G17" s="1215">
        <f>IF(F17^3&gt;0.008856,F17^3*$AQ$23, (F17- 16 / 116 ) / 7.787*$AQ$23)</f>
        <v>24.193075005977811</v>
      </c>
      <c r="H17" s="1216">
        <f>G17/SUM(G17:G19)</f>
        <v>0.29988284284978423</v>
      </c>
      <c r="I17" s="1342">
        <f t="array" ref="I17:I19">MMULT($AQ$34:$AS$36,G17:G19)</f>
        <v>24.699955835439631</v>
      </c>
      <c r="J17" s="1216">
        <f>I17/SUM(I17:I19)</f>
        <v>0.26763955287126434</v>
      </c>
      <c r="K17" s="1216">
        <f>I17/$AQ$27</f>
        <v>0.2598709673681403</v>
      </c>
      <c r="L17" s="1216">
        <f t="shared" si="2"/>
        <v>0.63814482891133872</v>
      </c>
      <c r="M17" s="1216">
        <f t="shared" ref="M17" si="30" xml:space="preserve"> 116 * L18  - 16</f>
        <v>55.36543670524037</v>
      </c>
      <c r="N17" s="1215">
        <f>I17/100*  3.2406 + I18/100 * -1.5372 + I19/100 * -0.4986</f>
        <v>0.22158652702956053</v>
      </c>
      <c r="O17" s="1218">
        <f t="shared" si="3"/>
        <v>129.55778390505861</v>
      </c>
      <c r="P17" s="4"/>
      <c r="Q17" s="1346">
        <v>883</v>
      </c>
      <c r="R17" s="709">
        <f t="shared" ref="R17" si="31">Q17/SUM(Q17:Q19)*255</f>
        <v>62.49375520399667</v>
      </c>
      <c r="S17" s="395">
        <f t="shared" si="4"/>
        <v>0.24507354981959478</v>
      </c>
      <c r="T17" s="395">
        <f t="shared" si="5"/>
        <v>4.8926101858758555</v>
      </c>
      <c r="U17" s="395">
        <f t="array" ref="U17:U19">MMULT($AQ$47:$AS$49,T17:T19)</f>
        <v>7.8750351798182185</v>
      </c>
      <c r="V17" s="395">
        <f>U17/$AQ$27</f>
        <v>8.2854116172190795E-2</v>
      </c>
      <c r="W17" s="395">
        <f t="shared" si="6"/>
        <v>0.43595135278465702</v>
      </c>
      <c r="X17" s="395">
        <f xml:space="preserve"> 116 * W18  - 16</f>
        <v>34.403691273051841</v>
      </c>
      <c r="Y17" s="395">
        <f t="shared" ref="Y17" si="32">SQRT(( ( M17-X17 ) ^ 2 ) + ( ( M18 - X18 ) ^ 2 ) + ( (M19 - X19 ) ^ 2 ))</f>
        <v>24.395308443686805</v>
      </c>
      <c r="Z17" s="425">
        <f t="shared" si="0"/>
        <v>129.55778390505861</v>
      </c>
      <c r="AA17" s="581">
        <f t="array" ref="AA17:AA19">MMULT($AP$14:$AR$16,Q17:Q19)</f>
        <v>20.302620392447359</v>
      </c>
      <c r="AB17" s="581">
        <f>AA17/$AQ$27</f>
        <v>0.21360611479002345</v>
      </c>
      <c r="AC17" s="581">
        <f t="shared" si="7"/>
        <v>0.59777520026037356</v>
      </c>
      <c r="AD17" s="581">
        <f xml:space="preserve"> 116 * AC18  - 16</f>
        <v>51.103494128109716</v>
      </c>
      <c r="AE17" s="581">
        <f>AA17/100*  3.2406 + AA18/100 * -1.5372 + AA19/100 * -0.4986</f>
        <v>0.18164389287270727</v>
      </c>
      <c r="AF17" s="582">
        <f t="shared" si="8"/>
        <v>118.14553271122267</v>
      </c>
      <c r="AG17" s="583">
        <f>SQRT(( ( M17-AD17 ) ^ 2 ) + ( ( M18 - AD18 ) ^ 2 ) + ( (M19 - AD19 ) ^ 2 ))</f>
        <v>5.3914076893425751</v>
      </c>
      <c r="AH17" s="661"/>
      <c r="AI17" s="1440"/>
      <c r="AJ17" s="676">
        <v>4</v>
      </c>
      <c r="AK17" s="677">
        <v>-1.1965844263E-5</v>
      </c>
      <c r="AL17" s="677">
        <v>4.1035138333999999E-5</v>
      </c>
      <c r="AM17" s="677">
        <v>-2.5772229669000001E-5</v>
      </c>
      <c r="AN17" s="663"/>
      <c r="AO17" s="663"/>
      <c r="AP17" s="663"/>
      <c r="AQ17" s="663"/>
      <c r="AR17" s="663"/>
      <c r="AS17" s="664"/>
      <c r="AT17" s="664"/>
      <c r="AU17" s="664"/>
      <c r="AV17" s="663"/>
      <c r="AW17" s="663"/>
      <c r="AX17" s="663"/>
      <c r="AY17" s="664"/>
      <c r="AZ17" s="664"/>
      <c r="BA17" s="664"/>
      <c r="BB17" s="664"/>
      <c r="BC17" s="664"/>
      <c r="BD17" s="664"/>
      <c r="BE17" s="664"/>
      <c r="BF17" s="664"/>
      <c r="BG17" s="664"/>
      <c r="BH17" s="665"/>
      <c r="BI17" s="665"/>
    </row>
    <row r="18" spans="1:61">
      <c r="A18" s="94"/>
      <c r="B18" s="95"/>
      <c r="C18" s="1414"/>
      <c r="D18" s="383">
        <f t="shared" si="1"/>
        <v>128.00022677459134</v>
      </c>
      <c r="E18" s="371">
        <v>8.8439999999999994</v>
      </c>
      <c r="F18" s="1219">
        <f xml:space="preserve"> (E17  + 16 ) / 116</f>
        <v>0.6130344827586206</v>
      </c>
      <c r="G18" s="1219">
        <f>IF(F18^3&gt;0.008856,F18^3*$AQ$24, (F18- 16 / 116 ) / 7.787*$AQ$24)</f>
        <v>23.038527184189583</v>
      </c>
      <c r="H18" s="1220">
        <f>G18/SUM(G17:G19)</f>
        <v>0.28557176073565316</v>
      </c>
      <c r="I18" s="1343">
        <v>23.285727746380509</v>
      </c>
      <c r="J18" s="1220">
        <f>I18/SUM(I17:I19)</f>
        <v>0.25231550225613381</v>
      </c>
      <c r="K18" s="1220">
        <f>I18/$AQ$28</f>
        <v>0.23285727746380508</v>
      </c>
      <c r="L18" s="1220">
        <f t="shared" si="2"/>
        <v>0.61521928194172737</v>
      </c>
      <c r="M18" s="1220">
        <f t="shared" ref="M18" si="33" xml:space="preserve"> 500 * (L17 - L18 )</f>
        <v>11.462773484805677</v>
      </c>
      <c r="N18" s="1219">
        <f xml:space="preserve"> I17/100 * -0.9689 + I18/100*  1.8758 + I19/100 *  0.0415</f>
        <v>0.2158613273214712</v>
      </c>
      <c r="O18" s="1222">
        <f t="shared" si="3"/>
        <v>128.00022677459134</v>
      </c>
      <c r="P18" s="4"/>
      <c r="Q18" s="1347">
        <v>1157.8</v>
      </c>
      <c r="R18" s="709">
        <f t="shared" ref="R18" si="34">Q18/SUM(Q17:Q19)*255</f>
        <v>81.942547876769353</v>
      </c>
      <c r="S18" s="395">
        <f t="shared" si="4"/>
        <v>0.32134332500693863</v>
      </c>
      <c r="T18" s="395">
        <f t="shared" si="5"/>
        <v>8.4255104021761014</v>
      </c>
      <c r="U18" s="395">
        <v>8.2037621553704696</v>
      </c>
      <c r="V18" s="395">
        <f>U18/$AQ$28</f>
        <v>8.2037621553704698E-2</v>
      </c>
      <c r="W18" s="395">
        <f t="shared" si="6"/>
        <v>0.43451457994010206</v>
      </c>
      <c r="X18" s="395">
        <f xml:space="preserve"> 500 * (W17 - W18 )</f>
        <v>0.71838642227747829</v>
      </c>
      <c r="Y18" s="395"/>
      <c r="Z18" s="425">
        <f t="shared" si="0"/>
        <v>128.00022677459134</v>
      </c>
      <c r="AA18" s="581">
        <v>19.358042396785425</v>
      </c>
      <c r="AB18" s="581">
        <f>AA18/$AQ$28</f>
        <v>0.19358042396785424</v>
      </c>
      <c r="AC18" s="581">
        <f t="shared" si="7"/>
        <v>0.57847839765611819</v>
      </c>
      <c r="AD18" s="581">
        <f xml:space="preserve"> 500 * (AC17 - AC18 )</f>
        <v>9.6484013021276844</v>
      </c>
      <c r="AE18" s="581">
        <f xml:space="preserve"> AA17/100 * -0.9689 + AA18/100*  1.8758 + AA19/100 *  0.0415</f>
        <v>0.18128073200410905</v>
      </c>
      <c r="AF18" s="582">
        <f t="shared" si="8"/>
        <v>118.0353648070364</v>
      </c>
      <c r="AG18" s="583"/>
      <c r="AH18" s="661"/>
      <c r="AI18" s="1440"/>
      <c r="AJ18" s="676">
        <v>5</v>
      </c>
      <c r="AK18" s="677">
        <v>1.7730657314E-6</v>
      </c>
      <c r="AL18" s="677">
        <v>-6.4173578690999996E-5</v>
      </c>
      <c r="AM18" s="677">
        <v>8.9537557983999995E-5</v>
      </c>
      <c r="AN18" s="663"/>
      <c r="AO18" s="663"/>
      <c r="AP18" s="663"/>
      <c r="AQ18" s="663"/>
      <c r="AR18" s="663"/>
      <c r="AS18" s="664"/>
      <c r="AT18" s="664"/>
      <c r="AU18" s="664"/>
      <c r="AV18" s="663"/>
      <c r="AW18" s="663"/>
      <c r="AX18" s="663"/>
      <c r="AY18" s="664"/>
      <c r="AZ18" s="664"/>
      <c r="BA18" s="664"/>
      <c r="BB18" s="664"/>
      <c r="BC18" s="664"/>
      <c r="BD18" s="664"/>
      <c r="BE18" s="664"/>
      <c r="BF18" s="664"/>
      <c r="BG18" s="664"/>
      <c r="BH18" s="665"/>
      <c r="BI18" s="665"/>
    </row>
    <row r="19" spans="1:61" ht="15.75" thickBot="1">
      <c r="A19" s="96"/>
      <c r="B19" s="97"/>
      <c r="C19" s="1414"/>
      <c r="D19" s="384">
        <f t="shared" si="1"/>
        <v>176.06897196090145</v>
      </c>
      <c r="E19" s="372">
        <v>-25.399000000000001</v>
      </c>
      <c r="F19" s="1223">
        <f>F18 - E19 / 200</f>
        <v>0.74002948275862057</v>
      </c>
      <c r="G19" s="1223">
        <f>IF(F19^3&gt;0.008856,F19^3*$AQ$25, (F19- 16 / 116 ) / 7.787*$AQ$25)</f>
        <v>33.443486708121064</v>
      </c>
      <c r="H19" s="1224">
        <f>G18</f>
        <v>23.038527184189583</v>
      </c>
      <c r="I19" s="1344">
        <v>44.302453842024704</v>
      </c>
      <c r="J19" s="1224">
        <f>I18</f>
        <v>23.285727746380509</v>
      </c>
      <c r="K19" s="1224">
        <f>I19/$AQ$29</f>
        <v>0.40688127478141406</v>
      </c>
      <c r="L19" s="1224">
        <f t="shared" si="2"/>
        <v>0.74100743888934384</v>
      </c>
      <c r="M19" s="1224">
        <f t="shared" ref="M19" si="35" xml:space="preserve"> 200 * ( L18 - L19 )</f>
        <v>-25.157631389523296</v>
      </c>
      <c r="N19" s="1223">
        <f xml:space="preserve"> I17/100 *  0.0557 + I18/100 * -0.204 + I19/100 *  1.057</f>
        <v>0.43453192790792472</v>
      </c>
      <c r="O19" s="1226">
        <f t="shared" si="3"/>
        <v>176.06897196090145</v>
      </c>
      <c r="P19" s="4"/>
      <c r="Q19" s="1348">
        <v>1562.2</v>
      </c>
      <c r="R19" s="709">
        <f t="shared" ref="R19" si="36">Q19/SUM(Q17:Q19)*255</f>
        <v>110.56369691923398</v>
      </c>
      <c r="S19" s="395">
        <f t="shared" si="4"/>
        <v>0.43358312517346659</v>
      </c>
      <c r="T19" s="395">
        <f t="shared" si="5"/>
        <v>15.763273409512827</v>
      </c>
      <c r="U19" s="395">
        <v>16.078750022409899</v>
      </c>
      <c r="V19" s="395">
        <f>U19/$AQ$29</f>
        <v>0.1476699762351322</v>
      </c>
      <c r="W19" s="395">
        <f t="shared" si="6"/>
        <v>0.52856378245105007</v>
      </c>
      <c r="X19" s="395">
        <f xml:space="preserve"> 200 * ( W18 - W19 )</f>
        <v>-18.809840502189601</v>
      </c>
      <c r="Y19" s="395"/>
      <c r="Z19" s="425">
        <f t="shared" si="0"/>
        <v>176.06897196090145</v>
      </c>
      <c r="AA19" s="581">
        <v>35.842558331639879</v>
      </c>
      <c r="AB19" s="581">
        <f>AA19/$AQ$29</f>
        <v>0.32918415484180158</v>
      </c>
      <c r="AC19" s="581">
        <f t="shared" si="7"/>
        <v>0.69047237473986867</v>
      </c>
      <c r="AD19" s="581">
        <f xml:space="preserve"> 200 * ( AC18 - AC19 )</f>
        <v>-22.398795416750094</v>
      </c>
      <c r="AE19" s="581">
        <f xml:space="preserve"> AA17/100 *  0.0557 + AA18/100 * -0.204 + AA19/100 *  1.057</f>
        <v>0.35067399463458443</v>
      </c>
      <c r="AF19" s="582">
        <f t="shared" si="8"/>
        <v>159.82276976467151</v>
      </c>
      <c r="AG19" s="583"/>
      <c r="AH19" s="661"/>
      <c r="AI19" s="1440"/>
      <c r="AJ19" s="676">
        <v>6</v>
      </c>
      <c r="AK19" s="677">
        <v>-8.8999656216000002E-5</v>
      </c>
      <c r="AL19" s="677">
        <v>1.4768504005000001E-4</v>
      </c>
      <c r="AM19" s="677">
        <v>-4.4720646645999997E-5</v>
      </c>
      <c r="AN19" s="359"/>
      <c r="AO19" s="1442" t="s">
        <v>187</v>
      </c>
      <c r="AP19" s="1442"/>
      <c r="AQ19" s="1442"/>
      <c r="AR19" s="1442"/>
      <c r="AS19" s="1442"/>
      <c r="AT19" s="664"/>
      <c r="AU19" s="664"/>
      <c r="AV19" s="663"/>
      <c r="AW19" s="663"/>
      <c r="AX19" s="663"/>
      <c r="AY19" s="664"/>
      <c r="AZ19" s="664"/>
      <c r="BA19" s="664"/>
      <c r="BB19" s="664"/>
      <c r="BC19" s="664"/>
      <c r="BD19" s="664"/>
      <c r="BE19" s="664"/>
      <c r="BF19" s="664"/>
      <c r="BG19" s="664"/>
      <c r="BH19" s="665"/>
      <c r="BI19" s="665"/>
    </row>
    <row r="20" spans="1:61">
      <c r="A20" s="92">
        <v>6</v>
      </c>
      <c r="B20" s="93" t="s">
        <v>113</v>
      </c>
      <c r="C20" s="1415"/>
      <c r="D20" s="382">
        <f t="shared" si="1"/>
        <v>92.422098428867557</v>
      </c>
      <c r="E20" s="370">
        <v>70.718999999999994</v>
      </c>
      <c r="F20" s="1215">
        <f xml:space="preserve"> E21 / 500 + F21</f>
        <v>0.6807835862068965</v>
      </c>
      <c r="G20" s="1215">
        <f>IF(F20^3&gt;0.008856,F20^3*$AQ$23, (F20- 16 / 116 ) / 7.787*$AQ$23)</f>
        <v>30.423092951763746</v>
      </c>
      <c r="H20" s="1216">
        <f>G20/SUM(G20:G22)</f>
        <v>0.28481166924930046</v>
      </c>
      <c r="I20" s="1342">
        <f t="array" ref="I20:I22">MMULT($AQ$34:$AS$36,G20:G22)</f>
        <v>30.295430517119279</v>
      </c>
      <c r="J20" s="1216">
        <f>I20/SUM(I20:I22)</f>
        <v>0.25693525746026269</v>
      </c>
      <c r="K20" s="1216">
        <f>I20/$AQ$27</f>
        <v>0.31874157540079412</v>
      </c>
      <c r="L20" s="1216">
        <f t="shared" si="2"/>
        <v>0.68309258584567412</v>
      </c>
      <c r="M20" s="1216">
        <f t="shared" ref="M20" si="37" xml:space="preserve"> 116 * L21  - 16</f>
        <v>70.913594826070963</v>
      </c>
      <c r="N20" s="1215">
        <f>I20/100*  3.2406 + I21/100 * -1.5372 + I22/100 * -0.4986</f>
        <v>0.10804852697667286</v>
      </c>
      <c r="O20" s="1218">
        <f t="shared" si="3"/>
        <v>92.422098428867557</v>
      </c>
      <c r="P20" s="4"/>
      <c r="Q20" s="1346">
        <v>894.6</v>
      </c>
      <c r="R20" s="710">
        <f t="shared" ref="R20" si="38">Q20/SUM(Q20:Q22)*255</f>
        <v>46.618506559856137</v>
      </c>
      <c r="S20" s="396">
        <f t="shared" si="4"/>
        <v>0.18281767278374955</v>
      </c>
      <c r="T20" s="396">
        <f t="shared" si="5"/>
        <v>2.8001416192967583</v>
      </c>
      <c r="U20" s="396">
        <f t="array" ref="U20:U22">MMULT($AQ$47:$AS$49,T20:T22)</f>
        <v>9.2276784349805983</v>
      </c>
      <c r="V20" s="396">
        <f>U20/$AQ$27</f>
        <v>9.7085425473508874E-2</v>
      </c>
      <c r="W20" s="396">
        <f t="shared" si="6"/>
        <v>0.45960493091579857</v>
      </c>
      <c r="X20" s="396">
        <f xml:space="preserve"> 116 * W21  - 16</f>
        <v>43.510362032049137</v>
      </c>
      <c r="Y20" s="396">
        <f t="shared" ref="Y20" si="39">SQRT(( ( M20-X20 ) ^ 2 ) + ( ( M21 - X21 ) ^ 2 ) + ( (M22 - X22 ) ^ 2 ))</f>
        <v>28.498175778644768</v>
      </c>
      <c r="Z20" s="426">
        <f t="shared" si="0"/>
        <v>92.422098428867557</v>
      </c>
      <c r="AA20" s="584">
        <f t="array" ref="AA20:AA22">MMULT($AP$14:$AR$16,Q20:Q22)</f>
        <v>25.47631934292324</v>
      </c>
      <c r="AB20" s="584">
        <f>AA20/$AQ$27</f>
        <v>0.26803917370272856</v>
      </c>
      <c r="AC20" s="584">
        <f t="shared" si="7"/>
        <v>0.6447619847332976</v>
      </c>
      <c r="AD20" s="584">
        <f xml:space="preserve"> 116 * AC21  - 16</f>
        <v>66.531698949899294</v>
      </c>
      <c r="AE20" s="584">
        <f>AA20/100*  3.2406 + AA21/100 * -1.5372 + AA22/100 * -0.4986</f>
        <v>8.6596058507263651E-2</v>
      </c>
      <c r="AF20" s="585">
        <f t="shared" si="8"/>
        <v>83.044663824809703</v>
      </c>
      <c r="AG20" s="586">
        <f>SQRT(( ( M20-AD20 ) ^ 2 ) + ( ( M21 - AD21 ) ^ 2 ) + ( (M22 - AD22 ) ^ 2 ))</f>
        <v>4.9299960648722863</v>
      </c>
      <c r="AH20" s="661"/>
      <c r="AI20" s="1440"/>
      <c r="AJ20" s="676">
        <v>7</v>
      </c>
      <c r="AK20" s="677">
        <v>1.1706397977E-4</v>
      </c>
      <c r="AL20" s="677">
        <v>-8.6689581055999997E-5</v>
      </c>
      <c r="AM20" s="677">
        <v>-6.3436668431999998E-6</v>
      </c>
      <c r="AN20" s="663"/>
      <c r="AO20" s="698"/>
      <c r="AP20" s="698"/>
      <c r="AQ20" s="698"/>
      <c r="AR20" s="698"/>
      <c r="AS20" s="698"/>
      <c r="AT20" s="663"/>
      <c r="AU20" s="663"/>
      <c r="AV20" s="663"/>
      <c r="AW20" s="663"/>
      <c r="AX20" s="663"/>
      <c r="AY20" s="664"/>
      <c r="AZ20" s="664"/>
      <c r="BA20" s="664"/>
      <c r="BB20" s="664"/>
      <c r="BC20" s="664"/>
      <c r="BD20" s="664"/>
      <c r="BE20" s="664"/>
      <c r="BF20" s="664"/>
      <c r="BG20" s="664"/>
      <c r="BH20" s="665"/>
      <c r="BI20" s="665"/>
    </row>
    <row r="21" spans="1:61">
      <c r="A21" s="94"/>
      <c r="B21" s="95"/>
      <c r="C21" s="1415"/>
      <c r="D21" s="383">
        <f t="shared" si="1"/>
        <v>189.90953390734151</v>
      </c>
      <c r="E21" s="371">
        <v>-33.396999999999998</v>
      </c>
      <c r="F21" s="1219">
        <f xml:space="preserve"> (E20  + 16 ) / 116</f>
        <v>0.74757758620689652</v>
      </c>
      <c r="G21" s="1219">
        <f>IF(F21^3&gt;0.008856,F21^3*$AQ$24, (F21- 16 / 116 ) / 7.787*$AQ$24)</f>
        <v>41.78003657085155</v>
      </c>
      <c r="H21" s="1220">
        <f>G21/SUM(G20:G22)</f>
        <v>0.39113189365419831</v>
      </c>
      <c r="I21" s="1343">
        <v>42.061927614550903</v>
      </c>
      <c r="J21" s="1220">
        <f>I21/SUM(I20:I22)</f>
        <v>0.35672680719333771</v>
      </c>
      <c r="K21" s="1220">
        <f>I21/$AQ$28</f>
        <v>0.42061927614550904</v>
      </c>
      <c r="L21" s="1220">
        <f t="shared" si="2"/>
        <v>0.7492551278109566</v>
      </c>
      <c r="M21" s="1220">
        <f t="shared" ref="M21" si="40" xml:space="preserve"> 500 * (L20 - L21 )</f>
        <v>-33.081270982641243</v>
      </c>
      <c r="N21" s="1219">
        <f xml:space="preserve"> I20/100 * -0.9689 + I21/100*  1.8758 + I22/100 *  0.0415</f>
        <v>0.51436987213683083</v>
      </c>
      <c r="O21" s="1222">
        <f t="shared" si="3"/>
        <v>189.90953390734151</v>
      </c>
      <c r="P21" s="4"/>
      <c r="Q21" s="1347">
        <v>2193</v>
      </c>
      <c r="R21" s="710">
        <f t="shared" ref="R21" si="41">Q21/SUM(Q20:Q22)*255</f>
        <v>114.27943760984184</v>
      </c>
      <c r="S21" s="396">
        <f t="shared" si="4"/>
        <v>0.4481546572934974</v>
      </c>
      <c r="T21" s="396">
        <f t="shared" si="5"/>
        <v>16.915221517458477</v>
      </c>
      <c r="U21" s="396">
        <v>13.502177385222867</v>
      </c>
      <c r="V21" s="396">
        <f>U21/$AQ$28</f>
        <v>0.13502177385222866</v>
      </c>
      <c r="W21" s="396">
        <f t="shared" si="6"/>
        <v>0.51302036234525117</v>
      </c>
      <c r="X21" s="396">
        <f xml:space="preserve"> 500 * (W20 - W21 )</f>
        <v>-26.707715714726298</v>
      </c>
      <c r="Y21" s="396"/>
      <c r="Z21" s="426">
        <f t="shared" si="0"/>
        <v>189.90953390734151</v>
      </c>
      <c r="AA21" s="584">
        <v>36.015412087602613</v>
      </c>
      <c r="AB21" s="584">
        <f>AA21/$AQ$28</f>
        <v>0.36015412087602611</v>
      </c>
      <c r="AC21" s="584">
        <f t="shared" si="7"/>
        <v>0.71148016336120079</v>
      </c>
      <c r="AD21" s="584">
        <f xml:space="preserve"> 500 * (AC20 - AC21 )</f>
        <v>-33.359089313951593</v>
      </c>
      <c r="AE21" s="584">
        <f xml:space="preserve"> AA20/100 * -0.9689 + AA21/100*  1.8758 + AA22/100 *  0.0415</f>
        <v>0.44416517300821462</v>
      </c>
      <c r="AF21" s="585">
        <f t="shared" si="8"/>
        <v>177.81368234254981</v>
      </c>
      <c r="AG21" s="586"/>
      <c r="AH21" s="661"/>
      <c r="AI21" s="1440"/>
      <c r="AJ21" s="676">
        <v>8</v>
      </c>
      <c r="AK21" s="677">
        <v>-5.6970968144999999E-6</v>
      </c>
      <c r="AL21" s="677">
        <v>-1.0811722903E-4</v>
      </c>
      <c r="AM21" s="677">
        <v>1.4439186793000001E-4</v>
      </c>
      <c r="AN21" s="663"/>
      <c r="AO21" s="1444" t="s">
        <v>188</v>
      </c>
      <c r="AP21" s="1444"/>
      <c r="AQ21" s="1444"/>
      <c r="AR21" s="1444"/>
      <c r="AS21" s="1444"/>
      <c r="AT21" s="663"/>
      <c r="AU21" s="663"/>
      <c r="AV21" s="663"/>
      <c r="AW21" s="663"/>
      <c r="AX21" s="663"/>
      <c r="AY21" s="664"/>
      <c r="AZ21" s="664"/>
      <c r="BA21" s="664"/>
      <c r="BB21" s="664"/>
      <c r="BC21" s="664"/>
      <c r="BD21" s="664"/>
      <c r="BE21" s="664"/>
      <c r="BF21" s="664"/>
      <c r="BG21" s="664"/>
      <c r="BH21" s="665"/>
      <c r="BI21" s="665"/>
    </row>
    <row r="22" spans="1:61" ht="15.75" thickBot="1">
      <c r="A22" s="96"/>
      <c r="B22" s="97"/>
      <c r="C22" s="1416"/>
      <c r="D22" s="384">
        <f t="shared" si="1"/>
        <v>172.00470214339384</v>
      </c>
      <c r="E22" s="372">
        <v>-0.19900000000000001</v>
      </c>
      <c r="F22" s="1223">
        <f>F21 - E22 / 200</f>
        <v>0.74857258620689648</v>
      </c>
      <c r="G22" s="1223">
        <f>IF(F22^3&gt;0.008856,F22^3*$AQ$25, (F22- 16 / 116 ) / 7.787*$AQ$25)</f>
        <v>34.615151596104958</v>
      </c>
      <c r="H22" s="1224">
        <f>G21</f>
        <v>41.78003657085155</v>
      </c>
      <c r="I22" s="1344">
        <v>45.553398128804254</v>
      </c>
      <c r="J22" s="1224">
        <f>I21</f>
        <v>42.061927614550903</v>
      </c>
      <c r="K22" s="1224">
        <f>I22/$AQ$29</f>
        <v>0.41837015997726235</v>
      </c>
      <c r="L22" s="1224">
        <f t="shared" si="2"/>
        <v>0.74791727948495235</v>
      </c>
      <c r="M22" s="1224">
        <f t="shared" ref="M22" si="42" xml:space="preserve"> 200 * ( L21 - L22 )</f>
        <v>0.26756966520085079</v>
      </c>
      <c r="N22" s="1223">
        <f xml:space="preserve"> I20/100 *  0.0557 + I21/100 * -0.204 + I22/100 *  1.057</f>
        <v>0.41256764068581253</v>
      </c>
      <c r="O22" s="1226">
        <f t="shared" si="3"/>
        <v>172.00470214339384</v>
      </c>
      <c r="P22" s="4"/>
      <c r="Q22" s="1348">
        <v>1805.8</v>
      </c>
      <c r="R22" s="711">
        <f t="shared" ref="R22" si="43">Q22/SUM(Q20:Q22)*255</f>
        <v>94.102055830302035</v>
      </c>
      <c r="S22" s="396">
        <f t="shared" si="4"/>
        <v>0.3690276699227531</v>
      </c>
      <c r="T22" s="396">
        <f t="shared" si="5"/>
        <v>11.218638932297349</v>
      </c>
      <c r="U22" s="396">
        <v>12.731415314944027</v>
      </c>
      <c r="V22" s="396">
        <f>U22/$AQ$29</f>
        <v>0.11692748468488219</v>
      </c>
      <c r="W22" s="396">
        <f t="shared" si="6"/>
        <v>0.48899625805114155</v>
      </c>
      <c r="X22" s="396">
        <f xml:space="preserve"> 200 * ( W21 - W22 )</f>
        <v>4.8048208588219232</v>
      </c>
      <c r="Y22" s="396"/>
      <c r="Z22" s="427">
        <f t="shared" si="0"/>
        <v>172.00470214339384</v>
      </c>
      <c r="AA22" s="587">
        <v>37.17621971698351</v>
      </c>
      <c r="AB22" s="587">
        <f>AA22/$AQ$29</f>
        <v>0.34143272794635998</v>
      </c>
      <c r="AC22" s="587">
        <f t="shared" si="7"/>
        <v>0.69893220051210414</v>
      </c>
      <c r="AD22" s="587">
        <f xml:space="preserve"> 200 * ( AC21 - AC22 )</f>
        <v>2.50959256981933</v>
      </c>
      <c r="AE22" s="587">
        <f xml:space="preserve"> AA20/100 *  0.0557 + AA21/100 * -0.204 + AA22/100 *  1.057</f>
        <v>0.33367151162381459</v>
      </c>
      <c r="AF22" s="588">
        <f t="shared" si="8"/>
        <v>156.25969288314784</v>
      </c>
      <c r="AG22" s="586"/>
      <c r="AH22" s="661"/>
      <c r="AI22" s="1440"/>
      <c r="AJ22" s="676">
        <v>9</v>
      </c>
      <c r="AK22" s="677">
        <v>1.1631386998E-4</v>
      </c>
      <c r="AL22" s="677">
        <v>-1.5691571655000001E-4</v>
      </c>
      <c r="AM22" s="677">
        <v>6.9726510939000001E-5</v>
      </c>
      <c r="AN22" s="663"/>
      <c r="AO22" s="662"/>
      <c r="AP22" s="663"/>
      <c r="AQ22" s="663"/>
      <c r="AR22" s="663"/>
      <c r="AS22" s="663"/>
      <c r="AT22" s="663"/>
      <c r="AU22" s="663"/>
      <c r="AV22" s="663"/>
      <c r="AW22" s="663"/>
      <c r="AX22" s="663"/>
      <c r="AY22" s="664"/>
      <c r="AZ22" s="664"/>
      <c r="BA22" s="664"/>
      <c r="BB22" s="664"/>
      <c r="BC22" s="664"/>
      <c r="BD22" s="664"/>
      <c r="BE22" s="664"/>
      <c r="BF22" s="664"/>
      <c r="BG22" s="664"/>
      <c r="BH22" s="665"/>
      <c r="BI22" s="665"/>
    </row>
    <row r="23" spans="1:61" ht="15.75" customHeight="1" thickBot="1">
      <c r="A23" s="1390" t="s">
        <v>114</v>
      </c>
      <c r="B23" s="1391"/>
      <c r="C23" s="1391"/>
      <c r="D23" s="1391"/>
      <c r="E23" s="1391"/>
      <c r="F23" s="373"/>
      <c r="G23" s="373"/>
      <c r="H23" s="373"/>
      <c r="I23" s="373"/>
      <c r="J23" s="377"/>
      <c r="K23" s="377"/>
      <c r="L23" s="377"/>
      <c r="M23" s="377"/>
      <c r="N23" s="367"/>
      <c r="O23" s="378"/>
      <c r="P23" s="4"/>
      <c r="Q23" s="658"/>
      <c r="R23" s="419"/>
      <c r="S23" s="330"/>
      <c r="T23" s="330"/>
      <c r="U23" s="330"/>
      <c r="V23" s="330"/>
      <c r="W23" s="330"/>
      <c r="X23" s="330"/>
      <c r="Y23" s="330"/>
      <c r="Z23" s="419"/>
      <c r="AA23" s="184"/>
      <c r="AB23" s="184"/>
      <c r="AC23" s="184"/>
      <c r="AD23" s="184"/>
      <c r="AE23" s="184"/>
      <c r="AF23" s="184"/>
      <c r="AG23" s="343"/>
      <c r="AH23" s="661"/>
      <c r="AI23" s="1440"/>
      <c r="AJ23" s="676">
        <v>10</v>
      </c>
      <c r="AK23" s="677">
        <v>1.4820774843000001E-5</v>
      </c>
      <c r="AL23" s="677">
        <v>-5.5637220302E-5</v>
      </c>
      <c r="AM23" s="677">
        <v>5.5069616154999998E-5</v>
      </c>
      <c r="AN23" s="663"/>
      <c r="AO23" s="320" t="s">
        <v>146</v>
      </c>
      <c r="AP23" s="320" t="s">
        <v>163</v>
      </c>
      <c r="AQ23" s="684">
        <v>96.421999999999997</v>
      </c>
      <c r="AR23" s="322"/>
      <c r="AS23" s="322"/>
      <c r="AT23" s="663"/>
      <c r="AU23" s="663"/>
      <c r="AV23" s="663"/>
      <c r="AW23" s="663"/>
      <c r="AX23" s="663"/>
      <c r="AY23" s="664"/>
      <c r="AZ23" s="664"/>
      <c r="BA23" s="664"/>
      <c r="BB23" s="664"/>
      <c r="BC23" s="664"/>
      <c r="BD23" s="664"/>
      <c r="BE23" s="664"/>
      <c r="BF23" s="664"/>
      <c r="BG23" s="664"/>
      <c r="BH23" s="665"/>
      <c r="BI23" s="665"/>
    </row>
    <row r="24" spans="1:61" ht="15.75" thickBot="1">
      <c r="A24" s="92">
        <v>7</v>
      </c>
      <c r="B24" s="93" t="s">
        <v>115</v>
      </c>
      <c r="C24" s="1417"/>
      <c r="D24" s="382">
        <f t="shared" si="1"/>
        <v>224.26557253285961</v>
      </c>
      <c r="E24" s="370">
        <v>62.661000000000001</v>
      </c>
      <c r="F24" s="1215">
        <f xml:space="preserve"> E25 / 500 + F25</f>
        <v>0.75024606896551727</v>
      </c>
      <c r="G24" s="1215">
        <f>IF(F24^3&gt;0.008856,F24^3*$AQ$23, (F24- 16 / 116 ) / 7.787*$AQ$23)</f>
        <v>40.718082791990795</v>
      </c>
      <c r="H24" s="1216">
        <f>G24/SUM(G24:G26)</f>
        <v>0.52952864462754456</v>
      </c>
      <c r="I24" s="1342">
        <f t="array" ref="I24:I26">MMULT($AQ$34:$AS$36,G24:G26)</f>
        <v>38.506327134135688</v>
      </c>
      <c r="J24" s="1217">
        <f>I24/SUM(I24:I26)</f>
        <v>0.51031401695589362</v>
      </c>
      <c r="K24" s="1217">
        <f>I24/$AQ$27</f>
        <v>0.4051293269028553</v>
      </c>
      <c r="L24" s="1217">
        <f t="shared" ref="L24:L41" si="44">IF(K24&gt;0.008856,K24^(1/3),7.787*K24+16/116)</f>
        <v>0.73994236640432509</v>
      </c>
      <c r="M24" s="1217">
        <f t="shared" ref="M24" si="45" xml:space="preserve"> 116 * L25  - 16</f>
        <v>62.036354240270256</v>
      </c>
      <c r="N24" s="1215">
        <f>I24/100*  3.2406 + I25/100 * -1.5372 + I26/100 * -0.4986</f>
        <v>0.74740178306099636</v>
      </c>
      <c r="O24" s="1218">
        <f t="shared" ref="O24:O41" si="46">IF(N24&gt; 0.0031308,(1.055 * (N24^ ( 1 / 2.4 ) ) - 0.055)*255, 12.92 * N24*255)</f>
        <v>224.26557253285961</v>
      </c>
      <c r="P24" s="4"/>
      <c r="Q24" s="1346">
        <v>2657.6001000000001</v>
      </c>
      <c r="R24" s="712">
        <f t="shared" ref="R24" si="47">Q24/SUM(Q24:Q26)*255</f>
        <v>150.08371583727433</v>
      </c>
      <c r="S24" s="392">
        <f t="shared" ref="S24:S41" si="48">R24/255</f>
        <v>0.58856359151872284</v>
      </c>
      <c r="T24" s="392">
        <f t="shared" ref="T24:T41" si="49">IF(S24&gt;0.04045,(((S24+0.055)/1.055 )^2.4)*100, S24/12.92*100)</f>
        <v>30.536103355221002</v>
      </c>
      <c r="U24" s="392">
        <f t="array" ref="U24:U26">MMULT($AQ$47:$AS$49,T24:T26)</f>
        <v>14.882100629560394</v>
      </c>
      <c r="V24" s="392">
        <f>U24/$AQ$27</f>
        <v>0.15657622680947736</v>
      </c>
      <c r="W24" s="392">
        <f t="shared" ref="W24:W41" si="50">IF(V24&gt;0.008856,V24^(1/3),7.787*V24+16/116)</f>
        <v>0.53898325692599114</v>
      </c>
      <c r="X24" s="392">
        <f xml:space="preserve"> 116 * W25  - 16</f>
        <v>38.671102198225526</v>
      </c>
      <c r="Y24" s="392">
        <f t="shared" ref="Y24" si="51">SQRT(( ( M24-X24 ) ^ 2 ) + ( ( M25 - X25 ) ^ 2 ) + ( (M26 - X26 ) ^ 2 ))</f>
        <v>33.379545325024395</v>
      </c>
      <c r="Z24" s="428">
        <f t="shared" ref="Z24:Z41" si="52">O24</f>
        <v>224.26557253285961</v>
      </c>
      <c r="AA24" s="592">
        <f t="array" ref="AA24:AA26">MMULT($AP$14:$AR$16,Q24:Q26)</f>
        <v>38.126319270034188</v>
      </c>
      <c r="AB24" s="592">
        <f>AA24/$AQ$27</f>
        <v>0.40113122213256797</v>
      </c>
      <c r="AC24" s="592">
        <f t="shared" ref="AC24:AC41" si="53">IF(AB24&gt;0.008856,AB24^(1/3),7.787*AB24+16/116)</f>
        <v>0.7375002223161673</v>
      </c>
      <c r="AD24" s="592">
        <f xml:space="preserve"> 116 * AC25  - 16</f>
        <v>61.421947604034173</v>
      </c>
      <c r="AE24" s="592">
        <f>AA24/100*  3.2406 + AA25/100 * -1.5372 + AA26/100 * -0.4986</f>
        <v>0.74971191754886313</v>
      </c>
      <c r="AF24" s="593">
        <f t="shared" ref="AF24:AF41" si="54">IF(AE24&gt; 0.0031308,(1.055 * (AE24^ ( 1 / 2.4 ) ) - 0.055)*255, 12.92 * AE24*255)</f>
        <v>224.57218350652647</v>
      </c>
      <c r="AG24" s="594">
        <f>SQRT(( ( M24-AD24 ) ^ 2 ) + ( ( M25 - AD25 ) ^ 2 ) + ( (M26 - AD26 ) ^ 2 ))</f>
        <v>2.5306726139093847</v>
      </c>
      <c r="AH24" s="661"/>
      <c r="AI24" s="1440"/>
      <c r="AJ24" s="676">
        <v>11</v>
      </c>
      <c r="AK24" s="677">
        <v>-5.8544957518000002E-5</v>
      </c>
      <c r="AL24" s="677">
        <v>2.3984387571000001E-4</v>
      </c>
      <c r="AM24" s="677">
        <v>-1.7988817393E-4</v>
      </c>
      <c r="AN24" s="663"/>
      <c r="AO24" s="322"/>
      <c r="AP24" s="320" t="s">
        <v>164</v>
      </c>
      <c r="AQ24" s="684">
        <v>100</v>
      </c>
      <c r="AR24" s="322"/>
      <c r="AS24" s="322"/>
      <c r="AT24" s="663"/>
      <c r="AU24" s="663"/>
      <c r="AV24" s="663"/>
      <c r="AW24" s="663"/>
      <c r="AX24" s="663"/>
      <c r="AY24" s="664"/>
      <c r="AZ24" s="664"/>
      <c r="BA24" s="664"/>
      <c r="BB24" s="664"/>
      <c r="BC24" s="664"/>
      <c r="BD24" s="664"/>
      <c r="BE24" s="664"/>
      <c r="BF24" s="664"/>
      <c r="BG24" s="664"/>
      <c r="BH24" s="665"/>
      <c r="BI24" s="665"/>
    </row>
    <row r="25" spans="1:61" ht="15.75" thickBot="1">
      <c r="A25" s="94"/>
      <c r="B25" s="95"/>
      <c r="C25" s="1418"/>
      <c r="D25" s="383">
        <f t="shared" si="1"/>
        <v>123.75545165140458</v>
      </c>
      <c r="E25" s="371">
        <v>36.067</v>
      </c>
      <c r="F25" s="1219">
        <f xml:space="preserve"> (E24  + 16 ) / 116</f>
        <v>0.67811206896551723</v>
      </c>
      <c r="G25" s="1219">
        <f>IF(F25^3&gt;0.008856,F25^3*$AQ$24, (F25- 16 / 116 ) / 7.787*$AQ$24)</f>
        <v>31.182032647836948</v>
      </c>
      <c r="H25" s="1220">
        <f>G25/SUM(G24:G26)</f>
        <v>0.4055146596437687</v>
      </c>
      <c r="I25" s="1343">
        <v>30.445067890689934</v>
      </c>
      <c r="J25" s="1221">
        <f>I25/SUM(I24:I26)</f>
        <v>0.40348031214900776</v>
      </c>
      <c r="K25" s="1221">
        <f>I25/$AQ$28</f>
        <v>0.30445067890689936</v>
      </c>
      <c r="L25" s="1221">
        <f t="shared" si="44"/>
        <v>0.67272719172646778</v>
      </c>
      <c r="M25" s="1221">
        <f t="shared" ref="M25" si="55" xml:space="preserve"> 500 * (L24 - L25 )</f>
        <v>33.60758733892866</v>
      </c>
      <c r="N25" s="1219">
        <f xml:space="preserve"> I24/100 * -0.9689 + I25/100*  1.8758 + I26/100 *  0.0415</f>
        <v>0.20070025005324157</v>
      </c>
      <c r="O25" s="1222">
        <f t="shared" si="46"/>
        <v>123.75545165140458</v>
      </c>
      <c r="P25" s="4"/>
      <c r="Q25" s="1347">
        <v>1157.8</v>
      </c>
      <c r="R25" s="713">
        <f t="shared" ref="R25" si="56">Q25/SUM(Q24:Q26)*255</f>
        <v>65.384903543763485</v>
      </c>
      <c r="S25" s="392">
        <f t="shared" si="48"/>
        <v>0.25641138644613132</v>
      </c>
      <c r="T25" s="392">
        <f t="shared" si="49"/>
        <v>5.3480673548989524</v>
      </c>
      <c r="U25" s="392">
        <v>10.468863110793121</v>
      </c>
      <c r="V25" s="392">
        <f>U25/$AQ$28</f>
        <v>0.10468863110793121</v>
      </c>
      <c r="W25" s="392">
        <f t="shared" si="50"/>
        <v>0.47130260515711658</v>
      </c>
      <c r="X25" s="392">
        <f xml:space="preserve"> 500 * (W24 - W25 )</f>
        <v>33.840325884437277</v>
      </c>
      <c r="Y25" s="392"/>
      <c r="Z25" s="429">
        <f t="shared" si="52"/>
        <v>123.75545165140458</v>
      </c>
      <c r="AA25" s="595">
        <v>29.731601871343241</v>
      </c>
      <c r="AB25" s="595">
        <f>AA25/$AQ$28</f>
        <v>0.29731601871343238</v>
      </c>
      <c r="AC25" s="595">
        <f t="shared" si="53"/>
        <v>0.66743058279339806</v>
      </c>
      <c r="AD25" s="595">
        <f xml:space="preserve"> 500 * (AC24 - AC25 )</f>
        <v>35.034819761384618</v>
      </c>
      <c r="AE25" s="595">
        <f xml:space="preserve"> AA24/100 * -0.9689 + AA25/100*  1.8758 + AA26/100 *  0.0415</f>
        <v>0.19069454493794949</v>
      </c>
      <c r="AF25" s="596">
        <f t="shared" si="54"/>
        <v>120.85066089869113</v>
      </c>
      <c r="AG25" s="594"/>
      <c r="AH25" s="661"/>
      <c r="AI25" s="1440"/>
      <c r="AJ25" s="676">
        <v>12</v>
      </c>
      <c r="AK25" s="677">
        <v>8.2059800877999994E-5</v>
      </c>
      <c r="AL25" s="677">
        <v>1.3405685743E-5</v>
      </c>
      <c r="AM25" s="677">
        <v>-7.6188545668999999E-5</v>
      </c>
      <c r="AN25" s="663"/>
      <c r="AO25" s="322"/>
      <c r="AP25" s="320" t="s">
        <v>165</v>
      </c>
      <c r="AQ25" s="684">
        <v>82.521000000000001</v>
      </c>
      <c r="AR25" s="322"/>
      <c r="AS25" s="322"/>
      <c r="AT25" s="663"/>
      <c r="AU25" s="663"/>
      <c r="AV25" s="663"/>
      <c r="AW25" s="663"/>
      <c r="AX25" s="663"/>
      <c r="AY25" s="664"/>
      <c r="AZ25" s="664"/>
      <c r="BA25" s="664"/>
      <c r="BB25" s="664"/>
      <c r="BC25" s="664"/>
      <c r="BD25" s="664"/>
      <c r="BE25" s="664"/>
      <c r="BF25" s="664"/>
      <c r="BG25" s="664"/>
      <c r="BH25" s="665"/>
      <c r="BI25" s="665"/>
    </row>
    <row r="26" spans="1:61" ht="15.75" thickBot="1">
      <c r="A26" s="96"/>
      <c r="B26" s="97"/>
      <c r="C26" s="1418"/>
      <c r="D26" s="384">
        <f t="shared" si="1"/>
        <v>46.703112372096498</v>
      </c>
      <c r="E26" s="372">
        <v>57.095999999999997</v>
      </c>
      <c r="F26" s="1223">
        <f>F25 - E26 / 200</f>
        <v>0.39263206896551728</v>
      </c>
      <c r="G26" s="1223">
        <f>IF(F26^3&gt;0.008856,F26^3*$AQ$25, (F26- 16 / 116 ) / 7.787*$AQ$25)</f>
        <v>4.9948423780458118</v>
      </c>
      <c r="H26" s="1224">
        <f>G25</f>
        <v>31.182032647836948</v>
      </c>
      <c r="I26" s="1344">
        <v>6.5047473790852468</v>
      </c>
      <c r="J26" s="1225">
        <f>I25</f>
        <v>30.445067890689934</v>
      </c>
      <c r="K26" s="1225">
        <f>I26/$AQ$29</f>
        <v>5.9740706805334595E-2</v>
      </c>
      <c r="L26" s="1225">
        <f t="shared" si="44"/>
        <v>0.39092200615817502</v>
      </c>
      <c r="M26" s="1225">
        <f t="shared" ref="M26" si="57" xml:space="preserve"> 200 * ( L25 - L26 )</f>
        <v>56.361037113658554</v>
      </c>
      <c r="N26" s="1223">
        <f xml:space="preserve"> I24/100 *  0.0557 + I25/100 * -0.204 + I26/100 *  1.057</f>
        <v>2.8095265513637162E-2</v>
      </c>
      <c r="O26" s="1226">
        <f t="shared" si="46"/>
        <v>46.703112372096498</v>
      </c>
      <c r="P26" s="4"/>
      <c r="Q26" s="1348">
        <v>700</v>
      </c>
      <c r="R26" s="713">
        <f t="shared" ref="R26" si="58">Q26/SUM(Q24:Q26)*255</f>
        <v>39.531380618962203</v>
      </c>
      <c r="S26" s="392">
        <f t="shared" si="48"/>
        <v>0.1550250220351459</v>
      </c>
      <c r="T26" s="392">
        <f t="shared" si="49"/>
        <v>2.0779954407256533</v>
      </c>
      <c r="U26" s="392">
        <v>3.2025563999275186</v>
      </c>
      <c r="V26" s="392">
        <f>U26/$AQ$29</f>
        <v>2.9412822937717721E-2</v>
      </c>
      <c r="W26" s="392">
        <f t="shared" si="50"/>
        <v>0.30868266153245927</v>
      </c>
      <c r="X26" s="392">
        <f xml:space="preserve"> 200 * ( W25 - W26 )</f>
        <v>32.523988724931463</v>
      </c>
      <c r="Y26" s="392"/>
      <c r="Z26" s="429">
        <f t="shared" si="52"/>
        <v>46.703112372096498</v>
      </c>
      <c r="AA26" s="595">
        <v>5.7712396208537022</v>
      </c>
      <c r="AB26" s="595">
        <f>AA26/$AQ$29</f>
        <v>5.3004046736898347E-2</v>
      </c>
      <c r="AC26" s="595">
        <f t="shared" si="53"/>
        <v>0.37563813536758084</v>
      </c>
      <c r="AD26" s="595">
        <f xml:space="preserve"> 200 * ( AC25 - AC26 )</f>
        <v>58.358489485163446</v>
      </c>
      <c r="AE26" s="595">
        <f xml:space="preserve"> AA24/100 *  0.0557 + AA25/100 * -0.204 + AA26/100 *  1.057</f>
        <v>2.1585894808292469E-2</v>
      </c>
      <c r="AF26" s="596">
        <f t="shared" si="54"/>
        <v>40.387268220552713</v>
      </c>
      <c r="AG26" s="594"/>
      <c r="AH26" s="661"/>
      <c r="AI26" s="1440"/>
      <c r="AJ26" s="676">
        <v>13</v>
      </c>
      <c r="AK26" s="677">
        <v>-4.4836218543999999E-6</v>
      </c>
      <c r="AL26" s="677">
        <v>-7.2988763225000005E-5</v>
      </c>
      <c r="AM26" s="677">
        <v>9.6677044127999997E-5</v>
      </c>
      <c r="AN26" s="663"/>
      <c r="AO26" s="699"/>
      <c r="AP26" s="322"/>
      <c r="AQ26" s="322"/>
      <c r="AR26" s="322"/>
      <c r="AS26" s="322"/>
      <c r="AT26" s="663"/>
      <c r="AU26" s="663"/>
      <c r="AV26" s="663"/>
      <c r="AW26" s="663"/>
      <c r="AX26" s="663"/>
      <c r="AY26" s="664"/>
      <c r="AZ26" s="664"/>
      <c r="BA26" s="664"/>
      <c r="BB26" s="664"/>
      <c r="BC26" s="664"/>
      <c r="BD26" s="664"/>
      <c r="BE26" s="664"/>
      <c r="BF26" s="664"/>
      <c r="BG26" s="664"/>
      <c r="BH26" s="665"/>
      <c r="BI26" s="665"/>
    </row>
    <row r="27" spans="1:61" ht="15.75" thickBot="1">
      <c r="A27" s="92">
        <v>8</v>
      </c>
      <c r="B27" s="93" t="s">
        <v>116</v>
      </c>
      <c r="C27" s="1419"/>
      <c r="D27" s="382">
        <f t="shared" si="1"/>
        <v>67.856400699023411</v>
      </c>
      <c r="E27" s="370">
        <v>40.020000000000003</v>
      </c>
      <c r="F27" s="1215">
        <f xml:space="preserve"> E28 / 500 + F28</f>
        <v>0.5037510344827586</v>
      </c>
      <c r="G27" s="1215">
        <f>IF(F27^3&gt;0.008856,F27^3*$AQ$23, (F27- 16 / 116 ) / 7.787*$AQ$23)</f>
        <v>12.326051798005418</v>
      </c>
      <c r="H27" s="1216">
        <f>G27/SUM(G27:G29)</f>
        <v>0.23052745763339449</v>
      </c>
      <c r="I27" s="1342">
        <f t="array" ref="I27:I29">MMULT($AQ$34:$AS$36,G27:G29)</f>
        <v>13.406311599853042</v>
      </c>
      <c r="J27" s="1217">
        <f>I27/SUM(I27:I29)</f>
        <v>0.20714746526211641</v>
      </c>
      <c r="K27" s="1217">
        <f>I27/$AQ$27</f>
        <v>0.14104928719321014</v>
      </c>
      <c r="L27" s="1217">
        <f t="shared" si="44"/>
        <v>0.5205434249852271</v>
      </c>
      <c r="M27" s="1217">
        <f t="shared" ref="M27" si="59" xml:space="preserve"> 116 * L28  - 16</f>
        <v>40.660860500389582</v>
      </c>
      <c r="N27" s="1215">
        <f>I27/100*  3.2406 + I28/100 * -1.5372 + I29/100 * -0.4986</f>
        <v>5.7562850997768755E-2</v>
      </c>
      <c r="O27" s="1218">
        <f t="shared" si="46"/>
        <v>67.856400699023411</v>
      </c>
      <c r="P27" s="4"/>
      <c r="Q27" s="1346">
        <v>413.8</v>
      </c>
      <c r="R27" s="714">
        <f t="shared" ref="R27:R39" si="60">Q27/SUM(Q27:Q29)*255</f>
        <v>35.23877905423457</v>
      </c>
      <c r="S27" s="397">
        <f t="shared" si="48"/>
        <v>0.13819129040876302</v>
      </c>
      <c r="T27" s="397">
        <f t="shared" si="49"/>
        <v>1.7004513094099745</v>
      </c>
      <c r="U27" s="397">
        <f t="array" ref="U27:U29">MMULT($AQ$47:$AS$49,T27:T29)</f>
        <v>8.3028916913059785</v>
      </c>
      <c r="V27" s="397">
        <f>U27/$AQ$27</f>
        <v>8.7355641854093016E-2</v>
      </c>
      <c r="W27" s="397">
        <f t="shared" si="50"/>
        <v>0.44370772138790998</v>
      </c>
      <c r="X27" s="397">
        <f xml:space="preserve"> 116 * W28  - 16</f>
        <v>32.901069671061435</v>
      </c>
      <c r="Y27" s="397">
        <f t="shared" ref="Y27:Y39" si="61">SQRT(( ( M27-X27 ) ^ 2 ) + ( ( M28 - X28 ) ^ 2 ) + ( (M29 - X29 ) ^ 2 ))</f>
        <v>9.7207445250117388</v>
      </c>
      <c r="Z27" s="430">
        <f t="shared" si="52"/>
        <v>67.856400699023411</v>
      </c>
      <c r="AA27" s="597">
        <f t="array" ref="AA27:AA29">MMULT($AP$14:$AR$16,Q27:Q29)</f>
        <v>14.161748755450089</v>
      </c>
      <c r="AB27" s="597">
        <f>AA27/$AQ$27</f>
        <v>0.14899732506496879</v>
      </c>
      <c r="AC27" s="597">
        <f t="shared" si="53"/>
        <v>0.53014274672270489</v>
      </c>
      <c r="AD27" s="597">
        <f xml:space="preserve"> 116 * AC28  - 16</f>
        <v>41.79345266682099</v>
      </c>
      <c r="AE27" s="597">
        <f t="shared" ref="AE27" si="62">AA27/100*  3.2406 + AA28/100 * -1.5372 + AA29/100 * -0.4986</f>
        <v>5.7048864765361335E-2</v>
      </c>
      <c r="AF27" s="598">
        <f t="shared" si="54"/>
        <v>67.550966167886457</v>
      </c>
      <c r="AG27" s="599">
        <f>SQRT(( ( M27-AD27 ) ^ 2 ) + ( ( M28 - AD28 ) ^ 2 ) + ( (M29 - AD29 ) ^ 2 ))</f>
        <v>1.7639160202534496</v>
      </c>
      <c r="AH27" s="661"/>
      <c r="AI27" s="1440"/>
      <c r="AJ27" s="676">
        <v>14</v>
      </c>
      <c r="AK27" s="677">
        <v>-6.0935783684000003E-5</v>
      </c>
      <c r="AL27" s="677">
        <v>1.5204869607999999E-4</v>
      </c>
      <c r="AM27" s="677">
        <v>-9.2114611468000005E-5</v>
      </c>
      <c r="AN27" s="663"/>
      <c r="AO27" s="320" t="s">
        <v>33</v>
      </c>
      <c r="AP27" s="320" t="s">
        <v>163</v>
      </c>
      <c r="AQ27" s="684">
        <v>95.046999999999997</v>
      </c>
      <c r="AR27" s="322"/>
      <c r="AS27" s="322"/>
      <c r="AT27" s="663"/>
      <c r="AU27" s="663"/>
      <c r="AV27" s="663"/>
      <c r="AW27" s="663"/>
      <c r="AX27" s="663"/>
      <c r="AY27" s="664"/>
      <c r="AZ27" s="664"/>
      <c r="BA27" s="664"/>
      <c r="BB27" s="664"/>
      <c r="BC27" s="664"/>
      <c r="BD27" s="664"/>
      <c r="BE27" s="664"/>
      <c r="BF27" s="664"/>
      <c r="BG27" s="664"/>
      <c r="BH27" s="665"/>
      <c r="BI27" s="665"/>
    </row>
    <row r="28" spans="1:61" ht="15.75" thickBot="1">
      <c r="A28" s="94"/>
      <c r="B28" s="95"/>
      <c r="C28" s="1419"/>
      <c r="D28" s="383">
        <f t="shared" si="1"/>
        <v>91.231366881754894</v>
      </c>
      <c r="E28" s="371">
        <v>10.41</v>
      </c>
      <c r="F28" s="1219">
        <f xml:space="preserve"> (E27  + 16 ) / 116</f>
        <v>0.48293103448275865</v>
      </c>
      <c r="G28" s="1219">
        <f>IF(F28^3&gt;0.008856,F28^3*$AQ$24, (F28- 16 / 116 ) / 7.787*$AQ$24)</f>
        <v>11.263032720181233</v>
      </c>
      <c r="H28" s="1220">
        <f>G28/SUM(G27:G29)</f>
        <v>0.21064638870374264</v>
      </c>
      <c r="I28" s="1343">
        <v>11.654013845803803</v>
      </c>
      <c r="J28" s="1221">
        <f>I28/SUM(I27:I29)</f>
        <v>0.18007185722240932</v>
      </c>
      <c r="K28" s="1221">
        <f>I28/$AQ$28</f>
        <v>0.11654013845803803</v>
      </c>
      <c r="L28" s="1221">
        <f t="shared" si="44"/>
        <v>0.48845569396887573</v>
      </c>
      <c r="M28" s="1221">
        <f t="shared" ref="M28" si="63" xml:space="preserve"> 500 * (L27 - L28 )</f>
        <v>16.043865508175685</v>
      </c>
      <c r="N28" s="1219">
        <f xml:space="preserve"> I27/100 * -0.9689 + I28/100*  1.8758 + I29/100 *  0.0415</f>
        <v>0.10517045793783536</v>
      </c>
      <c r="O28" s="1222">
        <f t="shared" si="46"/>
        <v>91.231366881754894</v>
      </c>
      <c r="P28" s="4"/>
      <c r="Q28" s="1347">
        <v>887.6</v>
      </c>
      <c r="R28" s="714">
        <f t="shared" ref="R28:R40" si="64">Q28/SUM(Q27:Q29)*255</f>
        <v>75.587095912369747</v>
      </c>
      <c r="S28" s="397">
        <f t="shared" si="48"/>
        <v>0.29641998397007746</v>
      </c>
      <c r="T28" s="397">
        <f t="shared" si="49"/>
        <v>7.1478855144214775</v>
      </c>
      <c r="U28" s="397">
        <v>7.4917126184109186</v>
      </c>
      <c r="V28" s="397">
        <f>U28/$AQ$28</f>
        <v>7.4917126184109187E-2</v>
      </c>
      <c r="W28" s="397">
        <f t="shared" si="50"/>
        <v>0.4215609454401848</v>
      </c>
      <c r="X28" s="397">
        <f xml:space="preserve"> 500 * (W27 - W28 )</f>
        <v>11.073387973862591</v>
      </c>
      <c r="Y28" s="397"/>
      <c r="Z28" s="430">
        <f t="shared" si="52"/>
        <v>91.231366881754894</v>
      </c>
      <c r="AA28" s="597">
        <v>12.36693147110525</v>
      </c>
      <c r="AB28" s="597">
        <f>AA28/$AQ$28</f>
        <v>0.1236693147110525</v>
      </c>
      <c r="AC28" s="597">
        <f t="shared" si="53"/>
        <v>0.49821941954156024</v>
      </c>
      <c r="AD28" s="597">
        <f xml:space="preserve"> 500 * (AC27 - AC28 )</f>
        <v>15.961663590572329</v>
      </c>
      <c r="AE28" s="597">
        <f xml:space="preserve"> AA27/100 * -0.9689 + AA28/100*  1.8758 + AA29/100 *  0.0415</f>
        <v>0.11239217138704218</v>
      </c>
      <c r="AF28" s="598">
        <f t="shared" si="54"/>
        <v>94.184651694090391</v>
      </c>
      <c r="AG28" s="599"/>
      <c r="AH28" s="661"/>
      <c r="AI28" s="1440"/>
      <c r="AJ28" s="676">
        <v>15</v>
      </c>
      <c r="AK28" s="677">
        <v>9.6622403057000005E-5</v>
      </c>
      <c r="AL28" s="677">
        <v>-1.2372883183999999E-4</v>
      </c>
      <c r="AM28" s="677">
        <v>4.6967637797000001E-5</v>
      </c>
      <c r="AN28" s="663"/>
      <c r="AO28" s="322"/>
      <c r="AP28" s="320" t="s">
        <v>164</v>
      </c>
      <c r="AQ28" s="684">
        <v>100</v>
      </c>
      <c r="AR28" s="322"/>
      <c r="AS28" s="322"/>
      <c r="AT28" s="663"/>
      <c r="AU28" s="663"/>
      <c r="AV28" s="663"/>
      <c r="AW28" s="663"/>
      <c r="AX28" s="663"/>
      <c r="AY28" s="664"/>
      <c r="AZ28" s="664"/>
      <c r="BA28" s="664"/>
      <c r="BB28" s="664"/>
      <c r="BC28" s="664"/>
      <c r="BD28" s="664"/>
      <c r="BE28" s="664"/>
      <c r="BF28" s="664"/>
      <c r="BG28" s="664"/>
      <c r="BH28" s="665"/>
      <c r="BI28" s="665"/>
    </row>
    <row r="29" spans="1:61" ht="15.75" thickBot="1">
      <c r="A29" s="96"/>
      <c r="B29" s="97"/>
      <c r="C29" s="1419"/>
      <c r="D29" s="384">
        <f t="shared" si="1"/>
        <v>170.17236470319924</v>
      </c>
      <c r="E29" s="372">
        <v>-45.963999999999999</v>
      </c>
      <c r="F29" s="1223">
        <f>F28 - E29 / 200</f>
        <v>0.71275103448275867</v>
      </c>
      <c r="G29" s="1223">
        <f>IF(F29^3&gt;0.008856,F29^3*$AQ$25, (F29- 16 / 116 ) / 7.787*$AQ$25)</f>
        <v>29.879825105617961</v>
      </c>
      <c r="H29" s="1224">
        <f>G28</f>
        <v>11.263032720181233</v>
      </c>
      <c r="I29" s="1344">
        <v>39.658359781262121</v>
      </c>
      <c r="J29" s="1225">
        <f>I28</f>
        <v>11.654013845803803</v>
      </c>
      <c r="K29" s="1225">
        <f>I29/$AQ$29</f>
        <v>0.36422912466833318</v>
      </c>
      <c r="L29" s="1225">
        <f t="shared" si="44"/>
        <v>0.7141534798282988</v>
      </c>
      <c r="M29" s="1225">
        <f t="shared" ref="M29" si="65" xml:space="preserve"> 200 * ( L28 - L29 )</f>
        <v>-45.139557171884611</v>
      </c>
      <c r="N29" s="1223">
        <f xml:space="preserve"> I27/100 *  0.0557 + I28/100 * -0.204 + I29/100 *  1.057</f>
        <v>0.40288199020361898</v>
      </c>
      <c r="O29" s="1226">
        <f t="shared" si="46"/>
        <v>170.17236470319924</v>
      </c>
      <c r="P29" s="4"/>
      <c r="Q29" s="1348">
        <v>1693</v>
      </c>
      <c r="R29" s="714">
        <f t="shared" ref="R29:R41" si="66">Q29/SUM(Q27:Q29)*255</f>
        <v>144.17412503339568</v>
      </c>
      <c r="S29" s="397">
        <f t="shared" si="48"/>
        <v>0.56538872562115949</v>
      </c>
      <c r="T29" s="397">
        <f t="shared" si="49"/>
        <v>27.963237355639087</v>
      </c>
      <c r="U29" s="397">
        <v>27.458426234142909</v>
      </c>
      <c r="V29" s="397">
        <f>U29/$AQ$29</f>
        <v>0.25218285897837961</v>
      </c>
      <c r="W29" s="397">
        <f t="shared" si="50"/>
        <v>0.63178870100995643</v>
      </c>
      <c r="X29" s="397">
        <f xml:space="preserve"> 200 * ( W28 - W29 )</f>
        <v>-42.045551113954325</v>
      </c>
      <c r="Y29" s="397"/>
      <c r="Z29" s="430">
        <f t="shared" si="52"/>
        <v>170.17236470319924</v>
      </c>
      <c r="AA29" s="597">
        <v>42.473384442423665</v>
      </c>
      <c r="AB29" s="597">
        <f>AA29/$AQ$29</f>
        <v>0.39008279017315528</v>
      </c>
      <c r="AC29" s="597">
        <f t="shared" si="53"/>
        <v>0.73066605262807938</v>
      </c>
      <c r="AD29" s="597">
        <f xml:space="preserve"> 200 * ( AC28 - AC29 )</f>
        <v>-46.489326617303831</v>
      </c>
      <c r="AE29" s="597">
        <f t="shared" ref="AE29" si="67" xml:space="preserve"> AA27/100 *  0.0557 + AA28/100 * -0.204 + AA29/100 *  1.057</f>
        <v>0.43160322741214913</v>
      </c>
      <c r="AF29" s="598">
        <f t="shared" si="54"/>
        <v>175.53407969855806</v>
      </c>
      <c r="AG29" s="599"/>
      <c r="AH29" s="661"/>
      <c r="AI29" s="1440"/>
      <c r="AJ29" s="676">
        <v>16</v>
      </c>
      <c r="AK29" s="677">
        <v>4.0700480873000002E-5</v>
      </c>
      <c r="AL29" s="677">
        <v>1.5385007918000001E-4</v>
      </c>
      <c r="AM29" s="677">
        <v>-1.8048778289999999E-4</v>
      </c>
      <c r="AN29" s="663"/>
      <c r="AO29" s="322"/>
      <c r="AP29" s="320" t="s">
        <v>165</v>
      </c>
      <c r="AQ29" s="684">
        <v>108.883</v>
      </c>
      <c r="AR29" s="322"/>
      <c r="AS29" s="322"/>
      <c r="AT29" s="663"/>
      <c r="AU29" s="663"/>
      <c r="AV29" s="663"/>
      <c r="AW29" s="663"/>
      <c r="AX29" s="663"/>
      <c r="AY29" s="664"/>
      <c r="AZ29" s="664"/>
      <c r="BA29" s="664"/>
      <c r="BB29" s="664"/>
      <c r="BC29" s="664"/>
      <c r="BD29" s="664"/>
      <c r="BE29" s="664"/>
      <c r="BF29" s="664"/>
      <c r="BG29" s="664"/>
      <c r="BH29" s="665"/>
      <c r="BI29" s="665"/>
    </row>
    <row r="30" spans="1:61">
      <c r="A30" s="92">
        <v>9</v>
      </c>
      <c r="B30" s="93" t="s">
        <v>117</v>
      </c>
      <c r="C30" s="1392"/>
      <c r="D30" s="382">
        <f t="shared" si="1"/>
        <v>198.324194853623</v>
      </c>
      <c r="E30" s="370">
        <v>51.124000000000002</v>
      </c>
      <c r="F30" s="1215">
        <f xml:space="preserve"> E31 / 500 + F31</f>
        <v>0.675133172413793</v>
      </c>
      <c r="G30" s="1215">
        <f>IF(F30^3&gt;0.008856,F30^3*$AQ$23, (F30- 16 / 116 ) / 7.787*$AQ$23)</f>
        <v>29.671839945112154</v>
      </c>
      <c r="H30" s="1216">
        <f>G30/SUM(G30:G32)</f>
        <v>0.50118296689010589</v>
      </c>
      <c r="I30" s="1342">
        <f t="array" ref="I30:I32">MMULT($AQ$34:$AS$36,G30:G32)</f>
        <v>28.548799048791913</v>
      </c>
      <c r="J30" s="1217">
        <f>I30/SUM(I30:I32)</f>
        <v>0.46827612618607922</v>
      </c>
      <c r="K30" s="1217">
        <f>I30/$AQ$27</f>
        <v>0.30036507253034722</v>
      </c>
      <c r="L30" s="1217">
        <f t="shared" si="44"/>
        <v>0.66970438620871597</v>
      </c>
      <c r="M30" s="1217">
        <f t="shared" ref="M30" si="68" xml:space="preserve"> 116 * L31  - 16</f>
        <v>50.619717045587052</v>
      </c>
      <c r="N30" s="1215">
        <f>I30/100*  3.2406 + I31/100 * -1.5372 + I32/100 * -0.4986</f>
        <v>0.5667860447179659</v>
      </c>
      <c r="O30" s="1218">
        <f t="shared" si="46"/>
        <v>198.324194853623</v>
      </c>
      <c r="P30" s="4"/>
      <c r="Q30" s="1346">
        <v>2100.1999999999998</v>
      </c>
      <c r="R30" s="715">
        <f t="shared" si="60"/>
        <v>146.00627044711013</v>
      </c>
      <c r="S30" s="398">
        <f t="shared" si="48"/>
        <v>0.57257360959651027</v>
      </c>
      <c r="T30" s="398">
        <f t="shared" si="49"/>
        <v>28.746786998324637</v>
      </c>
      <c r="U30" s="398">
        <f t="array" ref="U30:U32">MMULT($AQ$47:$AS$49,T30:T32)</f>
        <v>13.815542952048393</v>
      </c>
      <c r="V30" s="398">
        <f>U30/$AQ$27</f>
        <v>0.14535485551409716</v>
      </c>
      <c r="W30" s="398">
        <f t="shared" si="50"/>
        <v>0.5257870046969928</v>
      </c>
      <c r="X30" s="398">
        <f xml:space="preserve"> 116 * W31  - 16</f>
        <v>35.665022927419301</v>
      </c>
      <c r="Y30" s="398">
        <f t="shared" si="61"/>
        <v>16.955808998163207</v>
      </c>
      <c r="Z30" s="431">
        <f t="shared" si="52"/>
        <v>198.324194853623</v>
      </c>
      <c r="AA30" s="600">
        <f t="array" ref="AA30:AA32">MMULT($AP$14:$AR$16,Q30:Q32)</f>
        <v>30.345535087274847</v>
      </c>
      <c r="AB30" s="600">
        <f>AA30/$AQ$27</f>
        <v>0.319268731125389</v>
      </c>
      <c r="AC30" s="600">
        <f t="shared" si="53"/>
        <v>0.68346895953954268</v>
      </c>
      <c r="AD30" s="600">
        <f xml:space="preserve"> 116 * AC31  - 16</f>
        <v>51.764412511034152</v>
      </c>
      <c r="AE30" s="600">
        <f t="shared" ref="AE30" si="69">AA30/100*  3.2406 + AA31/100 * -1.5372 + AA32/100 * -0.4986</f>
        <v>0.61064185891093814</v>
      </c>
      <c r="AF30" s="601">
        <f t="shared" si="54"/>
        <v>205.02186646545289</v>
      </c>
      <c r="AG30" s="602">
        <f>SQRT(( ( M30-AD30 ) ^ 2 ) + ( ( M31 - AD31 ) ^ 2 ) + ( (M32 - AD32 ) ^ 2 ))</f>
        <v>3.3114033839470358</v>
      </c>
      <c r="AH30" s="661"/>
      <c r="AI30" s="1440"/>
      <c r="AJ30" s="676">
        <v>17</v>
      </c>
      <c r="AK30" s="677">
        <v>1.0470885008999999E-4</v>
      </c>
      <c r="AL30" s="677">
        <v>-2.0711232536E-4</v>
      </c>
      <c r="AM30" s="677">
        <v>1.4201579589000001E-4</v>
      </c>
      <c r="AN30" s="663"/>
      <c r="AO30" s="662"/>
      <c r="AP30" s="663"/>
      <c r="AQ30" s="663"/>
      <c r="AR30" s="663"/>
      <c r="AS30" s="663"/>
      <c r="AT30" s="663"/>
      <c r="AU30" s="663"/>
      <c r="AV30" s="663"/>
      <c r="AW30" s="663"/>
      <c r="AX30" s="663"/>
      <c r="AY30" s="664"/>
      <c r="AZ30" s="664"/>
      <c r="BA30" s="664"/>
      <c r="BB30" s="664"/>
      <c r="BC30" s="664"/>
      <c r="BD30" s="664"/>
      <c r="BE30" s="664"/>
      <c r="BF30" s="664"/>
      <c r="BG30" s="664"/>
      <c r="BH30" s="665"/>
      <c r="BI30" s="665"/>
    </row>
    <row r="31" spans="1:61">
      <c r="A31" s="94"/>
      <c r="B31" s="95"/>
      <c r="C31" s="1392"/>
      <c r="D31" s="383">
        <f t="shared" si="1"/>
        <v>81.965589373165727</v>
      </c>
      <c r="E31" s="371">
        <v>48.238999999999997</v>
      </c>
      <c r="F31" s="1219">
        <f xml:space="preserve"> (E30  + 16 ) / 116</f>
        <v>0.57865517241379305</v>
      </c>
      <c r="G31" s="1219">
        <f>IF(F31^3&gt;0.008856,F31^3*$AQ$24, (F31- 16 / 116 ) / 7.787*$AQ$24)</f>
        <v>19.375794446434863</v>
      </c>
      <c r="H31" s="1220">
        <f>G31/SUM(G30:G32)</f>
        <v>0.32727387868364144</v>
      </c>
      <c r="I31" s="1343">
        <v>18.942372976704565</v>
      </c>
      <c r="J31" s="1221">
        <f>I31/SUM(I30:I32)</f>
        <v>0.31070522522307092</v>
      </c>
      <c r="K31" s="1221">
        <f>I31/$AQ$28</f>
        <v>0.18942372976704566</v>
      </c>
      <c r="L31" s="1221">
        <f t="shared" si="44"/>
        <v>0.57430790556540567</v>
      </c>
      <c r="M31" s="1221">
        <f t="shared" ref="M31" si="70" xml:space="preserve"> 500 * (L30 - L31 )</f>
        <v>47.698240321655149</v>
      </c>
      <c r="N31" s="1219">
        <f xml:space="preserve"> I30/100 * -0.9689 + I31/100*  1.8758 + I32/100 *  0.0415</f>
        <v>8.4303662685842981E-2</v>
      </c>
      <c r="O31" s="1222">
        <f t="shared" si="46"/>
        <v>81.965589373165727</v>
      </c>
      <c r="P31" s="4"/>
      <c r="Q31" s="1347">
        <v>742.6</v>
      </c>
      <c r="R31" s="715">
        <f t="shared" si="64"/>
        <v>51.62568157033806</v>
      </c>
      <c r="S31" s="398">
        <f t="shared" si="48"/>
        <v>0.202453653217012</v>
      </c>
      <c r="T31" s="398">
        <f t="shared" si="49"/>
        <v>3.387441765823771</v>
      </c>
      <c r="U31" s="398">
        <v>8.8351903716376423</v>
      </c>
      <c r="V31" s="398">
        <f>U31/$AQ$28</f>
        <v>8.8351903716376426E-2</v>
      </c>
      <c r="W31" s="398">
        <f t="shared" si="50"/>
        <v>0.44538812868464916</v>
      </c>
      <c r="X31" s="398">
        <f xml:space="preserve"> 500 * (W30 - W31 )</f>
        <v>40.199438006171818</v>
      </c>
      <c r="Y31" s="398"/>
      <c r="Z31" s="431">
        <f t="shared" si="52"/>
        <v>81.965589373165727</v>
      </c>
      <c r="AA31" s="600">
        <v>19.935680505073126</v>
      </c>
      <c r="AB31" s="600">
        <f>AA31/$AQ$28</f>
        <v>0.19935680505073125</v>
      </c>
      <c r="AC31" s="600">
        <f t="shared" si="53"/>
        <v>0.58417596992270815</v>
      </c>
      <c r="AD31" s="600">
        <f xml:space="preserve"> 500 * (AC30 - AC31 )</f>
        <v>49.646494808417266</v>
      </c>
      <c r="AE31" s="600">
        <f xml:space="preserve"> AA30/100 * -0.9689 + AA31/100*  1.8758 + AA32/100 *  0.0415</f>
        <v>8.5452647615082422E-2</v>
      </c>
      <c r="AF31" s="601">
        <f t="shared" si="54"/>
        <v>82.508549369562459</v>
      </c>
      <c r="AG31" s="602"/>
      <c r="AH31" s="661"/>
      <c r="AI31" s="1440"/>
      <c r="AJ31" s="676">
        <v>18</v>
      </c>
      <c r="AK31" s="677">
        <v>-5.1618897837999998E-5</v>
      </c>
      <c r="AL31" s="677">
        <v>1.1534170223999999E-5</v>
      </c>
      <c r="AM31" s="677">
        <v>6.0333766599999998E-5</v>
      </c>
      <c r="AN31" s="663"/>
      <c r="AO31" s="1445" t="s">
        <v>186</v>
      </c>
      <c r="AP31" s="1445"/>
      <c r="AQ31" s="1445"/>
      <c r="AR31" s="1445"/>
      <c r="AS31" s="1445"/>
      <c r="AT31" s="663"/>
      <c r="AU31" s="663"/>
      <c r="AV31" s="663"/>
      <c r="AW31" s="663"/>
      <c r="AX31" s="663"/>
      <c r="AY31" s="664"/>
      <c r="AZ31" s="664"/>
      <c r="BA31" s="664"/>
      <c r="BB31" s="664"/>
      <c r="BC31" s="664"/>
      <c r="BD31" s="664"/>
      <c r="BE31" s="664"/>
      <c r="BF31" s="664"/>
      <c r="BG31" s="664"/>
      <c r="BH31" s="665"/>
      <c r="BI31" s="665"/>
    </row>
    <row r="32" spans="1:61" ht="15.75" thickBot="1">
      <c r="A32" s="96"/>
      <c r="B32" s="97"/>
      <c r="C32" s="1392"/>
      <c r="D32" s="384">
        <f t="shared" si="1"/>
        <v>97.056852604465689</v>
      </c>
      <c r="E32" s="372">
        <v>16.248000000000001</v>
      </c>
      <c r="F32" s="1223">
        <f>F31 - E32 / 200</f>
        <v>0.49741517241379307</v>
      </c>
      <c r="G32" s="1223">
        <f>IF(F32^3&gt;0.008856,F32^3*$AQ$25, (F32- 16 / 116 ) / 7.787*$AQ$25)</f>
        <v>10.15597368242466</v>
      </c>
      <c r="H32" s="1224">
        <f>G31</f>
        <v>19.375794446434863</v>
      </c>
      <c r="I32" s="1344">
        <v>13.474564753165298</v>
      </c>
      <c r="J32" s="1225">
        <f>I31</f>
        <v>18.942372976704565</v>
      </c>
      <c r="K32" s="1225">
        <f>I32/$AQ$29</f>
        <v>0.12375269558301387</v>
      </c>
      <c r="L32" s="1225">
        <f t="shared" si="44"/>
        <v>0.49833136495291397</v>
      </c>
      <c r="M32" s="1225">
        <f t="shared" ref="M32" si="71" xml:space="preserve"> 200 * ( L31 - L32 )</f>
        <v>15.195308122498341</v>
      </c>
      <c r="N32" s="1223">
        <f xml:space="preserve"> I30/100 *  0.0557 + I31/100 * -0.204 + I32/100 *  1.057</f>
        <v>0.11968538963865696</v>
      </c>
      <c r="O32" s="1226">
        <f t="shared" si="46"/>
        <v>97.056852604465689</v>
      </c>
      <c r="P32" s="4"/>
      <c r="Q32" s="1348">
        <v>825.2</v>
      </c>
      <c r="R32" s="715">
        <f t="shared" si="66"/>
        <v>57.368047982551801</v>
      </c>
      <c r="S32" s="398">
        <f t="shared" si="48"/>
        <v>0.22497273718647764</v>
      </c>
      <c r="T32" s="398">
        <f t="shared" si="49"/>
        <v>4.1425893151491779</v>
      </c>
      <c r="U32" s="398">
        <v>4.896263074901432</v>
      </c>
      <c r="V32" s="398">
        <f>U32/$AQ$29</f>
        <v>4.4968113249097032E-2</v>
      </c>
      <c r="W32" s="398">
        <f t="shared" si="50"/>
        <v>0.35560529743388947</v>
      </c>
      <c r="X32" s="398">
        <f xml:space="preserve"> 200 * ( W31 - W32 )</f>
        <v>17.956566250151941</v>
      </c>
      <c r="Y32" s="398"/>
      <c r="Z32" s="431">
        <f t="shared" si="52"/>
        <v>97.056852604465689</v>
      </c>
      <c r="AA32" s="600">
        <v>13.294077497654708</v>
      </c>
      <c r="AB32" s="600">
        <f>AA32/$AQ$29</f>
        <v>0.12209506991591625</v>
      </c>
      <c r="AC32" s="600">
        <f t="shared" si="53"/>
        <v>0.49609636242883054</v>
      </c>
      <c r="AD32" s="600">
        <f xml:space="preserve"> 200 * ( AC31 - AC32 )</f>
        <v>17.615921498775521</v>
      </c>
      <c r="AE32" s="600">
        <f t="shared" ref="AE32" si="72" xml:space="preserve"> AA30/100 *  0.0557 + AA31/100 * -0.204 + AA32/100 *  1.057</f>
        <v>0.11675207396347316</v>
      </c>
      <c r="AF32" s="601">
        <f t="shared" si="54"/>
        <v>95.914280844484637</v>
      </c>
      <c r="AG32" s="602"/>
      <c r="AH32" s="661"/>
      <c r="AI32" s="1440"/>
      <c r="AJ32" s="676">
        <v>19</v>
      </c>
      <c r="AK32" s="677">
        <v>-1.8033834411E-5</v>
      </c>
      <c r="AL32" s="677">
        <v>2.1277911437E-5</v>
      </c>
      <c r="AM32" s="677">
        <v>6.8657240456000004E-5</v>
      </c>
      <c r="AN32" s="663"/>
      <c r="AO32" s="700" t="s">
        <v>167</v>
      </c>
      <c r="AP32" s="700"/>
      <c r="AQ32" s="700"/>
      <c r="AR32" s="700"/>
      <c r="AS32" s="700"/>
      <c r="AT32" s="663"/>
      <c r="AU32" s="663"/>
      <c r="AV32" s="663"/>
      <c r="AW32" s="663"/>
      <c r="AX32" s="663"/>
      <c r="AY32" s="664"/>
      <c r="AZ32" s="664"/>
      <c r="BA32" s="664"/>
      <c r="BB32" s="664"/>
      <c r="BC32" s="664"/>
      <c r="BD32" s="664"/>
      <c r="BE32" s="664"/>
      <c r="BF32" s="664"/>
      <c r="BG32" s="664"/>
      <c r="BH32" s="665"/>
      <c r="BI32" s="665"/>
    </row>
    <row r="33" spans="1:61" ht="15.75" thickBot="1">
      <c r="A33" s="92">
        <v>10</v>
      </c>
      <c r="B33" s="93" t="s">
        <v>118</v>
      </c>
      <c r="C33" s="1423"/>
      <c r="D33" s="382">
        <f t="shared" si="1"/>
        <v>93.621713838781943</v>
      </c>
      <c r="E33" s="370">
        <v>30.324999999999999</v>
      </c>
      <c r="F33" s="1215">
        <f xml:space="preserve"> E34 / 500 + F34</f>
        <v>0.4453054482758621</v>
      </c>
      <c r="G33" s="1215">
        <f>IF(F33^3&gt;0.008856,F33^3*$AQ$23, (F33- 16 / 116 ) / 7.787*$AQ$23)</f>
        <v>8.5143237847005686</v>
      </c>
      <c r="H33" s="1216">
        <f>G33/SUM(G33:G35)</f>
        <v>0.33186275702243384</v>
      </c>
      <c r="I33" s="1342">
        <f t="array" ref="I33:I35">MMULT($AQ$34:$AS$36,G33:G35)</f>
        <v>8.6698010004617139</v>
      </c>
      <c r="J33" s="1217">
        <f>I33/SUM(I33:I35)</f>
        <v>0.29500443423613082</v>
      </c>
      <c r="K33" s="1217">
        <f>I33/$AQ$27</f>
        <v>9.1215935278985277E-2</v>
      </c>
      <c r="L33" s="1217">
        <f t="shared" si="44"/>
        <v>0.4501496379376016</v>
      </c>
      <c r="M33" s="1217">
        <f t="shared" ref="M33" si="73" xml:space="preserve"> 116 * L34  - 16</f>
        <v>30.442928764338248</v>
      </c>
      <c r="N33" s="1215">
        <f>I33/100*  3.2406 + I34/100 * -1.5372 + I35/100 * -0.4986</f>
        <v>0.11099400632354926</v>
      </c>
      <c r="O33" s="1218">
        <f t="shared" si="46"/>
        <v>93.621713838781943</v>
      </c>
      <c r="P33" s="4"/>
      <c r="Q33" s="1346">
        <v>468</v>
      </c>
      <c r="R33" s="716">
        <f t="shared" si="60"/>
        <v>75.646551724137936</v>
      </c>
      <c r="S33" s="399">
        <f t="shared" si="48"/>
        <v>0.29665314401622722</v>
      </c>
      <c r="T33" s="399">
        <f t="shared" si="49"/>
        <v>7.1592727467268</v>
      </c>
      <c r="U33" s="399">
        <f t="array" ref="U33:U35">MMULT($AQ$47:$AS$49,T33:T35)</f>
        <v>7.912689159499978</v>
      </c>
      <c r="V33" s="399">
        <f>U33/$AQ$27</f>
        <v>8.3250277857270391E-2</v>
      </c>
      <c r="W33" s="399">
        <f t="shared" si="50"/>
        <v>0.43664507284953558</v>
      </c>
      <c r="X33" s="399">
        <f xml:space="preserve"> 116 * W34  - 16</f>
        <v>31.571931522506453</v>
      </c>
      <c r="Y33" s="399">
        <f t="shared" si="61"/>
        <v>11.769271614282834</v>
      </c>
      <c r="Z33" s="432">
        <f t="shared" si="52"/>
        <v>93.621713838781943</v>
      </c>
      <c r="AA33" s="603">
        <f t="array" ref="AA33:AA35">MMULT($AP$14:$AR$16,Q33:Q35)</f>
        <v>9.5091992610169935</v>
      </c>
      <c r="AB33" s="603">
        <f>AA33/$AQ$27</f>
        <v>0.10004733722281602</v>
      </c>
      <c r="AC33" s="603">
        <f t="shared" si="53"/>
        <v>0.46423211178267182</v>
      </c>
      <c r="AD33" s="603">
        <f xml:space="preserve"> 116 * AC34  - 16</f>
        <v>32.9306348697746</v>
      </c>
      <c r="AE33" s="603">
        <f t="shared" ref="AE33" si="74">AA33/100*  3.2406 + AA34/100 * -1.5372 + AA35/100 * -0.4986</f>
        <v>0.11362830477470601</v>
      </c>
      <c r="AF33" s="604">
        <f t="shared" si="54"/>
        <v>94.678958614507749</v>
      </c>
      <c r="AG33" s="605">
        <f>SQRT(( ( M33-AD33 ) ^ 2 ) + ( ( M34 - AD34 ) ^ 2 ) + ( (M35 - AD35 ) ^ 2 ))</f>
        <v>4.4962168189965857</v>
      </c>
      <c r="AH33" s="661"/>
      <c r="AI33" s="1440"/>
      <c r="AJ33" s="676">
        <v>20</v>
      </c>
      <c r="AK33" s="677">
        <v>-1.7164501061E-5</v>
      </c>
      <c r="AL33" s="677">
        <v>1.1872162176E-5</v>
      </c>
      <c r="AM33" s="677">
        <v>5.7691526714999999E-5</v>
      </c>
      <c r="AN33" s="663"/>
      <c r="AO33" s="662"/>
      <c r="AP33" s="663"/>
      <c r="AQ33" s="663"/>
      <c r="AR33" s="663"/>
      <c r="AS33" s="663"/>
      <c r="AT33" s="663"/>
      <c r="AU33" s="663"/>
      <c r="AV33" s="663"/>
      <c r="AW33" s="663"/>
      <c r="AX33" s="663"/>
      <c r="AY33" s="664"/>
      <c r="AZ33" s="664"/>
      <c r="BA33" s="664"/>
      <c r="BB33" s="664"/>
      <c r="BC33" s="664"/>
      <c r="BD33" s="664"/>
      <c r="BE33" s="664"/>
      <c r="BF33" s="664"/>
      <c r="BG33" s="664"/>
      <c r="BH33" s="665"/>
      <c r="BI33" s="665"/>
    </row>
    <row r="34" spans="1:61">
      <c r="A34" s="94"/>
      <c r="B34" s="95"/>
      <c r="C34" s="1423"/>
      <c r="D34" s="383">
        <f t="shared" si="1"/>
        <v>58.004664131651644</v>
      </c>
      <c r="E34" s="371">
        <v>22.975999999999999</v>
      </c>
      <c r="F34" s="1219">
        <f xml:space="preserve"> (E33  + 16 ) / 116</f>
        <v>0.39935344827586211</v>
      </c>
      <c r="G34" s="1219">
        <f>IF(F34^3&gt;0.008856,F34^3*$AQ$24, (F34- 16 / 116 ) / 7.787*$AQ$24)</f>
        <v>6.3690156537094742</v>
      </c>
      <c r="H34" s="1220">
        <f>G34/SUM(G33:G35)</f>
        <v>0.24824509236506528</v>
      </c>
      <c r="I34" s="1343">
        <v>6.4177800664010629</v>
      </c>
      <c r="J34" s="1221">
        <f>I34/SUM(I33:I35)</f>
        <v>0.21837566715080733</v>
      </c>
      <c r="K34" s="1221">
        <f>I34/$AQ$28</f>
        <v>6.4177800664010631E-2</v>
      </c>
      <c r="L34" s="1221">
        <f t="shared" si="44"/>
        <v>0.40037007555464005</v>
      </c>
      <c r="M34" s="1221">
        <f t="shared" ref="M34" si="75" xml:space="preserve"> 500 * (L33 - L34 )</f>
        <v>24.889781191480775</v>
      </c>
      <c r="N34" s="1219">
        <f xml:space="preserve"> I33/100 * -0.9689 + I34/100*  1.8758 + I35/100 *  0.0415</f>
        <v>4.2317986835244223E-2</v>
      </c>
      <c r="O34" s="1222">
        <f t="shared" si="46"/>
        <v>58.004664131651644</v>
      </c>
      <c r="P34" s="4"/>
      <c r="Q34" s="1347">
        <v>426</v>
      </c>
      <c r="R34" s="716">
        <f t="shared" si="64"/>
        <v>68.857758620689665</v>
      </c>
      <c r="S34" s="399">
        <f t="shared" si="48"/>
        <v>0.27003042596348886</v>
      </c>
      <c r="T34" s="399">
        <f t="shared" si="49"/>
        <v>5.9266835310139356</v>
      </c>
      <c r="U34" s="399">
        <v>6.8972884279708335</v>
      </c>
      <c r="V34" s="399">
        <f>U34/$AQ$28</f>
        <v>6.8972884279708338E-2</v>
      </c>
      <c r="W34" s="399">
        <f t="shared" si="50"/>
        <v>0.41010285795264184</v>
      </c>
      <c r="X34" s="399">
        <f xml:space="preserve"> 500 * (W33 - W34 )</f>
        <v>13.271107448446868</v>
      </c>
      <c r="Y34" s="399"/>
      <c r="Z34" s="432">
        <f t="shared" si="52"/>
        <v>58.004664131651644</v>
      </c>
      <c r="AA34" s="603">
        <v>7.5053091254551507</v>
      </c>
      <c r="AB34" s="603">
        <f>AA34/$AQ$28</f>
        <v>7.5053091254551507E-2</v>
      </c>
      <c r="AC34" s="603">
        <f t="shared" si="53"/>
        <v>0.42181581784288447</v>
      </c>
      <c r="AD34" s="603">
        <f xml:space="preserve"> 500 * (AC33 - AC34 )</f>
        <v>21.208146969893676</v>
      </c>
      <c r="AE34" s="603">
        <f xml:space="preserve"> AA33/100 * -0.9689 + AA34/100*  1.8758 + AA35/100 *  0.0415</f>
        <v>5.5238285406923722E-2</v>
      </c>
      <c r="AF34" s="604">
        <f t="shared" si="54"/>
        <v>66.462057864383297</v>
      </c>
      <c r="AG34" s="605"/>
      <c r="AH34" s="661"/>
      <c r="AI34" s="1440"/>
      <c r="AJ34" s="676">
        <v>21</v>
      </c>
      <c r="AK34" s="677">
        <v>-1.0489987311999999E-5</v>
      </c>
      <c r="AL34" s="677">
        <v>2.1006373216E-6</v>
      </c>
      <c r="AM34" s="677">
        <v>4.0186679529000002E-5</v>
      </c>
      <c r="AN34" s="663"/>
      <c r="AO34" s="685" t="s">
        <v>168</v>
      </c>
      <c r="AP34" s="324" t="s">
        <v>163</v>
      </c>
      <c r="AQ34" s="686">
        <v>0.9555766</v>
      </c>
      <c r="AR34" s="687">
        <v>-2.3039299999999999E-2</v>
      </c>
      <c r="AS34" s="688">
        <v>6.31636E-2</v>
      </c>
      <c r="AT34" s="663"/>
      <c r="AU34" s="663"/>
      <c r="AV34" s="663"/>
      <c r="AW34" s="663"/>
      <c r="AX34" s="663"/>
      <c r="AY34" s="664"/>
      <c r="AZ34" s="664"/>
      <c r="BA34" s="664"/>
      <c r="BB34" s="664"/>
      <c r="BC34" s="664"/>
      <c r="BD34" s="664"/>
      <c r="BE34" s="664"/>
      <c r="BF34" s="664"/>
      <c r="BG34" s="664"/>
      <c r="BH34" s="665"/>
      <c r="BI34" s="665"/>
    </row>
    <row r="35" spans="1:61" ht="15.75" thickBot="1">
      <c r="A35" s="96"/>
      <c r="B35" s="97"/>
      <c r="C35" s="1423"/>
      <c r="D35" s="384">
        <f t="shared" si="1"/>
        <v>105.57259954157003</v>
      </c>
      <c r="E35" s="372">
        <v>-21.587</v>
      </c>
      <c r="F35" s="1223">
        <f>F34 - E35 / 200</f>
        <v>0.50728844827586217</v>
      </c>
      <c r="G35" s="1223">
        <f>IF(F35^3&gt;0.008856,F35^3*$AQ$25, (F35- 16 / 116 ) / 7.787*$AQ$25)</f>
        <v>10.772819936307023</v>
      </c>
      <c r="H35" s="1224">
        <f>G34</f>
        <v>6.3690156537094742</v>
      </c>
      <c r="I35" s="1344">
        <v>14.301133116064159</v>
      </c>
      <c r="J35" s="1225">
        <f>I34</f>
        <v>6.4177800664010629</v>
      </c>
      <c r="K35" s="1225">
        <f>I35/$AQ$29</f>
        <v>0.13134404008030784</v>
      </c>
      <c r="L35" s="1225">
        <f t="shared" si="44"/>
        <v>0.50831952339290942</v>
      </c>
      <c r="M35" s="1225">
        <f t="shared" ref="M35" si="76" xml:space="preserve"> 200 * ( L34 - L35 )</f>
        <v>-21.589889567653874</v>
      </c>
      <c r="N35" s="1223">
        <f xml:space="preserve"> I33/100 *  0.0557 + I34/100 * -0.204 + I35/100 *  1.057</f>
        <v>0.14289978485859717</v>
      </c>
      <c r="O35" s="1226">
        <f t="shared" si="46"/>
        <v>105.57259954157003</v>
      </c>
      <c r="P35" s="4"/>
      <c r="Q35" s="1348">
        <v>683.6</v>
      </c>
      <c r="R35" s="716">
        <f t="shared" si="66"/>
        <v>110.49568965517243</v>
      </c>
      <c r="S35" s="399">
        <f t="shared" si="48"/>
        <v>0.43331643002028403</v>
      </c>
      <c r="T35" s="399">
        <f t="shared" si="49"/>
        <v>15.742630621754003</v>
      </c>
      <c r="U35" s="399">
        <v>15.805116351424932</v>
      </c>
      <c r="V35" s="399">
        <f>U35/$AQ$29</f>
        <v>0.14515687803812288</v>
      </c>
      <c r="W35" s="399">
        <f t="shared" si="50"/>
        <v>0.5255481839178332</v>
      </c>
      <c r="X35" s="399">
        <f xml:space="preserve"> 200 * ( W34 - W35 )</f>
        <v>-23.089065193038273</v>
      </c>
      <c r="Y35" s="399"/>
      <c r="Z35" s="432">
        <f t="shared" si="52"/>
        <v>105.57259954157003</v>
      </c>
      <c r="AA35" s="603">
        <v>15.875490293083459</v>
      </c>
      <c r="AB35" s="603">
        <f>AA35/$AQ$29</f>
        <v>0.14580320429344765</v>
      </c>
      <c r="AC35" s="603">
        <f t="shared" si="53"/>
        <v>0.5263270485747118</v>
      </c>
      <c r="AD35" s="603">
        <f xml:space="preserve"> 200 * ( AC34 - AC35 )</f>
        <v>-20.902246146365467</v>
      </c>
      <c r="AE35" s="603">
        <f t="shared" ref="AE35" si="77" xml:space="preserve"> AA33/100 *  0.0557 + AA34/100 * -0.204 + AA35/100 *  1.057</f>
        <v>0.15778972577035011</v>
      </c>
      <c r="AF35" s="604">
        <f t="shared" si="54"/>
        <v>110.61538275117361</v>
      </c>
      <c r="AG35" s="605"/>
      <c r="AH35" s="661"/>
      <c r="AI35" s="1440"/>
      <c r="AJ35" s="676">
        <v>22</v>
      </c>
      <c r="AK35" s="677">
        <v>-4.2957906317999998E-6</v>
      </c>
      <c r="AL35" s="677">
        <v>-2.1905336876999998E-6</v>
      </c>
      <c r="AM35" s="677">
        <v>2.3826723148E-5</v>
      </c>
      <c r="AN35" s="663"/>
      <c r="AO35" s="685"/>
      <c r="AP35" s="324" t="s">
        <v>164</v>
      </c>
      <c r="AQ35" s="689">
        <v>-2.8289499999999999E-2</v>
      </c>
      <c r="AR35" s="690">
        <v>1.0099416000000001</v>
      </c>
      <c r="AS35" s="691">
        <v>2.1007700000000001E-2</v>
      </c>
      <c r="AT35" s="663"/>
      <c r="AU35" s="663"/>
      <c r="AV35" s="663"/>
      <c r="AW35" s="663"/>
      <c r="AX35" s="663"/>
      <c r="AY35" s="664"/>
      <c r="AZ35" s="664"/>
      <c r="BA35" s="664"/>
      <c r="BB35" s="664"/>
      <c r="BC35" s="664"/>
      <c r="BD35" s="664"/>
      <c r="BE35" s="664"/>
      <c r="BF35" s="664"/>
      <c r="BG35" s="664"/>
      <c r="BH35" s="665"/>
      <c r="BI35" s="665"/>
    </row>
    <row r="36" spans="1:61" ht="15.75" thickBot="1">
      <c r="A36" s="92">
        <v>11</v>
      </c>
      <c r="B36" s="93" t="s">
        <v>119</v>
      </c>
      <c r="C36" s="1424"/>
      <c r="D36" s="382">
        <f t="shared" si="1"/>
        <v>158.74592602769013</v>
      </c>
      <c r="E36" s="370">
        <v>72.531999999999996</v>
      </c>
      <c r="F36" s="1215">
        <f xml:space="preserve"> E37 / 500 + F37</f>
        <v>0.71578889655172417</v>
      </c>
      <c r="G36" s="1215">
        <f>IF(F36^3&gt;0.008856,F36^3*$AQ$23, (F36- 16 / 116 ) / 7.787*$AQ$23)</f>
        <v>35.361526716483262</v>
      </c>
      <c r="H36" s="1216">
        <f>G36/SUM(G36:G38)</f>
        <v>0.39835246185045525</v>
      </c>
      <c r="I36" s="1342">
        <f t="array" ref="I36:I38">MMULT($AQ$34:$AS$36,G36:G38)</f>
        <v>33.331878806276151</v>
      </c>
      <c r="J36" s="1217">
        <f>I36/SUM(I36:I38)</f>
        <v>0.37515956001437456</v>
      </c>
      <c r="K36" s="1217">
        <f>I36/$AQ$27</f>
        <v>0.3506883837078093</v>
      </c>
      <c r="L36" s="1217">
        <f t="shared" si="44"/>
        <v>0.70519159402631204</v>
      </c>
      <c r="M36" s="1217">
        <f t="shared" ref="M36" si="78" xml:space="preserve"> 116 * L37  - 16</f>
        <v>72.285478736290671</v>
      </c>
      <c r="N36" s="1215">
        <f>I36/100*  3.2406 + I37/100 * -1.5372 + I38/100 * -0.4986</f>
        <v>0.34548345195153179</v>
      </c>
      <c r="O36" s="1218">
        <f t="shared" si="46"/>
        <v>158.74592602769013</v>
      </c>
      <c r="P36" s="4"/>
      <c r="Q36" s="1346">
        <v>1845.6</v>
      </c>
      <c r="R36" s="717">
        <f t="shared" si="60"/>
        <v>87.001885606536774</v>
      </c>
      <c r="S36" s="400">
        <f t="shared" si="48"/>
        <v>0.3411838651236736</v>
      </c>
      <c r="T36" s="400">
        <f t="shared" si="49"/>
        <v>9.5311736023216262</v>
      </c>
      <c r="U36" s="400">
        <f t="array" ref="U36:U38">MMULT($AQ$47:$AS$49,T36:T38)</f>
        <v>10.771551709618869</v>
      </c>
      <c r="V36" s="400">
        <f>U36/$AQ$27</f>
        <v>0.11332868696138615</v>
      </c>
      <c r="W36" s="400">
        <f t="shared" si="50"/>
        <v>0.48392711000980276</v>
      </c>
      <c r="X36" s="400">
        <f xml:space="preserve"> 116 * W37  - 16</f>
        <v>45.230203840156449</v>
      </c>
      <c r="Y36" s="400">
        <f t="shared" si="61"/>
        <v>38.311061595509948</v>
      </c>
      <c r="Z36" s="433">
        <f t="shared" si="52"/>
        <v>158.74592602769013</v>
      </c>
      <c r="AA36" s="606">
        <f t="array" ref="AA36:AA38">MMULT($AP$14:$AR$16,Q36:Q38)</f>
        <v>35.302471610725156</v>
      </c>
      <c r="AB36" s="606">
        <f>AA36/$AQ$27</f>
        <v>0.37142120856760508</v>
      </c>
      <c r="AC36" s="606">
        <f t="shared" si="53"/>
        <v>0.71882344402193832</v>
      </c>
      <c r="AD36" s="606">
        <f xml:space="preserve"> 116 * AC37  - 16</f>
        <v>73.891666990691874</v>
      </c>
      <c r="AE36" s="606">
        <f>AA36/100*  3.2406 + AA37/100 * -1.5372 + AA38/100 * -0.4986</f>
        <v>0.36436149011690799</v>
      </c>
      <c r="AF36" s="607">
        <f t="shared" si="54"/>
        <v>162.61857097294177</v>
      </c>
      <c r="AG36" s="608">
        <f>SQRT(( ( M36-AD36 ) ^ 2 ) + ( ( M37 - AD37 ) ^ 2 ) + ( (M38 - AD38 ) ^ 2 ))</f>
        <v>1.9535793662377821</v>
      </c>
      <c r="AH36" s="661"/>
      <c r="AI36" s="1440"/>
      <c r="AJ36" s="676">
        <v>23</v>
      </c>
      <c r="AK36" s="677">
        <v>-2.3069179567000001E-6</v>
      </c>
      <c r="AL36" s="677">
        <v>-2.9979922851000001E-6</v>
      </c>
      <c r="AM36" s="677">
        <v>1.3745117137E-5</v>
      </c>
      <c r="AN36" s="663"/>
      <c r="AO36" s="662"/>
      <c r="AP36" s="324" t="s">
        <v>165</v>
      </c>
      <c r="AQ36" s="692">
        <v>1.22982E-2</v>
      </c>
      <c r="AR36" s="693">
        <v>-2.0483000000000001E-2</v>
      </c>
      <c r="AS36" s="694">
        <v>1.3299098</v>
      </c>
      <c r="AT36" s="663"/>
      <c r="AU36" s="663"/>
      <c r="AV36" s="663"/>
      <c r="AW36" s="663"/>
      <c r="AX36" s="663"/>
      <c r="AY36" s="664"/>
      <c r="AZ36" s="664"/>
      <c r="BA36" s="664"/>
      <c r="BB36" s="664"/>
      <c r="BC36" s="664"/>
      <c r="BD36" s="664"/>
      <c r="BE36" s="664"/>
      <c r="BF36" s="664"/>
      <c r="BG36" s="664"/>
      <c r="BH36" s="665"/>
      <c r="BI36" s="665"/>
    </row>
    <row r="37" spans="1:61" ht="15.75" thickBot="1">
      <c r="A37" s="94"/>
      <c r="B37" s="95"/>
      <c r="C37" s="1424"/>
      <c r="D37" s="383">
        <f t="shared" si="1"/>
        <v>188.97701415884313</v>
      </c>
      <c r="E37" s="371">
        <v>-23.709</v>
      </c>
      <c r="F37" s="1219">
        <f xml:space="preserve"> (E36  + 16 ) / 116</f>
        <v>0.76320689655172413</v>
      </c>
      <c r="G37" s="1219">
        <f>IF(F37^3&gt;0.008856,F37^3*$AQ$24, (F37- 16 / 116 ) / 7.787*$AQ$24)</f>
        <v>44.455639126807164</v>
      </c>
      <c r="H37" s="1220">
        <f>G37/SUM(G36:G38)</f>
        <v>0.50079888889650959</v>
      </c>
      <c r="I37" s="1343">
        <v>44.085306181079623</v>
      </c>
      <c r="J37" s="1221">
        <f>I37/SUM(I36:I38)</f>
        <v>0.49619237385678483</v>
      </c>
      <c r="K37" s="1221">
        <f>I37/$AQ$28</f>
        <v>0.44085306181079625</v>
      </c>
      <c r="L37" s="1221">
        <f t="shared" si="44"/>
        <v>0.76108171324388507</v>
      </c>
      <c r="M37" s="1221">
        <f t="shared" ref="M37" si="79" xml:space="preserve"> 500 * (L36 - L37 )</f>
        <v>-27.945059608786515</v>
      </c>
      <c r="N37" s="1219">
        <f xml:space="preserve"> I36/100 * -0.9689 + I37/100*  1.8758 + I38/100 *  0.0415</f>
        <v>0.50874305841580747</v>
      </c>
      <c r="O37" s="1222">
        <f t="shared" si="46"/>
        <v>188.97701415884313</v>
      </c>
      <c r="P37" s="4"/>
      <c r="Q37" s="1347">
        <v>2455.1999999999998</v>
      </c>
      <c r="R37" s="717">
        <f t="shared" si="64"/>
        <v>115.73852922690132</v>
      </c>
      <c r="S37" s="400">
        <f t="shared" si="48"/>
        <v>0.45387658520353458</v>
      </c>
      <c r="T37" s="400">
        <f t="shared" si="49"/>
        <v>17.380570222882223</v>
      </c>
      <c r="U37" s="400">
        <v>14.706968019260261</v>
      </c>
      <c r="V37" s="400">
        <f>U37/$AQ$28</f>
        <v>0.14706968019260261</v>
      </c>
      <c r="W37" s="400">
        <f t="shared" si="50"/>
        <v>0.52784658482893487</v>
      </c>
      <c r="X37" s="400">
        <f xml:space="preserve"> 500 * (W36 - W37 )</f>
        <v>-21.959737409566056</v>
      </c>
      <c r="Y37" s="400"/>
      <c r="Z37" s="433">
        <f t="shared" si="52"/>
        <v>188.97701415884313</v>
      </c>
      <c r="AA37" s="606">
        <v>46.535494698779196</v>
      </c>
      <c r="AB37" s="606">
        <f>AA37/$AQ$28</f>
        <v>0.46535494698779195</v>
      </c>
      <c r="AC37" s="606">
        <f t="shared" si="53"/>
        <v>0.774928163712861</v>
      </c>
      <c r="AD37" s="606">
        <f xml:space="preserve"> 500 * (AC36 - AC37 )</f>
        <v>-28.052359845461339</v>
      </c>
      <c r="AE37" s="606">
        <f xml:space="preserve"> AA36/100 * -0.9689 + AA37/100*  1.8758 + AA38/100 *  0.0415</f>
        <v>0.53621961175477317</v>
      </c>
      <c r="AF37" s="607">
        <f t="shared" si="54"/>
        <v>193.47531603966181</v>
      </c>
      <c r="AG37" s="608"/>
      <c r="AH37" s="661"/>
      <c r="AI37" s="1441"/>
      <c r="AJ37" s="679">
        <v>24</v>
      </c>
      <c r="AK37" s="678">
        <v>-1.8940946755000001E-7</v>
      </c>
      <c r="AL37" s="678">
        <v>-2.8824733169000002E-6</v>
      </c>
      <c r="AM37" s="678">
        <v>7.1086258466E-6</v>
      </c>
      <c r="AN37" s="663"/>
      <c r="AO37" s="662"/>
      <c r="AP37" s="663"/>
      <c r="AQ37" s="663"/>
      <c r="AR37" s="663"/>
      <c r="AS37" s="663"/>
      <c r="AT37" s="663"/>
      <c r="AU37" s="663"/>
      <c r="AV37" s="663"/>
      <c r="AW37" s="663"/>
      <c r="AX37" s="663"/>
      <c r="AY37" s="664"/>
      <c r="AZ37" s="664"/>
      <c r="BA37" s="664"/>
      <c r="BB37" s="664"/>
      <c r="BC37" s="664"/>
      <c r="BD37" s="664"/>
      <c r="BE37" s="664"/>
      <c r="BF37" s="664"/>
      <c r="BG37" s="664"/>
      <c r="BH37" s="665"/>
      <c r="BI37" s="665"/>
    </row>
    <row r="38" spans="1:61" ht="15.75" thickBot="1">
      <c r="A38" s="96"/>
      <c r="B38" s="97"/>
      <c r="C38" s="1424"/>
      <c r="D38" s="384">
        <f t="shared" si="1"/>
        <v>62.832253035292226</v>
      </c>
      <c r="E38" s="372">
        <v>57.255000000000003</v>
      </c>
      <c r="F38" s="1223">
        <f>F37 - E38 / 200</f>
        <v>0.47693189655172413</v>
      </c>
      <c r="G38" s="1223">
        <f>IF(F38^3&gt;0.008856,F38^3*$AQ$25, (F38- 16 / 116 ) / 7.787*$AQ$25)</f>
        <v>8.9522785633523227</v>
      </c>
      <c r="H38" s="1224">
        <f>G37</f>
        <v>44.455639126807164</v>
      </c>
      <c r="I38" s="1344">
        <v>11.430021265362438</v>
      </c>
      <c r="J38" s="1225">
        <f>I37</f>
        <v>44.085306181079623</v>
      </c>
      <c r="K38" s="1225">
        <f>I38/$AQ$29</f>
        <v>0.10497526028271115</v>
      </c>
      <c r="L38" s="1225">
        <f t="shared" si="44"/>
        <v>0.47173234292589566</v>
      </c>
      <c r="M38" s="1225">
        <f t="shared" ref="M38" si="80" xml:space="preserve"> 200 * ( L37 - L38 )</f>
        <v>57.869874063597884</v>
      </c>
      <c r="N38" s="1223">
        <f xml:space="preserve"> I36/100 *  0.0557 + I37/100 * -0.204 + I38/100 *  1.057</f>
        <v>4.9447156660574337E-2</v>
      </c>
      <c r="O38" s="1226">
        <f t="shared" si="46"/>
        <v>62.832253035292226</v>
      </c>
      <c r="P38" s="4"/>
      <c r="Q38" s="1348">
        <v>1108.5999999999999</v>
      </c>
      <c r="R38" s="717">
        <f t="shared" si="66"/>
        <v>52.259585166561905</v>
      </c>
      <c r="S38" s="400">
        <f t="shared" si="48"/>
        <v>0.20493954967279179</v>
      </c>
      <c r="T38" s="400">
        <f t="shared" si="49"/>
        <v>3.4664725556267637</v>
      </c>
      <c r="U38" s="400">
        <v>5.5501027654652955</v>
      </c>
      <c r="V38" s="400">
        <f>U38/$AQ$29</f>
        <v>5.097308822741195E-2</v>
      </c>
      <c r="W38" s="400">
        <f t="shared" si="50"/>
        <v>0.37077773641809225</v>
      </c>
      <c r="X38" s="400">
        <f xml:space="preserve"> 200 * ( W37 - W38 )</f>
        <v>31.413769682168525</v>
      </c>
      <c r="Y38" s="400"/>
      <c r="Z38" s="433">
        <f t="shared" si="52"/>
        <v>62.832253035292226</v>
      </c>
      <c r="AA38" s="606">
        <v>12.897468991299171</v>
      </c>
      <c r="AB38" s="606">
        <f>AA38/$AQ$29</f>
        <v>0.11845254990493623</v>
      </c>
      <c r="AC38" s="606">
        <f t="shared" si="53"/>
        <v>0.49111304648545018</v>
      </c>
      <c r="AD38" s="606">
        <f xml:space="preserve"> 200 * ( AC37 - AC38 )</f>
        <v>56.763023445482162</v>
      </c>
      <c r="AE38" s="606">
        <f xml:space="preserve"> AA36/100 *  0.0557 + AA37/100 * -0.204 + AA38/100 *  1.057</f>
        <v>6.1057314739696611E-2</v>
      </c>
      <c r="AF38" s="607">
        <f t="shared" si="54"/>
        <v>69.892012681232444</v>
      </c>
      <c r="AG38" s="608"/>
      <c r="AH38" s="661"/>
      <c r="AI38" s="662"/>
      <c r="AJ38" s="663"/>
      <c r="AK38" s="663"/>
      <c r="AL38" s="663"/>
      <c r="AM38" s="663"/>
      <c r="AN38" s="663"/>
      <c r="AO38" s="695" t="s">
        <v>159</v>
      </c>
      <c r="AP38" s="681"/>
      <c r="AQ38" s="681"/>
      <c r="AR38" s="681"/>
      <c r="AS38" s="681"/>
      <c r="AT38" s="663"/>
      <c r="AU38" s="663"/>
      <c r="AV38" s="663"/>
      <c r="AW38" s="663"/>
      <c r="AX38" s="663"/>
      <c r="AY38" s="664"/>
      <c r="AZ38" s="664"/>
      <c r="BA38" s="664"/>
      <c r="BB38" s="664"/>
      <c r="BC38" s="664"/>
      <c r="BD38" s="664"/>
      <c r="BE38" s="664"/>
      <c r="BF38" s="664"/>
      <c r="BG38" s="664"/>
      <c r="BH38" s="665"/>
      <c r="BI38" s="665"/>
    </row>
    <row r="39" spans="1:61">
      <c r="A39" s="92">
        <v>12</v>
      </c>
      <c r="B39" s="93" t="s">
        <v>120</v>
      </c>
      <c r="C39" s="1403"/>
      <c r="D39" s="382">
        <f t="shared" si="1"/>
        <v>230.43061395257749</v>
      </c>
      <c r="E39" s="370">
        <v>71.941000000000003</v>
      </c>
      <c r="F39" s="1215">
        <f xml:space="preserve"> E40 / 500 + F40</f>
        <v>0.79683806896551734</v>
      </c>
      <c r="G39" s="1215">
        <f>IF(F39^3&gt;0.008856,F39^3*$AQ$23, (F39- 16 / 116 ) / 7.787*$AQ$23)</f>
        <v>48.785005521306303</v>
      </c>
      <c r="H39" s="1216">
        <f>G39/SUM(G39:G41)</f>
        <v>0.49568679631414136</v>
      </c>
      <c r="I39" s="1342">
        <f t="array" ref="I39:I41">MMULT($AQ$34:$AS$36,G39:G41)</f>
        <v>45.996902394099358</v>
      </c>
      <c r="J39" s="1217">
        <f>I39/SUM(I39:I41)</f>
        <v>0.47655804287629788</v>
      </c>
      <c r="K39" s="1217">
        <f>I39/$AQ$27</f>
        <v>0.48393849773374603</v>
      </c>
      <c r="L39" s="1217">
        <f t="shared" si="44"/>
        <v>0.78510918341971647</v>
      </c>
      <c r="M39" s="1217">
        <f t="shared" ref="M39" si="81" xml:space="preserve"> 116 * L40  - 16</f>
        <v>71.386119196075384</v>
      </c>
      <c r="N39" s="1215">
        <f>I39/100*  3.2406 + I40/100 * -1.5372 + I41/100 * -0.4986</f>
        <v>0.79465331720385057</v>
      </c>
      <c r="O39" s="1218">
        <f t="shared" si="46"/>
        <v>230.43061395257749</v>
      </c>
      <c r="P39" s="4"/>
      <c r="Q39" s="1346">
        <v>2903.6001000000001</v>
      </c>
      <c r="R39" s="718">
        <f t="shared" si="60"/>
        <v>133.37500669425719</v>
      </c>
      <c r="S39" s="401">
        <f t="shared" si="48"/>
        <v>0.52303924193826346</v>
      </c>
      <c r="T39" s="401">
        <f t="shared" si="49"/>
        <v>23.598895200333018</v>
      </c>
      <c r="U39" s="401">
        <f t="array" ref="U39:U41">MMULT($AQ$47:$AS$49,T39:T41)</f>
        <v>13.107429304086839</v>
      </c>
      <c r="V39" s="401">
        <f>U39/$AQ$27</f>
        <v>0.13790471350055067</v>
      </c>
      <c r="W39" s="401">
        <f t="shared" si="50"/>
        <v>0.51664595891175225</v>
      </c>
      <c r="X39" s="401">
        <f xml:space="preserve"> 116 * W40  - 16</f>
        <v>39.840463482284825</v>
      </c>
      <c r="Y39" s="401">
        <f t="shared" si="61"/>
        <v>47.016839905106949</v>
      </c>
      <c r="Z39" s="434">
        <f t="shared" si="52"/>
        <v>230.43061395257749</v>
      </c>
      <c r="AA39" s="609">
        <f t="array" ref="AA39:AA41">MMULT($AP$14:$AR$16,Q39:Q41)</f>
        <v>44.099132732383296</v>
      </c>
      <c r="AB39" s="609">
        <f>AA39/$AQ$27</f>
        <v>0.46397185321349749</v>
      </c>
      <c r="AC39" s="609">
        <f t="shared" si="53"/>
        <v>0.77415967367993832</v>
      </c>
      <c r="AD39" s="609">
        <f xml:space="preserve"> 116 * AC40  - 16</f>
        <v>69.999352299182164</v>
      </c>
      <c r="AE39" s="609">
        <f>AA39/100*  3.2406 + AA40/100 * -1.5372 + AA41/100 * -0.4986</f>
        <v>0.77008271396115691</v>
      </c>
      <c r="AF39" s="610">
        <f t="shared" si="54"/>
        <v>227.25234555917478</v>
      </c>
      <c r="AG39" s="611">
        <f>SQRT(( ( M39-AD39 ) ^ 2 ) + ( ( M40 - AD40 ) ^ 2 ) + ( (M41 - AD41 ) ^ 2 ))</f>
        <v>2.6836609739598933</v>
      </c>
      <c r="AH39" s="661"/>
      <c r="AI39" s="680" t="s">
        <v>139</v>
      </c>
      <c r="AJ39" s="681"/>
      <c r="AK39" s="681"/>
      <c r="AL39" s="681"/>
      <c r="AM39" s="681"/>
      <c r="AN39" s="663"/>
      <c r="AO39" s="662"/>
      <c r="AP39" s="663"/>
      <c r="AQ39" s="663"/>
      <c r="AR39" s="663"/>
      <c r="AS39" s="663"/>
      <c r="AT39" s="663"/>
      <c r="AU39" s="663"/>
      <c r="AV39" s="663"/>
      <c r="AW39" s="663"/>
      <c r="AX39" s="663"/>
      <c r="AY39" s="664"/>
      <c r="AZ39" s="664"/>
      <c r="BA39" s="664"/>
      <c r="BB39" s="664"/>
      <c r="BC39" s="664"/>
      <c r="BD39" s="664"/>
      <c r="BE39" s="664"/>
      <c r="BF39" s="664"/>
      <c r="BG39" s="664"/>
      <c r="BH39" s="665"/>
      <c r="BI39" s="665"/>
    </row>
    <row r="40" spans="1:61">
      <c r="A40" s="94"/>
      <c r="B40" s="95"/>
      <c r="C40" s="1403"/>
      <c r="D40" s="383">
        <f t="shared" si="1"/>
        <v>161.63210798319847</v>
      </c>
      <c r="E40" s="371">
        <v>19.363</v>
      </c>
      <c r="F40" s="1219">
        <f xml:space="preserve"> (E39  + 16 ) / 116</f>
        <v>0.75811206896551731</v>
      </c>
      <c r="G40" s="1219">
        <f>IF(F40^3&gt;0.008856,F40^3*$AQ$24, (F40- 16 / 116 ) / 7.787*$AQ$24)</f>
        <v>43.571271294091417</v>
      </c>
      <c r="H40" s="1220">
        <f>G40/SUM(G39:G41)</f>
        <v>0.44271192855907199</v>
      </c>
      <c r="I40" s="1343">
        <v>42.751700185521585</v>
      </c>
      <c r="J40" s="1221">
        <f>I40/SUM(I39:I41)</f>
        <v>0.44293562195744796</v>
      </c>
      <c r="K40" s="1221">
        <f>I40/$AQ$28</f>
        <v>0.42751700185521585</v>
      </c>
      <c r="L40" s="1221">
        <f t="shared" si="44"/>
        <v>0.75332861375927052</v>
      </c>
      <c r="M40" s="1221">
        <f t="shared" ref="M40" si="82" xml:space="preserve"> 500 * (L39 - L40 )</f>
        <v>15.890284830222978</v>
      </c>
      <c r="N40" s="1219">
        <f xml:space="preserve"> I39/100 * -0.9689 + I40/100*  1.8758 + I41/100 *  0.0415</f>
        <v>0.35949711679901047</v>
      </c>
      <c r="O40" s="1222">
        <f t="shared" si="46"/>
        <v>161.63210798319847</v>
      </c>
      <c r="P40" s="4"/>
      <c r="Q40" s="1347">
        <v>1777.8</v>
      </c>
      <c r="R40" s="718">
        <f t="shared" si="64"/>
        <v>81.662101782215274</v>
      </c>
      <c r="S40" s="401">
        <f t="shared" si="48"/>
        <v>0.32024353640084419</v>
      </c>
      <c r="T40" s="401">
        <f t="shared" si="49"/>
        <v>8.3665387223665615</v>
      </c>
      <c r="U40" s="401">
        <v>11.155089916311494</v>
      </c>
      <c r="V40" s="401">
        <f>U40/$AQ$28</f>
        <v>0.11155089916311495</v>
      </c>
      <c r="W40" s="401">
        <f t="shared" si="50"/>
        <v>0.48138330588176576</v>
      </c>
      <c r="X40" s="401">
        <f xml:space="preserve"> 500 * (W39 - W40 )</f>
        <v>17.631326514993244</v>
      </c>
      <c r="Y40" s="401"/>
      <c r="Z40" s="434">
        <f t="shared" si="52"/>
        <v>161.63210798319847</v>
      </c>
      <c r="AA40" s="609">
        <v>40.748495026093273</v>
      </c>
      <c r="AB40" s="609">
        <f>AA40/$AQ$28</f>
        <v>0.40748495026093273</v>
      </c>
      <c r="AC40" s="609">
        <f t="shared" si="53"/>
        <v>0.74137372671708768</v>
      </c>
      <c r="AD40" s="609">
        <f xml:space="preserve"> 500 * (AC39 - AC40 )</f>
        <v>16.392973481425322</v>
      </c>
      <c r="AE40" s="609">
        <f xml:space="preserve"> AA39/100 * -0.9689 + AA40/100*  1.8758 + AA41/100 *  0.0415</f>
        <v>0.33979782902657324</v>
      </c>
      <c r="AF40" s="610">
        <f t="shared" si="54"/>
        <v>157.5554845655553</v>
      </c>
      <c r="AG40" s="611"/>
      <c r="AH40" s="661"/>
      <c r="AI40" s="680" t="s">
        <v>283</v>
      </c>
      <c r="AJ40" s="681"/>
      <c r="AK40" s="681"/>
      <c r="AL40" s="681"/>
      <c r="AM40" s="681"/>
      <c r="AN40" s="663"/>
      <c r="AO40" s="662"/>
      <c r="AP40" s="663"/>
      <c r="AQ40" s="663"/>
      <c r="AR40" s="663"/>
      <c r="AS40" s="663"/>
      <c r="AT40" s="663"/>
      <c r="AU40" s="663"/>
      <c r="AV40" s="663"/>
      <c r="AW40" s="663"/>
      <c r="AX40" s="663"/>
      <c r="AY40" s="664"/>
      <c r="AZ40" s="664"/>
      <c r="BA40" s="664"/>
      <c r="BB40" s="664"/>
      <c r="BC40" s="664"/>
      <c r="BD40" s="664"/>
      <c r="BE40" s="664"/>
      <c r="BF40" s="664"/>
      <c r="BG40" s="664"/>
      <c r="BH40" s="665"/>
      <c r="BI40" s="665"/>
    </row>
    <row r="41" spans="1:61" ht="15.75" thickBot="1">
      <c r="A41" s="96"/>
      <c r="B41" s="97"/>
      <c r="C41" s="1404"/>
      <c r="D41" s="384">
        <f t="shared" si="1"/>
        <v>39.272644590202006</v>
      </c>
      <c r="E41" s="372">
        <v>67.856999999999999</v>
      </c>
      <c r="F41" s="1223">
        <f>F40 - E41 / 200</f>
        <v>0.4188270689655173</v>
      </c>
      <c r="G41" s="1223">
        <f>IF(F41^3&gt;0.008856,F41^3*$AQ$25, (F41- 16 / 116 ) / 7.787*$AQ$25)</f>
        <v>6.0627367311903075</v>
      </c>
      <c r="H41" s="1224">
        <f>G40</f>
        <v>43.571271294091417</v>
      </c>
      <c r="I41" s="1344">
        <v>7.770390398615211</v>
      </c>
      <c r="J41" s="1225">
        <f>I40</f>
        <v>42.751700185521585</v>
      </c>
      <c r="K41" s="1225">
        <f>I41/$AQ$29</f>
        <v>7.1364587663962337E-2</v>
      </c>
      <c r="L41" s="1225">
        <f t="shared" si="44"/>
        <v>0.41478934034612885</v>
      </c>
      <c r="M41" s="1225">
        <f t="shared" ref="M41" si="83" xml:space="preserve"> 200 * ( L40 - L41 )</f>
        <v>67.707854682628337</v>
      </c>
      <c r="N41" s="1223">
        <f xml:space="preserve"> I39/100 *  0.0557 + I40/100 * -0.204 + I41/100 *  1.057</f>
        <v>2.0539832768412099E-2</v>
      </c>
      <c r="O41" s="1226">
        <f t="shared" si="46"/>
        <v>39.272644590202006</v>
      </c>
      <c r="P41" s="4"/>
      <c r="Q41" s="1348">
        <v>870</v>
      </c>
      <c r="R41" s="719">
        <f t="shared" si="66"/>
        <v>39.962891523527553</v>
      </c>
      <c r="S41" s="401">
        <f t="shared" si="48"/>
        <v>0.15671722166089236</v>
      </c>
      <c r="T41" s="401">
        <f t="shared" si="49"/>
        <v>2.1184047603041911</v>
      </c>
      <c r="U41" s="401">
        <v>3.466611892486624</v>
      </c>
      <c r="V41" s="401">
        <f>U41/$AQ$29</f>
        <v>3.1837953514199865E-2</v>
      </c>
      <c r="W41" s="401">
        <f t="shared" si="50"/>
        <v>0.31694340165913426</v>
      </c>
      <c r="X41" s="401">
        <f xml:space="preserve"> 200 * ( W40 - W41 )</f>
        <v>32.887980844526297</v>
      </c>
      <c r="Y41" s="401"/>
      <c r="Z41" s="435">
        <f t="shared" si="52"/>
        <v>39.272644590202006</v>
      </c>
      <c r="AA41" s="612">
        <v>6.5398948703069735</v>
      </c>
      <c r="AB41" s="612">
        <f>AA41/$AQ$29</f>
        <v>6.0063507345563344E-2</v>
      </c>
      <c r="AC41" s="612">
        <f t="shared" si="53"/>
        <v>0.39162483921961094</v>
      </c>
      <c r="AD41" s="612">
        <f xml:space="preserve"> 200 * ( AC40 - AC41 )</f>
        <v>69.94977749949534</v>
      </c>
      <c r="AE41" s="612">
        <f xml:space="preserve"> AA39/100 *  0.0557 + AA40/100 * -0.204 + AA41/100 *  1.057</f>
        <v>1.0562975857851944E-2</v>
      </c>
      <c r="AF41" s="613">
        <f t="shared" si="54"/>
        <v>26.373966941504857</v>
      </c>
      <c r="AG41" s="611"/>
      <c r="AH41" s="661"/>
      <c r="AI41" s="662"/>
      <c r="AJ41" s="663"/>
      <c r="AK41" s="663"/>
      <c r="AL41" s="663"/>
      <c r="AM41" s="663"/>
      <c r="AN41" s="663"/>
      <c r="AO41" s="345" t="s">
        <v>48</v>
      </c>
      <c r="AT41" s="663"/>
      <c r="AU41" s="663"/>
      <c r="AV41" s="663"/>
      <c r="AW41" s="663"/>
      <c r="AX41" s="663"/>
      <c r="AY41" s="664"/>
      <c r="AZ41" s="664"/>
      <c r="BA41" s="664"/>
      <c r="BB41" s="664"/>
      <c r="BC41" s="664"/>
      <c r="BD41" s="664"/>
      <c r="BE41" s="664"/>
      <c r="BF41" s="664"/>
      <c r="BG41" s="664"/>
      <c r="BH41" s="665"/>
      <c r="BI41" s="665"/>
    </row>
    <row r="42" spans="1:61" ht="15.75" customHeight="1" thickBot="1">
      <c r="A42" s="1390" t="s">
        <v>121</v>
      </c>
      <c r="B42" s="1391"/>
      <c r="C42" s="1391"/>
      <c r="D42" s="1391"/>
      <c r="E42" s="1391"/>
      <c r="F42" s="373"/>
      <c r="G42" s="373"/>
      <c r="H42" s="373"/>
      <c r="I42" s="373"/>
      <c r="J42" s="377"/>
      <c r="K42" s="377"/>
      <c r="L42" s="377"/>
      <c r="M42" s="377"/>
      <c r="N42" s="367"/>
      <c r="O42" s="378"/>
      <c r="P42" s="4"/>
      <c r="Q42" s="658"/>
      <c r="R42" s="419"/>
      <c r="S42" s="330"/>
      <c r="T42" s="330"/>
      <c r="U42" s="330"/>
      <c r="V42" s="330"/>
      <c r="W42" s="330"/>
      <c r="X42" s="330"/>
      <c r="Y42" s="330"/>
      <c r="Z42" s="419"/>
      <c r="AA42" s="184"/>
      <c r="AB42" s="184"/>
      <c r="AC42" s="184"/>
      <c r="AD42" s="184"/>
      <c r="AE42" s="184"/>
      <c r="AF42" s="184"/>
      <c r="AG42" s="343"/>
      <c r="AH42" s="661"/>
      <c r="AI42" s="662"/>
      <c r="AJ42" s="663"/>
      <c r="AK42" s="663"/>
      <c r="AL42" s="663"/>
      <c r="AM42" s="663"/>
      <c r="AN42" s="663"/>
      <c r="AO42" s="76"/>
      <c r="AT42" s="663"/>
      <c r="AU42" s="663"/>
      <c r="AV42" s="663"/>
      <c r="AW42" s="663"/>
      <c r="AX42" s="663"/>
      <c r="AY42" s="664"/>
      <c r="AZ42" s="664"/>
      <c r="BA42" s="664"/>
      <c r="BB42" s="664"/>
      <c r="BC42" s="664"/>
      <c r="BD42" s="664"/>
      <c r="BE42" s="664"/>
      <c r="BF42" s="664"/>
      <c r="BG42" s="664"/>
      <c r="BH42" s="665"/>
      <c r="BI42" s="665"/>
    </row>
    <row r="43" spans="1:61" ht="15" customHeight="1">
      <c r="A43" s="92">
        <v>13</v>
      </c>
      <c r="B43" s="93" t="s">
        <v>122</v>
      </c>
      <c r="C43" s="1405"/>
      <c r="D43" s="382">
        <f t="shared" si="1"/>
        <v>35.342853388950573</v>
      </c>
      <c r="E43" s="370">
        <v>28.777999999999999</v>
      </c>
      <c r="F43" s="1215">
        <f xml:space="preserve"> E44 / 500 + F44</f>
        <v>0.41437524137931031</v>
      </c>
      <c r="G43" s="1215">
        <f>IF(F43^3&gt;0.008856,F43^3*$AQ$23, (F43- 16 / 116 ) / 7.787*$AQ$23)</f>
        <v>6.8605278494588378</v>
      </c>
      <c r="H43" s="1216">
        <f>G43/SUM(G43:G45)</f>
        <v>0.20182392493888132</v>
      </c>
      <c r="I43" s="1342">
        <f t="array" ref="I43:I45">MMULT($AQ$34:$AS$36,G43:G45)</f>
        <v>7.7736812148504111</v>
      </c>
      <c r="J43" s="1216">
        <f>I43/SUM(I43:I45)</f>
        <v>0.18404429682692211</v>
      </c>
      <c r="K43" s="1216">
        <f>I43/$AQ$27</f>
        <v>8.1787759896160966E-2</v>
      </c>
      <c r="L43" s="1216">
        <f t="shared" ref="L43:L60" si="84">IF(K43&gt;0.008856,K43^(1/3),7.787*K43+16/116)</f>
        <v>0.43407299821924528</v>
      </c>
      <c r="M43" s="1216">
        <f t="shared" ref="M43" si="85" xml:space="preserve"> 116 * L44  - 16</f>
        <v>29.574027478661378</v>
      </c>
      <c r="N43" s="1215">
        <f>I43/100*  3.2406 + I44/100 * -1.5372 + I45/100 * -0.4986</f>
        <v>1.7090857321881175E-2</v>
      </c>
      <c r="O43" s="1218">
        <f t="shared" ref="O43:O60" si="86">IF(N43&gt; 0.0031308,(1.055 * (N43^ ( 1 / 2.4 ) ) - 0.055)*255, 12.92 * N43*255)</f>
        <v>35.342853388950573</v>
      </c>
      <c r="P43" s="4"/>
      <c r="Q43" s="1346">
        <v>181</v>
      </c>
      <c r="R43" s="720">
        <f t="shared" ref="R43" si="87">Q43/SUM(Q43:Q45)*255</f>
        <v>26.636080332409971</v>
      </c>
      <c r="S43" s="402">
        <f t="shared" ref="S43:S60" si="88">R43/255</f>
        <v>0.10445521698984303</v>
      </c>
      <c r="T43" s="402">
        <f t="shared" ref="T43:T60" si="89">IF(S43&gt;0.04045,(((S43+0.055)/1.055 )^2.4)*100, S43/12.92*100)</f>
        <v>1.0728204805964288</v>
      </c>
      <c r="U43" s="402">
        <f t="array" ref="U43:U45">MMULT($AQ$47:$AS$49,T43:T45)</f>
        <v>8.7619675654232161</v>
      </c>
      <c r="V43" s="402">
        <f>U43/$AQ$27</f>
        <v>9.2185629903344835E-2</v>
      </c>
      <c r="W43" s="402">
        <f t="shared" ref="W43:W60" si="90">IF(V43&gt;0.008856,V43^(1/3),7.787*V43+16/116)</f>
        <v>0.45173916265975389</v>
      </c>
      <c r="X43" s="402">
        <f xml:space="preserve"> 116 * W44  - 16</f>
        <v>32.730213270746994</v>
      </c>
      <c r="Y43" s="402">
        <f t="shared" ref="Y43" si="91">SQRT(( ( M43-X43 ) ^ 2 ) + ( ( M44 - X44 ) ^ 2 ) + ( (M45 - X45 ) ^ 2 ))</f>
        <v>5.7304434572766709</v>
      </c>
      <c r="Z43" s="436">
        <f t="shared" ref="Z43:Z60" si="92">O43</f>
        <v>35.342853388950573</v>
      </c>
      <c r="AA43" s="614">
        <f t="array" ref="AA43:AA45">MMULT($AP$14:$AR$16,Q43:Q45)</f>
        <v>7.699164326627594</v>
      </c>
      <c r="AB43" s="614">
        <f>AA43/$AQ$27</f>
        <v>8.1003759472972253E-2</v>
      </c>
      <c r="AC43" s="614">
        <f t="shared" ref="AC43:AC60" si="93">IF(AB43&gt;0.008856,AB43^(1/3),7.787*AB43+16/116)</f>
        <v>0.43268156493715493</v>
      </c>
      <c r="AD43" s="614">
        <f xml:space="preserve"> 116 * AC44  - 16</f>
        <v>30.538591702936756</v>
      </c>
      <c r="AE43" s="614">
        <f>AA43/100*  3.2406 + AA44/100 * -1.5372 + AA45/100 * -0.4986</f>
        <v>1.5962347780720171E-2</v>
      </c>
      <c r="AF43" s="615">
        <f>IF(AE43&gt; 0.0031308,(1.055 * (AE43^ ( 1 / 2.4 ) ) - 0.055)*255, 12.92 * AE43*255)</f>
        <v>33.95750976940748</v>
      </c>
      <c r="AG43" s="616">
        <f>SQRT(( ( M43-AD43 ) ^ 2 ) + ( ( M44 - AD44 ) ^ 2 ) + ( (M45 - AD45 ) ^ 2 ))</f>
        <v>6.3050956024862481</v>
      </c>
      <c r="AH43" s="661"/>
      <c r="AN43" s="663"/>
      <c r="AO43" s="76" t="s">
        <v>174</v>
      </c>
      <c r="AQ43" s="333">
        <v>0.43607469999999998</v>
      </c>
      <c r="AR43" s="334">
        <v>0.38506489999999999</v>
      </c>
      <c r="AS43" s="335">
        <v>0.1430804</v>
      </c>
      <c r="AT43" s="663"/>
      <c r="AU43" s="663"/>
      <c r="AV43" s="663"/>
      <c r="AW43" s="663"/>
      <c r="AX43" s="663"/>
      <c r="AY43" s="664"/>
      <c r="AZ43" s="664"/>
      <c r="BA43" s="664"/>
      <c r="BB43" s="664"/>
      <c r="BC43" s="664"/>
      <c r="BD43" s="664"/>
      <c r="BE43" s="664"/>
      <c r="BF43" s="664"/>
      <c r="BG43" s="664"/>
      <c r="BH43" s="665"/>
      <c r="BI43" s="665"/>
    </row>
    <row r="44" spans="1:61">
      <c r="A44" s="94"/>
      <c r="B44" s="95"/>
      <c r="C44" s="1406"/>
      <c r="D44" s="383">
        <f t="shared" si="1"/>
        <v>63.330751517613386</v>
      </c>
      <c r="E44" s="371">
        <v>14.179</v>
      </c>
      <c r="F44" s="1219">
        <f xml:space="preserve"> (E43  + 16 ) / 116</f>
        <v>0.38601724137931032</v>
      </c>
      <c r="G44" s="1219">
        <f>IF(F44^3&gt;0.008856,F44^3*$AQ$24, (F44- 16 / 116 ) / 7.787*$AQ$24)</f>
        <v>5.7520163033893335</v>
      </c>
      <c r="H44" s="1220">
        <f>G44/SUM(G43:G45)</f>
        <v>0.16921358416379614</v>
      </c>
      <c r="I44" s="1343">
        <v>6.0642662674514325</v>
      </c>
      <c r="J44" s="1220">
        <f>I44/SUM(I43:I45)</f>
        <v>0.14357337149768873</v>
      </c>
      <c r="K44" s="1220">
        <f>I44/$AQ$28</f>
        <v>6.0642662674514326E-2</v>
      </c>
      <c r="L44" s="1220">
        <f t="shared" si="84"/>
        <v>0.39287954722983948</v>
      </c>
      <c r="M44" s="1220">
        <f t="shared" ref="M44" si="94" xml:space="preserve"> 500 * (L43 - L44 )</f>
        <v>20.596725494702898</v>
      </c>
      <c r="N44" s="1219">
        <f xml:space="preserve"> I43/100 * -0.9689 + I44/100*  1.8758 + I45/100 *  0.0415</f>
        <v>5.022037220039148E-2</v>
      </c>
      <c r="O44" s="1222">
        <f t="shared" si="86"/>
        <v>63.330751517613386</v>
      </c>
      <c r="P44" s="4"/>
      <c r="Q44" s="1347">
        <v>499</v>
      </c>
      <c r="R44" s="721">
        <f t="shared" ref="R44" si="95">Q44/SUM(Q43:Q45)*255</f>
        <v>73.43317174515235</v>
      </c>
      <c r="S44" s="403">
        <f t="shared" si="88"/>
        <v>0.28797322253000923</v>
      </c>
      <c r="T44" s="403">
        <f t="shared" si="89"/>
        <v>6.7424636002716767</v>
      </c>
      <c r="U44" s="403">
        <v>7.4134603413712625</v>
      </c>
      <c r="V44" s="403">
        <f>U44/$AQ$28</f>
        <v>7.4134603413712627E-2</v>
      </c>
      <c r="W44" s="403">
        <f t="shared" si="90"/>
        <v>0.42008804543747408</v>
      </c>
      <c r="X44" s="403">
        <f xml:space="preserve"> 500 * (W43 - W44 )</f>
        <v>15.825558611139906</v>
      </c>
      <c r="Y44" s="403"/>
      <c r="Z44" s="437">
        <f t="shared" si="92"/>
        <v>63.330751517613386</v>
      </c>
      <c r="AA44" s="617">
        <v>6.4575197544599749</v>
      </c>
      <c r="AB44" s="617">
        <f>AA44/$AQ$28</f>
        <v>6.4575197544599755E-2</v>
      </c>
      <c r="AC44" s="617">
        <f t="shared" si="93"/>
        <v>0.40119475605979965</v>
      </c>
      <c r="AD44" s="617">
        <f xml:space="preserve"> 500 * (AC43 - AC44 )</f>
        <v>15.743404438677638</v>
      </c>
      <c r="AE44" s="617">
        <f xml:space="preserve"> AA43/100 * -0.9689 + AA44/100*  1.8758 + AA45/100 *  0.0415</f>
        <v>5.7708802324232041E-2</v>
      </c>
      <c r="AF44" s="618">
        <f t="shared" ref="AF44:AF57" si="96">IF(AE44&gt; 0.0031308,(1.055 * (AE44^ ( 1 / 2.4 ) ) - 0.055)*255, 12.92 * AE44*255)</f>
        <v>67.942841525663823</v>
      </c>
      <c r="AG44" s="616"/>
      <c r="AH44" s="682"/>
      <c r="AN44" s="683"/>
      <c r="AO44" s="89" t="s">
        <v>172</v>
      </c>
      <c r="AP44" s="74"/>
      <c r="AQ44" s="336">
        <v>0.22250449999999999</v>
      </c>
      <c r="AR44" s="337">
        <v>0.71687860000000003</v>
      </c>
      <c r="AS44" s="338">
        <v>6.0616900000000001E-2</v>
      </c>
      <c r="AT44" s="683"/>
      <c r="AU44" s="683"/>
      <c r="AV44" s="683"/>
      <c r="AW44" s="683"/>
      <c r="AX44" s="683"/>
      <c r="AY44" s="664"/>
      <c r="AZ44" s="664"/>
      <c r="BA44" s="664"/>
      <c r="BB44" s="664"/>
      <c r="BC44" s="664"/>
      <c r="BD44" s="664"/>
      <c r="BE44" s="664"/>
      <c r="BF44" s="664"/>
      <c r="BG44" s="664"/>
      <c r="BH44" s="665"/>
      <c r="BI44" s="665"/>
    </row>
    <row r="45" spans="1:61" ht="15.75" customHeight="1" thickBot="1">
      <c r="A45" s="96"/>
      <c r="B45" s="97"/>
      <c r="C45" s="1406"/>
      <c r="D45" s="384">
        <f t="shared" si="1"/>
        <v>147.08684100238494</v>
      </c>
      <c r="E45" s="372">
        <v>-50.296999999999997</v>
      </c>
      <c r="F45" s="1223">
        <f>F44 - E45 / 200</f>
        <v>0.63750224137931033</v>
      </c>
      <c r="G45" s="1223">
        <f>IF(F45^3&gt;0.008856,F45^3*$AQ$25, (F45- 16 / 116 ) / 7.787*$AQ$25)</f>
        <v>21.380094983153285</v>
      </c>
      <c r="H45" s="1224">
        <f>G44</f>
        <v>5.7520163033893335</v>
      </c>
      <c r="I45" s="1344">
        <v>28.400151436682279</v>
      </c>
      <c r="J45" s="1224">
        <f>I44</f>
        <v>6.0642662674514325</v>
      </c>
      <c r="K45" s="1224">
        <f>I45/$AQ$29</f>
        <v>0.26083182348651562</v>
      </c>
      <c r="L45" s="1224">
        <f t="shared" si="84"/>
        <v>0.63893036131725889</v>
      </c>
      <c r="M45" s="1224">
        <f t="shared" ref="M45" si="97" xml:space="preserve"> 200 * ( L44 - L45 )</f>
        <v>-49.210162817483884</v>
      </c>
      <c r="N45" s="1223">
        <f xml:space="preserve"> I43/100 *  0.0557 + I44/100 * -0.204 + I45/100 *  1.057</f>
        <v>0.29214843793680245</v>
      </c>
      <c r="O45" s="1226">
        <f t="shared" si="86"/>
        <v>147.08684100238494</v>
      </c>
      <c r="P45" s="4"/>
      <c r="Q45" s="1348">
        <v>1052.8</v>
      </c>
      <c r="R45" s="721">
        <f t="shared" ref="R45" si="98">Q45/SUM(Q43:Q45)*255</f>
        <v>154.93074792243766</v>
      </c>
      <c r="S45" s="403">
        <f t="shared" si="88"/>
        <v>0.60757156048014771</v>
      </c>
      <c r="T45" s="403">
        <f t="shared" si="89"/>
        <v>32.745588104318877</v>
      </c>
      <c r="U45" s="403">
        <v>31.942656157778838</v>
      </c>
      <c r="V45" s="403">
        <f>U45/$AQ$29</f>
        <v>0.29336678965291957</v>
      </c>
      <c r="W45" s="403">
        <f t="shared" si="90"/>
        <v>0.66446225557588157</v>
      </c>
      <c r="X45" s="403">
        <f xml:space="preserve"> 200 * ( W44 - W45 )</f>
        <v>-48.874842027681495</v>
      </c>
      <c r="Y45" s="403"/>
      <c r="Z45" s="437">
        <f t="shared" si="92"/>
        <v>147.08684100238494</v>
      </c>
      <c r="AA45" s="617">
        <v>26.929758869317073</v>
      </c>
      <c r="AB45" s="617">
        <f>AA45/$AQ$29</f>
        <v>0.24732748793950454</v>
      </c>
      <c r="AC45" s="617">
        <f t="shared" si="93"/>
        <v>0.62770770873605042</v>
      </c>
      <c r="AD45" s="617">
        <f xml:space="preserve"> 200 * ( AC44 - AC45 )</f>
        <v>-45.302590535250154</v>
      </c>
      <c r="AE45" s="617">
        <f xml:space="preserve"> AA43/100 *  0.0557 + AA44/100 * -0.204 + AA45/100 *  1.057</f>
        <v>0.27576264547951462</v>
      </c>
      <c r="AF45" s="618">
        <f t="shared" si="96"/>
        <v>143.25822494435303</v>
      </c>
      <c r="AG45" s="616"/>
      <c r="AH45" s="682"/>
      <c r="AN45" s="683"/>
      <c r="AO45" s="80"/>
      <c r="AP45" s="74"/>
      <c r="AQ45" s="339">
        <v>1.39322E-2</v>
      </c>
      <c r="AR45" s="340">
        <v>9.7104499999999996E-2</v>
      </c>
      <c r="AS45" s="341">
        <v>0.71417330000000001</v>
      </c>
      <c r="AT45" s="683"/>
      <c r="AU45" s="683"/>
      <c r="AV45" s="683"/>
      <c r="AW45" s="683"/>
      <c r="AX45" s="683"/>
      <c r="AY45" s="664"/>
      <c r="AZ45" s="664"/>
      <c r="BA45" s="664"/>
      <c r="BB45" s="664"/>
      <c r="BC45" s="664"/>
      <c r="BD45" s="664"/>
      <c r="BE45" s="664"/>
      <c r="BF45" s="664"/>
      <c r="BG45" s="664"/>
      <c r="BH45" s="665"/>
      <c r="BI45" s="665"/>
    </row>
    <row r="46" spans="1:61" ht="15.75" thickBot="1">
      <c r="A46" s="92">
        <v>14</v>
      </c>
      <c r="B46" s="93" t="s">
        <v>123</v>
      </c>
      <c r="C46" s="1407"/>
      <c r="D46" s="382">
        <f t="shared" si="1"/>
        <v>66.910103142073083</v>
      </c>
      <c r="E46" s="370">
        <v>55.261000000000003</v>
      </c>
      <c r="F46" s="1215">
        <f xml:space="preserve"> E47 / 500 + F47</f>
        <v>0.53763496551724133</v>
      </c>
      <c r="G46" s="1215">
        <f>IF(F46^3&gt;0.008856,F46^3*$AQ$23, (F46- 16 / 116 ) / 7.787*$AQ$23)</f>
        <v>14.984375662794568</v>
      </c>
      <c r="H46" s="1216">
        <f>G46/SUM(G46:G48)</f>
        <v>0.32526343853311385</v>
      </c>
      <c r="I46" s="1342">
        <f t="array" ref="I46:I48">MMULT($AQ$34:$AS$36,G46:G48)</f>
        <v>14.283601798249475</v>
      </c>
      <c r="J46" s="1216">
        <f>I46/SUM(I46:I48)</f>
        <v>0.29972281293948838</v>
      </c>
      <c r="K46" s="1216">
        <f>I46/$AQ$27</f>
        <v>0.1502793544062356</v>
      </c>
      <c r="L46" s="1216">
        <f t="shared" si="84"/>
        <v>0.53165892265584302</v>
      </c>
      <c r="M46" s="1216">
        <f t="shared" ref="M46" si="99" xml:space="preserve"> 116 * L47  - 16</f>
        <v>55.23286542210424</v>
      </c>
      <c r="N46" s="1215">
        <f>I46/100*  3.2406 + I47/100 * -1.5372 + I48/100 * -0.4986</f>
        <v>5.5979147796490186E-2</v>
      </c>
      <c r="O46" s="1218">
        <f t="shared" si="86"/>
        <v>66.910103142073083</v>
      </c>
      <c r="P46" s="4"/>
      <c r="Q46" s="1346">
        <v>595.4</v>
      </c>
      <c r="R46" s="722">
        <f t="shared" ref="R46:R58" si="100">Q46/SUM(Q46:Q48)*255</f>
        <v>57.698183476476409</v>
      </c>
      <c r="S46" s="404">
        <f t="shared" si="88"/>
        <v>0.22626738618226042</v>
      </c>
      <c r="T46" s="404">
        <f t="shared" si="89"/>
        <v>4.1887129786596748</v>
      </c>
      <c r="U46" s="404">
        <f t="array" ref="U46:U48">MMULT($AQ$47:$AS$49,T46:T48)</f>
        <v>10.655379924606921</v>
      </c>
      <c r="V46" s="404">
        <f>U46/$AQ$27</f>
        <v>0.11210643076169602</v>
      </c>
      <c r="W46" s="404">
        <f t="shared" si="90"/>
        <v>0.4821810909702553</v>
      </c>
      <c r="X46" s="404">
        <f xml:space="preserve"> 116 * W47  - 16</f>
        <v>48.354503380091572</v>
      </c>
      <c r="Y46" s="404">
        <f t="shared" ref="Y46:Y58" si="101">SQRT(( ( M46-X46 ) ^ 2 ) + ( ( M47 - X47 ) ^ 2 ) + ( (M48 - X48 ) ^ 2 ))</f>
        <v>10.066846850045701</v>
      </c>
      <c r="Z46" s="438">
        <f t="shared" si="92"/>
        <v>66.910103142073083</v>
      </c>
      <c r="AA46" s="619">
        <f t="array" ref="AA46:AA48">MMULT($AP$14:$AR$16,Q46:Q48)</f>
        <v>14.757758270570529</v>
      </c>
      <c r="AB46" s="619">
        <f>AA46/$AQ$27</f>
        <v>0.15526800709723115</v>
      </c>
      <c r="AC46" s="619">
        <f t="shared" si="93"/>
        <v>0.53747795933098685</v>
      </c>
      <c r="AD46" s="619">
        <f xml:space="preserve"> 116 * AC47  - 16</f>
        <v>55.225792048610572</v>
      </c>
      <c r="AE46" s="619">
        <f>AA46/100*  3.2406 + AA47/100 * -1.5372 + AA48/100 * -0.4986</f>
        <v>6.7042190872442203E-2</v>
      </c>
      <c r="AF46" s="620">
        <f t="shared" si="96"/>
        <v>73.22612913665138</v>
      </c>
      <c r="AG46" s="621">
        <f>SQRT(( ( M46-AD46 ) ^ 2 ) + ( ( M47 - AD47 ) ^ 2 ) + ( (M48 - AD48 ) ^ 2 ))</f>
        <v>3.8995536719528641</v>
      </c>
      <c r="AH46" s="661"/>
      <c r="AN46" s="663"/>
      <c r="AO46" s="76"/>
      <c r="AT46" s="663"/>
      <c r="AU46" s="663"/>
      <c r="AV46" s="663"/>
      <c r="AW46" s="663"/>
      <c r="AX46" s="663"/>
      <c r="AY46" s="664"/>
      <c r="AZ46" s="664"/>
      <c r="BA46" s="664"/>
      <c r="BB46" s="664"/>
      <c r="BC46" s="664"/>
      <c r="BD46" s="664"/>
      <c r="BE46" s="664"/>
      <c r="BF46" s="664"/>
      <c r="BG46" s="664"/>
      <c r="BH46" s="665"/>
      <c r="BI46" s="665"/>
    </row>
    <row r="47" spans="1:61">
      <c r="A47" s="94"/>
      <c r="B47" s="95"/>
      <c r="C47" s="1407"/>
      <c r="D47" s="383">
        <f t="shared" si="1"/>
        <v>148.92451179357417</v>
      </c>
      <c r="E47" s="371">
        <v>-38.341999999999999</v>
      </c>
      <c r="F47" s="1219">
        <f xml:space="preserve"> (E46  + 16 ) / 116</f>
        <v>0.6143189655172413</v>
      </c>
      <c r="G47" s="1219">
        <f>IF(F47^3&gt;0.008856,F47^3*$AQ$24, (F47- 16 / 116 ) / 7.787*$AQ$24)</f>
        <v>23.183647760810512</v>
      </c>
      <c r="H47" s="1220">
        <f>G47/SUM(G46:G48)</f>
        <v>0.50324372253594474</v>
      </c>
      <c r="I47" s="1343">
        <v>23.156199170786447</v>
      </c>
      <c r="J47" s="1220">
        <f>I47/SUM(I46:I48)</f>
        <v>0.48590273311215859</v>
      </c>
      <c r="K47" s="1220">
        <f>I47/$AQ$28</f>
        <v>0.23156199170786448</v>
      </c>
      <c r="L47" s="1220">
        <f t="shared" si="84"/>
        <v>0.6140764260526228</v>
      </c>
      <c r="M47" s="1220">
        <f t="shared" ref="M47" si="102" xml:space="preserve"> 500 * (L46 - L47 )</f>
        <v>-41.208751698389889</v>
      </c>
      <c r="N47" s="1219">
        <f xml:space="preserve"> I46/100 * -0.9689 + I47/100*  1.8758 + I48/100 *  0.0415</f>
        <v>0.30020990463915304</v>
      </c>
      <c r="O47" s="1222">
        <f t="shared" si="86"/>
        <v>148.92451179357417</v>
      </c>
      <c r="P47" s="4"/>
      <c r="Q47" s="1347">
        <v>1333.8</v>
      </c>
      <c r="R47" s="722">
        <f t="shared" ref="R47:R59" si="103">Q47/SUM(Q46:Q48)*255</f>
        <v>129.25400927263055</v>
      </c>
      <c r="S47" s="405">
        <f t="shared" si="88"/>
        <v>0.50687846773580614</v>
      </c>
      <c r="T47" s="405">
        <f t="shared" si="89"/>
        <v>22.046306020217763</v>
      </c>
      <c r="U47" s="405">
        <v>17.075084517743043</v>
      </c>
      <c r="V47" s="405">
        <f>U47/$AQ$28</f>
        <v>0.17075084517743044</v>
      </c>
      <c r="W47" s="405">
        <f t="shared" si="90"/>
        <v>0.55478020155251351</v>
      </c>
      <c r="X47" s="405">
        <f xml:space="preserve"> 500 * (W46 - W47 )</f>
        <v>-36.299555291129103</v>
      </c>
      <c r="Y47" s="405"/>
      <c r="Z47" s="438">
        <f t="shared" si="92"/>
        <v>148.92451179357417</v>
      </c>
      <c r="AA47" s="619">
        <v>23.149301672818815</v>
      </c>
      <c r="AB47" s="619">
        <f>AA47/$AQ$28</f>
        <v>0.23149301672818814</v>
      </c>
      <c r="AC47" s="619">
        <f t="shared" si="93"/>
        <v>0.61401544869491875</v>
      </c>
      <c r="AD47" s="619">
        <f xml:space="preserve"> 500 * (AC46 - AC47 )</f>
        <v>-38.268744681965948</v>
      </c>
      <c r="AE47" s="619">
        <f xml:space="preserve"> AA46/100 * -0.9689 + AA47/100*  1.8758 + AA48/100 *  0.0415</f>
        <v>0.29585335221619125</v>
      </c>
      <c r="AF47" s="620">
        <f t="shared" si="96"/>
        <v>147.93502909119167</v>
      </c>
      <c r="AG47" s="621"/>
      <c r="AH47" s="682"/>
      <c r="AN47" s="683"/>
      <c r="AO47" s="76" t="s">
        <v>174</v>
      </c>
      <c r="AP47" s="74"/>
      <c r="AQ47" s="333">
        <v>0.4124564</v>
      </c>
      <c r="AR47" s="334">
        <v>0.35757610000000001</v>
      </c>
      <c r="AS47" s="335">
        <v>0.1804375</v>
      </c>
      <c r="AT47" s="683"/>
      <c r="AU47" s="683"/>
      <c r="AV47" s="683"/>
      <c r="AW47" s="683"/>
      <c r="AX47" s="683"/>
      <c r="AY47" s="664"/>
      <c r="AZ47" s="664"/>
      <c r="BA47" s="664"/>
      <c r="BB47" s="664"/>
      <c r="BC47" s="664"/>
      <c r="BD47" s="664"/>
      <c r="BE47" s="664"/>
      <c r="BF47" s="664"/>
      <c r="BG47" s="664"/>
      <c r="BH47" s="665"/>
      <c r="BI47" s="665"/>
    </row>
    <row r="48" spans="1:61" ht="15.75" thickBot="1">
      <c r="A48" s="96"/>
      <c r="B48" s="97"/>
      <c r="C48" s="1407"/>
      <c r="D48" s="384">
        <f t="shared" si="1"/>
        <v>74.120275922324538</v>
      </c>
      <c r="E48" s="372">
        <v>31.37</v>
      </c>
      <c r="F48" s="1223">
        <f>F47 - E48 / 200</f>
        <v>0.45746896551724126</v>
      </c>
      <c r="G48" s="1223">
        <f>IF(F48^3&gt;0.008856,F48^3*$AQ$25, (F48- 16 / 116 ) / 7.787*$AQ$25)</f>
        <v>7.9004056945635952</v>
      </c>
      <c r="H48" s="1224">
        <f>G47</f>
        <v>23.183647760810512</v>
      </c>
      <c r="I48" s="1344">
        <v>10.21623714886743</v>
      </c>
      <c r="J48" s="1224">
        <f>I47</f>
        <v>23.156199170786447</v>
      </c>
      <c r="K48" s="1224">
        <f>I48/$AQ$29</f>
        <v>9.382766041409063E-2</v>
      </c>
      <c r="L48" s="1224">
        <f t="shared" si="84"/>
        <v>0.45440555210953226</v>
      </c>
      <c r="M48" s="1224">
        <f t="shared" ref="M48" si="104" xml:space="preserve"> 200 * ( L47 - L48 )</f>
        <v>31.934174788618108</v>
      </c>
      <c r="N48" s="1223">
        <f xml:space="preserve"> I46/100 *  0.0557 + I47/100 * -0.204 + I48/100 *  1.057</f>
        <v>6.8702946556749328E-2</v>
      </c>
      <c r="O48" s="1226">
        <f t="shared" si="86"/>
        <v>74.120275922324538</v>
      </c>
      <c r="P48" s="4"/>
      <c r="Q48" s="1348">
        <v>702.2</v>
      </c>
      <c r="R48" s="722">
        <f t="shared" ref="R48:R60" si="105">Q48/SUM(Q46:Q48)*255</f>
        <v>68.047807250893072</v>
      </c>
      <c r="S48" s="405">
        <f t="shared" si="88"/>
        <v>0.26685414608193364</v>
      </c>
      <c r="T48" s="405">
        <f t="shared" si="89"/>
        <v>5.7886322005108921</v>
      </c>
      <c r="U48" s="405">
        <v>8.2096883785574271</v>
      </c>
      <c r="V48" s="405">
        <f>U48/$AQ$29</f>
        <v>7.5399175064587015E-2</v>
      </c>
      <c r="W48" s="405">
        <f t="shared" si="90"/>
        <v>0.42246318097426544</v>
      </c>
      <c r="X48" s="405">
        <f xml:space="preserve"> 200 * ( W47 - W48 )</f>
        <v>26.463404115649613</v>
      </c>
      <c r="Y48" s="405"/>
      <c r="Z48" s="438">
        <f t="shared" si="92"/>
        <v>74.120275922324538</v>
      </c>
      <c r="AA48" s="619">
        <v>11.100412821719937</v>
      </c>
      <c r="AB48" s="619">
        <f>AA48/$AQ$29</f>
        <v>0.10194808024870675</v>
      </c>
      <c r="AC48" s="619">
        <f t="shared" si="93"/>
        <v>0.46715358286253539</v>
      </c>
      <c r="AD48" s="619">
        <f xml:space="preserve"> 200 * ( AC47 - AC48 )</f>
        <v>29.372373166476674</v>
      </c>
      <c r="AE48" s="619">
        <f xml:space="preserve"> AA46/100 *  0.0557 + AA47/100 * -0.204 + AA48/100 *  1.057</f>
        <v>7.8326859469737137E-2</v>
      </c>
      <c r="AF48" s="620">
        <f t="shared" si="96"/>
        <v>79.069088521545595</v>
      </c>
      <c r="AG48" s="621"/>
      <c r="AH48" s="682"/>
      <c r="AN48" s="683"/>
      <c r="AO48" s="80" t="s">
        <v>173</v>
      </c>
      <c r="AQ48" s="336">
        <v>0.2126729</v>
      </c>
      <c r="AR48" s="337">
        <v>0.71515220000000002</v>
      </c>
      <c r="AS48" s="338">
        <v>7.2175000000000003E-2</v>
      </c>
      <c r="AT48" s="683"/>
      <c r="AU48" s="683"/>
      <c r="AV48" s="683"/>
      <c r="AW48" s="683"/>
      <c r="AX48" s="683"/>
      <c r="AY48" s="664"/>
      <c r="AZ48" s="664"/>
      <c r="BA48" s="664"/>
      <c r="BB48" s="664"/>
      <c r="BC48" s="664"/>
      <c r="BD48" s="664"/>
      <c r="BE48" s="664"/>
      <c r="BF48" s="664"/>
      <c r="BG48" s="664"/>
      <c r="BH48" s="665"/>
      <c r="BI48" s="665"/>
    </row>
    <row r="49" spans="1:64" ht="15.75" thickBot="1">
      <c r="A49" s="92">
        <v>15</v>
      </c>
      <c r="B49" s="93" t="s">
        <v>124</v>
      </c>
      <c r="C49" s="1408"/>
      <c r="D49" s="382">
        <f t="shared" si="1"/>
        <v>179.90529060715122</v>
      </c>
      <c r="E49" s="370">
        <v>42.100999999999999</v>
      </c>
      <c r="F49" s="1215">
        <f xml:space="preserve"> E50 / 500 + F50</f>
        <v>0.60762668965517241</v>
      </c>
      <c r="G49" s="1215">
        <f>IF(F49^3&gt;0.008856,F49^3*$AQ$23, (F49- 16 / 116 ) / 7.787*$AQ$23)</f>
        <v>21.631501234234467</v>
      </c>
      <c r="H49" s="1216">
        <f>G49/SUM(G49:G51)</f>
        <v>0.56858460191264737</v>
      </c>
      <c r="I49" s="1342">
        <f t="array" ref="I49:I51">MMULT($AQ$34:$AS$36,G49:G51)</f>
        <v>20.62408349598757</v>
      </c>
      <c r="J49" s="1216">
        <f>I49/SUM(I49:I51)</f>
        <v>0.54404393629571024</v>
      </c>
      <c r="K49" s="1216">
        <f>I49/$AQ$27</f>
        <v>0.21698826365890109</v>
      </c>
      <c r="L49" s="1216">
        <f t="shared" si="84"/>
        <v>0.6009136669251236</v>
      </c>
      <c r="M49" s="1216">
        <f t="shared" ref="M49" si="106" xml:space="preserve"> 116 * L50  - 16</f>
        <v>41.468062941473491</v>
      </c>
      <c r="N49" s="1215">
        <f>I49/100*  3.2406 + I50/100 * -1.5372 + I51/100 * -0.4986</f>
        <v>0.45587651504853977</v>
      </c>
      <c r="O49" s="1218">
        <f t="shared" si="86"/>
        <v>179.90529060715122</v>
      </c>
      <c r="P49" s="4"/>
      <c r="Q49" s="1346">
        <v>1565.4</v>
      </c>
      <c r="R49" s="723">
        <f t="shared" si="100"/>
        <v>167.49622356495468</v>
      </c>
      <c r="S49" s="406">
        <f t="shared" si="88"/>
        <v>0.65684793554884191</v>
      </c>
      <c r="T49" s="406">
        <f t="shared" si="89"/>
        <v>38.897657552291385</v>
      </c>
      <c r="U49" s="406">
        <f t="array" ref="U49:U51">MMULT($AQ$47:$AS$49,T49:T51)</f>
        <v>17.357279518572188</v>
      </c>
      <c r="V49" s="406">
        <f>U49/$AQ$27</f>
        <v>0.18261785767643574</v>
      </c>
      <c r="W49" s="406">
        <f t="shared" si="90"/>
        <v>0.56734567422369353</v>
      </c>
      <c r="X49" s="406">
        <f xml:space="preserve"> 116 * W50  - 16</f>
        <v>38.077536756021807</v>
      </c>
      <c r="Y49" s="406">
        <f t="shared" si="101"/>
        <v>4.6981535316399352</v>
      </c>
      <c r="Z49" s="439">
        <f t="shared" si="92"/>
        <v>179.90529060715122</v>
      </c>
      <c r="AA49" s="622">
        <f t="array" ref="AA49:AA51">MMULT($AP$14:$AR$16,Q49:Q51)</f>
        <v>21.323293837236836</v>
      </c>
      <c r="AB49" s="622">
        <f>AA49/$AQ$27</f>
        <v>0.22434473299774677</v>
      </c>
      <c r="AC49" s="622">
        <f t="shared" si="93"/>
        <v>0.60762918600244631</v>
      </c>
      <c r="AD49" s="622">
        <f xml:space="preserve"> 116 * AC50  - 16</f>
        <v>42.295645923856149</v>
      </c>
      <c r="AE49" s="622">
        <f>AA49/100*  3.2406 + AA50/100 * -1.5372 + AA51/100 * -0.4986</f>
        <v>0.46952051795167848</v>
      </c>
      <c r="AF49" s="623">
        <f t="shared" si="96"/>
        <v>182.30291145590002</v>
      </c>
      <c r="AG49" s="624">
        <f>SQRT(( ( M49-AD49 ) ^ 2 ) + ( ( M50 - AD50 ) ^ 2 ) + ( (M51 - AD51 ) ^ 2 ))</f>
        <v>1.0790888312823324</v>
      </c>
      <c r="AH49" s="661"/>
      <c r="AN49" s="663"/>
      <c r="AO49" s="76"/>
      <c r="AQ49" s="339">
        <v>1.9333900000000001E-2</v>
      </c>
      <c r="AR49" s="340">
        <v>0.11919200000000001</v>
      </c>
      <c r="AS49" s="341">
        <v>0.95030409999999998</v>
      </c>
      <c r="AT49" s="663"/>
      <c r="AU49" s="663"/>
      <c r="AV49" s="663"/>
      <c r="AW49" s="663"/>
      <c r="AX49" s="663"/>
      <c r="AY49" s="664"/>
      <c r="AZ49" s="664"/>
      <c r="BA49" s="664"/>
      <c r="BB49" s="664"/>
      <c r="BC49" s="664"/>
      <c r="BD49" s="664"/>
      <c r="BE49" s="664"/>
      <c r="BF49" s="664"/>
      <c r="BG49" s="664"/>
      <c r="BH49" s="665"/>
      <c r="BI49" s="665"/>
    </row>
    <row r="50" spans="1:64">
      <c r="A50" s="94"/>
      <c r="B50" s="95"/>
      <c r="C50" s="1408"/>
      <c r="D50" s="383">
        <f t="shared" si="1"/>
        <v>48.716578063950486</v>
      </c>
      <c r="E50" s="371">
        <v>53.378</v>
      </c>
      <c r="F50" s="1219">
        <f xml:space="preserve"> (E49  + 16 ) / 116</f>
        <v>0.50087068965517245</v>
      </c>
      <c r="G50" s="1219">
        <f>IF(F50^3&gt;0.008856,F50^3*$AQ$24, (F50- 16 / 116 ) / 7.787*$AQ$24)</f>
        <v>12.565415505216301</v>
      </c>
      <c r="H50" s="1220">
        <f>G50/SUM(G49:G51)</f>
        <v>0.33028229042159035</v>
      </c>
      <c r="I50" s="1343">
        <v>12.159219782354153</v>
      </c>
      <c r="J50" s="1220">
        <f>I50/SUM(I49:I51)</f>
        <v>0.32074878837469817</v>
      </c>
      <c r="K50" s="1220">
        <f>I50/$AQ$28</f>
        <v>0.12159219782354153</v>
      </c>
      <c r="L50" s="1220">
        <f t="shared" si="84"/>
        <v>0.49541433570235771</v>
      </c>
      <c r="M50" s="1220">
        <f t="shared" ref="M50" si="107" xml:space="preserve"> 500 * (L49 - L50 )</f>
        <v>52.749665611382945</v>
      </c>
      <c r="N50" s="1219">
        <f xml:space="preserve"> I49/100 * -0.9689 + I50/100*  1.8758 + I51/100 *  0.0415</f>
        <v>3.038300426051882E-2</v>
      </c>
      <c r="O50" s="1222">
        <f t="shared" si="86"/>
        <v>48.716578063950486</v>
      </c>
      <c r="P50" s="4"/>
      <c r="Q50" s="1347">
        <v>394</v>
      </c>
      <c r="R50" s="723">
        <f t="shared" si="103"/>
        <v>42.157603222557903</v>
      </c>
      <c r="S50" s="407">
        <f t="shared" si="88"/>
        <v>0.16532393420610941</v>
      </c>
      <c r="T50" s="407">
        <f t="shared" si="89"/>
        <v>2.3309991971943367</v>
      </c>
      <c r="U50" s="407">
        <v>10.131569684558631</v>
      </c>
      <c r="V50" s="407">
        <f>U50/$AQ$28</f>
        <v>0.10131569684558631</v>
      </c>
      <c r="W50" s="407">
        <f t="shared" si="90"/>
        <v>0.46618566168984316</v>
      </c>
      <c r="X50" s="407">
        <f xml:space="preserve"> 500 * (W49 - W50 )</f>
        <v>50.580006266925189</v>
      </c>
      <c r="Y50" s="407"/>
      <c r="Z50" s="439">
        <f t="shared" si="92"/>
        <v>48.716578063950486</v>
      </c>
      <c r="AA50" s="625">
        <v>12.692126396510353</v>
      </c>
      <c r="AB50" s="625">
        <f>AA50/$AQ$28</f>
        <v>0.12692126396510353</v>
      </c>
      <c r="AC50" s="625">
        <f t="shared" si="93"/>
        <v>0.50254867175738061</v>
      </c>
      <c r="AD50" s="625">
        <f xml:space="preserve"> 500 * (AC49 - AC50 )</f>
        <v>52.54025712253285</v>
      </c>
      <c r="AE50" s="625">
        <f xml:space="preserve"> AA49/100 * -0.9689 + AA50/100*  1.8758 + AA51/100 *  0.0415</f>
        <v>3.3673098936662108E-2</v>
      </c>
      <c r="AF50" s="623">
        <f t="shared" si="96"/>
        <v>51.462828914838497</v>
      </c>
      <c r="AG50" s="624"/>
      <c r="AH50" s="661"/>
      <c r="AN50" s="663"/>
      <c r="AO50" s="76"/>
      <c r="AT50" s="663"/>
      <c r="AU50" s="663"/>
      <c r="AV50" s="663"/>
      <c r="AW50" s="663"/>
      <c r="AX50" s="663"/>
      <c r="AY50" s="664"/>
      <c r="AZ50" s="664"/>
      <c r="BA50" s="664"/>
      <c r="BB50" s="664"/>
      <c r="BC50" s="664"/>
      <c r="BD50" s="664"/>
      <c r="BE50" s="664"/>
      <c r="BF50" s="664"/>
      <c r="BG50" s="664"/>
      <c r="BH50" s="665"/>
      <c r="BI50" s="665"/>
    </row>
    <row r="51" spans="1:64" ht="15.75" thickBot="1">
      <c r="A51" s="96"/>
      <c r="B51" s="97"/>
      <c r="C51" s="1408"/>
      <c r="D51" s="384">
        <f t="shared" si="1"/>
        <v>56.959990730530549</v>
      </c>
      <c r="E51" s="372">
        <v>28.19</v>
      </c>
      <c r="F51" s="1223">
        <f>F50 - E51 / 200</f>
        <v>0.35992068965517243</v>
      </c>
      <c r="G51" s="1223">
        <f>IF(F51^3&gt;0.008856,F51^3*$AQ$25, (F51- 16 / 116 ) / 7.787*$AQ$25)</f>
        <v>3.8475557303783536</v>
      </c>
      <c r="H51" s="1224">
        <f>G50</f>
        <v>12.565415505216301</v>
      </c>
      <c r="I51" s="1344">
        <v>5.1255531945618475</v>
      </c>
      <c r="J51" s="1224">
        <f>I50</f>
        <v>12.159219782354153</v>
      </c>
      <c r="K51" s="1224">
        <f>I51/$AQ$29</f>
        <v>4.7073952725052097E-2</v>
      </c>
      <c r="L51" s="1224">
        <f t="shared" si="84"/>
        <v>0.36107178721143929</v>
      </c>
      <c r="M51" s="1224">
        <f t="shared" ref="M51" si="108" xml:space="preserve"> 200 * ( L50 - L51 )</f>
        <v>26.868509698183686</v>
      </c>
      <c r="N51" s="1223">
        <f xml:space="preserve"> I49/100 *  0.0557 + I50/100 * -0.204 + I51/100 *  1.057</f>
        <v>4.0859903417781333E-2</v>
      </c>
      <c r="O51" s="1226">
        <f t="shared" si="86"/>
        <v>56.959990730530549</v>
      </c>
      <c r="P51" s="4"/>
      <c r="Q51" s="1348">
        <v>423.8</v>
      </c>
      <c r="R51" s="723">
        <f t="shared" si="105"/>
        <v>45.346173212487408</v>
      </c>
      <c r="S51" s="406">
        <f t="shared" si="88"/>
        <v>0.17782813024504865</v>
      </c>
      <c r="T51" s="406">
        <f t="shared" si="89"/>
        <v>2.6612101923679408</v>
      </c>
      <c r="U51" s="406">
        <v>3.5588388344312767</v>
      </c>
      <c r="V51" s="406">
        <f>U51/$AQ$29</f>
        <v>3.2684981442753017E-2</v>
      </c>
      <c r="W51" s="406">
        <f t="shared" si="90"/>
        <v>0.31972952875661947</v>
      </c>
      <c r="X51" s="406">
        <f xml:space="preserve"> 200 * ( W50 - W51 )</f>
        <v>29.291226586644736</v>
      </c>
      <c r="Y51" s="406"/>
      <c r="Z51" s="439">
        <f t="shared" si="92"/>
        <v>56.959990730530549</v>
      </c>
      <c r="AA51" s="625">
        <v>5.2905686262858742</v>
      </c>
      <c r="AB51" s="625">
        <f>AA51/$AQ$29</f>
        <v>4.8589482529741782E-2</v>
      </c>
      <c r="AC51" s="625">
        <f t="shared" si="93"/>
        <v>0.36490579298804149</v>
      </c>
      <c r="AD51" s="625">
        <f xml:space="preserve"> 200 * ( AC50 - AC51 )</f>
        <v>27.528575753867823</v>
      </c>
      <c r="AE51" s="625">
        <f xml:space="preserve"> AA49/100 *  0.0557 + AA50/100 * -0.204 + AA51/100 *  1.057</f>
        <v>4.1906447198301486E-2</v>
      </c>
      <c r="AF51" s="623">
        <f t="shared" si="96"/>
        <v>57.711963762844697</v>
      </c>
      <c r="AG51" s="624"/>
      <c r="AH51" s="661"/>
      <c r="AN51" s="663"/>
      <c r="AO51" s="89" t="s">
        <v>49</v>
      </c>
      <c r="AQ51" s="346">
        <v>1.0144664999999999</v>
      </c>
      <c r="AR51" s="331">
        <v>0</v>
      </c>
      <c r="AS51" s="331">
        <v>0</v>
      </c>
      <c r="AT51" s="663"/>
      <c r="AU51" s="663"/>
      <c r="AV51" s="663"/>
      <c r="AW51" s="663"/>
      <c r="AX51" s="663"/>
      <c r="AY51" s="664"/>
      <c r="AZ51" s="664"/>
      <c r="BA51" s="664"/>
      <c r="BB51" s="664"/>
      <c r="BC51" s="664"/>
      <c r="BD51" s="664"/>
      <c r="BE51" s="664"/>
      <c r="BF51" s="664"/>
      <c r="BG51" s="664"/>
      <c r="BH51" s="665"/>
      <c r="BI51" s="665"/>
    </row>
    <row r="52" spans="1:64">
      <c r="A52" s="92">
        <v>16</v>
      </c>
      <c r="B52" s="93" t="s">
        <v>125</v>
      </c>
      <c r="C52" s="1409"/>
      <c r="D52" s="382">
        <f t="shared" si="1"/>
        <v>238.29785697467756</v>
      </c>
      <c r="E52" s="370">
        <v>81.733000000000004</v>
      </c>
      <c r="F52" s="1215">
        <f xml:space="preserve"> E53 / 500 + F53</f>
        <v>0.85060386206896554</v>
      </c>
      <c r="G52" s="1215">
        <f>IF(F52^3&gt;0.008856,F52^3*$AQ$23, (F52- 16 / 116 ) / 7.787*$AQ$23)</f>
        <v>59.341454392690757</v>
      </c>
      <c r="H52" s="1216">
        <f>G52/SUM(G52:G54)</f>
        <v>0.46968411788557529</v>
      </c>
      <c r="I52" s="1342">
        <f t="array" ref="I52:I54">MMULT($AQ$34:$AS$36,G52:G54)</f>
        <v>55.781875161413609</v>
      </c>
      <c r="J52" s="1216">
        <f>I52/SUM(I52:I54)</f>
        <v>0.45083813847108956</v>
      </c>
      <c r="K52" s="1216">
        <f>I52/$AQ$27</f>
        <v>0.58688727851919165</v>
      </c>
      <c r="L52" s="1216">
        <f t="shared" si="84"/>
        <v>0.83724307724079261</v>
      </c>
      <c r="M52" s="1216">
        <f t="shared" ref="M52" si="109" xml:space="preserve"> 116 * L53  - 16</f>
        <v>81.222107529224289</v>
      </c>
      <c r="N52" s="1215">
        <f>I52/100*  3.2406 + I53/100 * -1.5372 + I54/100 * -0.4986</f>
        <v>0.85741975999435582</v>
      </c>
      <c r="O52" s="1218">
        <f t="shared" si="86"/>
        <v>238.29785697467756</v>
      </c>
      <c r="P52" s="4"/>
      <c r="Q52" s="1346">
        <v>3486</v>
      </c>
      <c r="R52" s="724">
        <f t="shared" si="100"/>
        <v>119.69864268016806</v>
      </c>
      <c r="S52" s="408">
        <f t="shared" si="88"/>
        <v>0.469406441883012</v>
      </c>
      <c r="T52" s="408">
        <f t="shared" si="89"/>
        <v>18.680880402775252</v>
      </c>
      <c r="U52" s="408">
        <f t="array" ref="U52:U54">MMULT($AQ$47:$AS$49,T52:T54)</f>
        <v>12.211405205353824</v>
      </c>
      <c r="V52" s="408">
        <f>U52/$AQ$27</f>
        <v>0.1284775448499566</v>
      </c>
      <c r="W52" s="408">
        <f t="shared" si="90"/>
        <v>0.50459438049604455</v>
      </c>
      <c r="X52" s="408">
        <f xml:space="preserve"> 116 * W53  - 16</f>
        <v>41.805471081064255</v>
      </c>
      <c r="Y52" s="408">
        <f t="shared" si="101"/>
        <v>60.422615916176625</v>
      </c>
      <c r="Z52" s="440">
        <f t="shared" si="92"/>
        <v>238.29785697467756</v>
      </c>
      <c r="AA52" s="589">
        <f t="array" ref="AA52:AA54">MMULT($AP$14:$AR$16,Q52:Q54)</f>
        <v>55.963063841979704</v>
      </c>
      <c r="AB52" s="589">
        <f>AA52/$AQ$27</f>
        <v>0.58879358466842413</v>
      </c>
      <c r="AC52" s="589">
        <f t="shared" si="93"/>
        <v>0.83814859847016066</v>
      </c>
      <c r="AD52" s="589">
        <f xml:space="preserve"> 116 * AC53  - 16</f>
        <v>81.464383043615058</v>
      </c>
      <c r="AE52" s="589">
        <f>AA52/100*  3.2406 + AA53/100 * -1.5372 + AA54/100 * -0.4986</f>
        <v>0.86301978641467869</v>
      </c>
      <c r="AF52" s="590">
        <f t="shared" si="96"/>
        <v>238.98321371289049</v>
      </c>
      <c r="AG52" s="591">
        <f>SQRT(( ( M52-AD52 ) ^ 2 ) + ( ( M53 - AD53 ) ^ 2 ) + ( (M54 - AD54 ) ^ 2 ))</f>
        <v>4.8695126997711942</v>
      </c>
      <c r="AH52" s="661"/>
      <c r="AJ52" s="347">
        <f>SUM(Q52:Q54)</f>
        <v>7426.4</v>
      </c>
      <c r="AK52" s="331">
        <f>Q52/$AJ$52</f>
        <v>0.469406441883012</v>
      </c>
      <c r="AL52" s="73">
        <f>AK52 *255</f>
        <v>119.69864268016806</v>
      </c>
      <c r="AN52" s="663"/>
      <c r="AO52" s="89" t="s">
        <v>172</v>
      </c>
      <c r="AQ52" s="346">
        <v>0</v>
      </c>
      <c r="AR52" s="331">
        <v>1</v>
      </c>
      <c r="AS52" s="331">
        <v>0</v>
      </c>
      <c r="AT52" s="663"/>
      <c r="AU52" s="663"/>
      <c r="AV52" s="663"/>
      <c r="AW52" s="663"/>
      <c r="AX52" s="663"/>
      <c r="AY52" s="664"/>
      <c r="AZ52" s="664"/>
      <c r="BA52" s="664"/>
      <c r="BB52" s="664"/>
      <c r="BC52" s="664"/>
      <c r="BD52" s="664"/>
      <c r="BE52" s="664"/>
      <c r="BF52" s="664"/>
      <c r="BG52" s="664"/>
      <c r="BH52" s="665"/>
      <c r="BI52" s="665"/>
    </row>
    <row r="53" spans="1:64">
      <c r="A53" s="94"/>
      <c r="B53" s="95"/>
      <c r="C53" s="1409"/>
      <c r="D53" s="383">
        <f t="shared" si="1"/>
        <v>198.45859080039978</v>
      </c>
      <c r="E53" s="371">
        <v>4.0389999999999997</v>
      </c>
      <c r="F53" s="1219">
        <f xml:space="preserve"> (E52  + 16 ) / 116</f>
        <v>0.84252586206896551</v>
      </c>
      <c r="G53" s="1219">
        <f>IF(F53^3&gt;0.008856,F53^3*$AQ$24, (F53- 16 / 116 ) / 7.787*$AQ$24)</f>
        <v>59.806683849009602</v>
      </c>
      <c r="H53" s="1220">
        <f>G53/SUM(G52:G54)</f>
        <v>0.47336638164270384</v>
      </c>
      <c r="I53" s="1343">
        <v>58.873672283415338</v>
      </c>
      <c r="J53" s="1220">
        <f>I53/SUM(I52:I54)</f>
        <v>0.47582654294799287</v>
      </c>
      <c r="K53" s="1220">
        <f>I53/$AQ$28</f>
        <v>0.58873672283415335</v>
      </c>
      <c r="L53" s="1220">
        <f t="shared" si="84"/>
        <v>0.83812161663124385</v>
      </c>
      <c r="M53" s="1220">
        <f t="shared" ref="M53" si="110" xml:space="preserve"> 500 * (L52 - L53 )</f>
        <v>-0.43926969522561921</v>
      </c>
      <c r="N53" s="1219">
        <f xml:space="preserve"> I52/100 * -0.9689 + I53/100*  1.8758 + I54/100 *  0.0415</f>
        <v>0.56764735240268382</v>
      </c>
      <c r="O53" s="1222">
        <f t="shared" si="86"/>
        <v>198.45859080039978</v>
      </c>
      <c r="P53" s="4"/>
      <c r="Q53" s="1347">
        <v>2777.2</v>
      </c>
      <c r="R53" s="724">
        <f t="shared" si="103"/>
        <v>95.360605407734568</v>
      </c>
      <c r="S53" s="408">
        <f t="shared" si="88"/>
        <v>0.37396315846170419</v>
      </c>
      <c r="T53" s="408">
        <f t="shared" si="89"/>
        <v>11.534587910797772</v>
      </c>
      <c r="U53" s="408">
        <v>12.374648356449564</v>
      </c>
      <c r="V53" s="408">
        <f>U53/$AQ$28</f>
        <v>0.12374648356449564</v>
      </c>
      <c r="W53" s="408">
        <f t="shared" si="90"/>
        <v>0.49832302656089877</v>
      </c>
      <c r="X53" s="408">
        <f xml:space="preserve"> 500 * (W52 - W53 )</f>
        <v>3.1356769675728868</v>
      </c>
      <c r="Y53" s="408"/>
      <c r="Z53" s="440">
        <f t="shared" si="92"/>
        <v>198.45859080039978</v>
      </c>
      <c r="AA53" s="589">
        <v>59.314905985788421</v>
      </c>
      <c r="AB53" s="589">
        <f>AA53/$AQ$28</f>
        <v>0.59314905985788424</v>
      </c>
      <c r="AC53" s="589">
        <f t="shared" si="93"/>
        <v>0.84021019865185398</v>
      </c>
      <c r="AD53" s="589">
        <f xml:space="preserve"> 500 * (AC52 - AC53 )</f>
        <v>-1.0308000908466619</v>
      </c>
      <c r="AE53" s="589">
        <f xml:space="preserve"> AA52/100 * -0.9689 + AA53/100*  1.8758 + AA54/100 *  0.0415</f>
        <v>0.57362654079183195</v>
      </c>
      <c r="AF53" s="590">
        <f t="shared" si="96"/>
        <v>199.3883037275948</v>
      </c>
      <c r="AG53" s="591"/>
      <c r="AH53" s="661"/>
      <c r="AK53" s="331">
        <f t="shared" ref="AK53:AK54" si="111">Q53/$AJ$52</f>
        <v>0.37396315846170419</v>
      </c>
      <c r="AL53" s="73">
        <f t="shared" ref="AL53:AL54" si="112">AK53 *255</f>
        <v>95.360605407734568</v>
      </c>
      <c r="AN53" s="663"/>
      <c r="AO53" s="76"/>
      <c r="AQ53" s="346">
        <v>0</v>
      </c>
      <c r="AR53" s="331">
        <v>0</v>
      </c>
      <c r="AS53" s="331">
        <v>0.75788690000000003</v>
      </c>
      <c r="AT53" s="663"/>
      <c r="AU53" s="663"/>
      <c r="AV53" s="663"/>
      <c r="AW53" s="663"/>
      <c r="AX53" s="663"/>
      <c r="AY53" s="664"/>
      <c r="AZ53" s="664"/>
      <c r="BA53" s="664"/>
      <c r="BB53" s="664"/>
      <c r="BC53" s="664"/>
      <c r="BD53" s="664"/>
      <c r="BE53" s="664"/>
      <c r="BF53" s="664"/>
      <c r="BG53" s="664"/>
      <c r="BH53" s="665"/>
      <c r="BI53" s="665"/>
    </row>
    <row r="54" spans="1:64" ht="15.75" thickBot="1">
      <c r="A54" s="96"/>
      <c r="B54" s="97"/>
      <c r="C54" s="1409"/>
      <c r="D54" s="384">
        <f t="shared" si="1"/>
        <v>19.759840938184311</v>
      </c>
      <c r="E54" s="372">
        <v>79.819000000000003</v>
      </c>
      <c r="F54" s="1223">
        <f>F53 - E54 / 200</f>
        <v>0.44343086206896548</v>
      </c>
      <c r="G54" s="1223">
        <f>IF(F54^3&gt;0.008856,F54^3*$AQ$25, (F54- 16 / 116 ) / 7.787*$AQ$25)</f>
        <v>7.1951893969564678</v>
      </c>
      <c r="H54" s="1224">
        <f>G53</f>
        <v>59.806683849009602</v>
      </c>
      <c r="I54" s="1344">
        <v>9.0737256610014221</v>
      </c>
      <c r="J54" s="1224">
        <f>I53</f>
        <v>58.873672283415338</v>
      </c>
      <c r="K54" s="1224">
        <f>I54/$AQ$29</f>
        <v>8.3334640494856158E-2</v>
      </c>
      <c r="L54" s="1224">
        <f t="shared" si="84"/>
        <v>0.43679251617774939</v>
      </c>
      <c r="M54" s="1224">
        <f t="shared" ref="M54" si="113" xml:space="preserve"> 200 * ( L53 - L54 )</f>
        <v>80.265820090698895</v>
      </c>
      <c r="N54" s="1223">
        <f xml:space="preserve"> I52/100 *  0.0557 + I53/100 * -0.204 + I54/100 *  1.057</f>
        <v>6.8774932435251152E-3</v>
      </c>
      <c r="O54" s="1226">
        <f t="shared" si="86"/>
        <v>19.759840938184311</v>
      </c>
      <c r="P54" s="4"/>
      <c r="Q54" s="1348">
        <v>1163.2</v>
      </c>
      <c r="R54" s="724">
        <f t="shared" si="105"/>
        <v>39.940751912097383</v>
      </c>
      <c r="S54" s="408">
        <f t="shared" si="88"/>
        <v>0.15663039965528386</v>
      </c>
      <c r="T54" s="408">
        <f t="shared" si="89"/>
        <v>2.1163204175649688</v>
      </c>
      <c r="U54" s="408">
        <v>3.7471528456087264</v>
      </c>
      <c r="V54" s="408">
        <f>U54/$AQ$29</f>
        <v>3.4414489365729516E-2</v>
      </c>
      <c r="W54" s="408">
        <f t="shared" si="90"/>
        <v>0.32527232202046091</v>
      </c>
      <c r="X54" s="408">
        <f xml:space="preserve"> 200 * ( W53 - W54 )</f>
        <v>34.610140908087573</v>
      </c>
      <c r="Y54" s="408"/>
      <c r="Z54" s="440">
        <f t="shared" si="92"/>
        <v>19.759840938184311</v>
      </c>
      <c r="AA54" s="589">
        <v>7.7678551213349252</v>
      </c>
      <c r="AB54" s="589">
        <f>AA54/$AQ$29</f>
        <v>7.1341303246006502E-2</v>
      </c>
      <c r="AC54" s="589">
        <f t="shared" si="93"/>
        <v>0.41474422376347458</v>
      </c>
      <c r="AD54" s="589">
        <f xml:space="preserve"> 200 * ( AC53 - AC54 )</f>
        <v>85.093194977675878</v>
      </c>
      <c r="AE54" s="589">
        <f xml:space="preserve"> AA52/100 *  0.0557 + AA53/100 * -0.204 + AA54/100 *  1.057</f>
        <v>-7.7247530185155372E-3</v>
      </c>
      <c r="AF54" s="590">
        <f t="shared" si="96"/>
        <v>-25.449971294801291</v>
      </c>
      <c r="AG54" s="591"/>
      <c r="AH54" s="661"/>
      <c r="AK54" s="331">
        <f t="shared" si="111"/>
        <v>0.15663039965528386</v>
      </c>
      <c r="AL54" s="73">
        <f t="shared" si="112"/>
        <v>39.940751912097383</v>
      </c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4"/>
      <c r="AZ54" s="664"/>
      <c r="BA54" s="664"/>
      <c r="BB54" s="664"/>
      <c r="BC54" s="664"/>
      <c r="BD54" s="664"/>
      <c r="BE54" s="664"/>
      <c r="BF54" s="664"/>
      <c r="BG54" s="664"/>
      <c r="BH54" s="665"/>
      <c r="BI54" s="665"/>
    </row>
    <row r="55" spans="1:64">
      <c r="A55" s="92">
        <v>17</v>
      </c>
      <c r="B55" s="93" t="s">
        <v>126</v>
      </c>
      <c r="C55" s="1410"/>
      <c r="D55" s="382">
        <f t="shared" si="1"/>
        <v>193.03598609620454</v>
      </c>
      <c r="E55" s="370">
        <v>51.935000000000002</v>
      </c>
      <c r="F55" s="1215">
        <f xml:space="preserve"> E56 / 500 + F56</f>
        <v>0.68561855172413788</v>
      </c>
      <c r="G55" s="1215">
        <f>IF(F55^3&gt;0.008856,F55^3*$AQ$23, (F55- 16 / 116 ) / 7.787*$AQ$23)</f>
        <v>31.075907250316828</v>
      </c>
      <c r="H55" s="1216">
        <f>G55/SUM(G55:G57)</f>
        <v>0.41585711526606517</v>
      </c>
      <c r="I55" s="1342">
        <f t="array" ref="I55:I57">MMULT($AQ$34:$AS$36,G55:G57)</f>
        <v>30.721068603919768</v>
      </c>
      <c r="J55" s="1216">
        <f>I55/SUM(I55:I57)</f>
        <v>0.37495281391466306</v>
      </c>
      <c r="K55" s="1216">
        <f>I55/$AQ$27</f>
        <v>0.32321976079118508</v>
      </c>
      <c r="L55" s="1216">
        <f t="shared" si="84"/>
        <v>0.68627677464218007</v>
      </c>
      <c r="M55" s="1216">
        <f t="shared" ref="M55" si="114" xml:space="preserve"> 116 * L56  - 16</f>
        <v>51.726490324936563</v>
      </c>
      <c r="N55" s="1215">
        <f>I55/100*  3.2406 + I56/100 * -1.5372 + I57/100 * -0.4986</f>
        <v>0.53349890318021687</v>
      </c>
      <c r="O55" s="1218">
        <f t="shared" si="86"/>
        <v>193.03598609620454</v>
      </c>
      <c r="P55" s="4"/>
      <c r="Q55" s="1346">
        <v>1897</v>
      </c>
      <c r="R55" s="725">
        <f t="shared" si="100"/>
        <v>115.70393226176807</v>
      </c>
      <c r="S55" s="409">
        <f t="shared" si="88"/>
        <v>0.45374091083046303</v>
      </c>
      <c r="T55" s="409">
        <f t="shared" si="89"/>
        <v>17.369450868795859</v>
      </c>
      <c r="U55" s="409">
        <f t="array" ref="U55:U57">MMULT($AQ$47:$AS$49,T55:T57)</f>
        <v>10.127766651023702</v>
      </c>
      <c r="V55" s="409">
        <f>U55/$AQ$27</f>
        <v>0.10655535315184805</v>
      </c>
      <c r="W55" s="409">
        <f t="shared" si="90"/>
        <v>0.47408741222297146</v>
      </c>
      <c r="X55" s="409">
        <f xml:space="preserve"> 116 * W56  - 16</f>
        <v>31.599759266113729</v>
      </c>
      <c r="Y55" s="409">
        <f t="shared" si="101"/>
        <v>29.045624682969972</v>
      </c>
      <c r="Z55" s="441">
        <f t="shared" si="92"/>
        <v>193.03598609620454</v>
      </c>
      <c r="AA55" s="626">
        <f t="array" ref="AA55:AA57">MMULT($AP$14:$AR$16,Q55:Q57)</f>
        <v>30.474546160782623</v>
      </c>
      <c r="AB55" s="626">
        <f>AA55/$AQ$27</f>
        <v>0.32062607089947737</v>
      </c>
      <c r="AC55" s="626">
        <f t="shared" si="93"/>
        <v>0.68443615732045937</v>
      </c>
      <c r="AD55" s="626">
        <f xml:space="preserve"> 116 * AC56  - 16</f>
        <v>51.348719534440846</v>
      </c>
      <c r="AE55" s="626">
        <f>AA55/100*  3.2406 + AA56/100 * -1.5372 + AA57/100 * -0.4986</f>
        <v>0.53623933066171292</v>
      </c>
      <c r="AF55" s="627">
        <f t="shared" si="96"/>
        <v>193.47849542382244</v>
      </c>
      <c r="AG55" s="628">
        <f>SQRT(( ( M55-AD55 ) ^ 2 ) + ( ( M56 - AD56 ) ^ 2 ) + ( (M57 - AD57 ) ^ 2 ))</f>
        <v>1.2492912628574091</v>
      </c>
      <c r="AH55" s="661"/>
      <c r="AK55" s="73">
        <f>SUM(AK52:AK54)</f>
        <v>1</v>
      </c>
      <c r="AL55" s="73">
        <f>SUM(AL52:AL54)</f>
        <v>255</v>
      </c>
      <c r="AN55" s="663"/>
      <c r="AO55" s="663"/>
      <c r="AP55" s="663"/>
      <c r="AQ55" s="663"/>
      <c r="AR55" s="663"/>
      <c r="AS55" s="663"/>
      <c r="AT55" s="663"/>
      <c r="AU55" s="663"/>
      <c r="AV55" s="663"/>
      <c r="AW55" s="663"/>
      <c r="AX55" s="663"/>
      <c r="AY55" s="664"/>
      <c r="AZ55" s="664"/>
      <c r="BA55" s="664"/>
      <c r="BB55" s="664"/>
      <c r="BC55" s="664"/>
      <c r="BD55" s="664"/>
      <c r="BE55" s="664"/>
      <c r="BF55" s="664"/>
      <c r="BG55" s="664"/>
      <c r="BH55" s="665"/>
      <c r="BI55" s="665"/>
    </row>
    <row r="56" spans="1:64">
      <c r="A56" s="94"/>
      <c r="B56" s="95"/>
      <c r="C56" s="1410"/>
      <c r="D56" s="383">
        <f t="shared" si="1"/>
        <v>84.003503526946432</v>
      </c>
      <c r="E56" s="371">
        <v>49.985999999999997</v>
      </c>
      <c r="F56" s="1219">
        <f xml:space="preserve"> (E55  + 16 ) / 116</f>
        <v>0.58564655172413793</v>
      </c>
      <c r="G56" s="1219">
        <f>IF(F56^3&gt;0.008856,F56^3*$AQ$24, (F56- 16 / 116 ) / 7.787*$AQ$24)</f>
        <v>20.08661574027834</v>
      </c>
      <c r="H56" s="1220">
        <f>G56/SUM(G55:G57)</f>
        <v>0.26879865517441731</v>
      </c>
      <c r="I56" s="1343">
        <v>19.902230133562615</v>
      </c>
      <c r="J56" s="1220">
        <f>I56/SUM(I55:I57)</f>
        <v>0.24290812562439182</v>
      </c>
      <c r="K56" s="1220">
        <f>I56/$AQ$28</f>
        <v>0.19902230133562615</v>
      </c>
      <c r="L56" s="1220">
        <f t="shared" si="84"/>
        <v>0.58384905452531521</v>
      </c>
      <c r="M56" s="1220">
        <f t="shared" ref="M56" si="115" xml:space="preserve"> 500 * (L55 - L56 )</f>
        <v>51.213860058432424</v>
      </c>
      <c r="N56" s="1219">
        <f xml:space="preserve"> I55/100 * -0.9689 + I56/100*  1.8758 + I57/100 *  0.0415</f>
        <v>8.8663191243852579E-2</v>
      </c>
      <c r="O56" s="1222">
        <f t="shared" si="86"/>
        <v>84.003503526946432</v>
      </c>
      <c r="P56" s="4"/>
      <c r="Q56" s="1347">
        <v>867.4</v>
      </c>
      <c r="R56" s="725">
        <f t="shared" si="103"/>
        <v>52.905424799081516</v>
      </c>
      <c r="S56" s="409">
        <f t="shared" si="88"/>
        <v>0.20747225411404516</v>
      </c>
      <c r="T56" s="409">
        <f t="shared" si="89"/>
        <v>3.5480869914740483</v>
      </c>
      <c r="U56" s="409">
        <v>6.9093994521508897</v>
      </c>
      <c r="V56" s="409">
        <f>U56/$AQ$28</f>
        <v>6.9093994521508897E-2</v>
      </c>
      <c r="W56" s="409">
        <f t="shared" si="90"/>
        <v>0.41034275229408385</v>
      </c>
      <c r="X56" s="409">
        <f xml:space="preserve"> 500 * (W55 - W56 )</f>
        <v>31.872329964443807</v>
      </c>
      <c r="Y56" s="409"/>
      <c r="Z56" s="441">
        <f t="shared" si="92"/>
        <v>84.003503526946432</v>
      </c>
      <c r="AA56" s="626">
        <v>19.571047080940499</v>
      </c>
      <c r="AB56" s="626">
        <f>AA56/$AQ$28</f>
        <v>0.19571047080940498</v>
      </c>
      <c r="AC56" s="626">
        <f t="shared" si="93"/>
        <v>0.58059240977966242</v>
      </c>
      <c r="AD56" s="626">
        <f xml:space="preserve"> 500 * (AC55 - AC56 )</f>
        <v>51.921873770398477</v>
      </c>
      <c r="AE56" s="626">
        <f xml:space="preserve"> AA55/100 * -0.9689 + AA56/100*  1.8758 + AA57/100 *  0.0415</f>
        <v>8.4370123582190773E-2</v>
      </c>
      <c r="AF56" s="627">
        <f t="shared" si="96"/>
        <v>81.997113084169243</v>
      </c>
      <c r="AG56" s="628"/>
      <c r="AH56" s="661"/>
      <c r="AN56" s="663"/>
      <c r="AO56" s="663"/>
      <c r="AP56" s="663"/>
      <c r="AQ56" s="663"/>
      <c r="AR56" s="663"/>
      <c r="AS56" s="663"/>
      <c r="AT56" s="663"/>
      <c r="AU56" s="663"/>
      <c r="AV56" s="663"/>
      <c r="AW56" s="663"/>
      <c r="AX56" s="663"/>
      <c r="AY56" s="664"/>
      <c r="AZ56" s="664"/>
      <c r="BA56" s="664"/>
      <c r="BB56" s="664"/>
      <c r="BC56" s="664"/>
      <c r="BD56" s="664"/>
      <c r="BE56" s="664"/>
      <c r="BF56" s="664"/>
      <c r="BG56" s="664"/>
      <c r="BH56" s="665"/>
      <c r="BI56" s="665"/>
    </row>
    <row r="57" spans="1:64" ht="15.75" thickBot="1">
      <c r="A57" s="96"/>
      <c r="B57" s="97"/>
      <c r="C57" s="1410"/>
      <c r="D57" s="384">
        <f t="shared" si="1"/>
        <v>150.55196979242695</v>
      </c>
      <c r="E57" s="372">
        <v>-14.574</v>
      </c>
      <c r="F57" s="1223">
        <f>F56 - E57 / 200</f>
        <v>0.65851655172413792</v>
      </c>
      <c r="G57" s="1223">
        <f>IF(F57^3&gt;0.008856,F57^3*$AQ$25, (F57- 16 / 116 ) / 7.787*$AQ$25)</f>
        <v>23.564843957147154</v>
      </c>
      <c r="H57" s="1224">
        <f>G56</f>
        <v>20.08661574027834</v>
      </c>
      <c r="I57" s="1344">
        <v>31.309860486418504</v>
      </c>
      <c r="J57" s="1224">
        <f>I56</f>
        <v>19.902230133562615</v>
      </c>
      <c r="K57" s="1224">
        <f>I57/$AQ$29</f>
        <v>0.28755508652791073</v>
      </c>
      <c r="L57" s="1224">
        <f t="shared" si="84"/>
        <v>0.66004521157065177</v>
      </c>
      <c r="M57" s="1224">
        <f t="shared" ref="M57" si="116" xml:space="preserve"> 200 * ( L56 - L57 )</f>
        <v>-15.239231409067312</v>
      </c>
      <c r="N57" s="1223">
        <f xml:space="preserve"> I55/100 *  0.0557 + I56/100 * -0.204 + I57/100 *  1.057</f>
        <v>0.30745631108135918</v>
      </c>
      <c r="O57" s="1226">
        <f t="shared" si="86"/>
        <v>150.55196979242695</v>
      </c>
      <c r="P57" s="4"/>
      <c r="Q57" s="1348">
        <v>1416.4</v>
      </c>
      <c r="R57" s="725">
        <f t="shared" si="105"/>
        <v>86.39064293915041</v>
      </c>
      <c r="S57" s="409">
        <f t="shared" si="88"/>
        <v>0.33878683505549179</v>
      </c>
      <c r="T57" s="409">
        <f t="shared" si="89"/>
        <v>9.3933598438864827</v>
      </c>
      <c r="U57" s="409">
        <v>9.6852711832606726</v>
      </c>
      <c r="V57" s="409">
        <f>U57/$AQ$29</f>
        <v>8.8951178634503761E-2</v>
      </c>
      <c r="W57" s="409">
        <f t="shared" si="90"/>
        <v>0.44639285606730428</v>
      </c>
      <c r="X57" s="409">
        <f xml:space="preserve"> 200 * ( W56 - W57 )</f>
        <v>-7.210020754644086</v>
      </c>
      <c r="Y57" s="409"/>
      <c r="Z57" s="441">
        <f t="shared" si="92"/>
        <v>150.55196979242695</v>
      </c>
      <c r="AA57" s="626">
        <v>30.179036601763215</v>
      </c>
      <c r="AB57" s="626">
        <f>AA57/$AQ$29</f>
        <v>0.27716940754537639</v>
      </c>
      <c r="AC57" s="626">
        <f t="shared" si="93"/>
        <v>0.65200125423606103</v>
      </c>
      <c r="AD57" s="626">
        <f xml:space="preserve"> 200 * ( AC56 - AC57 )</f>
        <v>-14.281768891279722</v>
      </c>
      <c r="AE57" s="626">
        <f xml:space="preserve"> AA55/100 *  0.0557 + AA56/100 * -0.204 + AA57/100 *  1.057</f>
        <v>0.2960418030470745</v>
      </c>
      <c r="AF57" s="627">
        <f t="shared" si="96"/>
        <v>147.97800623020552</v>
      </c>
      <c r="AG57" s="628"/>
      <c r="AH57" s="661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4"/>
      <c r="AZ57" s="664"/>
      <c r="BA57" s="664"/>
      <c r="BB57" s="664"/>
      <c r="BC57" s="664"/>
      <c r="BD57" s="664"/>
      <c r="BE57" s="664"/>
      <c r="BF57" s="664"/>
      <c r="BG57" s="664"/>
      <c r="BH57" s="665"/>
      <c r="BI57" s="665"/>
    </row>
    <row r="58" spans="1:64">
      <c r="A58" s="92">
        <v>18</v>
      </c>
      <c r="B58" s="93" t="s">
        <v>127</v>
      </c>
      <c r="C58" s="1397"/>
      <c r="D58" s="382">
        <f t="shared" si="1"/>
        <v>-123.30990987449144</v>
      </c>
      <c r="E58" s="370">
        <v>51.037999999999997</v>
      </c>
      <c r="F58" s="1215">
        <f xml:space="preserve"> E59 / 500 + F59</f>
        <v>0.52065179310344822</v>
      </c>
      <c r="G58" s="1215">
        <f>IF(F58^3&gt;0.008856,F58^3*$AQ$23, (F58- 16 / 116 ) / 7.787*$AQ$23)</f>
        <v>13.608750149830058</v>
      </c>
      <c r="H58" s="1216">
        <f>G58/SUM(G58:G60)</f>
        <v>0.21312678234962057</v>
      </c>
      <c r="I58" s="1342">
        <f t="array" ref="I58:I60">MMULT($AQ$34:$AS$36,G58:G60)</f>
        <v>14.513962671267748</v>
      </c>
      <c r="J58" s="1216">
        <f>I58/SUM(I58:I60)</f>
        <v>0.19301690833904903</v>
      </c>
      <c r="K58" s="1216">
        <f>I58/$AQ$27</f>
        <v>0.15270300663111669</v>
      </c>
      <c r="L58" s="1216">
        <f t="shared" si="84"/>
        <v>0.53450182948811376</v>
      </c>
      <c r="M58" s="1216">
        <f t="shared" ref="M58" si="117" xml:space="preserve"> 116 * L59  - 16</f>
        <v>51.562892750533919</v>
      </c>
      <c r="N58" s="1215">
        <f>I58/100*  3.2406 + I59/100 * -1.5372 + I60/100 * -0.4986</f>
        <v>-3.7427884985883397E-2</v>
      </c>
      <c r="O58" s="1218">
        <f t="shared" si="86"/>
        <v>-123.30990987449144</v>
      </c>
      <c r="P58" s="4"/>
      <c r="Q58" s="1346">
        <v>351</v>
      </c>
      <c r="R58" s="726">
        <f t="shared" si="100"/>
        <v>27.426916712630998</v>
      </c>
      <c r="S58" s="410">
        <f t="shared" si="88"/>
        <v>0.1075565361279647</v>
      </c>
      <c r="T58" s="410">
        <f t="shared" si="89"/>
        <v>1.1235819255833266</v>
      </c>
      <c r="U58" s="410">
        <f t="array" ref="U58:U60">MMULT($AQ$47:$AS$49,T58:T60)</f>
        <v>8.9297481173084172</v>
      </c>
      <c r="V58" s="410">
        <f>U58/$AQ$27</f>
        <v>9.3950867647673436E-2</v>
      </c>
      <c r="W58" s="410">
        <f t="shared" si="90"/>
        <v>0.45460436186739339</v>
      </c>
      <c r="X58" s="410">
        <f xml:space="preserve"> 116 * W59  - 16</f>
        <v>39.789968847951926</v>
      </c>
      <c r="Y58" s="410">
        <f t="shared" si="101"/>
        <v>17.686902657285046</v>
      </c>
      <c r="Z58" s="442">
        <f t="shared" si="92"/>
        <v>-123.30990987449144</v>
      </c>
      <c r="AA58" s="629">
        <f t="array" ref="AA58:AA60">MMULT($AP$14:$AR$16,Q58:Q60)</f>
        <v>14.833675625255657</v>
      </c>
      <c r="AB58" s="629">
        <f>AA58/$AQ$27</f>
        <v>0.15606674198297324</v>
      </c>
      <c r="AC58" s="629">
        <f t="shared" si="93"/>
        <v>0.53839802083660648</v>
      </c>
      <c r="AD58" s="629">
        <f xml:space="preserve"> 116 * AC59  - 16</f>
        <v>50.788387641761574</v>
      </c>
      <c r="AE58" s="629">
        <f>AA58/100*  3.2406 + AA59/100 * -1.5372 + AA60/100 * -0.4986</f>
        <v>-3.2518299853213917E-3</v>
      </c>
      <c r="AF58" s="630">
        <f>IF(AE58&gt; 0.0031308,(1.055 * (AE58^ ( 1 / 2.4 ) ) - 0.055)*255, 12.92 * AE58*255)</f>
        <v>-10.713479069639858</v>
      </c>
      <c r="AG58" s="631">
        <f>SQRT(( ( M58-AD58 ) ^ 2 ) + ( ( M59 - AD59 ) ^ 2 ) + ( (M60 - AD60 ) ^ 2 ))</f>
        <v>5.6767850068879113</v>
      </c>
      <c r="AH58" s="661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4"/>
      <c r="AZ58" s="664"/>
      <c r="BA58" s="664"/>
      <c r="BB58" s="664"/>
      <c r="BC58" s="664"/>
      <c r="BD58" s="664"/>
      <c r="BE58" s="664"/>
      <c r="BF58" s="664"/>
      <c r="BG58" s="664"/>
      <c r="BH58" s="665"/>
      <c r="BI58" s="4"/>
      <c r="BK58" s="42"/>
      <c r="BL58" s="42"/>
    </row>
    <row r="59" spans="1:64">
      <c r="A59" s="94"/>
      <c r="B59" s="95"/>
      <c r="C59" s="1397"/>
      <c r="D59" s="383">
        <f t="shared" si="1"/>
        <v>136.1986469903801</v>
      </c>
      <c r="E59" s="371">
        <v>-28.631</v>
      </c>
      <c r="F59" s="1219">
        <f xml:space="preserve"> (E58  + 16 ) / 116</f>
        <v>0.57791379310344826</v>
      </c>
      <c r="G59" s="1219">
        <f>IF(F59^3&gt;0.008856,F59^3*$AQ$24, (F59- 16 / 116 ) / 7.787*$AQ$24)</f>
        <v>19.301416385132129</v>
      </c>
      <c r="H59" s="1220">
        <f>G59/SUM(G58:G60)</f>
        <v>0.30227968943972605</v>
      </c>
      <c r="I59" s="1343">
        <v>19.758352992191142</v>
      </c>
      <c r="J59" s="1220">
        <f>I59/SUM(I58:I60)</f>
        <v>0.2627605082638137</v>
      </c>
      <c r="K59" s="1220">
        <f>I59/$AQ$28</f>
        <v>0.19758352992191142</v>
      </c>
      <c r="L59" s="1220">
        <f t="shared" si="84"/>
        <v>0.58243873060805107</v>
      </c>
      <c r="M59" s="1220">
        <f t="shared" ref="M59" si="118" xml:space="preserve"> 500 * (L58 - L59 )</f>
        <v>-23.968450559968659</v>
      </c>
      <c r="N59" s="1219">
        <f xml:space="preserve"> I58/100 * -0.9689 + I59/100*  1.8758 + I60/100 *  0.0415</f>
        <v>0.24698443604398265</v>
      </c>
      <c r="O59" s="1222">
        <f t="shared" si="86"/>
        <v>136.1986469903801</v>
      </c>
      <c r="P59" s="4"/>
      <c r="Q59" s="1347">
        <v>1297</v>
      </c>
      <c r="R59" s="726">
        <f t="shared" si="103"/>
        <v>101.34675491818348</v>
      </c>
      <c r="S59" s="410">
        <f t="shared" si="88"/>
        <v>0.39743825458111171</v>
      </c>
      <c r="T59" s="410">
        <f t="shared" si="89"/>
        <v>13.108000847338861</v>
      </c>
      <c r="U59" s="410">
        <v>11.12485576583329</v>
      </c>
      <c r="V59" s="410">
        <f>U59/$AQ$28</f>
        <v>0.1112485576583329</v>
      </c>
      <c r="W59" s="410">
        <f t="shared" si="90"/>
        <v>0.48094800730993037</v>
      </c>
      <c r="X59" s="410">
        <f xml:space="preserve"> 500 * (W58 - W59 )</f>
        <v>-13.171822721268489</v>
      </c>
      <c r="Y59" s="410"/>
      <c r="Z59" s="442">
        <f t="shared" si="92"/>
        <v>136.1986469903801</v>
      </c>
      <c r="AA59" s="629">
        <v>19.086614843876092</v>
      </c>
      <c r="AB59" s="629">
        <f>AA59/$AQ$28</f>
        <v>0.19086614843876093</v>
      </c>
      <c r="AC59" s="629">
        <f t="shared" si="93"/>
        <v>0.57576196242897915</v>
      </c>
      <c r="AD59" s="629">
        <f xml:space="preserve"> 500 * (AC58 - AC59 )</f>
        <v>-18.681970796186331</v>
      </c>
      <c r="AE59" s="629">
        <f xml:space="preserve"> AA58/100 * -0.9689 + AA59/100*  1.8758 + AA60/100 *  0.0415</f>
        <v>0.23016350259903498</v>
      </c>
      <c r="AF59" s="630">
        <f>IF(AE59&gt; 0.0031308,(1.055 * (AE59^ ( 1 / 2.4 ) ) - 0.055)*255, 12.92 * AE59*255)</f>
        <v>131.84785989583179</v>
      </c>
      <c r="AG59" s="631"/>
      <c r="AH59" s="661"/>
      <c r="AN59" s="663"/>
      <c r="AO59" s="663"/>
      <c r="AP59" s="663"/>
      <c r="AQ59" s="663"/>
      <c r="AR59" s="663"/>
      <c r="AS59" s="663"/>
      <c r="AT59" s="663"/>
      <c r="AU59" s="663"/>
      <c r="AV59" s="663"/>
      <c r="AW59" s="663"/>
      <c r="AX59" s="663"/>
      <c r="AY59" s="664"/>
      <c r="AZ59" s="664"/>
      <c r="BA59" s="664"/>
      <c r="BB59" s="664"/>
      <c r="BC59" s="664"/>
      <c r="BD59" s="664"/>
      <c r="BE59" s="664"/>
      <c r="BF59" s="664"/>
      <c r="BG59" s="664"/>
      <c r="BH59" s="665"/>
      <c r="BI59" s="665"/>
    </row>
    <row r="60" spans="1:64" ht="15.75" thickBot="1">
      <c r="A60" s="96"/>
      <c r="B60" s="97"/>
      <c r="C60" s="1398"/>
      <c r="D60" s="384">
        <f t="shared" si="1"/>
        <v>169.68590110948557</v>
      </c>
      <c r="E60" s="372">
        <v>-28.638000000000002</v>
      </c>
      <c r="F60" s="1223">
        <f>F59 - E60 / 200</f>
        <v>0.7211037931034483</v>
      </c>
      <c r="G60" s="1223">
        <f>IF(F60^3&gt;0.008856,F60^3*$AQ$25, (F60- 16 / 116 ) / 7.787*$AQ$25)</f>
        <v>30.942672605197082</v>
      </c>
      <c r="H60" s="1224">
        <f>G59</f>
        <v>19.301416385132129</v>
      </c>
      <c r="I60" s="1344">
        <v>40.922975755119111</v>
      </c>
      <c r="J60" s="1224">
        <f>I59</f>
        <v>19.758352992191142</v>
      </c>
      <c r="K60" s="1224">
        <f>I60/$AQ$29</f>
        <v>0.37584357296473381</v>
      </c>
      <c r="L60" s="1224">
        <f t="shared" si="84"/>
        <v>0.72166511030647063</v>
      </c>
      <c r="M60" s="1224">
        <f t="shared" ref="M60" si="119" xml:space="preserve"> 200 * ( L59 - L60 )</f>
        <v>-27.845275939683912</v>
      </c>
      <c r="N60" s="1223">
        <f xml:space="preserve"> I58/100 *  0.0557 + I59/100 * -0.204 + I60/100 *  1.057</f>
        <v>0.40033309083543522</v>
      </c>
      <c r="O60" s="1226">
        <f t="shared" si="86"/>
        <v>169.68590110948557</v>
      </c>
      <c r="P60" s="4"/>
      <c r="Q60" s="1348">
        <v>1615.4</v>
      </c>
      <c r="R60" s="727">
        <f t="shared" si="105"/>
        <v>126.22632836918551</v>
      </c>
      <c r="S60" s="410">
        <f t="shared" si="88"/>
        <v>0.49500520929092356</v>
      </c>
      <c r="T60" s="410">
        <f t="shared" si="89"/>
        <v>20.944713484664355</v>
      </c>
      <c r="U60" s="410">
        <v>21.487939155388872</v>
      </c>
      <c r="V60" s="410">
        <f>U60/$AQ$29</f>
        <v>0.19734888968331946</v>
      </c>
      <c r="W60" s="410">
        <f t="shared" si="90"/>
        <v>0.58220808099074572</v>
      </c>
      <c r="X60" s="410">
        <f xml:space="preserve"> 200 * ( W59 - W60 )</f>
        <v>-20.252014736163069</v>
      </c>
      <c r="Y60" s="410"/>
      <c r="Z60" s="443">
        <f t="shared" si="92"/>
        <v>169.68590110948557</v>
      </c>
      <c r="AA60" s="629">
        <v>38.217504796889884</v>
      </c>
      <c r="AB60" s="629">
        <f>AA60/$AQ$29</f>
        <v>0.35099606730977184</v>
      </c>
      <c r="AC60" s="629">
        <f t="shared" si="93"/>
        <v>0.70539777181324004</v>
      </c>
      <c r="AD60" s="629">
        <f xml:space="preserve"> 200 * ( AC59 - AC60 )</f>
        <v>-25.927161876852178</v>
      </c>
      <c r="AE60" s="629">
        <f xml:space="preserve"> AA58/100 *  0.0557 + AA59/100 * -0.204 + AA60/100 *  1.057</f>
        <v>0.37328468874488618</v>
      </c>
      <c r="AF60" s="630">
        <f>IF(AE60&gt; 0.0031308,(1.055 * (AE60^ ( 1 / 2.4 ) ) - 0.055)*255, 12.92 * AE60*255)</f>
        <v>164.40835728779834</v>
      </c>
      <c r="AG60" s="631"/>
      <c r="AH60" s="661"/>
      <c r="AN60" s="663"/>
      <c r="AO60" s="663"/>
      <c r="AP60" s="663"/>
      <c r="AQ60" s="663"/>
      <c r="AR60" s="663"/>
      <c r="AS60" s="663"/>
      <c r="AT60" s="663"/>
      <c r="AU60" s="663"/>
      <c r="AV60" s="663"/>
      <c r="AW60" s="663"/>
      <c r="AX60" s="663"/>
      <c r="AY60" s="664"/>
      <c r="AZ60" s="664"/>
      <c r="BA60" s="664"/>
      <c r="BB60" s="664"/>
      <c r="BC60" s="664"/>
      <c r="BD60" s="664"/>
      <c r="BE60" s="664"/>
      <c r="BF60" s="664"/>
      <c r="BG60" s="664"/>
      <c r="BH60" s="665"/>
      <c r="BI60" s="665"/>
    </row>
    <row r="61" spans="1:64" ht="15.75" customHeight="1" thickBot="1">
      <c r="A61" s="1390" t="s">
        <v>128</v>
      </c>
      <c r="B61" s="1391"/>
      <c r="C61" s="1391"/>
      <c r="D61" s="1391"/>
      <c r="E61" s="1391"/>
      <c r="F61" s="373"/>
      <c r="G61" s="373"/>
      <c r="H61" s="373"/>
      <c r="I61" s="373"/>
      <c r="J61" s="367"/>
      <c r="K61" s="367"/>
      <c r="L61" s="367"/>
      <c r="M61" s="367"/>
      <c r="N61" s="367"/>
      <c r="O61" s="378"/>
      <c r="P61" s="4"/>
      <c r="Q61" s="658"/>
      <c r="R61" s="419"/>
      <c r="S61" s="330"/>
      <c r="T61" s="330"/>
      <c r="U61" s="330"/>
      <c r="V61" s="330"/>
      <c r="W61" s="330"/>
      <c r="X61" s="330"/>
      <c r="Y61" s="330"/>
      <c r="Z61" s="419"/>
      <c r="AA61" s="184"/>
      <c r="AB61" s="184"/>
      <c r="AC61" s="184"/>
      <c r="AD61" s="184"/>
      <c r="AE61" s="184"/>
      <c r="AF61" s="184"/>
      <c r="AG61" s="343"/>
      <c r="AH61" s="661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4"/>
      <c r="AZ61" s="664"/>
      <c r="BA61" s="664"/>
      <c r="BB61" s="664"/>
      <c r="BC61" s="664"/>
      <c r="BD61" s="664"/>
      <c r="BE61" s="664"/>
      <c r="BF61" s="664"/>
      <c r="BG61" s="664"/>
      <c r="BH61" s="665"/>
      <c r="BI61" s="665"/>
    </row>
    <row r="62" spans="1:64">
      <c r="A62" s="92">
        <v>19</v>
      </c>
      <c r="B62" s="93" t="s">
        <v>129</v>
      </c>
      <c r="C62" s="1399"/>
      <c r="D62" s="382">
        <f t="shared" si="1"/>
        <v>244.94459763984261</v>
      </c>
      <c r="E62" s="370">
        <v>96.539000000000001</v>
      </c>
      <c r="F62" s="1215">
        <f xml:space="preserve"> E63 / 500 + F63</f>
        <v>0.96931379310344823</v>
      </c>
      <c r="G62" s="1215">
        <f>IF(F62^3&gt;0.008856,F62^3*$AQ$23, (F62- 16 / 116 ) / 7.787*$AQ$23)</f>
        <v>87.815122906722792</v>
      </c>
      <c r="H62" s="1216">
        <f>G62/SUM(G62:G64)</f>
        <v>0.34694698652697464</v>
      </c>
      <c r="I62" s="1342">
        <f t="array" ref="I62:I64">MMULT($AQ$34:$AS$36,G62:G64)</f>
        <v>86.483089485732179</v>
      </c>
      <c r="J62" s="1216">
        <f>I62/SUM(I62:I64)</f>
        <v>0.31406139191257065</v>
      </c>
      <c r="K62" s="1217">
        <f>I62/$AQ$27</f>
        <v>0.90989815023864173</v>
      </c>
      <c r="L62" s="1217">
        <f t="shared" ref="L62:L79" si="120">IF(K62&gt;0.008856,K62^(1/3),7.787*K62+16/116)</f>
        <v>0.96901595398130502</v>
      </c>
      <c r="M62" s="1217">
        <f t="shared" ref="M62" si="121" xml:space="preserve"> 116 * L63  - 16</f>
        <v>96.529836597564341</v>
      </c>
      <c r="N62" s="1215">
        <f>I62/100*  3.2406 + I63/100 * -1.5372 + I64/100 * -0.4986</f>
        <v>0.91262999976533266</v>
      </c>
      <c r="O62" s="1218">
        <f t="shared" ref="O62:O79" si="122">IF(N62&gt; 0.0031308,(1.055 * (N62^ ( 1 / 2.4 ) ) - 0.055)*255, 12.92 * N62*255)</f>
        <v>244.94459763984261</v>
      </c>
      <c r="P62" s="4"/>
      <c r="Q62" s="1349">
        <v>4208.3999000000003</v>
      </c>
      <c r="R62" s="728">
        <f t="shared" ref="R62" si="123">Q62/SUM(Q62:Q64)*255</f>
        <v>76.220718363145579</v>
      </c>
      <c r="S62" s="411">
        <f t="shared" ref="S62:S79" si="124">R62/255</f>
        <v>0.29890477789468856</v>
      </c>
      <c r="T62" s="411">
        <f>IF(S62&gt;0.04045,(((S62+0.055)/1.055 )^2.4)*100, S62/12.92*100)</f>
        <v>7.2697841957417131</v>
      </c>
      <c r="U62" s="411">
        <f t="array" ref="U62:U64">MMULT($AQ$47:$AS$49,T62:T64)</f>
        <v>8.5068006417328697</v>
      </c>
      <c r="V62" s="411">
        <f>U62/$AQ$27</f>
        <v>8.9500990475584394E-2</v>
      </c>
      <c r="W62" s="411">
        <f t="shared" ref="W62:W79" si="125">IF(V62&gt;0.008856,V62^(1/3),7.787*V62+16/116)</f>
        <v>0.44731069337611012</v>
      </c>
      <c r="X62" s="411">
        <f xml:space="preserve"> 116 * W63  - 16</f>
        <v>37.450830058765902</v>
      </c>
      <c r="Y62" s="411">
        <f t="shared" ref="Y62" si="126">SQRT(( ( M62-X62 ) ^ 2 ) + ( ( M63 - X63 ) ^ 2 ) + ( (M64 - X64 ) ^ 2 ))</f>
        <v>59.410061656493639</v>
      </c>
      <c r="Z62" s="444">
        <f t="shared" ref="Z62:Z69" si="127">O62</f>
        <v>244.94459763984261</v>
      </c>
      <c r="AA62" s="632">
        <f t="array" ref="AA62:AA64">MMULT($AP$14:$AR$16,Q62:Q64)</f>
        <v>85.997038864708742</v>
      </c>
      <c r="AB62" s="632">
        <f>AA62/$AQ$27</f>
        <v>0.90478435789355527</v>
      </c>
      <c r="AC62" s="632">
        <f t="shared" ref="AC62:AC79" si="128">IF(AB62&gt;0.008856,AB62^(1/3),7.787*AB62+16/116)</f>
        <v>0.96719719409205007</v>
      </c>
      <c r="AD62" s="632">
        <f xml:space="preserve"> 116 * AC63  - 16</f>
        <v>96.424970183578623</v>
      </c>
      <c r="AE62" s="632">
        <f>AA62/100*  3.2406 + AA63/100 * -1.5372 + AA64/100 * -0.4986</f>
        <v>0.89713920220612131</v>
      </c>
      <c r="AF62" s="633">
        <f>IF(AE62&gt; 0.0031308,(1.055 * (AE62^ ( 1 / 2.4 ) ) - 0.055)*255, 12.92 * AE62*255)</f>
        <v>243.10390739915692</v>
      </c>
      <c r="AG62" s="634">
        <f>SQRT(( ( M62-AD62 ) ^ 2 ) + ( ( M63 - AD63 ) ^ 2 ) + ( (M64 - AD64 ) ^ 2 ))</f>
        <v>0.8122441402802274</v>
      </c>
      <c r="AH62" s="661"/>
      <c r="AN62" s="663"/>
      <c r="AO62" s="663"/>
      <c r="AP62" s="663"/>
      <c r="AQ62" s="663"/>
      <c r="AR62" s="663"/>
      <c r="AS62" s="663"/>
      <c r="AT62" s="663"/>
      <c r="AU62" s="663"/>
      <c r="AV62" s="663"/>
      <c r="AW62" s="663"/>
      <c r="AX62" s="663"/>
      <c r="AY62" s="664"/>
      <c r="AZ62" s="664"/>
      <c r="BA62" s="664"/>
      <c r="BB62" s="664"/>
      <c r="BC62" s="664"/>
      <c r="BD62" s="664"/>
      <c r="BE62" s="664"/>
      <c r="BF62" s="664"/>
      <c r="BG62" s="664"/>
      <c r="BH62" s="665"/>
      <c r="BI62" s="665"/>
    </row>
    <row r="63" spans="1:64">
      <c r="A63" s="94"/>
      <c r="B63" s="95"/>
      <c r="C63" s="1400"/>
      <c r="D63" s="383">
        <f t="shared" si="1"/>
        <v>245.22561578043522</v>
      </c>
      <c r="E63" s="371">
        <v>-0.42499999999999999</v>
      </c>
      <c r="F63" s="1219">
        <f xml:space="preserve"> (E62  + 16 ) / 116</f>
        <v>0.97016379310344825</v>
      </c>
      <c r="G63" s="1219">
        <f>IF(F63^3&gt;0.008856,F63^3*$AQ$24, (F63- 16 / 116 ) / 7.787*$AQ$24)</f>
        <v>91.313541686750369</v>
      </c>
      <c r="H63" s="1220">
        <f>G63/SUM(G62:G64)</f>
        <v>0.36076881827034307</v>
      </c>
      <c r="I63" s="1343">
        <v>91.291238095968254</v>
      </c>
      <c r="J63" s="1220">
        <f>I63/SUM(I62:I64)</f>
        <v>0.33152207531359967</v>
      </c>
      <c r="K63" s="1221">
        <f>I63/$AQ$28</f>
        <v>0.91291238095968252</v>
      </c>
      <c r="L63" s="1221">
        <f t="shared" si="120"/>
        <v>0.97008479825486504</v>
      </c>
      <c r="M63" s="1221">
        <f t="shared" ref="M63" si="129" xml:space="preserve"> 500 * (L62 - L63 )</f>
        <v>-0.5344221367800106</v>
      </c>
      <c r="N63" s="1219">
        <f xml:space="preserve"> I62/100 * -0.9689 + I63/100*  1.8758 + I64/100 *  0.0415</f>
        <v>0.91500859950918434</v>
      </c>
      <c r="O63" s="1222">
        <f t="shared" si="122"/>
        <v>245.22561578043522</v>
      </c>
      <c r="P63" s="4"/>
      <c r="Q63" s="1350">
        <v>5044</v>
      </c>
      <c r="R63" s="729">
        <f t="shared" ref="R63" si="130">Q63/SUM(Q62:Q64)*255</f>
        <v>91.354745879474578</v>
      </c>
      <c r="S63" s="411">
        <f t="shared" si="124"/>
        <v>0.35825390540970425</v>
      </c>
      <c r="T63" s="411">
        <f t="shared" ref="T63:T79" si="131">IF(S63&gt;0.04045,(((S63+0.055)/1.055 )^2.4)*100, S63/12.92*100)</f>
        <v>10.546656865581991</v>
      </c>
      <c r="U63" s="411">
        <v>9.7833906247675486</v>
      </c>
      <c r="V63" s="411">
        <f>U63/$AQ$28</f>
        <v>9.7833906247675489E-2</v>
      </c>
      <c r="W63" s="411">
        <f t="shared" si="125"/>
        <v>0.46078301774798192</v>
      </c>
      <c r="X63" s="411">
        <f xml:space="preserve"> 500 * (W62 - W63 )</f>
        <v>-6.7361621859358953</v>
      </c>
      <c r="Y63" s="411"/>
      <c r="Z63" s="445">
        <f t="shared" si="127"/>
        <v>245.22561578043522</v>
      </c>
      <c r="AA63" s="632">
        <v>91.036253291867524</v>
      </c>
      <c r="AB63" s="632">
        <f>AA63/$AQ$28</f>
        <v>0.91036253291867519</v>
      </c>
      <c r="AC63" s="632">
        <f t="shared" si="128"/>
        <v>0.96918077744464326</v>
      </c>
      <c r="AD63" s="632">
        <f xml:space="preserve"> 500 * (AC62 - AC63 )</f>
        <v>-0.99179167629659393</v>
      </c>
      <c r="AE63" s="632">
        <f xml:space="preserve"> AA62/100 * -0.9689 + AA63/100*  1.8758 + AA64/100 *  0.0415</f>
        <v>0.91523952767525696</v>
      </c>
      <c r="AF63" s="633">
        <f t="shared" ref="AF63:AF79" si="132">IF(AE63&gt; 0.0031308,(1.055 * (AE63^ ( 1 / 2.4 ) ) - 0.055)*255, 12.92 * AE63*255)</f>
        <v>245.25287593540065</v>
      </c>
      <c r="AG63" s="634"/>
      <c r="AH63" s="661"/>
      <c r="AN63" s="663"/>
      <c r="AO63" s="663"/>
      <c r="AP63" s="663"/>
      <c r="AQ63" s="663"/>
      <c r="AR63" s="663"/>
      <c r="AS63" s="663"/>
      <c r="AT63" s="663"/>
      <c r="AU63" s="663"/>
      <c r="AV63" s="663"/>
      <c r="AW63" s="663"/>
      <c r="AX63" s="663"/>
      <c r="AY63" s="664"/>
      <c r="AZ63" s="664"/>
      <c r="BA63" s="664"/>
      <c r="BB63" s="664"/>
      <c r="BC63" s="664"/>
      <c r="BD63" s="664"/>
      <c r="BE63" s="664"/>
      <c r="BF63" s="664"/>
      <c r="BG63" s="664"/>
      <c r="BH63" s="665"/>
      <c r="BI63" s="665"/>
    </row>
    <row r="64" spans="1:64" ht="15.75" thickBot="1">
      <c r="A64" s="96"/>
      <c r="B64" s="97"/>
      <c r="C64" s="1400"/>
      <c r="D64" s="384">
        <f t="shared" si="1"/>
        <v>242.67159053813759</v>
      </c>
      <c r="E64" s="372">
        <v>1.1859999999999999</v>
      </c>
      <c r="F64" s="1223">
        <f>F63 - E64 / 200</f>
        <v>0.96423379310344826</v>
      </c>
      <c r="G64" s="1223">
        <f>IF(F64^3&gt;0.008856,F64^3*$AQ$25, (F64- 16 / 116 ) / 7.787*$AQ$25)</f>
        <v>73.979522872784855</v>
      </c>
      <c r="H64" s="1224">
        <f>G63</f>
        <v>91.313541686750369</v>
      </c>
      <c r="I64" s="1344">
        <v>97.595685138002494</v>
      </c>
      <c r="J64" s="1224">
        <f>I63</f>
        <v>91.291238095968254</v>
      </c>
      <c r="K64" s="1225">
        <f>I64/$AQ$29</f>
        <v>0.8963353796093283</v>
      </c>
      <c r="L64" s="1225">
        <f t="shared" si="120"/>
        <v>0.96417717527417512</v>
      </c>
      <c r="M64" s="1225">
        <f t="shared" ref="M64" si="133" xml:space="preserve"> 200 * ( L63 - L64 )</f>
        <v>1.1815245961379839</v>
      </c>
      <c r="N64" s="1223">
        <f xml:space="preserve"> I62/100 *  0.0557 + I63/100 * -0.204 + I64/100 *  1.057</f>
        <v>0.89352334703646386</v>
      </c>
      <c r="O64" s="1226">
        <f t="shared" si="122"/>
        <v>242.67159053813759</v>
      </c>
      <c r="P64" s="4"/>
      <c r="Q64" s="1351">
        <v>4827</v>
      </c>
      <c r="R64" s="729">
        <f t="shared" ref="R64" si="134">Q64/SUM(Q62:Q64)*255</f>
        <v>87.424535757379829</v>
      </c>
      <c r="S64" s="411">
        <f t="shared" si="124"/>
        <v>0.34284131669560719</v>
      </c>
      <c r="T64" s="411">
        <f t="shared" si="131"/>
        <v>9.6271517480973436</v>
      </c>
      <c r="U64" s="411">
        <v>10.546352183323572</v>
      </c>
      <c r="V64" s="411">
        <f>U64/$AQ$29</f>
        <v>9.6859493064331184E-2</v>
      </c>
      <c r="W64" s="411">
        <f t="shared" si="125"/>
        <v>0.45924813069484044</v>
      </c>
      <c r="X64" s="411">
        <f xml:space="preserve"> 200 * ( W63 - W64 )</f>
        <v>0.3069774106282952</v>
      </c>
      <c r="Y64" s="411"/>
      <c r="Z64" s="445">
        <f t="shared" si="127"/>
        <v>242.67159053813759</v>
      </c>
      <c r="AA64" s="632">
        <v>98.329633702575791</v>
      </c>
      <c r="AB64" s="632">
        <f>AA64/$AQ$29</f>
        <v>0.90307608811821671</v>
      </c>
      <c r="AC64" s="632">
        <f t="shared" si="128"/>
        <v>0.96658810801928308</v>
      </c>
      <c r="AD64" s="632">
        <f xml:space="preserve"> 200 * ( AC63 - AC64 )</f>
        <v>0.51853388507203668</v>
      </c>
      <c r="AE64" s="632">
        <f t="shared" ref="AE64:AE79" si="135" xml:space="preserve"> AA62/100 *  0.0557 + AA63/100 * -0.204 + AA64/100 *  1.057</f>
        <v>0.90153062216845903</v>
      </c>
      <c r="AF64" s="633">
        <f t="shared" si="132"/>
        <v>243.62758731839452</v>
      </c>
      <c r="AG64" s="634"/>
      <c r="AH64" s="661"/>
      <c r="AN64" s="663"/>
      <c r="AO64" s="663"/>
      <c r="AP64" s="663"/>
      <c r="AQ64" s="663"/>
      <c r="AR64" s="663"/>
      <c r="AS64" s="663"/>
      <c r="AT64" s="663"/>
      <c r="AU64" s="663"/>
      <c r="AV64" s="663"/>
      <c r="AW64" s="663"/>
      <c r="AX64" s="663"/>
      <c r="AY64" s="664"/>
      <c r="AZ64" s="664"/>
      <c r="BA64" s="664"/>
      <c r="BB64" s="664"/>
      <c r="BC64" s="664"/>
      <c r="BD64" s="664"/>
      <c r="BE64" s="664"/>
      <c r="BF64" s="664"/>
      <c r="BG64" s="664"/>
      <c r="BH64" s="665"/>
      <c r="BI64" s="665"/>
    </row>
    <row r="65" spans="1:61">
      <c r="A65" s="92">
        <v>20</v>
      </c>
      <c r="B65" s="93" t="s">
        <v>130</v>
      </c>
      <c r="C65" s="1401"/>
      <c r="D65" s="382">
        <f t="shared" si="1"/>
        <v>200.34536911982687</v>
      </c>
      <c r="E65" s="370">
        <v>81.257000000000005</v>
      </c>
      <c r="F65" s="1215">
        <f xml:space="preserve"> E66 / 500 + F66</f>
        <v>0.83714641379310339</v>
      </c>
      <c r="G65" s="1215">
        <f>IF(F65^3&gt;0.008856,F65^3*$AQ$23, (F65- 16 / 116 ) / 7.787*$AQ$23)</f>
        <v>56.569247128485323</v>
      </c>
      <c r="H65" s="1216">
        <f>G65/SUM(G65:G67)</f>
        <v>0.34402428912881217</v>
      </c>
      <c r="I65" s="1342">
        <f t="array" ref="I65:I67">MMULT($AQ$34:$AS$36,G65:G67)</f>
        <v>55.788819575678076</v>
      </c>
      <c r="J65" s="1216">
        <f>I65/SUM(I65:I67)</f>
        <v>0.31115296554234889</v>
      </c>
      <c r="K65" s="1217">
        <f>I65/$AQ$27</f>
        <v>0.58696034146977893</v>
      </c>
      <c r="L65" s="1217">
        <f t="shared" si="120"/>
        <v>0.8372778192395478</v>
      </c>
      <c r="M65" s="1217">
        <f t="shared" ref="M65" si="136" xml:space="preserve"> 116 * L66  - 16</f>
        <v>81.264407867823977</v>
      </c>
      <c r="N65" s="1215">
        <f>I65/100*  3.2406 + I66/100 * -1.5372 + I67/100 * -0.4986</f>
        <v>0.57981984786745056</v>
      </c>
      <c r="O65" s="1218">
        <f t="shared" si="122"/>
        <v>200.34536911982687</v>
      </c>
      <c r="P65" s="4"/>
      <c r="Q65" s="1349">
        <v>2945.2</v>
      </c>
      <c r="R65" s="730">
        <f t="shared" ref="R65:R77" si="137">Q65/SUM(Q65:Q67)*255</f>
        <v>74.406157620609505</v>
      </c>
      <c r="S65" s="412">
        <f t="shared" si="124"/>
        <v>0.29178885341415495</v>
      </c>
      <c r="T65" s="412">
        <f t="shared" si="131"/>
        <v>6.9238939668349415</v>
      </c>
      <c r="U65" s="412">
        <f t="array" ref="U65:U67">MMULT($AQ$47:$AS$49,T65:T67)</f>
        <v>8.4448804240558974</v>
      </c>
      <c r="V65" s="412">
        <f>U65/$AQ$27</f>
        <v>8.8849521016506547E-2</v>
      </c>
      <c r="W65" s="412">
        <f t="shared" si="125"/>
        <v>0.44622273828172393</v>
      </c>
      <c r="X65" s="412">
        <f xml:space="preserve"> 116 * W66  - 16</f>
        <v>37.405563787124002</v>
      </c>
      <c r="Y65" s="412">
        <f t="shared" ref="Y65:Y77" si="138">SQRT(( ( M65-X65 ) ^ 2 ) + ( ( M66 - X66 ) ^ 2 ) + ( (M67 - X67 ) ^ 2 ))</f>
        <v>44.337950020893878</v>
      </c>
      <c r="Z65" s="446">
        <f t="shared" si="127"/>
        <v>200.34536911982687</v>
      </c>
      <c r="AA65" s="635">
        <f t="array" ref="AA65:AA67">MMULT($AP$14:$AR$16,Q65:Q67)</f>
        <v>61.058259496333598</v>
      </c>
      <c r="AB65" s="635">
        <f>AA65/$AQ$27</f>
        <v>0.64240070171950303</v>
      </c>
      <c r="AC65" s="635">
        <f t="shared" si="128"/>
        <v>0.86285006380946039</v>
      </c>
      <c r="AD65" s="635">
        <f xml:space="preserve"> 116 * AC66  - 16</f>
        <v>84.401872467604463</v>
      </c>
      <c r="AE65" s="635">
        <f t="shared" si="135"/>
        <v>0.49550054320656178</v>
      </c>
      <c r="AF65" s="636">
        <f t="shared" si="132"/>
        <v>186.75835012944833</v>
      </c>
      <c r="AG65" s="637">
        <f>SQRT(( ( M65-AD65 ) ^ 2 ) + ( ( M66 - AD66 ) ^ 2 ) + ( (M67 - AD67 ) ^ 2 ))</f>
        <v>3.4762192438113888</v>
      </c>
      <c r="AH65" s="661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4"/>
      <c r="AZ65" s="664"/>
      <c r="BA65" s="664"/>
      <c r="BB65" s="664"/>
      <c r="BC65" s="664"/>
      <c r="BD65" s="664"/>
      <c r="BE65" s="664"/>
      <c r="BF65" s="664"/>
      <c r="BG65" s="664"/>
      <c r="BH65" s="665"/>
      <c r="BI65" s="665"/>
    </row>
    <row r="66" spans="1:61">
      <c r="A66" s="94"/>
      <c r="B66" s="95"/>
      <c r="C66" s="1401"/>
      <c r="D66" s="383">
        <f t="shared" si="1"/>
        <v>202.21765470389457</v>
      </c>
      <c r="E66" s="371">
        <v>-0.63800000000000001</v>
      </c>
      <c r="F66" s="1219">
        <f xml:space="preserve"> (E65  + 16 ) / 116</f>
        <v>0.83842241379310345</v>
      </c>
      <c r="G66" s="1219">
        <f>IF(F66^3&gt;0.008856,F66^3*$AQ$24, (F66- 16 / 116 ) / 7.787*$AQ$24)</f>
        <v>58.937083331214446</v>
      </c>
      <c r="H66" s="1220">
        <f>G66/SUM(G65:G67)</f>
        <v>0.35842421855631845</v>
      </c>
      <c r="I66" s="1343">
        <v>58.950551710216978</v>
      </c>
      <c r="J66" s="1220">
        <f>I66/SUM(I65:I67)</f>
        <v>0.32878700650960413</v>
      </c>
      <c r="K66" s="1221">
        <f>I66/$AQ$28</f>
        <v>0.58950551710216981</v>
      </c>
      <c r="L66" s="1221">
        <f t="shared" si="120"/>
        <v>0.83848627472262049</v>
      </c>
      <c r="M66" s="1221">
        <f t="shared" ref="M66" si="139" xml:space="preserve"> 500 * (L65 - L66 )</f>
        <v>-0.60422774153634506</v>
      </c>
      <c r="N66" s="1219">
        <f xml:space="preserve"> I65/100 * -0.9689 + I66/100*  1.8758 + I67/100 *  0.0415</f>
        <v>0.59204802712257509</v>
      </c>
      <c r="O66" s="1222">
        <f t="shared" si="122"/>
        <v>202.21765470389457</v>
      </c>
      <c r="P66" s="4"/>
      <c r="Q66" s="1350">
        <v>3620.8</v>
      </c>
      <c r="R66" s="730">
        <f t="shared" ref="R66:R78" si="140">Q66/SUM(Q65:Q67)*255</f>
        <v>91.474200567942063</v>
      </c>
      <c r="S66" s="412">
        <f t="shared" si="124"/>
        <v>0.35872235516840023</v>
      </c>
      <c r="T66" s="412">
        <f t="shared" si="131"/>
        <v>10.575372382401879</v>
      </c>
      <c r="U66" s="412">
        <v>9.7585556870998218</v>
      </c>
      <c r="V66" s="412">
        <f>U66/$AQ$28</f>
        <v>9.7585556870998222E-2</v>
      </c>
      <c r="W66" s="412">
        <f t="shared" si="125"/>
        <v>0.46039279126831034</v>
      </c>
      <c r="X66" s="412">
        <f xml:space="preserve"> 500 * (W65 - W66 )</f>
        <v>-7.0850264932932063</v>
      </c>
      <c r="Y66" s="412"/>
      <c r="Z66" s="446">
        <f t="shared" si="127"/>
        <v>202.21765470389457</v>
      </c>
      <c r="AA66" s="635">
        <v>64.841263567540551</v>
      </c>
      <c r="AB66" s="635">
        <f>AA66/$AQ$28</f>
        <v>0.64841263567540552</v>
      </c>
      <c r="AC66" s="635">
        <f t="shared" si="128"/>
        <v>0.86553338334141783</v>
      </c>
      <c r="AD66" s="635">
        <f xml:space="preserve"> 500 * (AC65 - AC66 )</f>
        <v>-1.3416597659787199</v>
      </c>
      <c r="AE66" s="635">
        <f t="shared" si="135"/>
        <v>0.61558291250871777</v>
      </c>
      <c r="AF66" s="636">
        <f t="shared" si="132"/>
        <v>205.75864505419534</v>
      </c>
      <c r="AG66" s="637"/>
      <c r="AH66" s="661"/>
      <c r="AN66" s="663"/>
      <c r="AO66" s="663"/>
      <c r="AP66" s="663"/>
      <c r="AQ66" s="663"/>
      <c r="AR66" s="663"/>
      <c r="AS66" s="663"/>
      <c r="AT66" s="663"/>
      <c r="AU66" s="663"/>
      <c r="AV66" s="663"/>
      <c r="AW66" s="663"/>
      <c r="AX66" s="663"/>
      <c r="AY66" s="664"/>
      <c r="AZ66" s="664"/>
      <c r="BA66" s="664"/>
      <c r="BB66" s="664"/>
      <c r="BC66" s="664"/>
      <c r="BD66" s="664"/>
      <c r="BE66" s="664"/>
      <c r="BF66" s="664"/>
      <c r="BG66" s="664"/>
      <c r="BH66" s="665"/>
      <c r="BI66" s="665"/>
    </row>
    <row r="67" spans="1:61" ht="15.75" thickBot="1">
      <c r="A67" s="96"/>
      <c r="B67" s="97"/>
      <c r="C67" s="1401"/>
      <c r="D67" s="384">
        <f t="shared" si="1"/>
        <v>202.39139072207513</v>
      </c>
      <c r="E67" s="372">
        <v>-0.33500000000000002</v>
      </c>
      <c r="F67" s="1223">
        <f>F66 - E67 / 200</f>
        <v>0.84009741379310343</v>
      </c>
      <c r="G67" s="1223">
        <f>IF(F67^3&gt;0.008856,F67^3*$AQ$25, (F67- 16 / 116 ) / 7.787*$AQ$25)</f>
        <v>48.92754504292278</v>
      </c>
      <c r="H67" s="1224">
        <f>G66</f>
        <v>58.937083331214446</v>
      </c>
      <c r="I67" s="1344">
        <v>64.557713279686695</v>
      </c>
      <c r="J67" s="1224">
        <f>I66</f>
        <v>58.950551710216978</v>
      </c>
      <c r="K67" s="1225">
        <f>I67/$AQ$29</f>
        <v>0.59290902417904257</v>
      </c>
      <c r="L67" s="1225">
        <f t="shared" si="120"/>
        <v>0.84009684454997624</v>
      </c>
      <c r="M67" s="1225">
        <f t="shared" ref="M67" si="141" xml:space="preserve"> 200 * ( L66 - L67 )</f>
        <v>-0.32211396547114912</v>
      </c>
      <c r="N67" s="1223">
        <f xml:space="preserve"> I65/100 *  0.0557 + I66/100 * -0.204 + I67/100 *  1.057</f>
        <v>0.59319027638109834</v>
      </c>
      <c r="O67" s="1226">
        <f t="shared" si="122"/>
        <v>202.39139072207513</v>
      </c>
      <c r="P67" s="4"/>
      <c r="Q67" s="1351">
        <v>3527.6001000000001</v>
      </c>
      <c r="R67" s="730">
        <f t="shared" ref="R67:R79" si="142">Q67/SUM(Q65:Q67)*255</f>
        <v>89.119641811448432</v>
      </c>
      <c r="S67" s="412">
        <f t="shared" si="124"/>
        <v>0.34948879141744482</v>
      </c>
      <c r="T67" s="412">
        <f t="shared" si="131"/>
        <v>10.017738175082599</v>
      </c>
      <c r="U67" s="412">
        <v>10.914263319076147</v>
      </c>
      <c r="V67" s="412">
        <f>U67/$AQ$29</f>
        <v>0.10023845154042547</v>
      </c>
      <c r="W67" s="412">
        <f t="shared" si="125"/>
        <v>0.46452752184410767</v>
      </c>
      <c r="X67" s="412">
        <f xml:space="preserve"> 200 * ( W66 - W67 )</f>
        <v>-0.82694611515946592</v>
      </c>
      <c r="Y67" s="412"/>
      <c r="Z67" s="446">
        <f t="shared" si="127"/>
        <v>202.39139072207513</v>
      </c>
      <c r="AA67" s="635">
        <v>72.607660407442111</v>
      </c>
      <c r="AB67" s="635">
        <f>AA67/$AQ$29</f>
        <v>0.66684110841400512</v>
      </c>
      <c r="AC67" s="635">
        <f t="shared" si="128"/>
        <v>0.87365665254287284</v>
      </c>
      <c r="AD67" s="635">
        <f xml:space="preserve"> 200 * ( AC66 - AC67 )</f>
        <v>-1.6246538402910016</v>
      </c>
      <c r="AE67" s="635">
        <f t="shared" si="135"/>
        <v>0.66919624336833805</v>
      </c>
      <c r="AF67" s="636">
        <f t="shared" si="132"/>
        <v>213.54059138748531</v>
      </c>
      <c r="AG67" s="637"/>
      <c r="AH67" s="661"/>
      <c r="AN67" s="663"/>
      <c r="AO67" s="663"/>
      <c r="AP67" s="663"/>
      <c r="AQ67" s="663"/>
      <c r="AR67" s="663"/>
      <c r="AS67" s="663"/>
      <c r="AT67" s="663"/>
      <c r="AU67" s="663"/>
      <c r="AV67" s="663"/>
      <c r="AW67" s="663"/>
      <c r="AX67" s="663"/>
      <c r="AY67" s="664"/>
      <c r="AZ67" s="664"/>
      <c r="BA67" s="664"/>
      <c r="BB67" s="664"/>
      <c r="BC67" s="664"/>
      <c r="BD67" s="664"/>
      <c r="BE67" s="664"/>
      <c r="BF67" s="664"/>
      <c r="BG67" s="664"/>
      <c r="BH67" s="665"/>
      <c r="BI67" s="665"/>
    </row>
    <row r="68" spans="1:61">
      <c r="A68" s="92">
        <v>21</v>
      </c>
      <c r="B68" s="93" t="s">
        <v>131</v>
      </c>
      <c r="C68" s="1379"/>
      <c r="D68" s="382">
        <f t="shared" si="1"/>
        <v>160.69389383573181</v>
      </c>
      <c r="E68" s="370">
        <v>66.766000000000005</v>
      </c>
      <c r="F68" s="1215">
        <f xml:space="preserve"> E69 / 500 + F69</f>
        <v>0.712032</v>
      </c>
      <c r="G68" s="1215">
        <f>IF(F68^3&gt;0.008856,F68^3*$AQ$23, (F68- 16 / 116 ) / 7.787*$AQ$23)</f>
        <v>34.807647454138859</v>
      </c>
      <c r="H68" s="1216">
        <f>G68/SUM(G68:G70)</f>
        <v>0.34319113984126032</v>
      </c>
      <c r="I68" s="1342">
        <f t="array" ref="I68:I70">MMULT($AQ$34:$AS$36,G68:G70)</f>
        <v>34.337921099816981</v>
      </c>
      <c r="J68" s="1216">
        <f>I68/SUM(I68:I70)</f>
        <v>0.31034444818578666</v>
      </c>
      <c r="K68" s="1217">
        <f>I68/$AQ$27</f>
        <v>0.36127306595491687</v>
      </c>
      <c r="L68" s="1217">
        <f t="shared" si="120"/>
        <v>0.71221622249017846</v>
      </c>
      <c r="M68" s="1217">
        <f t="shared" ref="M68" si="143" xml:space="preserve"> 116 * L69  - 16</f>
        <v>66.775721536939102</v>
      </c>
      <c r="N68" s="1215">
        <f>I68/100*  3.2406 + I69/100 * -1.5372 + I70/100 * -0.4986</f>
        <v>0.35490601129233601</v>
      </c>
      <c r="O68" s="1218">
        <f t="shared" si="122"/>
        <v>160.69389383573181</v>
      </c>
      <c r="P68" s="4"/>
      <c r="Q68" s="1349">
        <v>1724.2</v>
      </c>
      <c r="R68" s="731">
        <f t="shared" si="137"/>
        <v>73.378784338596091</v>
      </c>
      <c r="S68" s="413">
        <f t="shared" si="124"/>
        <v>0.28775993858272975</v>
      </c>
      <c r="T68" s="413">
        <f t="shared" si="131"/>
        <v>6.7324049726416426</v>
      </c>
      <c r="U68" s="413">
        <f t="array" ref="U68:U70">MMULT($AQ$47:$AS$49,T68:T70)</f>
        <v>8.3954844884075257</v>
      </c>
      <c r="V68" s="413">
        <f>U68/$AQ$27</f>
        <v>8.8329820913942855E-2</v>
      </c>
      <c r="W68" s="413">
        <f t="shared" si="125"/>
        <v>0.4453510186086227</v>
      </c>
      <c r="X68" s="413">
        <f xml:space="preserve"> 116 * W69  - 16</f>
        <v>37.271565300893492</v>
      </c>
      <c r="Y68" s="413">
        <f t="shared" si="138"/>
        <v>30.192524722459623</v>
      </c>
      <c r="Z68" s="447">
        <f t="shared" si="127"/>
        <v>160.69389383573181</v>
      </c>
      <c r="AA68" s="638">
        <f t="array" ref="AA68:AA70">MMULT($AP$14:$AR$16,Q68:Q70)</f>
        <v>36.039737587740198</v>
      </c>
      <c r="AB68" s="638">
        <f>AA68/$AQ$27</f>
        <v>0.3791780654596168</v>
      </c>
      <c r="AC68" s="638">
        <f t="shared" si="128"/>
        <v>0.72379303925637561</v>
      </c>
      <c r="AD68" s="638">
        <f xml:space="preserve"> 116 * AC69  - 16</f>
        <v>68.147897520982255</v>
      </c>
      <c r="AE68" s="638">
        <f t="shared" si="135"/>
        <v>0.2689369828783521</v>
      </c>
      <c r="AF68" s="639">
        <f t="shared" si="132"/>
        <v>141.62424803461485</v>
      </c>
      <c r="AG68" s="640">
        <f>SQRT(( ( M68-AD68 ) ^ 2 ) + ( ( M69 - AD69 ) ^ 2 ) + ( (M70 - AD70 ) ^ 2 ))</f>
        <v>2.7962355162049111</v>
      </c>
      <c r="AH68" s="661"/>
      <c r="AN68" s="663"/>
      <c r="AO68" s="663"/>
      <c r="AP68" s="663"/>
      <c r="AQ68" s="663"/>
      <c r="AR68" s="663"/>
      <c r="AS68" s="663"/>
      <c r="AT68" s="663"/>
      <c r="AU68" s="663"/>
      <c r="AV68" s="663"/>
      <c r="AW68" s="663"/>
      <c r="AX68" s="663"/>
      <c r="AY68" s="664"/>
      <c r="AZ68" s="664"/>
      <c r="BA68" s="664"/>
      <c r="BB68" s="664"/>
      <c r="BC68" s="664"/>
      <c r="BD68" s="664"/>
      <c r="BE68" s="664"/>
      <c r="BF68" s="664"/>
      <c r="BG68" s="664"/>
      <c r="BH68" s="665"/>
      <c r="BI68" s="665"/>
    </row>
    <row r="69" spans="1:61">
      <c r="A69" s="94"/>
      <c r="B69" s="95"/>
      <c r="C69" s="1379"/>
      <c r="D69" s="383">
        <f t="shared" si="1"/>
        <v>162.84331466380013</v>
      </c>
      <c r="E69" s="371">
        <v>-0.73399999999999999</v>
      </c>
      <c r="F69" s="1219">
        <f xml:space="preserve"> (E68  + 16 ) / 116</f>
        <v>0.71350000000000002</v>
      </c>
      <c r="G69" s="1219">
        <f>IF(F69^3&gt;0.008856,F69^3*$AQ$24, (F69- 16 / 116 ) / 7.787*$AQ$24)</f>
        <v>36.323018537500005</v>
      </c>
      <c r="H69" s="1220">
        <f>G69/SUM(G68:G70)</f>
        <v>0.35813216480039922</v>
      </c>
      <c r="I69" s="1343">
        <v>36.335819338953193</v>
      </c>
      <c r="J69" s="1220">
        <f>I69/SUM(I68:I70)</f>
        <v>0.32840135456499631</v>
      </c>
      <c r="K69" s="1221">
        <f>I69/$AQ$28</f>
        <v>0.36335819338953196</v>
      </c>
      <c r="L69" s="1221">
        <f t="shared" si="120"/>
        <v>0.71358380635292329</v>
      </c>
      <c r="M69" s="1221">
        <f t="shared" ref="M69" si="144" xml:space="preserve"> 500 * (L68 - L69 )</f>
        <v>-0.68379193137241279</v>
      </c>
      <c r="N69" s="1219">
        <f xml:space="preserve"> I68/100 * -0.9689 + I69/100*  1.8758 + I70/100 *  0.0415</f>
        <v>0.36547506663615681</v>
      </c>
      <c r="O69" s="1222">
        <f t="shared" si="122"/>
        <v>162.84331466380013</v>
      </c>
      <c r="P69" s="4"/>
      <c r="Q69" s="1350">
        <v>2141.8000000000002</v>
      </c>
      <c r="R69" s="731">
        <f t="shared" si="140"/>
        <v>91.151073133282154</v>
      </c>
      <c r="S69" s="413">
        <f t="shared" si="124"/>
        <v>0.35745518875796922</v>
      </c>
      <c r="T69" s="413">
        <f t="shared" si="131"/>
        <v>10.497801303261923</v>
      </c>
      <c r="U69" s="413">
        <v>9.6852850352784863</v>
      </c>
      <c r="V69" s="413">
        <f>U69/$AQ$28</f>
        <v>9.6852850352784861E-2</v>
      </c>
      <c r="W69" s="413">
        <f t="shared" si="125"/>
        <v>0.45923763190425426</v>
      </c>
      <c r="X69" s="413">
        <f xml:space="preserve"> 500 * (W68 - W69 )</f>
        <v>-6.943306647815783</v>
      </c>
      <c r="Y69" s="413"/>
      <c r="Z69" s="447">
        <f t="shared" si="127"/>
        <v>162.84331466380013</v>
      </c>
      <c r="AA69" s="638">
        <v>38.172960282155032</v>
      </c>
      <c r="AB69" s="638">
        <f>AA69/$AQ$28</f>
        <v>0.38172960282155033</v>
      </c>
      <c r="AC69" s="638">
        <f t="shared" si="128"/>
        <v>0.72541290966364014</v>
      </c>
      <c r="AD69" s="638">
        <f xml:space="preserve"> 500 * (AC68 - AC69 )</f>
        <v>-0.80993520363226157</v>
      </c>
      <c r="AE69" s="638">
        <f t="shared" si="135"/>
        <v>0.37040959235033394</v>
      </c>
      <c r="AF69" s="639">
        <f t="shared" si="132"/>
        <v>163.83443175336936</v>
      </c>
      <c r="AG69" s="640"/>
      <c r="AH69" s="661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4"/>
      <c r="AZ69" s="664"/>
      <c r="BA69" s="664"/>
      <c r="BB69" s="664"/>
      <c r="BC69" s="664"/>
      <c r="BD69" s="664"/>
      <c r="BE69" s="664"/>
      <c r="BF69" s="664"/>
      <c r="BG69" s="664"/>
      <c r="BH69" s="665"/>
      <c r="BI69" s="665"/>
    </row>
    <row r="70" spans="1:61" ht="15.75" thickBot="1">
      <c r="A70" s="96"/>
      <c r="B70" s="97"/>
      <c r="C70" s="1379"/>
      <c r="D70" s="384">
        <f t="shared" ref="D70:D79" si="145">O70</f>
        <v>163.24947770284862</v>
      </c>
      <c r="E70" s="372">
        <v>-0.504</v>
      </c>
      <c r="F70" s="1223">
        <f>F69 - E70 / 200</f>
        <v>0.71601999999999999</v>
      </c>
      <c r="G70" s="1223">
        <f>IF(F70^3&gt;0.008856,F70^3*$AQ$25, (F70- 16 / 116 ) / 7.787*$AQ$25)</f>
        <v>30.292836579665259</v>
      </c>
      <c r="H70" s="1224">
        <f>G69</f>
        <v>36.323018537500005</v>
      </c>
      <c r="I70" s="1344">
        <v>39.970807258312185</v>
      </c>
      <c r="J70" s="1224">
        <f>I69</f>
        <v>36.335819338953193</v>
      </c>
      <c r="K70" s="1225">
        <f>I70/$AQ$29</f>
        <v>0.36709869546496871</v>
      </c>
      <c r="L70" s="1225">
        <f t="shared" si="120"/>
        <v>0.71602405656155932</v>
      </c>
      <c r="M70" s="1225">
        <f t="shared" ref="M70" si="146" xml:space="preserve"> 200 * ( L69 - L70 )</f>
        <v>-0.48805004172720601</v>
      </c>
      <c r="N70" s="1223">
        <f xml:space="preserve"> I68/100 *  0.0557 + I69/100 * -0.204 + I70/100 *  1.057</f>
        <v>0.36749258332149332</v>
      </c>
      <c r="O70" s="1226">
        <f t="shared" si="122"/>
        <v>163.24947770284862</v>
      </c>
      <c r="P70" s="4"/>
      <c r="Q70" s="1351">
        <v>2125.8000000000002</v>
      </c>
      <c r="R70" s="731">
        <f t="shared" si="142"/>
        <v>90.470142528121784</v>
      </c>
      <c r="S70" s="413">
        <f t="shared" si="124"/>
        <v>0.35478487265930109</v>
      </c>
      <c r="T70" s="413">
        <f t="shared" si="131"/>
        <v>10.335424296248512</v>
      </c>
      <c r="U70" s="413">
        <v>11.203213661403526</v>
      </c>
      <c r="V70" s="413">
        <f>U70/$AQ$29</f>
        <v>0.10289222065339425</v>
      </c>
      <c r="W70" s="413">
        <f t="shared" si="125"/>
        <v>0.46859125580085054</v>
      </c>
      <c r="X70" s="413">
        <f xml:space="preserve"> 200 * ( W69 - W70 )</f>
        <v>-1.870724779319255</v>
      </c>
      <c r="Y70" s="413"/>
      <c r="Z70" s="447">
        <f t="shared" ref="Z70:Z79" si="147">O70</f>
        <v>163.24947770284862</v>
      </c>
      <c r="AA70" s="638">
        <v>44.125375412351872</v>
      </c>
      <c r="AB70" s="638">
        <f>AA70/$AQ$29</f>
        <v>0.40525495635087089</v>
      </c>
      <c r="AC70" s="638">
        <f t="shared" si="128"/>
        <v>0.74001884317179178</v>
      </c>
      <c r="AD70" s="638">
        <f xml:space="preserve"> 200 * ( AC69 - AC70 )</f>
        <v>-2.9211867016303295</v>
      </c>
      <c r="AE70" s="638">
        <f t="shared" si="135"/>
        <v>0.40860651296933426</v>
      </c>
      <c r="AF70" s="639">
        <f t="shared" si="132"/>
        <v>171.25839879808282</v>
      </c>
      <c r="AG70" s="640"/>
      <c r="AH70" s="661"/>
      <c r="AN70" s="663"/>
      <c r="AO70" s="663"/>
      <c r="AP70" s="663"/>
      <c r="AQ70" s="663"/>
      <c r="AR70" s="663"/>
      <c r="AS70" s="663"/>
      <c r="AT70" s="663"/>
      <c r="AU70" s="663"/>
      <c r="AV70" s="663"/>
      <c r="AW70" s="663"/>
      <c r="AX70" s="663"/>
      <c r="AY70" s="664"/>
      <c r="AZ70" s="664"/>
      <c r="BA70" s="664"/>
      <c r="BB70" s="664"/>
      <c r="BC70" s="664"/>
      <c r="BD70" s="664"/>
      <c r="BE70" s="664"/>
      <c r="BF70" s="664"/>
      <c r="BG70" s="664"/>
      <c r="BH70" s="665"/>
      <c r="BI70" s="665"/>
    </row>
    <row r="71" spans="1:61">
      <c r="A71" s="92">
        <v>22</v>
      </c>
      <c r="B71" s="93" t="s">
        <v>132</v>
      </c>
      <c r="C71" s="1380"/>
      <c r="D71" s="382">
        <f t="shared" si="145"/>
        <v>120.66757106732852</v>
      </c>
      <c r="E71" s="370">
        <v>50.866999999999997</v>
      </c>
      <c r="F71" s="1215">
        <f xml:space="preserve"> E72 / 500 + F72</f>
        <v>0.57613365517241366</v>
      </c>
      <c r="G71" s="1215">
        <f>IF(F71^3&gt;0.008856,F71^3*$AQ$23, (F71- 16 / 116 ) / 7.787*$AQ$23)</f>
        <v>18.43936121807641</v>
      </c>
      <c r="H71" s="1216">
        <f>G71/SUM(G71:G73)</f>
        <v>0.34459067138088834</v>
      </c>
      <c r="I71" s="1342">
        <f t="array" ref="I71:I73">MMULT($AQ$34:$AS$36,G71:G73)</f>
        <v>18.184329325516259</v>
      </c>
      <c r="J71" s="1216">
        <f>I71/SUM(I71:I73)</f>
        <v>0.31167001185498577</v>
      </c>
      <c r="K71" s="1217">
        <f>I71/$AQ$27</f>
        <v>0.19131934017397981</v>
      </c>
      <c r="L71" s="1217">
        <f t="shared" si="120"/>
        <v>0.57621729778570396</v>
      </c>
      <c r="M71" s="1217">
        <f t="shared" ref="M71" si="148" xml:space="preserve"> 116 * L72  - 16</f>
        <v>50.870690052543708</v>
      </c>
      <c r="N71" s="1215">
        <f>I71/100*  3.2406 + I72/100 * -1.5372 + I73/100 * -0.4986</f>
        <v>0.19007386551273386</v>
      </c>
      <c r="O71" s="1218">
        <f t="shared" si="122"/>
        <v>120.66757106732852</v>
      </c>
      <c r="P71" s="4"/>
      <c r="Q71" s="1349">
        <v>927.6</v>
      </c>
      <c r="R71" s="732">
        <f t="shared" si="137"/>
        <v>73.752182589174367</v>
      </c>
      <c r="S71" s="414">
        <f t="shared" si="124"/>
        <v>0.28922424544774261</v>
      </c>
      <c r="T71" s="414">
        <f t="shared" si="131"/>
        <v>6.8016392337245488</v>
      </c>
      <c r="U71" s="414">
        <f t="array" ref="U71:U73">MMULT($AQ$47:$AS$49,T71:T73)</f>
        <v>8.3782925600169182</v>
      </c>
      <c r="V71" s="414">
        <f>U71/$AQ$27</f>
        <v>8.8148942733772953E-2</v>
      </c>
      <c r="W71" s="414">
        <f t="shared" si="125"/>
        <v>0.44504682036300952</v>
      </c>
      <c r="X71" s="414">
        <f xml:space="preserve"> 116 * W72  - 16</f>
        <v>37.088794726565048</v>
      </c>
      <c r="Y71" s="414">
        <f t="shared" si="138"/>
        <v>15.246255514277227</v>
      </c>
      <c r="Z71" s="448">
        <f t="shared" si="147"/>
        <v>120.66757106732852</v>
      </c>
      <c r="AA71" s="641">
        <f t="array" ref="AA71:AA73">MMULT($AP$14:$AR$16,Q71:Q73)</f>
        <v>19.32365574640929</v>
      </c>
      <c r="AB71" s="641">
        <f>AA71/$AQ$27</f>
        <v>0.2033063194673087</v>
      </c>
      <c r="AC71" s="641">
        <f t="shared" si="128"/>
        <v>0.58800852975897877</v>
      </c>
      <c r="AD71" s="641">
        <f xml:space="preserve"> 116 * AC72  - 16</f>
        <v>52.17118996403731</v>
      </c>
      <c r="AE71" s="641">
        <f t="shared" si="135"/>
        <v>0.13549761427550872</v>
      </c>
      <c r="AF71" s="642">
        <f t="shared" si="132"/>
        <v>102.95119583967687</v>
      </c>
      <c r="AG71" s="643">
        <f>SQRT(( ( M71-AD71 ) ^ 2 ) + ( ( M72 - AD72 ) ^ 2 ) + ( (M73 - AD73 ) ^ 2 ))</f>
        <v>2.9446160640865218</v>
      </c>
      <c r="AH71" s="661"/>
      <c r="AN71" s="663"/>
      <c r="AO71" s="663"/>
      <c r="AP71" s="663"/>
      <c r="AQ71" s="663"/>
      <c r="AR71" s="663"/>
      <c r="AS71" s="663"/>
      <c r="AT71" s="663"/>
      <c r="AU71" s="663"/>
      <c r="AV71" s="663"/>
      <c r="AW71" s="663"/>
      <c r="AX71" s="663"/>
      <c r="AY71" s="664"/>
      <c r="AZ71" s="664"/>
      <c r="BA71" s="664"/>
      <c r="BB71" s="664"/>
      <c r="BC71" s="664"/>
      <c r="BD71" s="664"/>
      <c r="BE71" s="664"/>
      <c r="BF71" s="664"/>
      <c r="BG71" s="664"/>
      <c r="BH71" s="665"/>
      <c r="BI71" s="665"/>
    </row>
    <row r="72" spans="1:61">
      <c r="A72" s="94"/>
      <c r="B72" s="95"/>
      <c r="C72" s="1380"/>
      <c r="D72" s="383">
        <f t="shared" si="145"/>
        <v>121.19947386215865</v>
      </c>
      <c r="E72" s="371">
        <v>-0.153</v>
      </c>
      <c r="F72" s="1219">
        <f xml:space="preserve"> (E71  + 16 ) / 116</f>
        <v>0.57643965517241369</v>
      </c>
      <c r="G72" s="1219">
        <f>IF(F72^3&gt;0.008856,F72^3*$AQ$24, (F72- 16 / 116 ) / 7.787*$AQ$24)</f>
        <v>19.154091120507889</v>
      </c>
      <c r="H72" s="1220">
        <f>G72/SUM(G71:G73)</f>
        <v>0.35794738444822705</v>
      </c>
      <c r="I72" s="1343">
        <v>19.157262348610743</v>
      </c>
      <c r="J72" s="1220">
        <f>I72/SUM(I71:I73)</f>
        <v>0.32834558131997932</v>
      </c>
      <c r="K72" s="1221">
        <f>I72/$AQ$28</f>
        <v>0.19157262348610743</v>
      </c>
      <c r="L72" s="1221">
        <f t="shared" si="120"/>
        <v>0.57647146597020438</v>
      </c>
      <c r="M72" s="1221">
        <f t="shared" ref="M72" si="149" xml:space="preserve"> 500 * (L71 - L72 )</f>
        <v>-0.127084092250207</v>
      </c>
      <c r="N72" s="1219">
        <f xml:space="preserve"> I71/100 * -0.9689 + I72/100*  1.8758 + I73/100 *  0.0415</f>
        <v>0.1918802981706797</v>
      </c>
      <c r="O72" s="1222">
        <f t="shared" si="122"/>
        <v>121.19947386215865</v>
      </c>
      <c r="P72" s="4"/>
      <c r="Q72" s="1350">
        <v>1137.5999999999999</v>
      </c>
      <c r="R72" s="732">
        <f t="shared" si="140"/>
        <v>90.448989773010723</v>
      </c>
      <c r="S72" s="414">
        <f t="shared" si="124"/>
        <v>0.35470192067847345</v>
      </c>
      <c r="T72" s="414">
        <f t="shared" si="131"/>
        <v>10.330403774546442</v>
      </c>
      <c r="U72" s="414">
        <v>9.5859383006245835</v>
      </c>
      <c r="V72" s="414">
        <f>U72/$AQ$28</f>
        <v>9.585938300624583E-2</v>
      </c>
      <c r="W72" s="414">
        <f t="shared" si="125"/>
        <v>0.45766202350487112</v>
      </c>
      <c r="X72" s="414">
        <f xml:space="preserve"> 500 * (W71 - W72 )</f>
        <v>-6.3076015709307987</v>
      </c>
      <c r="Y72" s="414"/>
      <c r="Z72" s="448">
        <f t="shared" si="147"/>
        <v>121.19947386215865</v>
      </c>
      <c r="AA72" s="641">
        <v>20.296850694908038</v>
      </c>
      <c r="AB72" s="641">
        <f>AA72/$AQ$28</f>
        <v>0.20296850694908039</v>
      </c>
      <c r="AC72" s="641">
        <f t="shared" si="128"/>
        <v>0.5876826721037699</v>
      </c>
      <c r="AD72" s="641">
        <f xml:space="preserve"> 500 * (AC71 - AC72 )</f>
        <v>0.16292882760443606</v>
      </c>
      <c r="AE72" s="641">
        <f t="shared" si="135"/>
        <v>0.19969528822718299</v>
      </c>
      <c r="AF72" s="642">
        <f t="shared" si="132"/>
        <v>123.46757032277385</v>
      </c>
      <c r="AG72" s="643"/>
      <c r="AH72" s="661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4"/>
      <c r="AZ72" s="664"/>
      <c r="BA72" s="664"/>
      <c r="BB72" s="664"/>
      <c r="BC72" s="664"/>
      <c r="BD72" s="664"/>
      <c r="BE72" s="664"/>
      <c r="BF72" s="664"/>
      <c r="BG72" s="664"/>
      <c r="BH72" s="665"/>
      <c r="BI72" s="665"/>
    </row>
    <row r="73" spans="1:61" ht="15.75" thickBot="1">
      <c r="A73" s="96"/>
      <c r="B73" s="97"/>
      <c r="C73" s="1380"/>
      <c r="D73" s="384">
        <f t="shared" si="145"/>
        <v>121.54290035174313</v>
      </c>
      <c r="E73" s="372">
        <v>-0.27</v>
      </c>
      <c r="F73" s="1223">
        <f>F72 - E73 / 200</f>
        <v>0.57778965517241365</v>
      </c>
      <c r="G73" s="1223">
        <f>IF(F73^3&gt;0.008856,F73^3*$AQ$25, (F73- 16 / 116 ) / 7.787*$AQ$25)</f>
        <v>15.917460026465561</v>
      </c>
      <c r="H73" s="1224">
        <f>G72</f>
        <v>19.154091120507889</v>
      </c>
      <c r="I73" s="1344">
        <v>21.003223784015592</v>
      </c>
      <c r="J73" s="1224">
        <f>I72</f>
        <v>19.157262348610743</v>
      </c>
      <c r="K73" s="1225">
        <f>I73/$AQ$29</f>
        <v>0.19289718123137306</v>
      </c>
      <c r="L73" s="1225">
        <f t="shared" si="120"/>
        <v>0.57779701491624003</v>
      </c>
      <c r="M73" s="1225">
        <f t="shared" ref="M73" si="150" xml:space="preserve"> 200 * ( L72 - L73 )</f>
        <v>-0.26510978920712969</v>
      </c>
      <c r="N73" s="1223">
        <f xml:space="preserve"> I71/100 *  0.0557 + I72/100 * -0.204 + I73/100 *  1.057</f>
        <v>0.19305193164019147</v>
      </c>
      <c r="O73" s="1226">
        <f t="shared" si="122"/>
        <v>121.54290035174313</v>
      </c>
      <c r="P73" s="4"/>
      <c r="Q73" s="1351">
        <v>1142</v>
      </c>
      <c r="R73" s="732">
        <f t="shared" si="142"/>
        <v>90.798827637814924</v>
      </c>
      <c r="S73" s="414">
        <f t="shared" si="124"/>
        <v>0.356073833873784</v>
      </c>
      <c r="T73" s="414">
        <f t="shared" si="131"/>
        <v>10.4136193111107</v>
      </c>
      <c r="U73" s="414">
        <v>11.258908826664321</v>
      </c>
      <c r="V73" s="414">
        <f>U73/$AQ$29</f>
        <v>0.10340373452847847</v>
      </c>
      <c r="W73" s="414">
        <f t="shared" si="125"/>
        <v>0.4693664839137241</v>
      </c>
      <c r="X73" s="414">
        <f xml:space="preserve"> 200 * ( W72 - W73 )</f>
        <v>-2.3408920817705958</v>
      </c>
      <c r="Y73" s="414"/>
      <c r="Z73" s="448">
        <f t="shared" si="147"/>
        <v>121.54290035174313</v>
      </c>
      <c r="AA73" s="641">
        <v>23.771007719191822</v>
      </c>
      <c r="AB73" s="641">
        <f>AA73/$AQ$29</f>
        <v>0.21831697987006074</v>
      </c>
      <c r="AC73" s="641">
        <f t="shared" si="128"/>
        <v>0.60213772623031303</v>
      </c>
      <c r="AD73" s="641">
        <f xml:space="preserve"> 200 * ( AC72 - AC73 )</f>
        <v>-2.8910108253086264</v>
      </c>
      <c r="AE73" s="641">
        <f t="shared" si="135"/>
        <v>0.22061725242499511</v>
      </c>
      <c r="AF73" s="642">
        <f t="shared" si="132"/>
        <v>129.29575474665538</v>
      </c>
      <c r="AG73" s="643"/>
      <c r="AH73" s="661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4"/>
      <c r="AZ73" s="664"/>
      <c r="BA73" s="664"/>
      <c r="BB73" s="664"/>
      <c r="BC73" s="664"/>
      <c r="BD73" s="664"/>
      <c r="BE73" s="664"/>
      <c r="BF73" s="664"/>
      <c r="BG73" s="664"/>
      <c r="BH73" s="665"/>
      <c r="BI73" s="665"/>
    </row>
    <row r="74" spans="1:61">
      <c r="A74" s="92">
        <v>23</v>
      </c>
      <c r="B74" s="93" t="s">
        <v>133</v>
      </c>
      <c r="C74" s="1381"/>
      <c r="D74" s="382">
        <f t="shared" si="145"/>
        <v>82.432760070363386</v>
      </c>
      <c r="E74" s="370">
        <v>35.655999999999999</v>
      </c>
      <c r="F74" s="1215">
        <f xml:space="preserve"> E75 / 500 + F75</f>
        <v>0.44446834482758618</v>
      </c>
      <c r="G74" s="1215">
        <f>IF(F74^3&gt;0.008856,F74^3*$AQ$23, (F74- 16 / 116 ) / 7.787*$AQ$23)</f>
        <v>8.4663972666156759</v>
      </c>
      <c r="H74" s="1216">
        <f>G74/SUM(G74:G76)</f>
        <v>0.34014730083358202</v>
      </c>
      <c r="I74" s="1342">
        <f t="array" ref="I74:I76">MMULT($AQ$34:$AS$36,G74:G76)</f>
        <v>8.3664692366306088</v>
      </c>
      <c r="J74" s="1216">
        <f>I74/SUM(I74:I76)</f>
        <v>0.30728973096477313</v>
      </c>
      <c r="K74" s="1217">
        <f>I74/$AQ$27</f>
        <v>8.8024548240666287E-2</v>
      </c>
      <c r="L74" s="1217">
        <f t="shared" si="120"/>
        <v>0.44483737396442985</v>
      </c>
      <c r="M74" s="1217">
        <f t="shared" ref="M74" si="151" xml:space="preserve"> 116 * L75  - 16</f>
        <v>35.671205048177505</v>
      </c>
      <c r="N74" s="1215">
        <f>I74/100*  3.2406 + I75/100 * -1.5372 + I76/100 * -0.4986</f>
        <v>8.5291721079064992E-2</v>
      </c>
      <c r="O74" s="1218">
        <f t="shared" si="122"/>
        <v>82.432760070363386</v>
      </c>
      <c r="P74" s="4"/>
      <c r="Q74" s="1349">
        <v>424</v>
      </c>
      <c r="R74" s="733">
        <f t="shared" si="137"/>
        <v>71.735668789808912</v>
      </c>
      <c r="S74" s="415">
        <f t="shared" si="124"/>
        <v>0.28131634819532908</v>
      </c>
      <c r="T74" s="415">
        <f t="shared" si="131"/>
        <v>6.4326399819894382</v>
      </c>
      <c r="U74" s="415">
        <f t="array" ref="U74:U76">MMULT($AQ$47:$AS$49,T74:T76)</f>
        <v>8.2962487725642475</v>
      </c>
      <c r="V74" s="415">
        <f>U74/$AQ$27</f>
        <v>8.728575097124841E-2</v>
      </c>
      <c r="W74" s="415">
        <f t="shared" si="125"/>
        <v>0.44358935697251828</v>
      </c>
      <c r="X74" s="415">
        <f xml:space="preserve"> 116 * W75  - 16</f>
        <v>36.88472738451167</v>
      </c>
      <c r="Y74" s="415">
        <f t="shared" si="138"/>
        <v>6.6782998844132804</v>
      </c>
      <c r="Z74" s="449">
        <f t="shared" si="147"/>
        <v>82.432760070363386</v>
      </c>
      <c r="AA74" s="644">
        <f t="array" ref="AA74:AA76">MMULT($AP$14:$AR$16,Q74:Q76)</f>
        <v>8.9801538760424897</v>
      </c>
      <c r="AB74" s="644">
        <f>AA74/$AQ$27</f>
        <v>9.4481192210616752E-2</v>
      </c>
      <c r="AC74" s="644">
        <f t="shared" si="128"/>
        <v>0.45545812603790781</v>
      </c>
      <c r="AD74" s="644">
        <f xml:space="preserve"> 116 * AC75  - 16</f>
        <v>36.74906399028071</v>
      </c>
      <c r="AE74" s="644">
        <f t="shared" si="135"/>
        <v>5.7732716559681582E-2</v>
      </c>
      <c r="AF74" s="645">
        <f t="shared" si="132"/>
        <v>67.956992756460124</v>
      </c>
      <c r="AG74" s="646">
        <f>SQRT(( ( M74-AD74 ) ^ 2 ) + ( ( M75 - AD75 ) ^ 2 ) + ( (M76 - AD76 ) ^ 2 ))</f>
        <v>3.0317763076524273</v>
      </c>
      <c r="AH74" s="661"/>
      <c r="AN74" s="663"/>
      <c r="AO74" s="663"/>
      <c r="AP74" s="663"/>
      <c r="AQ74" s="663"/>
      <c r="AR74" s="663"/>
      <c r="AS74" s="663"/>
      <c r="AT74" s="663"/>
      <c r="AU74" s="663"/>
      <c r="AV74" s="663"/>
      <c r="AW74" s="663"/>
      <c r="AX74" s="663"/>
      <c r="AY74" s="664"/>
      <c r="AZ74" s="664"/>
      <c r="BA74" s="664"/>
      <c r="BB74" s="664"/>
      <c r="BC74" s="664"/>
      <c r="BD74" s="664"/>
      <c r="BE74" s="664"/>
      <c r="BF74" s="664"/>
      <c r="BG74" s="664"/>
      <c r="BH74" s="665"/>
      <c r="BI74" s="665"/>
    </row>
    <row r="75" spans="1:61">
      <c r="A75" s="94"/>
      <c r="B75" s="95"/>
      <c r="C75" s="1381"/>
      <c r="D75" s="383">
        <f t="shared" si="145"/>
        <v>84.106225276765315</v>
      </c>
      <c r="E75" s="371">
        <v>-0.42099999999999999</v>
      </c>
      <c r="F75" s="1219">
        <f xml:space="preserve"> (E74  + 16 ) / 116</f>
        <v>0.44531034482758619</v>
      </c>
      <c r="G75" s="1219">
        <f>IF(F75^3&gt;0.008856,F75^3*$AQ$24, (F75- 16 / 116 ) / 7.787*$AQ$24)</f>
        <v>8.830562171241132</v>
      </c>
      <c r="H75" s="1220">
        <f>G75/SUM(G74:G76)</f>
        <v>0.35477804700174326</v>
      </c>
      <c r="I75" s="1343">
        <v>8.8383623483462674</v>
      </c>
      <c r="J75" s="1220">
        <f>I75/SUM(I74:I76)</f>
        <v>0.32462176234407364</v>
      </c>
      <c r="K75" s="1221">
        <f>I75/$AQ$28</f>
        <v>8.8383623483462681E-2</v>
      </c>
      <c r="L75" s="1221">
        <f t="shared" si="120"/>
        <v>0.44544142282911642</v>
      </c>
      <c r="M75" s="1221">
        <f t="shared" ref="M75" si="152" xml:space="preserve"> 500 * (L74 - L75 )</f>
        <v>-0.30202443234328413</v>
      </c>
      <c r="N75" s="1219">
        <f xml:space="preserve"> I74/100 * -0.9689 + I75/100*  1.8758 + I76/100 *  0.0415</f>
        <v>8.8886334170558357E-2</v>
      </c>
      <c r="O75" s="1222">
        <f t="shared" si="122"/>
        <v>84.106225276765315</v>
      </c>
      <c r="P75" s="4"/>
      <c r="Q75" s="1350">
        <v>532</v>
      </c>
      <c r="R75" s="733">
        <f t="shared" si="140"/>
        <v>90.007961783439484</v>
      </c>
      <c r="S75" s="415">
        <f t="shared" si="124"/>
        <v>0.35297239915074308</v>
      </c>
      <c r="T75" s="415">
        <f t="shared" si="131"/>
        <v>10.226051480749787</v>
      </c>
      <c r="U75" s="415">
        <v>9.4758208678815432</v>
      </c>
      <c r="V75" s="415">
        <f>U75/$AQ$28</f>
        <v>9.4758208678815431E-2</v>
      </c>
      <c r="W75" s="415">
        <f t="shared" si="125"/>
        <v>0.45590282228027301</v>
      </c>
      <c r="X75" s="415">
        <f xml:space="preserve"> 500 * (W74 - W75 )</f>
        <v>-6.1567326538773672</v>
      </c>
      <c r="Y75" s="415"/>
      <c r="Z75" s="449">
        <f t="shared" si="147"/>
        <v>84.106225276765315</v>
      </c>
      <c r="AA75" s="644">
        <v>9.4030837734871895</v>
      </c>
      <c r="AB75" s="644">
        <f>AA75/$AQ$28</f>
        <v>9.4030837734871892E-2</v>
      </c>
      <c r="AC75" s="644">
        <f t="shared" si="128"/>
        <v>0.45473331026104058</v>
      </c>
      <c r="AD75" s="644">
        <f xml:space="preserve"> 500 * (AC74 - AC75 )</f>
        <v>0.36240788843361349</v>
      </c>
      <c r="AE75" s="644">
        <f t="shared" si="135"/>
        <v>9.4311532878222748E-2</v>
      </c>
      <c r="AF75" s="645">
        <f t="shared" si="132"/>
        <v>86.558785159668005</v>
      </c>
      <c r="AG75" s="646"/>
      <c r="AH75" s="661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4"/>
      <c r="AZ75" s="664"/>
      <c r="BA75" s="664"/>
      <c r="BB75" s="664"/>
      <c r="BC75" s="664"/>
      <c r="BD75" s="664"/>
      <c r="BE75" s="664"/>
      <c r="BF75" s="664"/>
      <c r="BG75" s="664"/>
      <c r="BH75" s="665"/>
      <c r="BI75" s="665"/>
    </row>
    <row r="76" spans="1:61" ht="15.75" thickBot="1">
      <c r="A76" s="96"/>
      <c r="B76" s="97"/>
      <c r="C76" s="1381"/>
      <c r="D76" s="384">
        <f t="shared" si="145"/>
        <v>85.776392403274841</v>
      </c>
      <c r="E76" s="372">
        <v>-1.2310000000000001</v>
      </c>
      <c r="F76" s="1223">
        <f>F75 - E76 / 200</f>
        <v>0.45146534482758621</v>
      </c>
      <c r="G76" s="1223">
        <f>IF(F76^3&gt;0.008856,F76^3*$AQ$25, (F76- 16 / 116 ) / 7.787*$AQ$25)</f>
        <v>7.5934255390855299</v>
      </c>
      <c r="H76" s="1224">
        <f>G75</f>
        <v>8.830562171241132</v>
      </c>
      <c r="I76" s="1344">
        <v>10.02181608191089</v>
      </c>
      <c r="J76" s="1224">
        <f>I75</f>
        <v>8.8383623483462674</v>
      </c>
      <c r="K76" s="1225">
        <f>I76/$AQ$29</f>
        <v>9.2042064251636066E-2</v>
      </c>
      <c r="L76" s="1225">
        <f t="shared" si="120"/>
        <v>0.45150453490012216</v>
      </c>
      <c r="M76" s="1225">
        <f t="shared" ref="M76" si="153" xml:space="preserve"> 200 * ( L75 - L76 )</f>
        <v>-1.2126224142011477</v>
      </c>
      <c r="N76" s="1223">
        <f xml:space="preserve"> I74/100 *  0.0557 + I75/100 * -0.204 + I76/100 *  1.057</f>
        <v>9.2560460159974961E-2</v>
      </c>
      <c r="O76" s="1226">
        <f t="shared" si="122"/>
        <v>85.776392403274841</v>
      </c>
      <c r="P76" s="4"/>
      <c r="Q76" s="1351">
        <v>551.20000000000005</v>
      </c>
      <c r="R76" s="733">
        <f t="shared" si="142"/>
        <v>93.256369426751604</v>
      </c>
      <c r="S76" s="415">
        <f t="shared" si="124"/>
        <v>0.36571125265392784</v>
      </c>
      <c r="T76" s="415">
        <f t="shared" si="131"/>
        <v>11.009206158426526</v>
      </c>
      <c r="U76" s="415">
        <v>11.805325296339293</v>
      </c>
      <c r="V76" s="415">
        <f>U76/$AQ$29</f>
        <v>0.10842211636655211</v>
      </c>
      <c r="W76" s="415">
        <f t="shared" si="125"/>
        <v>0.47683994232330307</v>
      </c>
      <c r="X76" s="415">
        <f xml:space="preserve"> 200 * ( W75 - W76 )</f>
        <v>-4.187424008606011</v>
      </c>
      <c r="Y76" s="415"/>
      <c r="Z76" s="449">
        <f t="shared" si="147"/>
        <v>85.776392403274841</v>
      </c>
      <c r="AA76" s="644">
        <v>11.637530177499286</v>
      </c>
      <c r="AB76" s="644">
        <f>AA76/$AQ$29</f>
        <v>0.10688105744238574</v>
      </c>
      <c r="AC76" s="644">
        <f t="shared" si="128"/>
        <v>0.47456996342691166</v>
      </c>
      <c r="AD76" s="644">
        <f xml:space="preserve"> 200 * ( AC75 - AC76 )</f>
        <v>-3.9673306331742153</v>
      </c>
      <c r="AE76" s="644">
        <f t="shared" si="135"/>
        <v>0.10882834878720926</v>
      </c>
      <c r="AF76" s="645">
        <f t="shared" si="132"/>
        <v>92.741537040482825</v>
      </c>
      <c r="AG76" s="646"/>
      <c r="AH76" s="661"/>
      <c r="AN76" s="663"/>
      <c r="AO76" s="663"/>
      <c r="AP76" s="663"/>
      <c r="AQ76" s="663"/>
      <c r="AR76" s="663"/>
      <c r="AS76" s="663"/>
      <c r="AT76" s="663"/>
      <c r="AU76" s="663"/>
      <c r="AV76" s="663"/>
      <c r="AW76" s="663"/>
      <c r="AX76" s="663"/>
      <c r="AY76" s="664"/>
      <c r="AZ76" s="664"/>
      <c r="BA76" s="664"/>
      <c r="BB76" s="664"/>
      <c r="BC76" s="664"/>
      <c r="BD76" s="664"/>
      <c r="BE76" s="664"/>
      <c r="BF76" s="664"/>
      <c r="BG76" s="664"/>
      <c r="BH76" s="665"/>
      <c r="BI76" s="665"/>
    </row>
    <row r="77" spans="1:61">
      <c r="A77" s="92">
        <v>24</v>
      </c>
      <c r="B77" s="93" t="s">
        <v>134</v>
      </c>
      <c r="C77" s="1382"/>
      <c r="D77" s="382">
        <f t="shared" si="145"/>
        <v>48.661691226720095</v>
      </c>
      <c r="E77" s="370">
        <v>20.460999999999999</v>
      </c>
      <c r="F77" s="1215">
        <f xml:space="preserve"> E78 / 500 + F78</f>
        <v>0.31416096551724138</v>
      </c>
      <c r="G77" s="1215">
        <f>IF(F77^3&gt;0.008856,F77^3*$AQ$23, (F77- 16 / 116 ) / 7.787*$AQ$23)</f>
        <v>2.9897357488456109</v>
      </c>
      <c r="H77" s="1216">
        <f>G77/SUM(G77:G79)</f>
        <v>0.34057446099560401</v>
      </c>
      <c r="I77" s="1342">
        <f t="array" ref="I77:I79">MMULT($AQ$34:$AS$36,G77:G79)</f>
        <v>2.9548703214714056</v>
      </c>
      <c r="J77" s="1216">
        <f>I77/SUM(I77:I79)</f>
        <v>0.30764660220912321</v>
      </c>
      <c r="K77" s="1217">
        <f>I77/$AQ$27</f>
        <v>3.1088517485784988E-2</v>
      </c>
      <c r="L77" s="1217">
        <f t="shared" si="120"/>
        <v>0.31443677800446584</v>
      </c>
      <c r="M77" s="1217">
        <f t="shared" ref="M77" si="154" xml:space="preserve"> 116 * L78  - 16</f>
        <v>20.471432931123296</v>
      </c>
      <c r="N77" s="1215">
        <f>I77/100*  3.2406 + I78/100 * -1.5372 + I79/100 * -0.4986</f>
        <v>3.0319253007234818E-2</v>
      </c>
      <c r="O77" s="1218">
        <f t="shared" si="122"/>
        <v>48.661691226720095</v>
      </c>
      <c r="P77" s="4"/>
      <c r="Q77" s="1349">
        <v>203</v>
      </c>
      <c r="R77" s="734">
        <f t="shared" si="137"/>
        <v>73.949999999999989</v>
      </c>
      <c r="S77" s="416">
        <f t="shared" si="124"/>
        <v>0.28999999999999998</v>
      </c>
      <c r="T77" s="416">
        <f t="shared" si="131"/>
        <v>6.8384854158166224</v>
      </c>
      <c r="U77" s="416">
        <f t="array" ref="U77:U79">MMULT($AQ$47:$AS$49,T77:T79)</f>
        <v>8.2988982201527026</v>
      </c>
      <c r="V77" s="416">
        <f>U77/$AQ$27</f>
        <v>8.7313626102377806E-2</v>
      </c>
      <c r="W77" s="416">
        <f t="shared" si="125"/>
        <v>0.44363657275631985</v>
      </c>
      <c r="X77" s="416">
        <f xml:space="preserve"> 116 * W78  - 16</f>
        <v>36.496631572376621</v>
      </c>
      <c r="Y77" s="416">
        <f t="shared" si="138"/>
        <v>16.995260569355217</v>
      </c>
      <c r="Z77" s="450">
        <f t="shared" si="147"/>
        <v>48.661691226720095</v>
      </c>
      <c r="AA77" s="647">
        <f t="array" ref="AA77:AA79">MMULT($AP$14:$AR$16,Q77:Q79)</f>
        <v>4.2179547921640843</v>
      </c>
      <c r="AB77" s="647">
        <f>AA77/$AQ$27</f>
        <v>4.4377568909740282E-2</v>
      </c>
      <c r="AC77" s="647">
        <f t="shared" si="128"/>
        <v>0.35404176922561037</v>
      </c>
      <c r="AD77" s="647">
        <f xml:space="preserve"> 116 * AC78  - 16</f>
        <v>24.704964823814912</v>
      </c>
      <c r="AE77" s="647">
        <f t="shared" si="135"/>
        <v>2.6080738252908194E-2</v>
      </c>
      <c r="AF77" s="648">
        <f t="shared" si="132"/>
        <v>44.849322654841522</v>
      </c>
      <c r="AG77" s="649">
        <f>SQRT(( ( M77-AD77 ) ^ 2 ) + ( ( M78 - AD78 ) ^ 2 ) + ( (M79 - AD79 ) ^ 2 ))</f>
        <v>5.0222491338695852</v>
      </c>
      <c r="AH77" s="661"/>
      <c r="AN77" s="663"/>
      <c r="AO77" s="663"/>
      <c r="AP77" s="663"/>
      <c r="AQ77" s="663"/>
      <c r="AR77" s="663"/>
      <c r="AS77" s="663"/>
      <c r="AT77" s="663"/>
      <c r="AU77" s="663"/>
      <c r="AV77" s="663"/>
      <c r="AW77" s="663"/>
      <c r="AX77" s="663"/>
      <c r="AY77" s="664"/>
      <c r="AZ77" s="664"/>
      <c r="BA77" s="664"/>
      <c r="BB77" s="664"/>
      <c r="BC77" s="664"/>
      <c r="BD77" s="664"/>
      <c r="BE77" s="664"/>
      <c r="BF77" s="664"/>
      <c r="BG77" s="664"/>
      <c r="BH77" s="665"/>
      <c r="BI77" s="665"/>
    </row>
    <row r="78" spans="1:61">
      <c r="A78" s="94"/>
      <c r="B78" s="95"/>
      <c r="C78" s="1382"/>
      <c r="D78" s="383">
        <f t="shared" si="145"/>
        <v>49.363641330697085</v>
      </c>
      <c r="E78" s="371">
        <v>-7.9000000000000001E-2</v>
      </c>
      <c r="F78" s="1219">
        <f xml:space="preserve"> (E77  + 16 ) / 116</f>
        <v>0.31431896551724137</v>
      </c>
      <c r="G78" s="1219">
        <f>IF(F78^3&gt;0.008856,F78^3*$AQ$24, (F78- 16 / 116 ) / 7.787*$AQ$24)</f>
        <v>3.1053586043004144</v>
      </c>
      <c r="H78" s="1220">
        <f>G78/SUM(G77:G79)</f>
        <v>0.3537455888086547</v>
      </c>
      <c r="I78" s="1343">
        <v>3.1080250641062577</v>
      </c>
      <c r="J78" s="1220">
        <f>I78/SUM(I77:I79)</f>
        <v>0.32359232268336802</v>
      </c>
      <c r="K78" s="1221">
        <f>I78/$AQ$28</f>
        <v>3.1080250641062578E-2</v>
      </c>
      <c r="L78" s="1221">
        <f t="shared" si="120"/>
        <v>0.31440890457864912</v>
      </c>
      <c r="M78" s="1221">
        <f t="shared" ref="M78" si="155" xml:space="preserve"> 500 * (L77 - L78 )</f>
        <v>1.3936712908363402E-2</v>
      </c>
      <c r="N78" s="1219">
        <f xml:space="preserve"> I77/100 * -0.9689 + I78/100*  1.8758 + I79/100 *  0.0415</f>
        <v>3.1140467456574263E-2</v>
      </c>
      <c r="O78" s="1222">
        <f t="shared" si="122"/>
        <v>49.363641330697085</v>
      </c>
      <c r="P78" s="4"/>
      <c r="Q78" s="1350">
        <v>242.4</v>
      </c>
      <c r="R78" s="734">
        <f t="shared" si="140"/>
        <v>88.30285714285715</v>
      </c>
      <c r="S78" s="416">
        <f t="shared" si="124"/>
        <v>0.34628571428571431</v>
      </c>
      <c r="T78" s="416">
        <f t="shared" si="131"/>
        <v>9.8284034325665033</v>
      </c>
      <c r="U78" s="416">
        <v>9.2687324524564065</v>
      </c>
      <c r="V78" s="416">
        <f>U78/$AQ$28</f>
        <v>9.268732452456406E-2</v>
      </c>
      <c r="W78" s="416">
        <f t="shared" si="125"/>
        <v>0.45255716872738466</v>
      </c>
      <c r="X78" s="416">
        <f xml:space="preserve"> 500 * (W77 - W78 )</f>
        <v>-4.4602979855324074</v>
      </c>
      <c r="Y78" s="416"/>
      <c r="Z78" s="450">
        <f t="shared" si="147"/>
        <v>49.363641330697085</v>
      </c>
      <c r="AA78" s="647">
        <v>4.3208399888799018</v>
      </c>
      <c r="AB78" s="647">
        <f>AA78/$AQ$28</f>
        <v>4.3208399888799015E-2</v>
      </c>
      <c r="AC78" s="647">
        <f t="shared" si="128"/>
        <v>0.3509048691708182</v>
      </c>
      <c r="AD78" s="647">
        <f xml:space="preserve"> 500 * (AC77 - AC78 )</f>
        <v>1.5684500273960844</v>
      </c>
      <c r="AE78" s="647">
        <f t="shared" si="135"/>
        <v>4.3548755215312929E-2</v>
      </c>
      <c r="AF78" s="648">
        <f t="shared" si="132"/>
        <v>58.870245143048663</v>
      </c>
      <c r="AG78" s="649"/>
      <c r="AH78" s="661"/>
      <c r="AI78" s="662"/>
      <c r="AJ78" s="663"/>
      <c r="AK78" s="663"/>
      <c r="AL78" s="663"/>
      <c r="AM78" s="696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4"/>
      <c r="AZ78" s="664"/>
      <c r="BA78" s="664"/>
      <c r="BB78" s="664"/>
      <c r="BC78" s="664"/>
      <c r="BD78" s="664"/>
      <c r="BE78" s="664"/>
      <c r="BF78" s="664"/>
      <c r="BG78" s="664"/>
      <c r="BH78" s="665"/>
      <c r="BI78" s="665"/>
    </row>
    <row r="79" spans="1:61" ht="15.75" thickBot="1">
      <c r="A79" s="96"/>
      <c r="B79" s="97"/>
      <c r="C79" s="1383"/>
      <c r="D79" s="384">
        <f t="shared" si="145"/>
        <v>50.702931476399115</v>
      </c>
      <c r="E79" s="372">
        <v>-0.97299999999999998</v>
      </c>
      <c r="F79" s="1223">
        <f>F78 - E79 / 200</f>
        <v>0.31918396551724137</v>
      </c>
      <c r="G79" s="1223">
        <f>IF(F79^3&gt;0.008856,F79^3*$AQ$25, (F79- 16 / 116 ) / 7.787*$AQ$25)</f>
        <v>2.6834139945019237</v>
      </c>
      <c r="H79" s="1224">
        <f>G78</f>
        <v>3.1053586043004144</v>
      </c>
      <c r="I79" s="1344">
        <v>3.5418598766398226</v>
      </c>
      <c r="J79" s="1224">
        <f>I78</f>
        <v>3.1080250641062577</v>
      </c>
      <c r="K79" s="1225">
        <f>I79/$AQ$29</f>
        <v>3.2529043805183754E-2</v>
      </c>
      <c r="L79" s="1225">
        <f t="shared" si="120"/>
        <v>0.31922024931181825</v>
      </c>
      <c r="M79" s="1225">
        <f t="shared" ref="M79" si="156" xml:space="preserve"> 200 * ( L78 - L79 )</f>
        <v>-0.96226894663382634</v>
      </c>
      <c r="N79" s="1223">
        <f xml:space="preserve"> I77/100 *  0.0557 + I78/100 * -0.204 + I79/100 *  1.057</f>
        <v>3.2742950534365732E-2</v>
      </c>
      <c r="O79" s="1226">
        <f t="shared" si="122"/>
        <v>50.702931476399115</v>
      </c>
      <c r="P79" s="4"/>
      <c r="Q79" s="1351">
        <v>254.6</v>
      </c>
      <c r="R79" s="735">
        <f t="shared" si="142"/>
        <v>92.747142857142862</v>
      </c>
      <c r="S79" s="417">
        <f t="shared" si="124"/>
        <v>0.36371428571428571</v>
      </c>
      <c r="T79" s="417">
        <f t="shared" si="131"/>
        <v>10.884206306608837</v>
      </c>
      <c r="U79" s="417">
        <v>11.646987533531558</v>
      </c>
      <c r="V79" s="417">
        <f>U79/$AQ$29</f>
        <v>0.10696791540949054</v>
      </c>
      <c r="W79" s="417">
        <f t="shared" si="125"/>
        <v>0.47469848330467168</v>
      </c>
      <c r="X79" s="417">
        <f xml:space="preserve"> 200 * ( W78 - W79 )</f>
        <v>-4.4282629154574042</v>
      </c>
      <c r="Y79" s="417"/>
      <c r="Z79" s="451">
        <f t="shared" si="147"/>
        <v>50.702931476399115</v>
      </c>
      <c r="AA79" s="650">
        <v>5.3718807913374764</v>
      </c>
      <c r="AB79" s="650">
        <f>AA79/$AQ$29</f>
        <v>4.9336267290003732E-2</v>
      </c>
      <c r="AC79" s="650">
        <f t="shared" si="128"/>
        <v>0.36676574153110464</v>
      </c>
      <c r="AD79" s="650">
        <f xml:space="preserve"> 200 * ( AC78 - AC79 )</f>
        <v>-3.1721744720572875</v>
      </c>
      <c r="AE79" s="650">
        <f t="shared" si="135"/>
        <v>5.0315667206357523E-2</v>
      </c>
      <c r="AF79" s="651">
        <f t="shared" si="132"/>
        <v>63.391878280452552</v>
      </c>
      <c r="AG79" s="652"/>
      <c r="AH79" s="661"/>
      <c r="AI79" s="662"/>
      <c r="AJ79" s="663"/>
      <c r="AK79" s="663"/>
      <c r="AL79" s="663"/>
      <c r="AM79" s="696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4"/>
      <c r="AZ79" s="664"/>
      <c r="BA79" s="664"/>
      <c r="BB79" s="664"/>
      <c r="BC79" s="664"/>
      <c r="BD79" s="664"/>
      <c r="BE79" s="664"/>
      <c r="BF79" s="664"/>
      <c r="BG79" s="664"/>
      <c r="BH79" s="665"/>
      <c r="BI79" s="665"/>
    </row>
    <row r="80" spans="1:61">
      <c r="D80" s="663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4"/>
      <c r="Z80" s="4"/>
      <c r="AA80" s="675"/>
      <c r="AB80" s="675"/>
      <c r="AC80" s="675"/>
      <c r="AD80" s="675"/>
      <c r="AE80" s="675"/>
      <c r="AF80" s="663"/>
      <c r="AG80" s="697"/>
      <c r="AH80" s="661"/>
      <c r="AI80" s="662"/>
      <c r="AJ80" s="663"/>
      <c r="AK80" s="663"/>
      <c r="AL80" s="663"/>
      <c r="AM80" s="696"/>
      <c r="AN80" s="663"/>
      <c r="AO80" s="663"/>
      <c r="AP80" s="663"/>
      <c r="AQ80" s="663"/>
      <c r="AR80" s="663"/>
      <c r="AS80" s="663"/>
      <c r="AT80" s="663"/>
      <c r="AU80" s="663"/>
      <c r="AV80" s="663"/>
      <c r="AW80" s="663"/>
      <c r="AX80" s="663"/>
      <c r="AY80" s="664"/>
      <c r="AZ80" s="664"/>
      <c r="BA80" s="664"/>
      <c r="BB80" s="664"/>
      <c r="BC80" s="664"/>
      <c r="BD80" s="664"/>
      <c r="BE80" s="664"/>
      <c r="BF80" s="664"/>
      <c r="BG80" s="664"/>
      <c r="BH80" s="665"/>
      <c r="BI80" s="665"/>
    </row>
    <row r="81" spans="4:61">
      <c r="D81" s="663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4"/>
      <c r="Y81" s="794">
        <f>SUM(Y5:Y80)</f>
        <v>562.98703223287271</v>
      </c>
      <c r="Z81" s="4"/>
      <c r="AA81" s="675"/>
      <c r="AB81" s="675"/>
      <c r="AC81" s="675"/>
      <c r="AD81" s="675"/>
      <c r="AE81" s="675"/>
      <c r="AF81" s="659" t="s">
        <v>74</v>
      </c>
      <c r="AG81" s="660">
        <f>SUM(AG5:AG80)</f>
        <v>86.093977517298256</v>
      </c>
      <c r="AH81" s="661"/>
      <c r="AI81" s="662"/>
      <c r="AJ81" s="663"/>
      <c r="AK81" s="663"/>
      <c r="AL81" s="663"/>
      <c r="AM81" s="696"/>
      <c r="AN81" s="663"/>
      <c r="AO81" s="663"/>
      <c r="AP81" s="663"/>
      <c r="AQ81" s="663"/>
      <c r="AR81" s="663"/>
      <c r="AS81" s="663"/>
      <c r="AT81" s="663"/>
      <c r="AU81" s="663"/>
      <c r="AV81" s="663"/>
      <c r="AW81" s="663"/>
      <c r="AX81" s="663"/>
      <c r="AY81" s="664"/>
      <c r="AZ81" s="664"/>
      <c r="BA81" s="664"/>
      <c r="BB81" s="664"/>
      <c r="BC81" s="664"/>
      <c r="BD81" s="664"/>
      <c r="BE81" s="664"/>
      <c r="BF81" s="664"/>
      <c r="BG81" s="664"/>
      <c r="BH81" s="665"/>
      <c r="BI81" s="665"/>
    </row>
    <row r="82" spans="4:61">
      <c r="D82" s="663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4"/>
      <c r="Y82" s="794">
        <f>Y81/24</f>
        <v>23.457793009703028</v>
      </c>
      <c r="Z82" s="4"/>
      <c r="AA82" s="675"/>
      <c r="AB82" s="675"/>
      <c r="AC82" s="675"/>
      <c r="AD82" s="675"/>
      <c r="AE82" s="675"/>
      <c r="AF82" s="659" t="s">
        <v>185</v>
      </c>
      <c r="AG82" s="660">
        <f>AG81/24</f>
        <v>3.5872490632207605</v>
      </c>
      <c r="AH82" s="661"/>
      <c r="AI82" s="662"/>
      <c r="AJ82" s="663"/>
      <c r="AK82" s="663"/>
      <c r="AL82" s="663"/>
      <c r="AM82" s="696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4"/>
      <c r="AZ82" s="664"/>
      <c r="BA82" s="664"/>
      <c r="BB82" s="664"/>
      <c r="BC82" s="664"/>
      <c r="BD82" s="664"/>
      <c r="BE82" s="664"/>
      <c r="BF82" s="664"/>
      <c r="BG82" s="664"/>
      <c r="BH82" s="665"/>
      <c r="BI82" s="665"/>
    </row>
    <row r="83" spans="4:61">
      <c r="D83" s="663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4"/>
      <c r="Z83" s="4"/>
      <c r="AA83" s="675"/>
      <c r="AB83" s="675"/>
      <c r="AC83" s="675"/>
      <c r="AD83" s="675"/>
      <c r="AE83" s="675"/>
      <c r="AF83" s="663"/>
      <c r="AG83" s="697"/>
      <c r="AH83" s="661"/>
      <c r="AI83" s="662"/>
      <c r="AJ83" s="663"/>
      <c r="AK83" s="663"/>
      <c r="AL83" s="663"/>
      <c r="AM83" s="696"/>
      <c r="AN83" s="663"/>
      <c r="AO83" s="663"/>
      <c r="AP83" s="663"/>
      <c r="AQ83" s="663"/>
      <c r="AR83" s="663"/>
      <c r="AS83" s="663"/>
      <c r="AT83" s="663"/>
      <c r="AU83" s="663"/>
      <c r="AV83" s="663"/>
      <c r="AW83" s="663"/>
      <c r="AX83" s="663"/>
      <c r="AY83" s="664"/>
      <c r="AZ83" s="664"/>
      <c r="BA83" s="664"/>
      <c r="BB83" s="664"/>
      <c r="BC83" s="664"/>
      <c r="BD83" s="664"/>
      <c r="BE83" s="664"/>
      <c r="BF83" s="664"/>
      <c r="BG83" s="664"/>
      <c r="BH83" s="665"/>
      <c r="BI83" s="665"/>
    </row>
    <row r="84" spans="4:61">
      <c r="D84" s="663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4"/>
      <c r="Z84" s="4"/>
      <c r="AA84" s="675"/>
      <c r="AB84" s="675"/>
      <c r="AC84" s="675"/>
      <c r="AD84" s="675"/>
      <c r="AE84" s="675"/>
      <c r="AF84" s="663"/>
      <c r="AG84" s="697"/>
      <c r="AH84" s="661"/>
      <c r="AI84" s="662"/>
      <c r="AJ84" s="663"/>
      <c r="AK84" s="663"/>
      <c r="AL84" s="663"/>
      <c r="AM84" s="696"/>
      <c r="AN84" s="663"/>
      <c r="AO84" s="663"/>
      <c r="AP84" s="663"/>
      <c r="AQ84" s="663"/>
      <c r="AR84" s="663"/>
      <c r="AS84" s="663"/>
      <c r="AT84" s="663"/>
      <c r="AU84" s="663"/>
      <c r="AV84" s="663"/>
      <c r="AW84" s="663"/>
      <c r="AX84" s="663"/>
      <c r="AY84" s="664"/>
      <c r="AZ84" s="664"/>
      <c r="BA84" s="664"/>
      <c r="BB84" s="664"/>
      <c r="BC84" s="664"/>
      <c r="BD84" s="664"/>
      <c r="BE84" s="664"/>
      <c r="BF84" s="664"/>
      <c r="BG84" s="664"/>
      <c r="BH84" s="665"/>
      <c r="BI84" s="665"/>
    </row>
    <row r="85" spans="4:61">
      <c r="D85" s="663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4"/>
      <c r="Z85" s="4"/>
      <c r="AA85" s="675"/>
      <c r="AB85" s="675"/>
      <c r="AC85" s="675"/>
      <c r="AD85" s="675"/>
      <c r="AE85" s="675"/>
      <c r="AF85" s="663"/>
      <c r="AG85" s="697"/>
      <c r="AH85" s="661"/>
      <c r="AI85" s="662"/>
      <c r="AJ85" s="663"/>
      <c r="AK85" s="663"/>
      <c r="AL85" s="663"/>
      <c r="AM85" s="696"/>
      <c r="AN85" s="663"/>
      <c r="AO85" s="663"/>
      <c r="AP85" s="663"/>
      <c r="AQ85" s="663"/>
      <c r="AR85" s="663"/>
      <c r="AS85" s="663"/>
      <c r="AT85" s="663"/>
      <c r="AU85" s="663"/>
      <c r="AV85" s="663"/>
      <c r="AW85" s="663"/>
      <c r="AX85" s="663"/>
      <c r="AY85" s="664"/>
      <c r="AZ85" s="664"/>
      <c r="BA85" s="664"/>
      <c r="BB85" s="664"/>
      <c r="BC85" s="664"/>
      <c r="BD85" s="664"/>
      <c r="BE85" s="664"/>
      <c r="BF85" s="664"/>
      <c r="BG85" s="664"/>
      <c r="BH85" s="665"/>
      <c r="BI85" s="665"/>
    </row>
    <row r="86" spans="4:61">
      <c r="D86" s="663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4"/>
      <c r="Z86" s="4"/>
      <c r="AA86" s="675"/>
      <c r="AB86" s="675"/>
      <c r="AC86" s="675"/>
      <c r="AD86" s="675"/>
      <c r="AE86" s="675"/>
      <c r="AF86" s="663"/>
      <c r="AG86" s="697"/>
      <c r="AH86" s="661"/>
      <c r="AI86" s="662"/>
      <c r="AJ86" s="663"/>
      <c r="AK86" s="663"/>
      <c r="AL86" s="663"/>
      <c r="AM86" s="696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4"/>
      <c r="AZ86" s="664"/>
      <c r="BA86" s="664"/>
      <c r="BB86" s="664"/>
      <c r="BC86" s="664"/>
      <c r="BD86" s="664"/>
      <c r="BE86" s="664"/>
      <c r="BF86" s="664"/>
      <c r="BG86" s="664"/>
      <c r="BH86" s="665"/>
      <c r="BI86" s="665"/>
    </row>
    <row r="87" spans="4:61">
      <c r="D87" s="663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4"/>
      <c r="Z87" s="4"/>
      <c r="AA87" s="675"/>
      <c r="AB87" s="675"/>
      <c r="AC87" s="675"/>
      <c r="AD87" s="675"/>
      <c r="AE87" s="675"/>
      <c r="AF87" s="663"/>
      <c r="AG87" s="697"/>
      <c r="AH87" s="661"/>
      <c r="AI87" s="662"/>
      <c r="AJ87" s="663"/>
      <c r="AK87" s="663"/>
      <c r="AL87" s="663"/>
      <c r="AM87" s="696"/>
      <c r="AN87" s="663"/>
      <c r="AO87" s="663"/>
      <c r="AP87" s="663"/>
      <c r="AQ87" s="663"/>
      <c r="AR87" s="663"/>
      <c r="AS87" s="663"/>
      <c r="AT87" s="663"/>
      <c r="AU87" s="663"/>
      <c r="AV87" s="663"/>
      <c r="AW87" s="663"/>
      <c r="AX87" s="663"/>
      <c r="AY87" s="664"/>
      <c r="AZ87" s="664"/>
      <c r="BA87" s="664"/>
      <c r="BB87" s="664"/>
      <c r="BC87" s="664"/>
      <c r="BD87" s="664"/>
      <c r="BE87" s="664"/>
      <c r="BF87" s="664"/>
      <c r="BG87" s="664"/>
      <c r="BH87" s="665"/>
      <c r="BI87" s="665"/>
    </row>
    <row r="88" spans="4:61">
      <c r="D88" s="663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4"/>
      <c r="Z88" s="4"/>
      <c r="AA88" s="675"/>
      <c r="AB88" s="675"/>
      <c r="AC88" s="675"/>
      <c r="AD88" s="675"/>
      <c r="AE88" s="675"/>
      <c r="AF88" s="663"/>
      <c r="AG88" s="697"/>
      <c r="AH88" s="661"/>
      <c r="AI88" s="662"/>
      <c r="AJ88" s="663"/>
      <c r="AK88" s="663"/>
      <c r="AL88" s="663"/>
      <c r="AM88" s="696"/>
      <c r="AN88" s="663"/>
      <c r="AO88" s="663"/>
      <c r="AP88" s="663"/>
      <c r="AQ88" s="663"/>
      <c r="AR88" s="663"/>
      <c r="AS88" s="663"/>
      <c r="AT88" s="663"/>
      <c r="AU88" s="663"/>
      <c r="AV88" s="663"/>
      <c r="AW88" s="663"/>
      <c r="AX88" s="663"/>
      <c r="AY88" s="664"/>
      <c r="AZ88" s="664"/>
      <c r="BA88" s="664"/>
      <c r="BB88" s="664"/>
      <c r="BC88" s="664"/>
      <c r="BD88" s="664"/>
      <c r="BE88" s="664"/>
      <c r="BF88" s="664"/>
      <c r="BG88" s="664"/>
      <c r="BH88" s="665"/>
      <c r="BI88" s="665"/>
    </row>
    <row r="89" spans="4:61">
      <c r="D89" s="663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4"/>
      <c r="Z89" s="4"/>
      <c r="AA89" s="675"/>
      <c r="AB89" s="675"/>
      <c r="AC89" s="675"/>
      <c r="AD89" s="675"/>
      <c r="AE89" s="675"/>
      <c r="AF89" s="663"/>
      <c r="AG89" s="697"/>
      <c r="AH89" s="661"/>
      <c r="AI89" s="662"/>
      <c r="AJ89" s="663"/>
      <c r="AK89" s="663"/>
      <c r="AL89" s="663"/>
      <c r="AM89" s="696"/>
      <c r="AN89" s="663"/>
      <c r="AO89" s="663"/>
      <c r="AP89" s="663"/>
      <c r="AQ89" s="663"/>
      <c r="AR89" s="663"/>
      <c r="AS89" s="663"/>
      <c r="AT89" s="663"/>
      <c r="AU89" s="663"/>
      <c r="AV89" s="663"/>
      <c r="AW89" s="663"/>
      <c r="AX89" s="663"/>
      <c r="AY89" s="664"/>
      <c r="AZ89" s="664"/>
      <c r="BA89" s="664"/>
      <c r="BB89" s="664"/>
      <c r="BC89" s="664"/>
      <c r="BD89" s="664"/>
      <c r="BE89" s="664"/>
      <c r="BF89" s="664"/>
      <c r="BG89" s="664"/>
      <c r="BH89" s="665"/>
      <c r="BI89" s="665"/>
    </row>
    <row r="90" spans="4:61">
      <c r="D90" s="663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4"/>
      <c r="Z90" s="4"/>
      <c r="AA90" s="675"/>
      <c r="AB90" s="675"/>
      <c r="AC90" s="675"/>
      <c r="AD90" s="675"/>
      <c r="AE90" s="675"/>
      <c r="AF90" s="663"/>
      <c r="AG90" s="697"/>
      <c r="AH90" s="661"/>
      <c r="AI90" s="662"/>
      <c r="AJ90" s="663"/>
      <c r="AK90" s="663"/>
      <c r="AL90" s="663"/>
      <c r="AM90" s="696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4"/>
      <c r="AZ90" s="664"/>
      <c r="BA90" s="664"/>
      <c r="BB90" s="664"/>
      <c r="BC90" s="664"/>
      <c r="BD90" s="664"/>
      <c r="BE90" s="664"/>
      <c r="BF90" s="664"/>
      <c r="BG90" s="664"/>
      <c r="BH90" s="665"/>
      <c r="BI90" s="665"/>
    </row>
    <row r="91" spans="4:61">
      <c r="D91" s="663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4"/>
      <c r="Z91" s="4"/>
      <c r="AA91" s="675"/>
      <c r="AB91" s="675"/>
      <c r="AC91" s="675"/>
      <c r="AD91" s="675"/>
      <c r="AE91" s="675"/>
      <c r="AF91" s="663"/>
      <c r="AG91" s="697"/>
      <c r="AH91" s="661"/>
      <c r="AI91" s="662"/>
      <c r="AJ91" s="663"/>
      <c r="AK91" s="663"/>
      <c r="AL91" s="663"/>
      <c r="AM91" s="696"/>
      <c r="AN91" s="663"/>
      <c r="AO91" s="663"/>
      <c r="AP91" s="663"/>
      <c r="AQ91" s="663"/>
      <c r="AR91" s="663"/>
      <c r="AS91" s="663"/>
      <c r="AT91" s="663"/>
      <c r="AU91" s="663"/>
      <c r="AV91" s="663"/>
      <c r="AW91" s="663"/>
      <c r="AX91" s="663"/>
      <c r="AY91" s="664"/>
      <c r="AZ91" s="664"/>
      <c r="BA91" s="664"/>
      <c r="BB91" s="664"/>
      <c r="BC91" s="664"/>
      <c r="BD91" s="664"/>
      <c r="BE91" s="664"/>
      <c r="BF91" s="664"/>
      <c r="BG91" s="664"/>
      <c r="BH91" s="665"/>
      <c r="BI91" s="665"/>
    </row>
    <row r="92" spans="4:61">
      <c r="D92" s="663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4"/>
      <c r="Z92" s="4"/>
      <c r="AA92" s="675"/>
      <c r="AB92" s="675"/>
      <c r="AC92" s="675"/>
      <c r="AD92" s="675"/>
      <c r="AE92" s="675"/>
      <c r="AF92" s="663"/>
      <c r="AG92" s="697"/>
      <c r="AH92" s="661"/>
      <c r="AI92" s="662"/>
      <c r="AJ92" s="663"/>
      <c r="AK92" s="663"/>
      <c r="AL92" s="663"/>
      <c r="AM92" s="696"/>
      <c r="AN92" s="663"/>
      <c r="AO92" s="663"/>
      <c r="AP92" s="663"/>
      <c r="AQ92" s="663"/>
      <c r="AR92" s="663"/>
      <c r="AS92" s="663"/>
      <c r="AT92" s="663"/>
      <c r="AU92" s="663"/>
      <c r="AV92" s="663"/>
      <c r="AW92" s="663"/>
      <c r="AX92" s="663"/>
      <c r="AY92" s="664"/>
      <c r="AZ92" s="664"/>
      <c r="BA92" s="664"/>
      <c r="BB92" s="664"/>
      <c r="BC92" s="664"/>
      <c r="BD92" s="664"/>
      <c r="BE92" s="664"/>
      <c r="BF92" s="664"/>
      <c r="BG92" s="664"/>
      <c r="BH92" s="665"/>
      <c r="BI92" s="665"/>
    </row>
    <row r="93" spans="4:61">
      <c r="D93" s="663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4"/>
      <c r="Z93" s="4"/>
      <c r="AA93" s="675"/>
      <c r="AB93" s="675"/>
      <c r="AC93" s="675"/>
      <c r="AD93" s="675"/>
      <c r="AE93" s="675"/>
      <c r="AF93" s="663"/>
      <c r="AG93" s="697"/>
      <c r="AH93" s="661"/>
      <c r="AI93" s="662"/>
      <c r="AJ93" s="663"/>
      <c r="AK93" s="663"/>
      <c r="AL93" s="663"/>
      <c r="AM93" s="663"/>
      <c r="AN93" s="663"/>
      <c r="AO93" s="663"/>
      <c r="AP93" s="663"/>
      <c r="AQ93" s="663"/>
      <c r="AR93" s="663"/>
      <c r="AS93" s="663"/>
      <c r="AT93" s="663"/>
      <c r="AU93" s="663"/>
      <c r="AV93" s="663"/>
      <c r="AW93" s="663"/>
      <c r="AX93" s="663"/>
      <c r="AY93" s="664"/>
      <c r="AZ93" s="664"/>
      <c r="BA93" s="664"/>
      <c r="BB93" s="664"/>
      <c r="BC93" s="664"/>
      <c r="BD93" s="664"/>
      <c r="BE93" s="664"/>
      <c r="BF93" s="664"/>
      <c r="BG93" s="664"/>
      <c r="BH93" s="665"/>
      <c r="BI93" s="665"/>
    </row>
    <row r="94" spans="4:61">
      <c r="D94" s="663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4"/>
      <c r="Z94" s="4"/>
      <c r="AA94" s="675"/>
      <c r="AB94" s="675"/>
      <c r="AC94" s="675"/>
      <c r="AD94" s="675"/>
      <c r="AE94" s="675"/>
      <c r="AF94" s="663"/>
      <c r="AG94" s="697"/>
      <c r="AH94" s="661"/>
      <c r="AI94" s="662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4"/>
      <c r="AZ94" s="664"/>
      <c r="BA94" s="664"/>
      <c r="BB94" s="664"/>
      <c r="BC94" s="664"/>
      <c r="BD94" s="664"/>
      <c r="BE94" s="664"/>
      <c r="BF94" s="664"/>
      <c r="BG94" s="664"/>
      <c r="BH94" s="665"/>
      <c r="BI94" s="665"/>
    </row>
    <row r="95" spans="4:61">
      <c r="D95" s="663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4"/>
      <c r="Z95" s="4"/>
      <c r="AA95" s="675"/>
      <c r="AB95" s="675"/>
      <c r="AC95" s="675"/>
      <c r="AD95" s="675"/>
      <c r="AE95" s="675"/>
      <c r="AF95" s="663"/>
      <c r="AG95" s="697"/>
      <c r="AH95" s="661"/>
      <c r="AI95" s="662"/>
      <c r="AJ95" s="663"/>
      <c r="AK95" s="663"/>
      <c r="AL95" s="663"/>
      <c r="AM95" s="663"/>
      <c r="AN95" s="663"/>
      <c r="AO95" s="663"/>
      <c r="AP95" s="663"/>
      <c r="AQ95" s="663"/>
      <c r="AR95" s="663"/>
      <c r="AS95" s="663"/>
      <c r="AT95" s="663"/>
      <c r="AU95" s="663"/>
      <c r="AV95" s="663"/>
      <c r="AW95" s="663"/>
      <c r="AX95" s="663"/>
      <c r="AY95" s="664"/>
      <c r="AZ95" s="664"/>
      <c r="BA95" s="664"/>
      <c r="BB95" s="664"/>
      <c r="BC95" s="664"/>
      <c r="BD95" s="664"/>
      <c r="BE95" s="664"/>
      <c r="BF95" s="664"/>
      <c r="BG95" s="664"/>
      <c r="BH95" s="665"/>
      <c r="BI95" s="665"/>
    </row>
    <row r="96" spans="4:61">
      <c r="D96" s="663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4"/>
      <c r="Z96" s="4"/>
      <c r="AA96" s="675"/>
      <c r="AB96" s="675"/>
      <c r="AC96" s="675"/>
      <c r="AD96" s="675"/>
      <c r="AE96" s="675"/>
      <c r="AF96" s="663"/>
      <c r="AG96" s="697"/>
      <c r="AH96" s="661"/>
      <c r="AI96" s="662"/>
      <c r="AJ96" s="663"/>
      <c r="AK96" s="663"/>
      <c r="AL96" s="663"/>
      <c r="AM96" s="663"/>
      <c r="AN96" s="663"/>
      <c r="AO96" s="663"/>
      <c r="AP96" s="663"/>
      <c r="AQ96" s="663"/>
      <c r="AR96" s="663"/>
      <c r="AS96" s="663"/>
      <c r="AT96" s="663"/>
      <c r="AU96" s="663"/>
      <c r="AV96" s="663"/>
      <c r="AW96" s="663"/>
      <c r="AX96" s="663"/>
      <c r="AY96" s="664"/>
      <c r="AZ96" s="664"/>
      <c r="BA96" s="664"/>
      <c r="BB96" s="664"/>
      <c r="BC96" s="664"/>
      <c r="BD96" s="664"/>
      <c r="BE96" s="664"/>
      <c r="BF96" s="664"/>
      <c r="BG96" s="664"/>
      <c r="BH96" s="665"/>
      <c r="BI96" s="665"/>
    </row>
    <row r="97" spans="4:61">
      <c r="D97" s="663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4"/>
      <c r="Z97" s="4"/>
      <c r="AA97" s="675"/>
      <c r="AB97" s="675"/>
      <c r="AC97" s="675"/>
      <c r="AD97" s="675"/>
      <c r="AE97" s="675"/>
      <c r="AF97" s="663"/>
      <c r="AG97" s="697"/>
      <c r="AH97" s="661"/>
      <c r="AI97" s="662"/>
      <c r="AJ97" s="663"/>
      <c r="AK97" s="663"/>
      <c r="AL97" s="663"/>
      <c r="AM97" s="663"/>
      <c r="AN97" s="663"/>
      <c r="AO97" s="663"/>
      <c r="AP97" s="663"/>
      <c r="AQ97" s="663"/>
      <c r="AR97" s="663"/>
      <c r="AS97" s="663"/>
      <c r="AT97" s="663"/>
      <c r="AU97" s="663"/>
      <c r="AV97" s="663"/>
      <c r="AW97" s="663"/>
      <c r="AX97" s="663"/>
      <c r="AY97" s="664"/>
      <c r="AZ97" s="664"/>
      <c r="BA97" s="664"/>
      <c r="BB97" s="664"/>
      <c r="BC97" s="664"/>
      <c r="BD97" s="664"/>
      <c r="BE97" s="664"/>
      <c r="BF97" s="664"/>
      <c r="BG97" s="664"/>
      <c r="BH97" s="665"/>
      <c r="BI97" s="665"/>
    </row>
    <row r="98" spans="4:61">
      <c r="D98" s="663"/>
      <c r="F98" s="701"/>
      <c r="G98" s="701"/>
      <c r="H98" s="701"/>
      <c r="I98" s="702"/>
      <c r="J98" s="359"/>
      <c r="K98" s="359"/>
      <c r="L98" s="359"/>
      <c r="M98" s="359"/>
      <c r="N98" s="359"/>
      <c r="O98" s="359"/>
      <c r="P98" s="4"/>
      <c r="Z98" s="4"/>
      <c r="AA98" s="675"/>
      <c r="AB98" s="675"/>
      <c r="AC98" s="675"/>
      <c r="AD98" s="675"/>
      <c r="AE98" s="675"/>
      <c r="AF98" s="663"/>
      <c r="AG98" s="697"/>
      <c r="AH98" s="661"/>
      <c r="AI98" s="662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4"/>
      <c r="AZ98" s="664"/>
      <c r="BA98" s="664"/>
      <c r="BB98" s="664"/>
      <c r="BC98" s="664"/>
      <c r="BD98" s="664"/>
      <c r="BE98" s="664"/>
      <c r="BF98" s="664"/>
      <c r="BG98" s="664"/>
      <c r="BH98" s="665"/>
      <c r="BI98" s="665"/>
    </row>
    <row r="99" spans="4:61">
      <c r="D99" s="663"/>
      <c r="F99" s="359"/>
      <c r="G99" s="359"/>
      <c r="H99" s="359"/>
      <c r="I99" s="702"/>
      <c r="J99" s="359"/>
      <c r="K99" s="359"/>
      <c r="L99" s="359"/>
      <c r="M99" s="359"/>
      <c r="N99" s="359"/>
      <c r="O99" s="359"/>
      <c r="P99" s="4"/>
      <c r="Z99" s="4"/>
      <c r="AA99" s="675"/>
      <c r="AB99" s="675"/>
      <c r="AC99" s="675"/>
      <c r="AD99" s="675"/>
      <c r="AE99" s="675"/>
      <c r="AF99" s="663"/>
      <c r="AG99" s="697"/>
      <c r="AH99" s="661"/>
      <c r="AI99" s="662"/>
      <c r="AJ99" s="663"/>
      <c r="AK99" s="663"/>
      <c r="AL99" s="663"/>
      <c r="AM99" s="663"/>
      <c r="AN99" s="663"/>
      <c r="AO99" s="663"/>
      <c r="AP99" s="663"/>
      <c r="AQ99" s="663"/>
      <c r="AR99" s="663"/>
      <c r="AS99" s="663"/>
      <c r="AT99" s="663"/>
      <c r="AU99" s="663"/>
      <c r="AV99" s="663"/>
      <c r="AW99" s="663"/>
      <c r="AX99" s="663"/>
      <c r="AY99" s="664"/>
      <c r="AZ99" s="664"/>
      <c r="BA99" s="664"/>
      <c r="BB99" s="664"/>
      <c r="BC99" s="664"/>
      <c r="BD99" s="664"/>
      <c r="BE99" s="664"/>
      <c r="BF99" s="664"/>
      <c r="BG99" s="664"/>
      <c r="BH99" s="665"/>
      <c r="BI99" s="665"/>
    </row>
    <row r="100" spans="4:61">
      <c r="D100" s="663"/>
      <c r="F100" s="359"/>
      <c r="G100" s="359"/>
      <c r="H100" s="359"/>
      <c r="I100" s="702"/>
      <c r="J100" s="359"/>
      <c r="K100" s="359"/>
      <c r="L100" s="359"/>
      <c r="M100" s="359"/>
      <c r="N100" s="359"/>
      <c r="O100" s="359"/>
      <c r="P100" s="4"/>
      <c r="Z100" s="4"/>
      <c r="AA100" s="675"/>
      <c r="AB100" s="675"/>
      <c r="AC100" s="675"/>
      <c r="AD100" s="675"/>
      <c r="AE100" s="675"/>
      <c r="AF100" s="663"/>
      <c r="AG100" s="697"/>
      <c r="AH100" s="661"/>
      <c r="AI100" s="662"/>
      <c r="AJ100" s="663"/>
      <c r="AK100" s="663"/>
      <c r="AL100" s="663"/>
      <c r="AM100" s="663"/>
      <c r="AN100" s="663"/>
      <c r="AO100" s="663"/>
      <c r="AP100" s="663"/>
      <c r="AQ100" s="663"/>
      <c r="AR100" s="663"/>
      <c r="AS100" s="663"/>
      <c r="AT100" s="663"/>
      <c r="AU100" s="663"/>
      <c r="AV100" s="663"/>
      <c r="AW100" s="663"/>
      <c r="AX100" s="663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5"/>
      <c r="BI100" s="665"/>
    </row>
    <row r="101" spans="4:61">
      <c r="D101" s="663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4"/>
      <c r="Z101" s="4"/>
      <c r="AA101" s="675"/>
      <c r="AB101" s="675"/>
      <c r="AC101" s="675"/>
      <c r="AD101" s="675"/>
      <c r="AE101" s="675"/>
      <c r="AF101" s="663"/>
      <c r="AG101" s="697"/>
      <c r="AH101" s="661"/>
      <c r="AI101" s="662"/>
      <c r="AJ101" s="663"/>
      <c r="AK101" s="663"/>
      <c r="AL101" s="663"/>
      <c r="AM101" s="663"/>
      <c r="AN101" s="663"/>
      <c r="AO101" s="663"/>
      <c r="AP101" s="663"/>
      <c r="AQ101" s="663"/>
      <c r="AR101" s="663"/>
      <c r="AS101" s="663"/>
      <c r="AT101" s="663"/>
      <c r="AU101" s="663"/>
      <c r="AV101" s="663"/>
      <c r="AW101" s="663"/>
      <c r="AX101" s="663"/>
      <c r="AY101" s="664"/>
      <c r="AZ101" s="664"/>
      <c r="BA101" s="664"/>
      <c r="BB101" s="664"/>
      <c r="BC101" s="664"/>
      <c r="BD101" s="664"/>
      <c r="BE101" s="664"/>
      <c r="BF101" s="664"/>
      <c r="BG101" s="664"/>
      <c r="BH101" s="665"/>
      <c r="BI101" s="665"/>
    </row>
    <row r="102" spans="4:61">
      <c r="D102" s="663"/>
      <c r="F102" s="701"/>
      <c r="G102" s="701"/>
      <c r="H102" s="701"/>
      <c r="I102" s="359"/>
      <c r="J102" s="702"/>
      <c r="K102" s="702"/>
      <c r="L102" s="702"/>
      <c r="M102" s="702"/>
      <c r="N102" s="702"/>
      <c r="O102" s="702"/>
      <c r="P102" s="4"/>
      <c r="Z102" s="4"/>
      <c r="AA102" s="675"/>
      <c r="AB102" s="675"/>
      <c r="AC102" s="675"/>
      <c r="AD102" s="675"/>
      <c r="AE102" s="675"/>
      <c r="AF102" s="663"/>
      <c r="AG102" s="703"/>
      <c r="AH102" s="661"/>
      <c r="AI102" s="662"/>
      <c r="AJ102" s="663"/>
      <c r="AK102" s="663"/>
      <c r="AL102" s="663"/>
      <c r="AM102" s="663"/>
      <c r="AN102" s="663"/>
      <c r="AO102" s="663"/>
      <c r="AP102" s="663"/>
      <c r="AQ102" s="663"/>
      <c r="AR102" s="663"/>
      <c r="AS102" s="663"/>
      <c r="AT102" s="663"/>
      <c r="AU102" s="663"/>
      <c r="AV102" s="663"/>
      <c r="AW102" s="663"/>
      <c r="AX102" s="663"/>
      <c r="AY102" s="664"/>
      <c r="AZ102" s="664"/>
      <c r="BA102" s="664"/>
      <c r="BB102" s="664"/>
      <c r="BC102" s="664"/>
      <c r="BD102" s="664"/>
      <c r="BE102" s="664"/>
      <c r="BF102" s="664"/>
      <c r="BG102" s="664"/>
      <c r="BH102" s="665"/>
      <c r="BI102" s="665"/>
    </row>
    <row r="103" spans="4:61">
      <c r="D103" s="663"/>
      <c r="F103" s="359"/>
      <c r="G103" s="359"/>
      <c r="H103" s="359"/>
      <c r="I103" s="359"/>
      <c r="J103" s="702"/>
      <c r="K103" s="702"/>
      <c r="L103" s="702"/>
      <c r="M103" s="702"/>
      <c r="N103" s="702"/>
      <c r="O103" s="702"/>
      <c r="P103" s="4"/>
      <c r="Z103" s="4"/>
      <c r="AA103" s="675"/>
      <c r="AB103" s="675"/>
      <c r="AC103" s="675"/>
      <c r="AD103" s="675"/>
      <c r="AE103" s="675"/>
      <c r="AF103" s="663"/>
      <c r="AG103" s="703"/>
      <c r="AH103" s="661"/>
      <c r="AI103" s="662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5"/>
      <c r="BI103" s="665"/>
    </row>
    <row r="104" spans="4:61">
      <c r="D104" s="663"/>
      <c r="F104" s="359"/>
      <c r="G104" s="359"/>
      <c r="H104" s="359"/>
      <c r="I104" s="359"/>
      <c r="J104" s="702"/>
      <c r="K104" s="702"/>
      <c r="L104" s="702"/>
      <c r="M104" s="702"/>
      <c r="N104" s="702"/>
      <c r="O104" s="702"/>
      <c r="P104" s="4"/>
      <c r="Z104" s="4"/>
      <c r="AA104" s="675"/>
      <c r="AB104" s="675"/>
      <c r="AC104" s="675"/>
      <c r="AD104" s="675"/>
      <c r="AE104" s="675"/>
      <c r="AF104" s="663"/>
      <c r="AG104" s="703"/>
      <c r="AH104" s="661"/>
      <c r="AI104" s="662"/>
      <c r="AJ104" s="663"/>
      <c r="AK104" s="663"/>
      <c r="AL104" s="663"/>
      <c r="AM104" s="663"/>
      <c r="AN104" s="663"/>
      <c r="AO104" s="663"/>
      <c r="AP104" s="663"/>
      <c r="AQ104" s="663"/>
      <c r="AR104" s="663"/>
      <c r="AS104" s="663"/>
      <c r="AT104" s="663"/>
      <c r="AU104" s="663"/>
      <c r="AV104" s="663"/>
      <c r="AW104" s="663"/>
      <c r="AX104" s="663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5"/>
      <c r="BI104" s="665"/>
    </row>
    <row r="105" spans="4:61">
      <c r="D105" s="663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4"/>
      <c r="Z105" s="4"/>
      <c r="AA105" s="675"/>
      <c r="AB105" s="675"/>
      <c r="AC105" s="675"/>
      <c r="AD105" s="675"/>
      <c r="AE105" s="675"/>
      <c r="AF105" s="663"/>
      <c r="AG105" s="697"/>
      <c r="AH105" s="661"/>
      <c r="AI105" s="662"/>
      <c r="AJ105" s="663"/>
      <c r="AK105" s="663"/>
      <c r="AL105" s="663"/>
      <c r="AM105" s="663"/>
      <c r="AN105" s="663"/>
      <c r="AO105" s="663"/>
      <c r="AP105" s="663"/>
      <c r="AQ105" s="663"/>
      <c r="AR105" s="663"/>
      <c r="AS105" s="663"/>
      <c r="AT105" s="663"/>
      <c r="AU105" s="663"/>
      <c r="AV105" s="663"/>
      <c r="AW105" s="663"/>
      <c r="AX105" s="663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5"/>
      <c r="BI105" s="665"/>
    </row>
    <row r="106" spans="4:61">
      <c r="D106" s="663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4"/>
      <c r="Z106" s="4"/>
      <c r="AA106" s="675"/>
      <c r="AB106" s="675"/>
      <c r="AC106" s="675"/>
      <c r="AD106" s="675"/>
      <c r="AE106" s="675"/>
      <c r="AF106" s="663"/>
      <c r="AG106" s="697"/>
      <c r="AH106" s="661"/>
      <c r="AI106" s="662"/>
      <c r="AJ106" s="663"/>
      <c r="AK106" s="663"/>
      <c r="AL106" s="663"/>
      <c r="AM106" s="663"/>
      <c r="AN106" s="663"/>
      <c r="AO106" s="663"/>
      <c r="AP106" s="663"/>
      <c r="AQ106" s="663"/>
      <c r="AR106" s="663"/>
      <c r="AS106" s="663"/>
      <c r="AT106" s="663"/>
      <c r="AU106" s="663"/>
      <c r="AV106" s="663"/>
      <c r="AW106" s="663"/>
      <c r="AX106" s="663"/>
      <c r="AY106" s="664"/>
      <c r="AZ106" s="664"/>
      <c r="BA106" s="664"/>
      <c r="BB106" s="664"/>
      <c r="BC106" s="664"/>
      <c r="BD106" s="664"/>
      <c r="BE106" s="664"/>
      <c r="BF106" s="664"/>
      <c r="BG106" s="664"/>
      <c r="BH106" s="665"/>
      <c r="BI106" s="665"/>
    </row>
  </sheetData>
  <mergeCells count="41">
    <mergeCell ref="A42:E42"/>
    <mergeCell ref="C39:C41"/>
    <mergeCell ref="C33:C35"/>
    <mergeCell ref="C36:C38"/>
    <mergeCell ref="AO21:AS21"/>
    <mergeCell ref="C77:C79"/>
    <mergeCell ref="C49:C51"/>
    <mergeCell ref="C52:C54"/>
    <mergeCell ref="C55:C57"/>
    <mergeCell ref="AO31:AS31"/>
    <mergeCell ref="C58:C60"/>
    <mergeCell ref="A61:E61"/>
    <mergeCell ref="C62:C64"/>
    <mergeCell ref="C65:C67"/>
    <mergeCell ref="C68:C70"/>
    <mergeCell ref="C71:C73"/>
    <mergeCell ref="C74:C76"/>
    <mergeCell ref="C43:C45"/>
    <mergeCell ref="C20:C22"/>
    <mergeCell ref="C46:C48"/>
    <mergeCell ref="AO19:AS19"/>
    <mergeCell ref="A4:E4"/>
    <mergeCell ref="C5:C7"/>
    <mergeCell ref="AI6:AI8"/>
    <mergeCell ref="C8:C10"/>
    <mergeCell ref="AI10:AI12"/>
    <mergeCell ref="C11:C13"/>
    <mergeCell ref="AO14:AO16"/>
    <mergeCell ref="C17:C19"/>
    <mergeCell ref="C24:C26"/>
    <mergeCell ref="C27:C29"/>
    <mergeCell ref="C14:C16"/>
    <mergeCell ref="AI14:AI37"/>
    <mergeCell ref="C30:C32"/>
    <mergeCell ref="A23:E23"/>
    <mergeCell ref="A2:E2"/>
    <mergeCell ref="AI2:BG2"/>
    <mergeCell ref="C3:D3"/>
    <mergeCell ref="AJ3:BG3"/>
    <mergeCell ref="Q2:AG2"/>
    <mergeCell ref="F2:O2"/>
  </mergeCells>
  <hyperlinks>
    <hyperlink ref="AO38" r:id="rId1" xr:uid="{F3CD68FE-42B8-4F6C-8C22-8AA4157421C1}"/>
  </hyperlinks>
  <pageMargins left="0.7" right="0.7" top="0.75" bottom="0.75" header="0.3" footer="0.3"/>
  <pageSetup paperSize="9" orientation="portrait" verticalDpi="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9B42-997E-4E4C-A105-3F9EC03F6DED}">
  <dimension ref="A1:AB474"/>
  <sheetViews>
    <sheetView workbookViewId="0">
      <selection activeCell="J4" sqref="J4"/>
    </sheetView>
  </sheetViews>
  <sheetFormatPr defaultRowHeight="15"/>
  <cols>
    <col min="1" max="1" width="8.42578125" customWidth="1"/>
    <col min="2" max="4" width="11.5703125" style="1355" customWidth="1"/>
    <col min="5" max="5" width="3" customWidth="1"/>
    <col min="6" max="8" width="11.5703125" style="1355" customWidth="1"/>
    <col min="9" max="9" width="3.5703125" customWidth="1"/>
    <col min="10" max="12" width="12" bestFit="1" customWidth="1"/>
    <col min="13" max="13" width="3.7109375" customWidth="1"/>
    <col min="18" max="18" width="12" style="42" bestFit="1" customWidth="1"/>
    <col min="19" max="20" width="9.140625" style="42"/>
  </cols>
  <sheetData>
    <row r="1" spans="1:28">
      <c r="A1" s="13"/>
      <c r="B1" s="1354" t="s">
        <v>284</v>
      </c>
      <c r="C1" s="1354"/>
      <c r="F1" s="13"/>
      <c r="G1" s="1354" t="s">
        <v>285</v>
      </c>
      <c r="H1" s="1354"/>
      <c r="V1" s="1442" t="s">
        <v>187</v>
      </c>
      <c r="W1" s="1442"/>
      <c r="X1" s="1442"/>
      <c r="Y1" s="1442"/>
      <c r="Z1" s="1442"/>
    </row>
    <row r="2" spans="1:28">
      <c r="A2" s="13"/>
      <c r="B2" s="1354"/>
      <c r="C2" s="1354"/>
      <c r="D2" s="1354"/>
      <c r="E2" s="13"/>
      <c r="F2" s="1354"/>
      <c r="G2" s="1354"/>
      <c r="H2" s="1354"/>
      <c r="V2" s="698"/>
      <c r="W2" s="698"/>
      <c r="X2" s="698"/>
      <c r="Y2" s="698"/>
      <c r="Z2" s="698"/>
    </row>
    <row r="3" spans="1:28">
      <c r="A3" s="13" t="s">
        <v>286</v>
      </c>
      <c r="B3" s="1354" t="s">
        <v>142</v>
      </c>
      <c r="C3" s="1354" t="s">
        <v>3</v>
      </c>
      <c r="D3" s="1354" t="s">
        <v>143</v>
      </c>
      <c r="E3" s="13"/>
      <c r="F3" s="1354" t="s">
        <v>142</v>
      </c>
      <c r="G3" s="1354" t="s">
        <v>3</v>
      </c>
      <c r="H3" s="1354" t="s">
        <v>143</v>
      </c>
      <c r="J3" s="1354" t="s">
        <v>142</v>
      </c>
      <c r="K3" s="1354" t="s">
        <v>3</v>
      </c>
      <c r="L3" s="1354" t="s">
        <v>143</v>
      </c>
      <c r="N3" s="1354" t="s">
        <v>142</v>
      </c>
      <c r="O3" s="1354" t="s">
        <v>3</v>
      </c>
      <c r="P3" s="1354" t="s">
        <v>143</v>
      </c>
      <c r="R3" s="72" t="s">
        <v>280</v>
      </c>
      <c r="S3" s="72" t="s">
        <v>281</v>
      </c>
      <c r="T3" s="72" t="s">
        <v>282</v>
      </c>
      <c r="V3" s="1444" t="s">
        <v>188</v>
      </c>
      <c r="W3" s="1444"/>
      <c r="X3" s="1444"/>
      <c r="Y3" s="1444"/>
      <c r="Z3" s="1444"/>
    </row>
    <row r="4" spans="1:28" ht="15.75" thickBot="1">
      <c r="A4">
        <v>360</v>
      </c>
      <c r="B4" s="1355">
        <v>1.2990000000000001E-4</v>
      </c>
      <c r="C4" s="1355">
        <v>3.9169999999999999E-6</v>
      </c>
      <c r="D4" s="1355">
        <v>6.0610000000000004E-4</v>
      </c>
      <c r="F4" s="1355">
        <f>$X$12*B4+$Y$12*C4+$Z$12*D4</f>
        <v>1.2159084984890001E-4</v>
      </c>
      <c r="G4" s="1355">
        <f>$X$13*B4+$Y$13*C4+$Z$13*D4</f>
        <v>5.9628471499999962E-7</v>
      </c>
      <c r="H4" s="1355">
        <f>$X$14*B4+$Y$14*C4+$Z$14*D4</f>
        <v>5.5605851535490004E-4</v>
      </c>
      <c r="J4">
        <f>F4/$X$5</f>
        <v>1.2792707802339895E-4</v>
      </c>
      <c r="K4">
        <f>G4/$X$6</f>
        <v>5.9628471499999962E-7</v>
      </c>
      <c r="L4">
        <f>H4/$X$7</f>
        <v>5.1069360263300979E-4</v>
      </c>
      <c r="N4">
        <f>IF(J4&gt;0.008856,J4^(1/3),7.787*J4+16/116)</f>
        <v>0.13892720263932681</v>
      </c>
      <c r="O4">
        <f>IF(K4&gt;0.008856,K4^(1/3),7.787*K4+16/116)</f>
        <v>0.13793567775183432</v>
      </c>
      <c r="P4">
        <f>IF(L4&gt;0.008856,L4^(1/3),7.787*L4+16/116)</f>
        <v>0.14190780556646188</v>
      </c>
      <c r="R4" s="42">
        <f xml:space="preserve"> 116 * O4  - 16</f>
        <v>5.3861921278297586E-4</v>
      </c>
      <c r="S4" s="42">
        <f xml:space="preserve"> 500 * (N4 - O4 )</f>
        <v>0.4957624437462449</v>
      </c>
      <c r="T4" s="42">
        <f xml:space="preserve"> 200 * (O4 - P4 )</f>
        <v>-0.79442556292551036</v>
      </c>
      <c r="V4" s="699"/>
      <c r="W4" s="321"/>
      <c r="X4" s="321"/>
      <c r="Y4" s="321"/>
      <c r="Z4" s="321"/>
    </row>
    <row r="5" spans="1:28" ht="15.75" thickBot="1">
      <c r="A5">
        <v>361</v>
      </c>
      <c r="B5" s="1355">
        <v>1.45847E-4</v>
      </c>
      <c r="C5" s="1355">
        <v>4.3935810000000003E-6</v>
      </c>
      <c r="D5" s="1355">
        <v>6.8087919999999997E-4</v>
      </c>
      <c r="F5" s="1355">
        <f t="shared" ref="F5:F68" si="0">$X$12*B5+$Y$12*C5+$Z$12*D5</f>
        <v>1.3651349617499771E-4</v>
      </c>
      <c r="G5" s="1355">
        <f t="shared" ref="G5:G68" si="1">$X$13*B5+$Y$13*C5+$Z$13*D5</f>
        <v>6.6404601585500063E-7</v>
      </c>
      <c r="H5" s="1355">
        <f t="shared" ref="H5:H68" si="2">$X$14*B5+$Y$14*C5+$Z$14*D5</f>
        <v>6.2466395298727581E-4</v>
      </c>
      <c r="J5">
        <f t="shared" ref="J5:J68" si="3">F5/$X$5</f>
        <v>1.4362735928014319E-4</v>
      </c>
      <c r="K5">
        <f t="shared" ref="K5:K68" si="4">G5/$X$6</f>
        <v>6.6404601585500063E-7</v>
      </c>
      <c r="L5">
        <f t="shared" ref="L5:L68" si="5">H5/$X$7</f>
        <v>5.7370200397424372E-4</v>
      </c>
      <c r="N5">
        <f t="shared" ref="N5:P68" si="6">IF(J5&gt;0.008856,J5^(1/3),7.787*J5+16/116)</f>
        <v>0.13904946072947311</v>
      </c>
      <c r="O5">
        <f t="shared" si="6"/>
        <v>0.13793620540908408</v>
      </c>
      <c r="P5">
        <f t="shared" si="6"/>
        <v>0.14239845198770607</v>
      </c>
      <c r="R5" s="42">
        <f t="shared" ref="R5:R68" si="7" xml:space="preserve"> 116 * O5  - 16</f>
        <v>5.9982745375464219E-4</v>
      </c>
      <c r="S5" s="42">
        <f t="shared" ref="S5:S68" si="8" xml:space="preserve"> 500 * (N5 - O5 )</f>
        <v>0.55662766019451415</v>
      </c>
      <c r="T5" s="42">
        <f t="shared" ref="T5:T68" si="9" xml:space="preserve"> 200 * (O5 - P5 )</f>
        <v>-0.89244931572439734</v>
      </c>
      <c r="V5" s="1356" t="s">
        <v>33</v>
      </c>
      <c r="W5" s="1356" t="s">
        <v>163</v>
      </c>
      <c r="X5" s="1357">
        <v>0.95047000000000004</v>
      </c>
      <c r="Y5" s="321"/>
      <c r="Z5" s="321"/>
    </row>
    <row r="6" spans="1:28" ht="15.75" thickBot="1">
      <c r="A6">
        <v>362</v>
      </c>
      <c r="B6" s="1355">
        <v>1.6380210000000001E-4</v>
      </c>
      <c r="C6" s="1355">
        <v>4.9296040000000003E-6</v>
      </c>
      <c r="D6" s="1355">
        <v>7.6514560000000005E-4</v>
      </c>
      <c r="F6" s="1355">
        <f t="shared" si="0"/>
        <v>1.5331443470824679E-4</v>
      </c>
      <c r="G6" s="1355">
        <f t="shared" si="1"/>
        <v>7.3955328893999952E-7</v>
      </c>
      <c r="H6" s="1355">
        <f t="shared" si="2"/>
        <v>7.0197337530148883E-4</v>
      </c>
      <c r="J6">
        <f t="shared" si="3"/>
        <v>1.6130381254352773E-4</v>
      </c>
      <c r="K6">
        <f t="shared" si="4"/>
        <v>7.3955328893999952E-7</v>
      </c>
      <c r="L6">
        <f t="shared" si="5"/>
        <v>6.4470429295802726E-4</v>
      </c>
      <c r="N6">
        <f t="shared" si="6"/>
        <v>0.13918710727103506</v>
      </c>
      <c r="O6">
        <f t="shared" si="6"/>
        <v>0.1379367933842196</v>
      </c>
      <c r="P6">
        <f t="shared" si="6"/>
        <v>0.14295134681202279</v>
      </c>
      <c r="R6" s="42">
        <f t="shared" si="7"/>
        <v>6.6803256947522982E-4</v>
      </c>
      <c r="S6" s="42">
        <f t="shared" si="8"/>
        <v>0.62515694340772865</v>
      </c>
      <c r="T6" s="42">
        <f t="shared" si="9"/>
        <v>-1.0029106855606373</v>
      </c>
      <c r="V6" s="321"/>
      <c r="W6" s="1356" t="s">
        <v>164</v>
      </c>
      <c r="X6" s="1357">
        <v>1</v>
      </c>
      <c r="Y6" s="321"/>
      <c r="Z6" s="321"/>
    </row>
    <row r="7" spans="1:28" ht="15.75" thickBot="1">
      <c r="A7">
        <v>363</v>
      </c>
      <c r="B7" s="1355">
        <v>1.8400369999999999E-4</v>
      </c>
      <c r="C7" s="1355">
        <v>5.5321360000000001E-6</v>
      </c>
      <c r="D7" s="1355">
        <v>8.6001239999999998E-4</v>
      </c>
      <c r="F7" s="1355">
        <f t="shared" si="0"/>
        <v>1.722168070121912E-4</v>
      </c>
      <c r="G7" s="1355">
        <f t="shared" si="1"/>
        <v>8.2377477779999968E-7</v>
      </c>
      <c r="H7" s="1355">
        <f t="shared" si="2"/>
        <v>7.8900807286168924E-4</v>
      </c>
      <c r="J7">
        <f t="shared" si="3"/>
        <v>1.8119120752069101E-4</v>
      </c>
      <c r="K7">
        <f t="shared" si="4"/>
        <v>8.2377477779999968E-7</v>
      </c>
      <c r="L7">
        <f t="shared" si="5"/>
        <v>7.2463844021719581E-4</v>
      </c>
      <c r="N7">
        <f t="shared" si="6"/>
        <v>0.13934197041572224</v>
      </c>
      <c r="O7">
        <f t="shared" si="6"/>
        <v>0.13793744921695333</v>
      </c>
      <c r="P7">
        <f t="shared" si="6"/>
        <v>0.14357379401672993</v>
      </c>
      <c r="R7" s="42">
        <f t="shared" si="7"/>
        <v>7.4410916658607107E-4</v>
      </c>
      <c r="S7" s="42">
        <f t="shared" si="8"/>
        <v>0.70226059938445495</v>
      </c>
      <c r="T7" s="42">
        <f t="shared" si="9"/>
        <v>-1.1272689599553187</v>
      </c>
      <c r="V7" s="321"/>
      <c r="W7" s="1356" t="s">
        <v>165</v>
      </c>
      <c r="X7" s="1357">
        <v>1.08883</v>
      </c>
      <c r="Y7" s="321"/>
      <c r="Z7" s="321"/>
    </row>
    <row r="8" spans="1:28">
      <c r="A8">
        <v>364</v>
      </c>
      <c r="B8" s="1355">
        <v>2.066902E-4</v>
      </c>
      <c r="C8" s="1355">
        <v>6.2082449999999999E-6</v>
      </c>
      <c r="D8" s="1355">
        <v>9.6659280000000001E-4</v>
      </c>
      <c r="F8" s="1355">
        <f t="shared" si="0"/>
        <v>1.934437546432065E-4</v>
      </c>
      <c r="G8" s="1355">
        <f t="shared" si="1"/>
        <v>9.1767974157499922E-7</v>
      </c>
      <c r="H8" s="1355">
        <f t="shared" si="2"/>
        <v>8.8678933623879659E-4</v>
      </c>
      <c r="J8">
        <f t="shared" si="3"/>
        <v>2.035243139112297E-4</v>
      </c>
      <c r="K8">
        <f t="shared" si="4"/>
        <v>9.1767974157499922E-7</v>
      </c>
      <c r="L8">
        <f t="shared" si="5"/>
        <v>8.1444241639080169E-4</v>
      </c>
      <c r="N8">
        <f t="shared" si="6"/>
        <v>0.13951587831518536</v>
      </c>
      <c r="O8">
        <f t="shared" si="6"/>
        <v>0.13793818045490627</v>
      </c>
      <c r="P8">
        <f t="shared" si="6"/>
        <v>0.14427309757919379</v>
      </c>
      <c r="R8" s="42">
        <f t="shared" si="7"/>
        <v>8.2893276912798797E-4</v>
      </c>
      <c r="S8" s="42">
        <f t="shared" si="8"/>
        <v>0.78884893013954349</v>
      </c>
      <c r="T8" s="42">
        <f t="shared" si="9"/>
        <v>-1.266983424857504</v>
      </c>
      <c r="V8" s="76"/>
      <c r="W8" s="73"/>
      <c r="X8" s="73"/>
      <c r="Y8" s="73"/>
      <c r="Z8" s="73"/>
    </row>
    <row r="9" spans="1:28">
      <c r="A9">
        <v>365</v>
      </c>
      <c r="B9" s="1355">
        <v>2.321E-4</v>
      </c>
      <c r="C9" s="1355">
        <v>6.9650000000000002E-6</v>
      </c>
      <c r="D9" s="1355">
        <v>1.0859999999999999E-3</v>
      </c>
      <c r="F9" s="1355">
        <f t="shared" si="0"/>
        <v>2.1721841915050001E-4</v>
      </c>
      <c r="G9" s="1355">
        <f t="shared" si="1"/>
        <v>1.0222384549999996E-6</v>
      </c>
      <c r="H9" s="1355">
        <f t="shared" si="2"/>
        <v>9.9633845601050002E-4</v>
      </c>
      <c r="J9">
        <f t="shared" si="3"/>
        <v>2.2853790140719854E-4</v>
      </c>
      <c r="K9">
        <f t="shared" si="4"/>
        <v>1.0222384549999996E-6</v>
      </c>
      <c r="L9">
        <f t="shared" si="5"/>
        <v>9.150541921241149E-4</v>
      </c>
      <c r="N9">
        <f t="shared" si="6"/>
        <v>0.13971065912101646</v>
      </c>
      <c r="O9">
        <f t="shared" si="6"/>
        <v>0.1379389946536077</v>
      </c>
      <c r="P9">
        <f t="shared" si="6"/>
        <v>0.1450565614768291</v>
      </c>
      <c r="R9" s="42">
        <f t="shared" si="7"/>
        <v>9.2337981849510697E-4</v>
      </c>
      <c r="S9" s="42">
        <f t="shared" si="8"/>
        <v>0.88583223370437836</v>
      </c>
      <c r="T9" s="42">
        <f t="shared" si="9"/>
        <v>-1.4235133646442799</v>
      </c>
      <c r="V9" s="1445" t="s">
        <v>186</v>
      </c>
      <c r="W9" s="1445"/>
      <c r="X9" s="1445"/>
      <c r="Y9" s="1445"/>
      <c r="Z9" s="1445"/>
    </row>
    <row r="10" spans="1:28">
      <c r="A10">
        <v>366</v>
      </c>
      <c r="B10" s="1355">
        <v>2.60728E-4</v>
      </c>
      <c r="C10" s="1355">
        <v>7.8132190000000003E-6</v>
      </c>
      <c r="D10" s="1355">
        <v>1.2205860000000001E-3</v>
      </c>
      <c r="F10" s="1355">
        <f t="shared" si="0"/>
        <v>2.4400357561344232E-4</v>
      </c>
      <c r="G10" s="1355">
        <f t="shared" si="1"/>
        <v>1.1354279915049995E-6</v>
      </c>
      <c r="H10" s="1355">
        <f t="shared" si="2"/>
        <v>1.1198132468640644E-3</v>
      </c>
      <c r="J10">
        <f t="shared" si="3"/>
        <v>2.567188607882861E-4</v>
      </c>
      <c r="K10">
        <f t="shared" si="4"/>
        <v>1.1354279915049995E-6</v>
      </c>
      <c r="L10">
        <f t="shared" si="5"/>
        <v>1.0284555411442231E-3</v>
      </c>
      <c r="N10">
        <f t="shared" si="6"/>
        <v>0.13993010425171701</v>
      </c>
      <c r="O10">
        <f t="shared" si="6"/>
        <v>0.13793987606052846</v>
      </c>
      <c r="P10">
        <f t="shared" si="6"/>
        <v>0.14593961778164868</v>
      </c>
      <c r="R10" s="42">
        <f t="shared" si="7"/>
        <v>1.0256230213023798E-3</v>
      </c>
      <c r="S10" s="42">
        <f t="shared" si="8"/>
        <v>0.99511409559427388</v>
      </c>
      <c r="T10" s="42">
        <f t="shared" si="9"/>
        <v>-1.5999483442240447</v>
      </c>
      <c r="V10" s="700" t="s">
        <v>167</v>
      </c>
      <c r="W10" s="700"/>
      <c r="X10" s="700"/>
      <c r="Y10" s="700"/>
      <c r="Z10" s="700"/>
    </row>
    <row r="11" spans="1:28" ht="15.75" thickBot="1">
      <c r="A11">
        <v>367</v>
      </c>
      <c r="B11" s="1355">
        <v>2.9307500000000001E-4</v>
      </c>
      <c r="C11" s="1355">
        <v>8.767336E-6</v>
      </c>
      <c r="D11" s="1355">
        <v>1.372729E-3</v>
      </c>
      <c r="F11" s="1355">
        <f t="shared" si="0"/>
        <v>2.7426751250295118E-4</v>
      </c>
      <c r="G11" s="1355">
        <f t="shared" si="1"/>
        <v>1.2587481071199988E-6</v>
      </c>
      <c r="H11" s="1355">
        <f t="shared" si="2"/>
        <v>1.2593955826521192E-3</v>
      </c>
      <c r="J11">
        <f t="shared" si="3"/>
        <v>2.8855988353441054E-4</v>
      </c>
      <c r="K11">
        <f t="shared" si="4"/>
        <v>1.2587481071199988E-6</v>
      </c>
      <c r="L11">
        <f t="shared" si="5"/>
        <v>1.156650333525086E-3</v>
      </c>
      <c r="N11">
        <f t="shared" si="6"/>
        <v>0.14017805029584107</v>
      </c>
      <c r="O11">
        <f t="shared" si="6"/>
        <v>0.13794083635426876</v>
      </c>
      <c r="P11">
        <f t="shared" si="6"/>
        <v>0.14693787062991848</v>
      </c>
      <c r="R11" s="42">
        <f t="shared" si="7"/>
        <v>1.1370170951749969E-3</v>
      </c>
      <c r="S11" s="42">
        <f t="shared" si="8"/>
        <v>1.1186069707861539</v>
      </c>
      <c r="T11" s="42">
        <f t="shared" si="9"/>
        <v>-1.7994068551299425</v>
      </c>
      <c r="V11" s="76"/>
      <c r="W11" s="73"/>
      <c r="X11" s="73"/>
      <c r="Y11" s="73"/>
      <c r="Z11" s="73"/>
    </row>
    <row r="12" spans="1:28">
      <c r="A12">
        <v>368</v>
      </c>
      <c r="B12" s="1355">
        <v>3.2938800000000001E-4</v>
      </c>
      <c r="C12" s="1355">
        <v>9.8398440000000006E-6</v>
      </c>
      <c r="D12" s="1355">
        <v>1.543579E-3</v>
      </c>
      <c r="F12" s="1355">
        <f t="shared" si="0"/>
        <v>3.0824142288265479E-4</v>
      </c>
      <c r="G12" s="1355">
        <f t="shared" si="1"/>
        <v>1.3984635137800008E-6</v>
      </c>
      <c r="H12" s="1355">
        <f t="shared" si="2"/>
        <v>1.4161405481990269E-3</v>
      </c>
      <c r="J12">
        <f t="shared" si="3"/>
        <v>3.2430421042500531E-4</v>
      </c>
      <c r="K12">
        <f t="shared" si="4"/>
        <v>1.3984635137800008E-6</v>
      </c>
      <c r="L12">
        <f t="shared" si="5"/>
        <v>1.3006075771231753E-3</v>
      </c>
      <c r="N12">
        <f t="shared" si="6"/>
        <v>0.14045639136933813</v>
      </c>
      <c r="O12">
        <f t="shared" si="6"/>
        <v>0.13794192431814042</v>
      </c>
      <c r="P12">
        <f t="shared" si="6"/>
        <v>0.14805886568581678</v>
      </c>
      <c r="R12" s="42">
        <f t="shared" si="7"/>
        <v>1.2632209042884313E-3</v>
      </c>
      <c r="S12" s="42">
        <f t="shared" si="8"/>
        <v>1.2572335255988527</v>
      </c>
      <c r="T12" s="42">
        <f t="shared" si="9"/>
        <v>-2.0233882735352706</v>
      </c>
      <c r="V12" s="89" t="s">
        <v>287</v>
      </c>
      <c r="W12" s="1358" t="s">
        <v>163</v>
      </c>
      <c r="X12" s="1359">
        <v>0.99044759999999998</v>
      </c>
      <c r="Y12" s="1360">
        <v>-7.1682999999999998E-3</v>
      </c>
      <c r="Z12" s="1361">
        <v>-1.16156E-2</v>
      </c>
    </row>
    <row r="13" spans="1:28">
      <c r="A13">
        <v>369</v>
      </c>
      <c r="B13" s="1355">
        <v>3.69914E-4</v>
      </c>
      <c r="C13" s="1355">
        <v>1.104323E-5</v>
      </c>
      <c r="D13" s="1355">
        <v>1.734286E-3</v>
      </c>
      <c r="F13" s="1355">
        <f t="shared" si="0"/>
        <v>3.4615649985919096E-4</v>
      </c>
      <c r="G13" s="1355">
        <f t="shared" si="1"/>
        <v>1.5608328298499992E-6</v>
      </c>
      <c r="H13" s="1355">
        <f t="shared" si="2"/>
        <v>1.5911032282885311E-3</v>
      </c>
      <c r="J13">
        <f t="shared" si="3"/>
        <v>3.6419508228475485E-4</v>
      </c>
      <c r="K13">
        <f t="shared" si="4"/>
        <v>1.5608328298499992E-6</v>
      </c>
      <c r="L13">
        <f t="shared" si="5"/>
        <v>1.4612962797576584E-3</v>
      </c>
      <c r="N13">
        <f t="shared" si="6"/>
        <v>0.14076702158851001</v>
      </c>
      <c r="O13">
        <f t="shared" si="6"/>
        <v>0.13794318868800465</v>
      </c>
      <c r="P13">
        <f t="shared" si="6"/>
        <v>0.1493101486132315</v>
      </c>
      <c r="R13" s="42">
        <f t="shared" si="7"/>
        <v>1.409887808538457E-3</v>
      </c>
      <c r="S13" s="42">
        <f t="shared" si="8"/>
        <v>1.4119164502526815</v>
      </c>
      <c r="T13" s="42">
        <f t="shared" si="9"/>
        <v>-2.2733919850453699</v>
      </c>
      <c r="V13" s="89"/>
      <c r="W13" s="1358" t="s">
        <v>164</v>
      </c>
      <c r="X13" s="1362">
        <v>-1.2371200000000001E-2</v>
      </c>
      <c r="Y13" s="1363">
        <v>1.015595</v>
      </c>
      <c r="Z13" s="1364">
        <v>-2.9282000000000002E-3</v>
      </c>
      <c r="AB13" s="52"/>
    </row>
    <row r="14" spans="1:28" ht="15.75" thickBot="1">
      <c r="A14">
        <v>370</v>
      </c>
      <c r="B14" s="1355">
        <v>4.149E-4</v>
      </c>
      <c r="C14" s="1355">
        <v>1.239E-5</v>
      </c>
      <c r="D14" s="1355">
        <v>1.946E-3</v>
      </c>
      <c r="F14" s="1355">
        <f t="shared" si="0"/>
        <v>3.8824393640299998E-4</v>
      </c>
      <c r="G14" s="1355">
        <f t="shared" si="1"/>
        <v>1.7521339700000007E-6</v>
      </c>
      <c r="H14" s="1355">
        <f t="shared" si="2"/>
        <v>1.7853387078330001E-3</v>
      </c>
      <c r="J14">
        <f t="shared" si="3"/>
        <v>4.0847573979504873E-4</v>
      </c>
      <c r="K14">
        <f t="shared" si="4"/>
        <v>1.7521339700000007E-6</v>
      </c>
      <c r="L14">
        <f t="shared" si="5"/>
        <v>1.6396854493658333E-3</v>
      </c>
      <c r="N14">
        <f t="shared" si="6"/>
        <v>0.14111183506854266</v>
      </c>
      <c r="O14">
        <f t="shared" si="6"/>
        <v>0.137944678349983</v>
      </c>
      <c r="P14">
        <f t="shared" si="6"/>
        <v>0.15069926507697037</v>
      </c>
      <c r="R14" s="42">
        <f t="shared" si="7"/>
        <v>1.5826885980274596E-3</v>
      </c>
      <c r="S14" s="42">
        <f t="shared" si="8"/>
        <v>1.5835783592798303</v>
      </c>
      <c r="T14" s="42">
        <f t="shared" si="9"/>
        <v>-2.5509173453974743</v>
      </c>
      <c r="V14" s="76"/>
      <c r="W14" s="1358" t="s">
        <v>165</v>
      </c>
      <c r="X14" s="1365">
        <v>-3.5634999999999998E-3</v>
      </c>
      <c r="Y14" s="1366">
        <v>6.7697E-3</v>
      </c>
      <c r="Z14" s="1367">
        <v>0.91815690000000005</v>
      </c>
      <c r="AB14" s="52"/>
    </row>
    <row r="15" spans="1:28">
      <c r="A15">
        <v>371</v>
      </c>
      <c r="B15" s="1355">
        <v>4.6415870000000002E-4</v>
      </c>
      <c r="C15" s="1355">
        <v>1.388641E-5</v>
      </c>
      <c r="D15" s="1355">
        <v>2.1777770000000001E-3</v>
      </c>
      <c r="F15" s="1355">
        <f t="shared" si="0"/>
        <v>4.3432914196011701E-4</v>
      </c>
      <c r="G15" s="1355">
        <f t="shared" si="1"/>
        <v>1.9838018431100003E-6</v>
      </c>
      <c r="H15" s="1355">
        <f t="shared" si="2"/>
        <v>1.9979809565136273E-3</v>
      </c>
      <c r="J15">
        <f t="shared" si="3"/>
        <v>4.5696249430294167E-4</v>
      </c>
      <c r="K15">
        <f t="shared" si="4"/>
        <v>1.9838018431100003E-6</v>
      </c>
      <c r="L15">
        <f t="shared" si="5"/>
        <v>1.8349797089661632E-3</v>
      </c>
      <c r="N15">
        <f t="shared" si="6"/>
        <v>0.14148940142589564</v>
      </c>
      <c r="O15">
        <f t="shared" si="6"/>
        <v>0.13794648234771092</v>
      </c>
      <c r="P15">
        <f t="shared" si="6"/>
        <v>0.15222002147647812</v>
      </c>
      <c r="R15" s="42">
        <f t="shared" si="7"/>
        <v>1.7919523344680499E-3</v>
      </c>
      <c r="S15" s="42">
        <f t="shared" si="8"/>
        <v>1.7714595390923571</v>
      </c>
      <c r="T15" s="42">
        <f t="shared" si="9"/>
        <v>-2.8547078257534384</v>
      </c>
      <c r="V15" s="76"/>
      <c r="W15" s="73"/>
      <c r="X15" s="73"/>
      <c r="Y15" s="73"/>
      <c r="Z15" s="73"/>
    </row>
    <row r="16" spans="1:28">
      <c r="A16">
        <v>372</v>
      </c>
      <c r="B16" s="1355">
        <v>5.1898600000000003E-4</v>
      </c>
      <c r="C16" s="1355">
        <v>1.555728E-5</v>
      </c>
      <c r="D16" s="1355">
        <v>2.4358090000000002E-3</v>
      </c>
      <c r="F16" s="1355">
        <f t="shared" si="0"/>
        <v>4.8562353586297608E-4</v>
      </c>
      <c r="G16" s="1355">
        <f t="shared" si="1"/>
        <v>2.2468802645999958E-6</v>
      </c>
      <c r="H16" s="1355">
        <f t="shared" si="2"/>
        <v>2.2347107519395163E-3</v>
      </c>
      <c r="J16">
        <f t="shared" si="3"/>
        <v>5.1092989348740735E-4</v>
      </c>
      <c r="K16">
        <f t="shared" si="4"/>
        <v>2.2468802645999958E-6</v>
      </c>
      <c r="L16">
        <f t="shared" si="5"/>
        <v>2.0523963813814062E-3</v>
      </c>
      <c r="N16">
        <f t="shared" si="6"/>
        <v>0.14190964556334507</v>
      </c>
      <c r="O16">
        <f t="shared" si="6"/>
        <v>0.13794853093937906</v>
      </c>
      <c r="P16">
        <f t="shared" si="6"/>
        <v>0.15391304510457562</v>
      </c>
      <c r="R16" s="42">
        <f t="shared" si="7"/>
        <v>2.0295889679715629E-3</v>
      </c>
      <c r="S16" s="42">
        <f t="shared" si="8"/>
        <v>1.9805573119830027</v>
      </c>
      <c r="T16" s="42">
        <f t="shared" si="9"/>
        <v>-3.1929028330393128</v>
      </c>
      <c r="V16" s="365" t="s">
        <v>159</v>
      </c>
      <c r="W16" s="308"/>
      <c r="X16" s="308"/>
      <c r="Y16" s="308"/>
      <c r="Z16" s="308"/>
    </row>
    <row r="17" spans="1:20">
      <c r="A17">
        <v>373</v>
      </c>
      <c r="B17" s="1355">
        <v>5.8185400000000003E-4</v>
      </c>
      <c r="C17" s="1355">
        <v>1.7442959999999999E-5</v>
      </c>
      <c r="D17" s="1355">
        <v>2.7319530000000001E-3</v>
      </c>
      <c r="F17" s="1355">
        <f t="shared" si="0"/>
        <v>5.4443758821343211E-4</v>
      </c>
      <c r="G17" s="1355">
        <f t="shared" si="1"/>
        <v>2.5170459818000002E-6</v>
      </c>
      <c r="H17" s="1355">
        <f t="shared" si="2"/>
        <v>2.5064061443030123E-3</v>
      </c>
      <c r="J17">
        <f t="shared" si="3"/>
        <v>5.7280880849835568E-4</v>
      </c>
      <c r="K17">
        <f t="shared" si="4"/>
        <v>2.5170459818000002E-6</v>
      </c>
      <c r="L17">
        <f t="shared" si="5"/>
        <v>2.3019260530137971E-3</v>
      </c>
      <c r="N17">
        <f t="shared" si="6"/>
        <v>0.14239149667453532</v>
      </c>
      <c r="O17">
        <f t="shared" si="6"/>
        <v>0.13795063471981889</v>
      </c>
      <c r="P17">
        <f t="shared" si="6"/>
        <v>0.15585613265757706</v>
      </c>
      <c r="R17" s="42">
        <f t="shared" si="7"/>
        <v>2.2736274989902938E-3</v>
      </c>
      <c r="S17" s="42">
        <f t="shared" si="8"/>
        <v>2.2204309773582178</v>
      </c>
      <c r="T17" s="42">
        <f t="shared" si="9"/>
        <v>-3.581099587551634</v>
      </c>
    </row>
    <row r="18" spans="1:20">
      <c r="A18">
        <v>374</v>
      </c>
      <c r="B18" s="1355">
        <v>6.552347E-4</v>
      </c>
      <c r="C18" s="1355">
        <v>1.958375E-5</v>
      </c>
      <c r="D18" s="1355">
        <v>3.0780640000000001E-3</v>
      </c>
      <c r="F18" s="1355">
        <f t="shared" si="0"/>
        <v>6.1308169365819503E-4</v>
      </c>
      <c r="G18" s="1355">
        <f t="shared" si="1"/>
        <v>2.7699320558099993E-6</v>
      </c>
      <c r="H18" s="1355">
        <f t="shared" si="2"/>
        <v>2.8239433475005255E-3</v>
      </c>
      <c r="J18">
        <f t="shared" si="3"/>
        <v>6.4503003109850387E-4</v>
      </c>
      <c r="K18">
        <f t="shared" si="4"/>
        <v>2.7699320558099993E-6</v>
      </c>
      <c r="L18">
        <f t="shared" si="5"/>
        <v>2.5935576237801363E-3</v>
      </c>
      <c r="N18">
        <f t="shared" si="6"/>
        <v>0.14295388333492268</v>
      </c>
      <c r="O18">
        <f t="shared" si="6"/>
        <v>0.1379526039436772</v>
      </c>
      <c r="P18">
        <f t="shared" si="6"/>
        <v>0.15812706769913454</v>
      </c>
      <c r="R18" s="42">
        <f t="shared" si="7"/>
        <v>2.5020574665539641E-3</v>
      </c>
      <c r="S18" s="42">
        <f t="shared" si="8"/>
        <v>2.500639695622739</v>
      </c>
      <c r="T18" s="42">
        <f t="shared" si="9"/>
        <v>-4.0348927510914674</v>
      </c>
    </row>
    <row r="19" spans="1:20">
      <c r="A19">
        <v>375</v>
      </c>
      <c r="B19" s="1355">
        <v>7.4160000000000003E-4</v>
      </c>
      <c r="C19" s="1355">
        <v>2.2019999999999999E-5</v>
      </c>
      <c r="D19" s="1355">
        <v>3.4859999999999999E-3</v>
      </c>
      <c r="F19" s="1355">
        <f t="shared" si="0"/>
        <v>6.93866112594E-4</v>
      </c>
      <c r="G19" s="1355">
        <f t="shared" si="1"/>
        <v>2.9812147799999993E-6</v>
      </c>
      <c r="H19" s="1355">
        <f t="shared" si="2"/>
        <v>3.198201330594E-3</v>
      </c>
      <c r="J19">
        <f t="shared" si="3"/>
        <v>7.3002421180468611E-4</v>
      </c>
      <c r="K19">
        <f t="shared" si="4"/>
        <v>2.9812147799999993E-6</v>
      </c>
      <c r="L19">
        <f t="shared" si="5"/>
        <v>2.937282523988134E-3</v>
      </c>
      <c r="N19">
        <f t="shared" si="6"/>
        <v>0.14361573302008171</v>
      </c>
      <c r="O19">
        <f t="shared" si="6"/>
        <v>0.13795424920225047</v>
      </c>
      <c r="P19">
        <f t="shared" si="6"/>
        <v>0.16080365349705422</v>
      </c>
      <c r="R19" s="42">
        <f t="shared" si="7"/>
        <v>2.6929074610535508E-3</v>
      </c>
      <c r="S19" s="42">
        <f t="shared" si="8"/>
        <v>2.8307419089156212</v>
      </c>
      <c r="T19" s="42">
        <f t="shared" si="9"/>
        <v>-4.5698808589607509</v>
      </c>
    </row>
    <row r="20" spans="1:20">
      <c r="A20">
        <v>376</v>
      </c>
      <c r="B20" s="1355">
        <v>8.4502959999999995E-4</v>
      </c>
      <c r="C20" s="1355">
        <v>2.4839649999999999E-5</v>
      </c>
      <c r="D20" s="1355">
        <v>3.9752269999999996E-3</v>
      </c>
      <c r="F20" s="1355">
        <f t="shared" si="0"/>
        <v>7.9060483444466493E-4</v>
      </c>
      <c r="G20" s="1355">
        <f t="shared" si="1"/>
        <v>3.132734452829998E-6</v>
      </c>
      <c r="H20" s="1355">
        <f t="shared" si="2"/>
        <v>3.6470389931153049E-3</v>
      </c>
      <c r="J20">
        <f t="shared" si="3"/>
        <v>8.3180409107564139E-4</v>
      </c>
      <c r="K20">
        <f t="shared" si="4"/>
        <v>3.132734452829998E-6</v>
      </c>
      <c r="L20">
        <f t="shared" si="5"/>
        <v>3.3495026708625819E-3</v>
      </c>
      <c r="N20">
        <f t="shared" si="6"/>
        <v>0.14440829293996463</v>
      </c>
      <c r="O20">
        <f t="shared" si="6"/>
        <v>0.1379554290859428</v>
      </c>
      <c r="P20">
        <f t="shared" si="6"/>
        <v>0.16401361178076554</v>
      </c>
      <c r="R20" s="42">
        <f t="shared" si="7"/>
        <v>2.8297739693634583E-3</v>
      </c>
      <c r="S20" s="42">
        <f t="shared" si="8"/>
        <v>3.2264319270109141</v>
      </c>
      <c r="T20" s="42">
        <f t="shared" si="9"/>
        <v>-5.211636538964548</v>
      </c>
    </row>
    <row r="21" spans="1:20">
      <c r="A21">
        <v>377</v>
      </c>
      <c r="B21" s="1355">
        <v>9.645268E-4</v>
      </c>
      <c r="C21" s="1355">
        <v>2.8041259999999999E-5</v>
      </c>
      <c r="D21" s="1355">
        <v>4.5408799999999997E-3</v>
      </c>
      <c r="F21" s="1355">
        <f t="shared" si="0"/>
        <v>9.0236720030362194E-4</v>
      </c>
      <c r="G21" s="1355">
        <f t="shared" si="1"/>
        <v>3.2496046855400014E-6</v>
      </c>
      <c r="H21" s="1355">
        <f t="shared" si="2"/>
        <v>4.1659930437380217E-3</v>
      </c>
      <c r="J21">
        <f t="shared" si="3"/>
        <v>9.4939051238189726E-4</v>
      </c>
      <c r="K21">
        <f t="shared" si="4"/>
        <v>3.2496046855400014E-6</v>
      </c>
      <c r="L21">
        <f t="shared" si="5"/>
        <v>3.8261189017000101E-3</v>
      </c>
      <c r="N21">
        <f t="shared" si="6"/>
        <v>0.14532393840267646</v>
      </c>
      <c r="O21">
        <f t="shared" si="6"/>
        <v>0.13795633915444491</v>
      </c>
      <c r="P21">
        <f t="shared" si="6"/>
        <v>0.1677250223702966</v>
      </c>
      <c r="R21" s="42">
        <f t="shared" si="7"/>
        <v>2.9353419156095129E-3</v>
      </c>
      <c r="S21" s="42">
        <f t="shared" si="8"/>
        <v>3.6837996241157747</v>
      </c>
      <c r="T21" s="42">
        <f t="shared" si="9"/>
        <v>-5.9537366431703376</v>
      </c>
    </row>
    <row r="22" spans="1:20">
      <c r="A22">
        <v>378</v>
      </c>
      <c r="B22" s="1355">
        <v>1.094949E-3</v>
      </c>
      <c r="C22" s="1355">
        <v>3.1531040000000003E-5</v>
      </c>
      <c r="D22" s="1355">
        <v>5.1583200000000001E-3</v>
      </c>
      <c r="F22" s="1355">
        <f t="shared" si="0"/>
        <v>1.0243466034263679E-3</v>
      </c>
      <c r="G22" s="1355">
        <f t="shared" si="1"/>
        <v>3.3723408760000063E-6</v>
      </c>
      <c r="H22" s="1355">
        <f t="shared" si="2"/>
        <v>4.732458705327988E-3</v>
      </c>
      <c r="J22">
        <f t="shared" si="3"/>
        <v>1.0777263916024364E-3</v>
      </c>
      <c r="K22">
        <f t="shared" si="4"/>
        <v>3.3723408760000063E-6</v>
      </c>
      <c r="L22">
        <f t="shared" si="5"/>
        <v>4.346370604527785E-3</v>
      </c>
      <c r="N22">
        <f t="shared" si="6"/>
        <v>0.14632328989416679</v>
      </c>
      <c r="O22">
        <f t="shared" si="6"/>
        <v>0.13795729490116004</v>
      </c>
      <c r="P22">
        <f t="shared" si="6"/>
        <v>0.17177622238021648</v>
      </c>
      <c r="R22" s="42">
        <f t="shared" si="7"/>
        <v>3.0462085345632772E-3</v>
      </c>
      <c r="S22" s="42">
        <f t="shared" si="8"/>
        <v>4.1829974965033738</v>
      </c>
      <c r="T22" s="42">
        <f t="shared" si="9"/>
        <v>-6.7637854958112866</v>
      </c>
    </row>
    <row r="23" spans="1:20">
      <c r="A23">
        <v>379</v>
      </c>
      <c r="B23" s="1355">
        <v>1.2311539999999999E-3</v>
      </c>
      <c r="C23" s="1355">
        <v>3.5215210000000002E-5</v>
      </c>
      <c r="D23" s="1355">
        <v>5.8029070000000004E-3</v>
      </c>
      <c r="F23" s="1355">
        <f t="shared" si="0"/>
        <v>1.1517368447913569E-3</v>
      </c>
      <c r="G23" s="1355">
        <f t="shared" si="1"/>
        <v>3.5414665577499998E-6</v>
      </c>
      <c r="H23" s="1355">
        <f t="shared" si="2"/>
        <v>5.3238302812364377E-3</v>
      </c>
      <c r="J23">
        <f t="shared" si="3"/>
        <v>1.2117550735860751E-3</v>
      </c>
      <c r="K23">
        <f t="shared" si="4"/>
        <v>3.5414665577499998E-6</v>
      </c>
      <c r="L23">
        <f t="shared" si="5"/>
        <v>4.8894963228754149E-3</v>
      </c>
      <c r="N23">
        <f t="shared" si="6"/>
        <v>0.14736697124077339</v>
      </c>
      <c r="O23">
        <f t="shared" si="6"/>
        <v>0.13795861188284381</v>
      </c>
      <c r="P23">
        <f t="shared" si="6"/>
        <v>0.17600554234898946</v>
      </c>
      <c r="R23" s="42">
        <f t="shared" si="7"/>
        <v>3.1989784098804819E-3</v>
      </c>
      <c r="S23" s="42">
        <f t="shared" si="8"/>
        <v>4.7041796789647901</v>
      </c>
      <c r="T23" s="42">
        <f t="shared" si="9"/>
        <v>-7.6093860932291317</v>
      </c>
    </row>
    <row r="24" spans="1:20">
      <c r="A24">
        <v>380</v>
      </c>
      <c r="B24" s="1355">
        <v>1.3680000000000001E-3</v>
      </c>
      <c r="C24" s="1355">
        <v>3.8999999999999999E-5</v>
      </c>
      <c r="D24" s="1355">
        <v>6.4500010000000003E-3</v>
      </c>
      <c r="F24" s="1355">
        <f t="shared" si="0"/>
        <v>1.2797321214844E-3</v>
      </c>
      <c r="G24" s="1355">
        <f t="shared" si="1"/>
        <v>3.7975104717999939E-6</v>
      </c>
      <c r="H24" s="1355">
        <f t="shared" si="2"/>
        <v>5.917502073456901E-3</v>
      </c>
      <c r="J24">
        <f t="shared" si="3"/>
        <v>1.3464203199305606E-3</v>
      </c>
      <c r="K24">
        <f t="shared" si="4"/>
        <v>3.7975104717999939E-6</v>
      </c>
      <c r="L24">
        <f t="shared" si="5"/>
        <v>5.4347345990254691E-3</v>
      </c>
      <c r="N24">
        <f t="shared" si="6"/>
        <v>0.14841560951405788</v>
      </c>
      <c r="O24">
        <f t="shared" si="6"/>
        <v>0.13796060569680252</v>
      </c>
      <c r="P24">
        <f t="shared" si="6"/>
        <v>0.18025131280536993</v>
      </c>
      <c r="R24" s="42">
        <f t="shared" si="7"/>
        <v>3.4302608290914804E-3</v>
      </c>
      <c r="S24" s="42">
        <f t="shared" si="8"/>
        <v>5.2275019086276826</v>
      </c>
      <c r="T24" s="42">
        <f t="shared" si="9"/>
        <v>-8.4581414217134832</v>
      </c>
    </row>
    <row r="25" spans="1:20">
      <c r="A25">
        <v>381</v>
      </c>
      <c r="B25" s="1355">
        <v>1.50205E-3</v>
      </c>
      <c r="C25" s="1355">
        <v>4.28264E-5</v>
      </c>
      <c r="D25" s="1355">
        <v>7.0832159999999998E-3</v>
      </c>
      <c r="F25" s="1355">
        <f t="shared" si="0"/>
        <v>1.4051190213272798E-3</v>
      </c>
      <c r="G25" s="1355">
        <f t="shared" si="1"/>
        <v>4.1710436568000018E-6</v>
      </c>
      <c r="H25" s="1355">
        <f t="shared" si="2"/>
        <v>6.4984410112954799E-3</v>
      </c>
      <c r="J25">
        <f t="shared" si="3"/>
        <v>1.478341264140141E-3</v>
      </c>
      <c r="K25">
        <f t="shared" si="4"/>
        <v>4.1710436568000018E-6</v>
      </c>
      <c r="L25">
        <f t="shared" si="5"/>
        <v>5.968278805043469E-3</v>
      </c>
      <c r="N25">
        <f t="shared" si="6"/>
        <v>0.14944287790661789</v>
      </c>
      <c r="O25">
        <f t="shared" si="6"/>
        <v>0.13796351439971413</v>
      </c>
      <c r="P25">
        <f t="shared" si="6"/>
        <v>0.18440602153763211</v>
      </c>
      <c r="R25" s="42">
        <f t="shared" si="7"/>
        <v>3.7676703668410028E-3</v>
      </c>
      <c r="S25" s="42">
        <f t="shared" si="8"/>
        <v>5.7396817534518805</v>
      </c>
      <c r="T25" s="42">
        <f t="shared" si="9"/>
        <v>-9.2885014275835953</v>
      </c>
    </row>
    <row r="26" spans="1:20">
      <c r="A26">
        <v>382</v>
      </c>
      <c r="B26" s="1355">
        <v>1.642328E-3</v>
      </c>
      <c r="C26" s="1355">
        <v>4.69146E-5</v>
      </c>
      <c r="D26" s="1355">
        <v>7.745488E-3</v>
      </c>
      <c r="F26" s="1355">
        <f t="shared" si="0"/>
        <v>1.5363350376728199E-3</v>
      </c>
      <c r="G26" s="1355">
        <f t="shared" si="1"/>
        <v>4.648327071799996E-6</v>
      </c>
      <c r="H26" s="1355">
        <f t="shared" si="2"/>
        <v>7.10603841300682E-3</v>
      </c>
      <c r="J26">
        <f t="shared" si="3"/>
        <v>1.616395086297116E-3</v>
      </c>
      <c r="K26">
        <f t="shared" si="4"/>
        <v>4.648327071799996E-6</v>
      </c>
      <c r="L26">
        <f t="shared" si="5"/>
        <v>6.5263065979141097E-3</v>
      </c>
      <c r="N26">
        <f t="shared" si="6"/>
        <v>0.15051790301975426</v>
      </c>
      <c r="O26">
        <f t="shared" si="6"/>
        <v>0.13796723100566671</v>
      </c>
      <c r="P26">
        <f t="shared" si="6"/>
        <v>0.18875138396071578</v>
      </c>
      <c r="R26" s="42">
        <f t="shared" si="7"/>
        <v>4.198796657338022E-3</v>
      </c>
      <c r="S26" s="42">
        <f t="shared" si="8"/>
        <v>6.2753360070437747</v>
      </c>
      <c r="T26" s="42">
        <f t="shared" si="9"/>
        <v>-10.156830591009813</v>
      </c>
    </row>
    <row r="27" spans="1:20">
      <c r="A27">
        <v>383</v>
      </c>
      <c r="B27" s="1355">
        <v>1.8023819999999999E-3</v>
      </c>
      <c r="C27" s="1355">
        <v>5.1589599999999998E-5</v>
      </c>
      <c r="D27" s="1355">
        <v>8.5011519999999997E-3</v>
      </c>
      <c r="F27" s="1355">
        <f t="shared" si="0"/>
        <v>1.6860491352823199E-3</v>
      </c>
      <c r="G27" s="1355">
        <f t="shared" si="1"/>
        <v>5.203438327199997E-6</v>
      </c>
      <c r="H27" s="1355">
        <f t="shared" si="2"/>
        <v>7.7993178246069201E-3</v>
      </c>
      <c r="J27">
        <f t="shared" si="3"/>
        <v>1.7739109443562866E-3</v>
      </c>
      <c r="K27">
        <f t="shared" si="4"/>
        <v>5.203438327199997E-6</v>
      </c>
      <c r="L27">
        <f t="shared" si="5"/>
        <v>7.1630262066685532E-3</v>
      </c>
      <c r="N27">
        <f t="shared" si="6"/>
        <v>0.15174447900646101</v>
      </c>
      <c r="O27">
        <f t="shared" si="6"/>
        <v>0.13797155365701252</v>
      </c>
      <c r="P27">
        <f t="shared" si="6"/>
        <v>0.19370951955408663</v>
      </c>
      <c r="R27" s="42">
        <f t="shared" si="7"/>
        <v>4.7002242134510652E-3</v>
      </c>
      <c r="S27" s="42">
        <f t="shared" si="8"/>
        <v>6.8864626747242443</v>
      </c>
      <c r="T27" s="42">
        <f t="shared" si="9"/>
        <v>-11.147593179414821</v>
      </c>
    </row>
    <row r="28" spans="1:20">
      <c r="A28">
        <v>384</v>
      </c>
      <c r="B28" s="1355">
        <v>1.9957569999999999E-3</v>
      </c>
      <c r="C28" s="1355">
        <v>5.7176399999999997E-5</v>
      </c>
      <c r="D28" s="1355">
        <v>9.4145440000000004E-3</v>
      </c>
      <c r="F28" s="1355">
        <f t="shared" si="0"/>
        <v>1.8669272959586797E-3</v>
      </c>
      <c r="G28" s="1355">
        <f t="shared" si="1"/>
        <v>5.8104892187999957E-6</v>
      </c>
      <c r="H28" s="1355">
        <f t="shared" si="2"/>
        <v>8.6373037209591819E-3</v>
      </c>
      <c r="J28">
        <f t="shared" si="3"/>
        <v>1.9642148578689275E-3</v>
      </c>
      <c r="K28">
        <f t="shared" si="4"/>
        <v>5.8104892187999957E-6</v>
      </c>
      <c r="L28">
        <f t="shared" si="5"/>
        <v>7.9326467134072185E-3</v>
      </c>
      <c r="N28">
        <f t="shared" si="6"/>
        <v>0.15322637558098395</v>
      </c>
      <c r="O28">
        <f t="shared" si="6"/>
        <v>0.13797628076230542</v>
      </c>
      <c r="P28">
        <f t="shared" si="6"/>
        <v>0.19970255444006063</v>
      </c>
      <c r="R28" s="42">
        <f t="shared" si="7"/>
        <v>5.2485684274294897E-3</v>
      </c>
      <c r="S28" s="42">
        <f t="shared" si="8"/>
        <v>7.6250474093392668</v>
      </c>
      <c r="T28" s="42">
        <f t="shared" si="9"/>
        <v>-12.345254735551043</v>
      </c>
    </row>
    <row r="29" spans="1:20">
      <c r="A29">
        <v>385</v>
      </c>
      <c r="B29" s="1355">
        <v>2.2360000000000001E-3</v>
      </c>
      <c r="C29" s="1355">
        <v>6.3999999999999997E-5</v>
      </c>
      <c r="D29" s="1355">
        <v>1.054999E-2</v>
      </c>
      <c r="F29" s="1355">
        <f t="shared" si="0"/>
        <v>2.0916375985559998E-3</v>
      </c>
      <c r="G29" s="1355">
        <f t="shared" si="1"/>
        <v>6.4435960819999886E-6</v>
      </c>
      <c r="H29" s="1355">
        <f t="shared" si="2"/>
        <v>9.6790113882310007E-3</v>
      </c>
      <c r="J29">
        <f t="shared" si="3"/>
        <v>2.2006350527170766E-3</v>
      </c>
      <c r="K29">
        <f t="shared" si="4"/>
        <v>6.4435960819999886E-6</v>
      </c>
      <c r="L29">
        <f t="shared" si="5"/>
        <v>8.8893687611757578E-3</v>
      </c>
      <c r="N29">
        <f t="shared" si="6"/>
        <v>0.1550673796382665</v>
      </c>
      <c r="O29">
        <f t="shared" si="6"/>
        <v>0.13798121076544914</v>
      </c>
      <c r="P29">
        <f t="shared" si="6"/>
        <v>0.20715256135009996</v>
      </c>
      <c r="R29" s="42">
        <f t="shared" si="7"/>
        <v>5.8204487921003079E-3</v>
      </c>
      <c r="S29" s="42">
        <f t="shared" si="8"/>
        <v>8.5430844364086802</v>
      </c>
      <c r="T29" s="42">
        <f t="shared" si="9"/>
        <v>-13.834270116930163</v>
      </c>
    </row>
    <row r="30" spans="1:20">
      <c r="A30">
        <v>386</v>
      </c>
      <c r="B30" s="1355">
        <v>2.5353849999999998E-3</v>
      </c>
      <c r="C30" s="1355">
        <v>7.2344209999999998E-5</v>
      </c>
      <c r="D30" s="1355">
        <v>1.19658E-2</v>
      </c>
      <c r="F30" s="1355">
        <f t="shared" si="0"/>
        <v>2.3716574568454565E-3</v>
      </c>
      <c r="G30" s="1355">
        <f t="shared" si="1"/>
        <v>7.0684074829500048E-6</v>
      </c>
      <c r="H30" s="1355">
        <f t="shared" si="2"/>
        <v>1.0977936738170938E-2</v>
      </c>
      <c r="J30">
        <f t="shared" si="3"/>
        <v>2.4952470428792665E-3</v>
      </c>
      <c r="K30">
        <f t="shared" si="4"/>
        <v>7.0684074829500048E-6</v>
      </c>
      <c r="L30">
        <f t="shared" si="5"/>
        <v>1.0082323905633513E-2</v>
      </c>
      <c r="N30">
        <f t="shared" si="6"/>
        <v>0.15736152320565946</v>
      </c>
      <c r="O30">
        <f t="shared" si="6"/>
        <v>0.13798607617182834</v>
      </c>
      <c r="P30">
        <f t="shared" si="6"/>
        <v>0.21603305896634414</v>
      </c>
      <c r="R30" s="42">
        <f t="shared" si="7"/>
        <v>6.3848359320886061E-3</v>
      </c>
      <c r="S30" s="42">
        <f t="shared" si="8"/>
        <v>9.6877235169155611</v>
      </c>
      <c r="T30" s="42">
        <f t="shared" si="9"/>
        <v>-15.60939655890316</v>
      </c>
    </row>
    <row r="31" spans="1:20">
      <c r="A31">
        <v>387</v>
      </c>
      <c r="B31" s="1355">
        <v>2.8926030000000001E-3</v>
      </c>
      <c r="C31" s="1355">
        <v>8.2212239999999995E-5</v>
      </c>
      <c r="D31" s="1355">
        <v>1.3655870000000001E-2</v>
      </c>
      <c r="F31" s="1355">
        <f t="shared" si="0"/>
        <v>2.705761253530808E-3</v>
      </c>
      <c r="G31" s="1355">
        <f t="shared" si="1"/>
        <v>7.7222511151999891E-6</v>
      </c>
      <c r="H31" s="1355">
        <f t="shared" si="2"/>
        <v>1.2528480027413628E-2</v>
      </c>
      <c r="J31">
        <f t="shared" si="3"/>
        <v>2.8467613428417604E-3</v>
      </c>
      <c r="K31">
        <f t="shared" si="4"/>
        <v>7.7222511151999891E-6</v>
      </c>
      <c r="L31">
        <f t="shared" si="5"/>
        <v>1.1506369247186088E-2</v>
      </c>
      <c r="N31">
        <f t="shared" si="6"/>
        <v>0.16009876505946741</v>
      </c>
      <c r="O31">
        <f t="shared" si="6"/>
        <v>0.13799116765219269</v>
      </c>
      <c r="P31">
        <f t="shared" si="6"/>
        <v>0.22575953518204067</v>
      </c>
      <c r="R31" s="42">
        <f t="shared" si="7"/>
        <v>6.9754476543515409E-3</v>
      </c>
      <c r="S31" s="42">
        <f t="shared" si="8"/>
        <v>11.05379870363736</v>
      </c>
      <c r="T31" s="42">
        <f t="shared" si="9"/>
        <v>-17.553673505969599</v>
      </c>
    </row>
    <row r="32" spans="1:20">
      <c r="A32">
        <v>388</v>
      </c>
      <c r="B32" s="1355">
        <v>3.3008289999999999E-3</v>
      </c>
      <c r="C32" s="1355">
        <v>9.3508159999999998E-5</v>
      </c>
      <c r="D32" s="1355">
        <v>1.5588050000000001E-2</v>
      </c>
      <c r="F32" s="1355">
        <f t="shared" si="0"/>
        <v>3.0875633129370719E-3</v>
      </c>
      <c r="G32" s="1355">
        <f t="shared" si="1"/>
        <v>8.4862760203999904E-6</v>
      </c>
      <c r="H32" s="1355">
        <f t="shared" si="2"/>
        <v>1.4301146183094252E-2</v>
      </c>
      <c r="J32">
        <f t="shared" si="3"/>
        <v>3.2484595125959492E-3</v>
      </c>
      <c r="K32">
        <f t="shared" si="4"/>
        <v>8.4862760203999904E-6</v>
      </c>
      <c r="L32">
        <f t="shared" si="5"/>
        <v>1.3134416009013578E-2</v>
      </c>
      <c r="N32">
        <f t="shared" si="6"/>
        <v>0.16322678870734328</v>
      </c>
      <c r="O32">
        <f t="shared" si="6"/>
        <v>0.13799711711412949</v>
      </c>
      <c r="P32">
        <f t="shared" si="6"/>
        <v>0.23594109422900481</v>
      </c>
      <c r="R32" s="42">
        <f t="shared" si="7"/>
        <v>7.6655852390210555E-3</v>
      </c>
      <c r="S32" s="42">
        <f t="shared" si="8"/>
        <v>12.614835796606897</v>
      </c>
      <c r="T32" s="42">
        <f t="shared" si="9"/>
        <v>-19.588795422975064</v>
      </c>
    </row>
    <row r="33" spans="1:20">
      <c r="A33">
        <v>389</v>
      </c>
      <c r="B33" s="1355">
        <v>3.7532360000000001E-3</v>
      </c>
      <c r="C33" s="1355">
        <v>1.061361E-4</v>
      </c>
      <c r="D33" s="1355">
        <v>1.773015E-2</v>
      </c>
      <c r="F33" s="1355">
        <f t="shared" si="0"/>
        <v>3.5106764426879699E-3</v>
      </c>
      <c r="G33" s="1355">
        <f t="shared" si="1"/>
        <v>9.4418340462999945E-6</v>
      </c>
      <c r="H33" s="1355">
        <f t="shared" si="2"/>
        <v>1.6266403413605173E-2</v>
      </c>
      <c r="J33">
        <f t="shared" si="3"/>
        <v>3.6936215163950151E-3</v>
      </c>
      <c r="K33">
        <f t="shared" si="4"/>
        <v>9.4418340462999945E-6</v>
      </c>
      <c r="L33">
        <f t="shared" si="5"/>
        <v>1.4939341691177846E-2</v>
      </c>
      <c r="N33">
        <f t="shared" si="6"/>
        <v>0.16669326523092659</v>
      </c>
      <c r="O33">
        <f t="shared" si="6"/>
        <v>0.13800455804447714</v>
      </c>
      <c r="P33">
        <f t="shared" si="6"/>
        <v>0.24628832219303279</v>
      </c>
      <c r="R33" s="42">
        <f t="shared" si="7"/>
        <v>8.5287331593484339E-3</v>
      </c>
      <c r="S33" s="42">
        <f t="shared" si="8"/>
        <v>14.344353593224724</v>
      </c>
      <c r="T33" s="42">
        <f t="shared" si="9"/>
        <v>-21.656752829711127</v>
      </c>
    </row>
    <row r="34" spans="1:20">
      <c r="A34">
        <v>390</v>
      </c>
      <c r="B34" s="1355">
        <v>4.2430000000000002E-3</v>
      </c>
      <c r="C34" s="1355">
        <v>1.2E-4</v>
      </c>
      <c r="D34" s="1355">
        <v>2.005001E-2</v>
      </c>
      <c r="F34" s="1355">
        <f t="shared" si="0"/>
        <v>3.9687160746439999E-3</v>
      </c>
      <c r="G34" s="1355">
        <f t="shared" si="1"/>
        <v>1.0669959117999989E-5</v>
      </c>
      <c r="H34" s="1355">
        <f t="shared" si="2"/>
        <v>1.8394747460069E-2</v>
      </c>
      <c r="J34">
        <f t="shared" si="3"/>
        <v>4.1755300794806775E-3</v>
      </c>
      <c r="K34">
        <f t="shared" si="4"/>
        <v>1.0669959117999989E-5</v>
      </c>
      <c r="L34">
        <f t="shared" si="5"/>
        <v>1.689404908026873E-2</v>
      </c>
      <c r="N34">
        <f t="shared" si="6"/>
        <v>0.17044588721167464</v>
      </c>
      <c r="O34">
        <f t="shared" si="6"/>
        <v>0.13801412145441047</v>
      </c>
      <c r="P34">
        <f t="shared" si="6"/>
        <v>0.25659286969057893</v>
      </c>
      <c r="R34" s="42">
        <f t="shared" si="7"/>
        <v>9.6380887116147562E-3</v>
      </c>
      <c r="S34" s="42">
        <f t="shared" si="8"/>
        <v>16.215882878632083</v>
      </c>
      <c r="T34" s="42">
        <f t="shared" si="9"/>
        <v>-23.715749647233693</v>
      </c>
    </row>
    <row r="35" spans="1:20">
      <c r="A35">
        <v>391</v>
      </c>
      <c r="B35" s="1355">
        <v>4.7623889999999997E-3</v>
      </c>
      <c r="C35" s="1355">
        <v>1.3498399999999999E-4</v>
      </c>
      <c r="D35" s="1355">
        <v>2.2511360000000001E-2</v>
      </c>
      <c r="F35" s="1355">
        <f t="shared" si="0"/>
        <v>4.4544461962931995E-3</v>
      </c>
      <c r="G35" s="1355">
        <f t="shared" si="1"/>
        <v>1.2254844331200003E-5</v>
      </c>
      <c r="H35" s="1355">
        <f t="shared" si="2"/>
        <v>2.0652903540367303E-2</v>
      </c>
      <c r="J35">
        <f t="shared" si="3"/>
        <v>4.6865721130526991E-3</v>
      </c>
      <c r="K35">
        <f t="shared" si="4"/>
        <v>1.2254844331200003E-5</v>
      </c>
      <c r="L35">
        <f t="shared" si="5"/>
        <v>1.8967978050170645E-2</v>
      </c>
      <c r="N35">
        <f t="shared" si="6"/>
        <v>0.17442537152709997</v>
      </c>
      <c r="O35">
        <f t="shared" si="6"/>
        <v>0.13802646295556567</v>
      </c>
      <c r="P35">
        <f t="shared" si="6"/>
        <v>0.26669017281587037</v>
      </c>
      <c r="R35" s="42">
        <f t="shared" si="7"/>
        <v>1.1069702845617257E-2</v>
      </c>
      <c r="S35" s="42">
        <f t="shared" si="8"/>
        <v>18.19945428576715</v>
      </c>
      <c r="T35" s="42">
        <f t="shared" si="9"/>
        <v>-25.732741972060939</v>
      </c>
    </row>
    <row r="36" spans="1:20">
      <c r="A36">
        <v>392</v>
      </c>
      <c r="B36" s="1355">
        <v>5.3300480000000004E-3</v>
      </c>
      <c r="C36" s="1355">
        <v>1.5149200000000001E-4</v>
      </c>
      <c r="D36" s="1355">
        <v>2.520288E-2</v>
      </c>
      <c r="F36" s="1355">
        <f t="shared" si="0"/>
        <v>4.9853007364532003E-3</v>
      </c>
      <c r="G36" s="1355">
        <f t="shared" si="1"/>
        <v>1.4116354706400006E-5</v>
      </c>
      <c r="H36" s="1355">
        <f t="shared" si="2"/>
        <v>2.3122230101216404E-2</v>
      </c>
      <c r="J36">
        <f t="shared" si="3"/>
        <v>5.2450900464540706E-3</v>
      </c>
      <c r="K36">
        <f t="shared" si="4"/>
        <v>1.4116354706400006E-5</v>
      </c>
      <c r="L36">
        <f t="shared" si="5"/>
        <v>2.1235849582778216E-2</v>
      </c>
      <c r="N36">
        <f t="shared" si="6"/>
        <v>0.17877455067449646</v>
      </c>
      <c r="O36">
        <f t="shared" si="6"/>
        <v>0.13804095853685736</v>
      </c>
      <c r="P36">
        <f t="shared" si="6"/>
        <v>0.27692141802853143</v>
      </c>
      <c r="R36" s="42">
        <f t="shared" si="7"/>
        <v>1.2751190275452018E-2</v>
      </c>
      <c r="S36" s="42">
        <f t="shared" si="8"/>
        <v>20.366796068819554</v>
      </c>
      <c r="T36" s="42">
        <f t="shared" si="9"/>
        <v>-27.776091898334816</v>
      </c>
    </row>
    <row r="37" spans="1:20">
      <c r="A37">
        <v>393</v>
      </c>
      <c r="B37" s="1355">
        <v>5.9787119999999997E-3</v>
      </c>
      <c r="C37" s="1355">
        <v>1.7020800000000001E-4</v>
      </c>
      <c r="D37" s="1355">
        <v>2.8279720000000001E-2</v>
      </c>
      <c r="F37" s="1355">
        <f t="shared" si="0"/>
        <v>5.5918949338527998E-3</v>
      </c>
      <c r="G37" s="1355">
        <f t="shared" si="1"/>
        <v>1.6089875761599986E-5</v>
      </c>
      <c r="H37" s="1355">
        <f t="shared" si="2"/>
        <v>2.5945067164953602E-2</v>
      </c>
      <c r="J37">
        <f t="shared" si="3"/>
        <v>5.8832945109817247E-3</v>
      </c>
      <c r="K37">
        <f t="shared" si="4"/>
        <v>1.6089875761599986E-5</v>
      </c>
      <c r="L37">
        <f t="shared" si="5"/>
        <v>2.3828391176725111E-2</v>
      </c>
      <c r="N37">
        <f t="shared" si="6"/>
        <v>0.18374424883977331</v>
      </c>
      <c r="O37">
        <f t="shared" si="6"/>
        <v>0.1380563263453142</v>
      </c>
      <c r="P37">
        <f t="shared" si="6"/>
        <v>0.28776076123334626</v>
      </c>
      <c r="R37" s="42">
        <f t="shared" si="7"/>
        <v>1.4533856056448968E-2</v>
      </c>
      <c r="S37" s="42">
        <f t="shared" si="8"/>
        <v>22.843961247229551</v>
      </c>
      <c r="T37" s="42">
        <f t="shared" si="9"/>
        <v>-29.940886977606411</v>
      </c>
    </row>
    <row r="38" spans="1:20">
      <c r="A38">
        <v>394</v>
      </c>
      <c r="B38" s="1355">
        <v>6.7411169999999996E-3</v>
      </c>
      <c r="C38" s="1355">
        <v>1.9181600000000001E-4</v>
      </c>
      <c r="D38" s="1355">
        <v>3.1897040000000002E-2</v>
      </c>
      <c r="F38" s="1355">
        <f t="shared" si="0"/>
        <v>6.304844901512399E-3</v>
      </c>
      <c r="G38" s="1355">
        <f t="shared" si="1"/>
        <v>1.8010751361599998E-5</v>
      </c>
      <c r="H38" s="1355">
        <f t="shared" si="2"/>
        <v>2.9263763931921705E-2</v>
      </c>
      <c r="J38">
        <f t="shared" si="3"/>
        <v>6.6333970577844631E-3</v>
      </c>
      <c r="K38">
        <f t="shared" si="4"/>
        <v>1.8010751361599998E-5</v>
      </c>
      <c r="L38">
        <f t="shared" si="5"/>
        <v>2.6876338759881439E-2</v>
      </c>
      <c r="N38">
        <f t="shared" si="6"/>
        <v>0.18958529737172625</v>
      </c>
      <c r="O38">
        <f t="shared" si="6"/>
        <v>0.13807128420361139</v>
      </c>
      <c r="P38">
        <f t="shared" si="6"/>
        <v>0.29954129439499716</v>
      </c>
      <c r="R38" s="42">
        <f t="shared" si="7"/>
        <v>1.6268967618920271E-2</v>
      </c>
      <c r="S38" s="42">
        <f t="shared" si="8"/>
        <v>25.757006584057425</v>
      </c>
      <c r="T38" s="42">
        <f t="shared" si="9"/>
        <v>-32.294002038277156</v>
      </c>
    </row>
    <row r="39" spans="1:20">
      <c r="A39">
        <v>395</v>
      </c>
      <c r="B39" s="1355">
        <v>7.6499999999999997E-3</v>
      </c>
      <c r="C39" s="1355">
        <v>2.1699999999999999E-4</v>
      </c>
      <c r="D39" s="1355">
        <v>3.6209999999999999E-2</v>
      </c>
      <c r="F39" s="1355">
        <f t="shared" si="0"/>
        <v>7.1547677428999996E-3</v>
      </c>
      <c r="G39" s="1355">
        <f t="shared" si="1"/>
        <v>1.9714312999999977E-5</v>
      </c>
      <c r="H39" s="1355">
        <f t="shared" si="2"/>
        <v>3.32206695989E-2</v>
      </c>
      <c r="J39">
        <f t="shared" si="3"/>
        <v>7.5276102800719636E-3</v>
      </c>
      <c r="K39">
        <f t="shared" si="4"/>
        <v>1.9714312999999977E-5</v>
      </c>
      <c r="L39">
        <f t="shared" si="5"/>
        <v>3.0510428256844503E-2</v>
      </c>
      <c r="N39">
        <f t="shared" si="6"/>
        <v>0.196548535733679</v>
      </c>
      <c r="O39">
        <f t="shared" si="6"/>
        <v>0.13808454983808963</v>
      </c>
      <c r="P39">
        <f t="shared" si="6"/>
        <v>0.3124755932105332</v>
      </c>
      <c r="R39" s="42">
        <f t="shared" si="7"/>
        <v>1.7807781218397878E-2</v>
      </c>
      <c r="S39" s="42">
        <f t="shared" si="8"/>
        <v>29.231992947794687</v>
      </c>
      <c r="T39" s="42">
        <f t="shared" si="9"/>
        <v>-34.878208674488711</v>
      </c>
    </row>
    <row r="40" spans="1:20">
      <c r="A40">
        <v>396</v>
      </c>
      <c r="B40" s="1355">
        <v>8.7513729999999998E-3</v>
      </c>
      <c r="C40" s="1355">
        <v>2.4690669999999999E-4</v>
      </c>
      <c r="D40" s="1355">
        <v>4.1437710000000003E-2</v>
      </c>
      <c r="F40" s="1355">
        <f t="shared" si="0"/>
        <v>8.1846826189811896E-3</v>
      </c>
      <c r="G40" s="1355">
        <f t="shared" si="1"/>
        <v>2.1154321906899961E-5</v>
      </c>
      <c r="H40" s="1355">
        <f t="shared" si="2"/>
        <v>3.8016805323300498E-2</v>
      </c>
      <c r="J40">
        <f t="shared" si="3"/>
        <v>8.6111951129243317E-3</v>
      </c>
      <c r="K40">
        <f t="shared" si="4"/>
        <v>2.1154321906899961E-5</v>
      </c>
      <c r="L40">
        <f t="shared" si="5"/>
        <v>3.4915280919244049E-2</v>
      </c>
      <c r="N40">
        <f t="shared" si="6"/>
        <v>0.2049864108271004</v>
      </c>
      <c r="O40">
        <f t="shared" si="6"/>
        <v>0.13809576318744765</v>
      </c>
      <c r="P40">
        <f t="shared" si="6"/>
        <v>0.32684249232621326</v>
      </c>
      <c r="R40" s="42">
        <f t="shared" si="7"/>
        <v>1.910852974392796E-2</v>
      </c>
      <c r="S40" s="42">
        <f t="shared" si="8"/>
        <v>33.44532381982637</v>
      </c>
      <c r="T40" s="42">
        <f t="shared" si="9"/>
        <v>-37.749345827753125</v>
      </c>
    </row>
    <row r="41" spans="1:20">
      <c r="A41">
        <v>397</v>
      </c>
      <c r="B41" s="1355">
        <v>1.002888E-2</v>
      </c>
      <c r="C41" s="1355">
        <v>2.8123999999999998E-4</v>
      </c>
      <c r="D41" s="1355">
        <v>4.7503719999999999E-2</v>
      </c>
      <c r="F41" s="1355">
        <f t="shared" si="0"/>
        <v>9.3792799039639999E-3</v>
      </c>
      <c r="G41" s="1355">
        <f t="shared" si="1"/>
        <v>2.2456264639999981E-5</v>
      </c>
      <c r="H41" s="1355">
        <f t="shared" si="2"/>
        <v>4.3582034290216003E-2</v>
      </c>
      <c r="J41">
        <f t="shared" si="3"/>
        <v>9.8680441297084604E-3</v>
      </c>
      <c r="K41">
        <f t="shared" si="4"/>
        <v>2.2456264639999981E-5</v>
      </c>
      <c r="L41">
        <f t="shared" si="5"/>
        <v>4.0026481902791074E-2</v>
      </c>
      <c r="N41">
        <f t="shared" si="6"/>
        <v>0.2144916356296554</v>
      </c>
      <c r="O41">
        <f t="shared" si="6"/>
        <v>0.1381059014155103</v>
      </c>
      <c r="P41">
        <f t="shared" si="6"/>
        <v>0.34207064504735646</v>
      </c>
      <c r="R41" s="42">
        <f t="shared" si="7"/>
        <v>2.0284564199194222E-2</v>
      </c>
      <c r="S41" s="42">
        <f t="shared" si="8"/>
        <v>38.192867107072551</v>
      </c>
      <c r="T41" s="42">
        <f t="shared" si="9"/>
        <v>-40.792948726369232</v>
      </c>
    </row>
    <row r="42" spans="1:20">
      <c r="A42">
        <v>398</v>
      </c>
      <c r="B42" s="1355">
        <v>1.14217E-2</v>
      </c>
      <c r="C42" s="1355">
        <v>3.1851999999999998E-4</v>
      </c>
      <c r="D42" s="1355">
        <v>5.4119880000000002E-2</v>
      </c>
      <c r="F42" s="1355">
        <f t="shared" si="0"/>
        <v>1.0681677227876E-2</v>
      </c>
      <c r="G42" s="1355">
        <f t="shared" si="1"/>
        <v>2.3713351743999997E-5</v>
      </c>
      <c r="H42" s="1355">
        <f t="shared" si="2"/>
        <v>4.965199630606601E-2</v>
      </c>
      <c r="J42">
        <f t="shared" si="3"/>
        <v>1.1238310759809357E-2</v>
      </c>
      <c r="K42">
        <f t="shared" si="4"/>
        <v>2.3713351743999997E-5</v>
      </c>
      <c r="L42">
        <f t="shared" si="5"/>
        <v>4.5601238307234379E-2</v>
      </c>
      <c r="N42">
        <f t="shared" si="6"/>
        <v>0.22399260418694647</v>
      </c>
      <c r="O42">
        <f t="shared" si="6"/>
        <v>0.13811569035278914</v>
      </c>
      <c r="P42">
        <f t="shared" si="6"/>
        <v>0.35726643144217829</v>
      </c>
      <c r="R42" s="42">
        <f t="shared" si="7"/>
        <v>2.1420080923540752E-2</v>
      </c>
      <c r="S42" s="42">
        <f t="shared" si="8"/>
        <v>42.938456917078661</v>
      </c>
      <c r="T42" s="42">
        <f t="shared" si="9"/>
        <v>-43.830148217877827</v>
      </c>
    </row>
    <row r="43" spans="1:20">
      <c r="A43">
        <v>399</v>
      </c>
      <c r="B43" s="1355">
        <v>1.286901E-2</v>
      </c>
      <c r="C43" s="1355">
        <v>3.5726669999999999E-4</v>
      </c>
      <c r="D43" s="1355">
        <v>6.0998030000000002E-2</v>
      </c>
      <c r="F43" s="1355">
        <f t="shared" si="0"/>
        <v>1.203499035672239E-2</v>
      </c>
      <c r="G43" s="1355">
        <f t="shared" si="1"/>
        <v>2.5018746228499942E-5</v>
      </c>
      <c r="H43" s="1355">
        <f t="shared" si="2"/>
        <v>5.5962322002150997E-2</v>
      </c>
      <c r="J43">
        <f t="shared" si="3"/>
        <v>1.2662146471453481E-2</v>
      </c>
      <c r="K43">
        <f t="shared" si="4"/>
        <v>2.5018746228499942E-5</v>
      </c>
      <c r="L43">
        <f t="shared" si="5"/>
        <v>5.1396748805737351E-2</v>
      </c>
      <c r="N43">
        <f t="shared" si="6"/>
        <v>0.23307862335529417</v>
      </c>
      <c r="O43">
        <f t="shared" si="6"/>
        <v>0.13812585545963996</v>
      </c>
      <c r="P43">
        <f t="shared" si="6"/>
        <v>0.37180213782592542</v>
      </c>
      <c r="R43" s="42">
        <f t="shared" si="7"/>
        <v>2.2599233318235434E-2</v>
      </c>
      <c r="S43" s="42">
        <f t="shared" si="8"/>
        <v>47.476383947827102</v>
      </c>
      <c r="T43" s="42">
        <f t="shared" si="9"/>
        <v>-46.735256473257095</v>
      </c>
    </row>
    <row r="44" spans="1:20">
      <c r="A44">
        <v>400</v>
      </c>
      <c r="B44" s="1355">
        <v>1.431E-2</v>
      </c>
      <c r="C44" s="1355">
        <v>3.9599999999999998E-4</v>
      </c>
      <c r="D44" s="1355">
        <v>6.7850010000000002E-2</v>
      </c>
      <c r="F44" s="1355">
        <f t="shared" si="0"/>
        <v>1.3382347933043999E-2</v>
      </c>
      <c r="G44" s="1355">
        <f t="shared" si="1"/>
        <v>2.6465348717999936E-5</v>
      </c>
      <c r="H44" s="1355">
        <f t="shared" si="2"/>
        <v>6.2248641962769004E-2</v>
      </c>
      <c r="J44">
        <f t="shared" si="3"/>
        <v>1.4079716280412847E-2</v>
      </c>
      <c r="K44">
        <f t="shared" si="4"/>
        <v>2.6465348717999936E-5</v>
      </c>
      <c r="L44">
        <f t="shared" si="5"/>
        <v>5.7170212028295517E-2</v>
      </c>
      <c r="N44">
        <f t="shared" si="6"/>
        <v>0.24147080752782182</v>
      </c>
      <c r="O44">
        <f t="shared" si="6"/>
        <v>0.13813712015322568</v>
      </c>
      <c r="P44">
        <f t="shared" si="6"/>
        <v>0.38523280916299407</v>
      </c>
      <c r="R44" s="42">
        <f t="shared" si="7"/>
        <v>2.3905937774181041E-2</v>
      </c>
      <c r="S44" s="42">
        <f t="shared" si="8"/>
        <v>51.666843687298069</v>
      </c>
      <c r="T44" s="42">
        <f t="shared" si="9"/>
        <v>-49.419137801953674</v>
      </c>
    </row>
    <row r="45" spans="1:20">
      <c r="A45">
        <v>401</v>
      </c>
      <c r="B45" s="1355">
        <v>1.5704429999999998E-2</v>
      </c>
      <c r="C45" s="1355">
        <v>4.337147E-4</v>
      </c>
      <c r="D45" s="1355">
        <v>7.4486319999999995E-2</v>
      </c>
      <c r="F45" s="1355">
        <f t="shared" si="0"/>
        <v>1.4686102707191987E-2</v>
      </c>
      <c r="G45" s="1355">
        <f t="shared" si="1"/>
        <v>2.8084994106500024E-5</v>
      </c>
      <c r="H45" s="1355">
        <f t="shared" si="2"/>
        <v>6.8337102045707587E-2</v>
      </c>
      <c r="J45">
        <f t="shared" si="3"/>
        <v>1.5451411098921572E-2</v>
      </c>
      <c r="K45">
        <f t="shared" si="4"/>
        <v>2.8084994106500024E-5</v>
      </c>
      <c r="L45">
        <f t="shared" si="5"/>
        <v>6.276195737232404E-2</v>
      </c>
      <c r="N45">
        <f t="shared" si="6"/>
        <v>0.24907074273092725</v>
      </c>
      <c r="O45">
        <f t="shared" si="6"/>
        <v>0.13814973233186592</v>
      </c>
      <c r="P45">
        <f t="shared" si="6"/>
        <v>0.39740393205451968</v>
      </c>
      <c r="R45" s="42">
        <f t="shared" si="7"/>
        <v>2.5368950496446274E-2</v>
      </c>
      <c r="S45" s="42">
        <f t="shared" si="8"/>
        <v>55.460505199530665</v>
      </c>
      <c r="T45" s="42">
        <f t="shared" si="9"/>
        <v>-51.850839944530748</v>
      </c>
    </row>
    <row r="46" spans="1:20">
      <c r="A46">
        <v>402</v>
      </c>
      <c r="B46" s="1355">
        <v>1.714744E-2</v>
      </c>
      <c r="C46" s="1355">
        <v>4.73024E-4</v>
      </c>
      <c r="D46" s="1355">
        <v>8.1361559999999999E-2</v>
      </c>
      <c r="F46" s="1355">
        <f t="shared" si="0"/>
        <v>1.6035186679868797E-2</v>
      </c>
      <c r="G46" s="1355">
        <f t="shared" si="1"/>
        <v>3.0023479560000008E-5</v>
      </c>
      <c r="H46" s="1355">
        <f t="shared" si="2"/>
        <v>7.4644775036896802E-2</v>
      </c>
      <c r="J46">
        <f t="shared" si="3"/>
        <v>1.6870797268581646E-2</v>
      </c>
      <c r="K46">
        <f t="shared" si="4"/>
        <v>3.0023479560000008E-5</v>
      </c>
      <c r="L46">
        <f t="shared" si="5"/>
        <v>6.8555031581511161E-2</v>
      </c>
      <c r="N46">
        <f t="shared" si="6"/>
        <v>0.25647509669387453</v>
      </c>
      <c r="O46">
        <f t="shared" si="6"/>
        <v>0.13816482731809235</v>
      </c>
      <c r="P46">
        <f t="shared" si="6"/>
        <v>0.40927301587039305</v>
      </c>
      <c r="R46" s="42">
        <f t="shared" si="7"/>
        <v>2.7119968898713154E-2</v>
      </c>
      <c r="S46" s="42">
        <f t="shared" si="8"/>
        <v>59.155134687891092</v>
      </c>
      <c r="T46" s="42">
        <f t="shared" si="9"/>
        <v>-54.221637710460136</v>
      </c>
    </row>
    <row r="47" spans="1:20">
      <c r="A47">
        <v>403</v>
      </c>
      <c r="B47" s="1355">
        <v>1.8781220000000001E-2</v>
      </c>
      <c r="C47" s="1355">
        <v>5.1787600000000001E-4</v>
      </c>
      <c r="D47" s="1355">
        <v>8.9153640000000006E-2</v>
      </c>
      <c r="F47" s="1355">
        <f t="shared" si="0"/>
        <v>1.7562528962757201E-2</v>
      </c>
      <c r="G47" s="1355">
        <f t="shared" si="1"/>
        <v>3.2546358707999932E-5</v>
      </c>
      <c r="H47" s="1355">
        <f t="shared" si="2"/>
        <v>8.1793608713803215E-2</v>
      </c>
      <c r="J47">
        <f t="shared" si="3"/>
        <v>1.8477730978102624E-2</v>
      </c>
      <c r="K47">
        <f t="shared" si="4"/>
        <v>3.2546358707999932E-5</v>
      </c>
      <c r="L47">
        <f t="shared" si="5"/>
        <v>7.5120642078013292E-2</v>
      </c>
      <c r="N47">
        <f t="shared" si="6"/>
        <v>0.26437246066102621</v>
      </c>
      <c r="O47">
        <f t="shared" si="6"/>
        <v>0.13818447297801781</v>
      </c>
      <c r="P47">
        <f t="shared" si="6"/>
        <v>0.42194233033803352</v>
      </c>
      <c r="R47" s="42">
        <f t="shared" si="7"/>
        <v>2.939886545006587E-2</v>
      </c>
      <c r="S47" s="42">
        <f t="shared" si="8"/>
        <v>63.093993841504201</v>
      </c>
      <c r="T47" s="42">
        <f t="shared" si="9"/>
        <v>-56.751571472003135</v>
      </c>
    </row>
    <row r="48" spans="1:20">
      <c r="A48">
        <v>404</v>
      </c>
      <c r="B48" s="1355">
        <v>2.0748010000000001E-2</v>
      </c>
      <c r="C48" s="1355">
        <v>5.7221870000000001E-4</v>
      </c>
      <c r="D48" s="1355">
        <v>9.854048E-2</v>
      </c>
      <c r="F48" s="1355">
        <f t="shared" si="0"/>
        <v>1.940110807448079E-2</v>
      </c>
      <c r="G48" s="1355">
        <f t="shared" si="1"/>
        <v>3.59184357785E-5</v>
      </c>
      <c r="H48" s="1355">
        <f t="shared" si="2"/>
        <v>9.0405559856610404E-2</v>
      </c>
      <c r="J48">
        <f t="shared" si="3"/>
        <v>2.0412120397782979E-2</v>
      </c>
      <c r="K48">
        <f t="shared" si="4"/>
        <v>3.59184357785E-5</v>
      </c>
      <c r="L48">
        <f t="shared" si="5"/>
        <v>8.3030004552235345E-2</v>
      </c>
      <c r="N48">
        <f t="shared" si="6"/>
        <v>0.27329354479664802</v>
      </c>
      <c r="O48">
        <f t="shared" si="6"/>
        <v>0.1382107313421658</v>
      </c>
      <c r="P48">
        <f t="shared" si="6"/>
        <v>0.43625962385599659</v>
      </c>
      <c r="R48" s="42">
        <f t="shared" si="7"/>
        <v>3.2444835691233465E-2</v>
      </c>
      <c r="S48" s="42">
        <f t="shared" si="8"/>
        <v>67.54140672724111</v>
      </c>
      <c r="T48" s="42">
        <f t="shared" si="9"/>
        <v>-59.609778502766162</v>
      </c>
    </row>
    <row r="49" spans="1:20">
      <c r="A49">
        <v>405</v>
      </c>
      <c r="B49" s="1355">
        <v>2.3189999999999999E-2</v>
      </c>
      <c r="C49" s="1355">
        <v>6.4000000000000005E-4</v>
      </c>
      <c r="D49" s="1355">
        <v>0.11020000000000001</v>
      </c>
      <c r="F49" s="1355">
        <f t="shared" si="0"/>
        <v>2.1683853011999998E-2</v>
      </c>
      <c r="G49" s="1355">
        <f t="shared" si="1"/>
        <v>4.0405032000000011E-5</v>
      </c>
      <c r="H49" s="1355">
        <f t="shared" si="2"/>
        <v>0.10110258542300002</v>
      </c>
      <c r="J49">
        <f t="shared" si="3"/>
        <v>2.2813821595631632E-2</v>
      </c>
      <c r="K49">
        <f t="shared" si="4"/>
        <v>4.0405032000000011E-5</v>
      </c>
      <c r="L49">
        <f t="shared" si="5"/>
        <v>9.285433485759946E-2</v>
      </c>
      <c r="N49">
        <f t="shared" si="6"/>
        <v>0.28361727522739433</v>
      </c>
      <c r="O49">
        <f t="shared" si="6"/>
        <v>0.13824566846694261</v>
      </c>
      <c r="P49">
        <f t="shared" si="6"/>
        <v>0.45282882173979006</v>
      </c>
      <c r="R49" s="42">
        <f t="shared" si="7"/>
        <v>3.6497542165342622E-2</v>
      </c>
      <c r="S49" s="42">
        <f t="shared" si="8"/>
        <v>72.685803380225863</v>
      </c>
      <c r="T49" s="42">
        <f t="shared" si="9"/>
        <v>-62.916630654569495</v>
      </c>
    </row>
    <row r="50" spans="1:20">
      <c r="A50">
        <v>406</v>
      </c>
      <c r="B50" s="1355">
        <v>2.6207359999999999E-2</v>
      </c>
      <c r="C50" s="1355">
        <v>7.2455999999999996E-4</v>
      </c>
      <c r="D50" s="1355">
        <v>0.1246133</v>
      </c>
      <c r="F50" s="1355">
        <f t="shared" si="0"/>
        <v>2.4504364703407996E-2</v>
      </c>
      <c r="G50" s="1355">
        <f t="shared" si="1"/>
        <v>4.6750356107999992E-5</v>
      </c>
      <c r="H50" s="1355">
        <f t="shared" si="2"/>
        <v>0.114326076353242</v>
      </c>
      <c r="J50">
        <f t="shared" si="3"/>
        <v>2.5781313143400628E-2</v>
      </c>
      <c r="K50">
        <f t="shared" si="4"/>
        <v>4.6750356107999992E-5</v>
      </c>
      <c r="L50">
        <f t="shared" si="5"/>
        <v>0.10499901394454783</v>
      </c>
      <c r="N50">
        <f t="shared" si="6"/>
        <v>0.29541667879451727</v>
      </c>
      <c r="O50">
        <f t="shared" si="6"/>
        <v>0.13829507950577161</v>
      </c>
      <c r="P50">
        <f t="shared" si="6"/>
        <v>0.47176792123088096</v>
      </c>
      <c r="R50" s="42">
        <f t="shared" si="7"/>
        <v>4.2229222669504907E-2</v>
      </c>
      <c r="S50" s="42">
        <f t="shared" si="8"/>
        <v>78.560799644372835</v>
      </c>
      <c r="T50" s="42">
        <f t="shared" si="9"/>
        <v>-66.694568345021878</v>
      </c>
    </row>
    <row r="51" spans="1:20">
      <c r="A51">
        <v>407</v>
      </c>
      <c r="B51" s="1355">
        <v>2.978248E-2</v>
      </c>
      <c r="C51" s="1355">
        <v>8.2549999999999995E-4</v>
      </c>
      <c r="D51" s="1355">
        <v>0.14170170000000001</v>
      </c>
      <c r="F51" s="1355">
        <f t="shared" si="0"/>
        <v>2.7846118139877998E-2</v>
      </c>
      <c r="G51" s="1355">
        <f t="shared" si="1"/>
        <v>5.4997737983999962E-5</v>
      </c>
      <c r="H51" s="1355">
        <f t="shared" si="2"/>
        <v>0.13000385211660001</v>
      </c>
      <c r="J51">
        <f t="shared" si="3"/>
        <v>2.9297208896522771E-2</v>
      </c>
      <c r="K51">
        <f t="shared" si="4"/>
        <v>5.4997737983999962E-5</v>
      </c>
      <c r="L51">
        <f t="shared" si="5"/>
        <v>0.11939774998539718</v>
      </c>
      <c r="N51">
        <f t="shared" si="6"/>
        <v>0.30827768042945314</v>
      </c>
      <c r="O51">
        <f t="shared" si="6"/>
        <v>0.13835930186844003</v>
      </c>
      <c r="P51">
        <f t="shared" si="6"/>
        <v>0.49241587711472778</v>
      </c>
      <c r="R51" s="42">
        <f t="shared" si="7"/>
        <v>4.9679016739045068E-2</v>
      </c>
      <c r="S51" s="42">
        <f t="shared" si="8"/>
        <v>84.95918928050655</v>
      </c>
      <c r="T51" s="42">
        <f t="shared" si="9"/>
        <v>-70.811315049257544</v>
      </c>
    </row>
    <row r="52" spans="1:20">
      <c r="A52">
        <v>408</v>
      </c>
      <c r="B52" s="1355">
        <v>3.3880920000000002E-2</v>
      </c>
      <c r="C52" s="1355">
        <v>9.4116000000000002E-4</v>
      </c>
      <c r="D52" s="1355">
        <v>0.16130349999999999</v>
      </c>
      <c r="F52" s="1355">
        <f t="shared" si="0"/>
        <v>3.1676892447964004E-2</v>
      </c>
      <c r="G52" s="1355">
        <f t="shared" si="1"/>
        <v>6.4360843996000055E-5</v>
      </c>
      <c r="H52" s="1355">
        <f t="shared" si="2"/>
        <v>0.14798755823158199</v>
      </c>
      <c r="J52">
        <f t="shared" si="3"/>
        <v>3.3327608917655481E-2</v>
      </c>
      <c r="K52">
        <f t="shared" si="4"/>
        <v>6.4360843996000055E-5</v>
      </c>
      <c r="L52">
        <f t="shared" si="5"/>
        <v>0.13591429169988153</v>
      </c>
      <c r="N52">
        <f t="shared" si="6"/>
        <v>0.32181137093860723</v>
      </c>
      <c r="O52">
        <f t="shared" si="6"/>
        <v>0.13843221237495548</v>
      </c>
      <c r="P52">
        <f t="shared" si="6"/>
        <v>0.51414826593282381</v>
      </c>
      <c r="R52" s="42">
        <f t="shared" si="7"/>
        <v>5.8136635494836497E-2</v>
      </c>
      <c r="S52" s="42">
        <f t="shared" si="8"/>
        <v>91.689579281825871</v>
      </c>
      <c r="T52" s="42">
        <f t="shared" si="9"/>
        <v>-75.143210711573659</v>
      </c>
    </row>
    <row r="53" spans="1:20">
      <c r="A53">
        <v>409</v>
      </c>
      <c r="B53" s="1355">
        <v>3.8468240000000001E-2</v>
      </c>
      <c r="C53" s="1355">
        <v>1.06988E-3</v>
      </c>
      <c r="D53" s="1355">
        <v>0.1832568</v>
      </c>
      <c r="F53" s="1355">
        <f t="shared" si="0"/>
        <v>3.5964469077339994E-2</v>
      </c>
      <c r="G53" s="1355">
        <f t="shared" si="1"/>
        <v>7.4053926152000066E-5</v>
      </c>
      <c r="H53" s="1355">
        <f t="shared" si="2"/>
        <v>0.16812865658531601</v>
      </c>
      <c r="J53">
        <f t="shared" si="3"/>
        <v>3.7838615713636406E-2</v>
      </c>
      <c r="K53">
        <f t="shared" si="4"/>
        <v>7.4053926152000066E-5</v>
      </c>
      <c r="L53">
        <f t="shared" si="5"/>
        <v>0.15441221915755077</v>
      </c>
      <c r="N53">
        <f t="shared" si="6"/>
        <v>0.33572092672436832</v>
      </c>
      <c r="O53">
        <f t="shared" si="6"/>
        <v>0.13850769240570424</v>
      </c>
      <c r="P53">
        <f t="shared" si="6"/>
        <v>0.53648867028272296</v>
      </c>
      <c r="R53" s="42">
        <f t="shared" si="7"/>
        <v>6.6892319061690131E-2</v>
      </c>
      <c r="S53" s="42">
        <f t="shared" si="8"/>
        <v>98.606617159332046</v>
      </c>
      <c r="T53" s="42">
        <f t="shared" si="9"/>
        <v>-79.59619557540374</v>
      </c>
    </row>
    <row r="54" spans="1:20">
      <c r="A54">
        <v>410</v>
      </c>
      <c r="B54" s="1355">
        <v>4.351E-2</v>
      </c>
      <c r="C54" s="1355">
        <v>1.2099999999999999E-3</v>
      </c>
      <c r="D54" s="1355">
        <v>0.2074</v>
      </c>
      <c r="F54" s="1355">
        <f t="shared" si="0"/>
        <v>4.0676625993000003E-2</v>
      </c>
      <c r="G54" s="1355">
        <f t="shared" si="1"/>
        <v>8.3290357999999841E-5</v>
      </c>
      <c r="H54" s="1355">
        <f t="shared" si="2"/>
        <v>0.19027888451200001</v>
      </c>
      <c r="J54">
        <f t="shared" si="3"/>
        <v>4.2796328125032881E-2</v>
      </c>
      <c r="K54">
        <f t="shared" si="4"/>
        <v>8.3290357999999841E-5</v>
      </c>
      <c r="L54">
        <f t="shared" si="5"/>
        <v>0.174755365403231</v>
      </c>
      <c r="N54">
        <f t="shared" si="6"/>
        <v>0.3497857958020435</v>
      </c>
      <c r="O54">
        <f t="shared" si="6"/>
        <v>0.13857961650050463</v>
      </c>
      <c r="P54">
        <f t="shared" si="6"/>
        <v>0.55908371138395208</v>
      </c>
      <c r="R54" s="42">
        <f t="shared" si="7"/>
        <v>7.5235514058537234E-2</v>
      </c>
      <c r="S54" s="42">
        <f t="shared" si="8"/>
        <v>105.60308965076943</v>
      </c>
      <c r="T54" s="42">
        <f t="shared" si="9"/>
        <v>-84.100818976689482</v>
      </c>
    </row>
    <row r="55" spans="1:20">
      <c r="A55">
        <v>411</v>
      </c>
      <c r="B55" s="1355">
        <v>4.89956E-2</v>
      </c>
      <c r="C55" s="1355">
        <v>1.362091E-3</v>
      </c>
      <c r="D55" s="1355">
        <v>0.23369210000000001</v>
      </c>
      <c r="F55" s="1355">
        <f t="shared" si="0"/>
        <v>4.5803336596884701E-2</v>
      </c>
      <c r="G55" s="1355">
        <f t="shared" si="1"/>
        <v>9.2901235204999951E-5</v>
      </c>
      <c r="H55" s="1355">
        <f t="shared" si="2"/>
        <v>0.21440063921733274</v>
      </c>
      <c r="J55">
        <f t="shared" si="3"/>
        <v>4.8190197057124053E-2</v>
      </c>
      <c r="K55">
        <f t="shared" si="4"/>
        <v>9.2901235204999951E-5</v>
      </c>
      <c r="L55">
        <f t="shared" si="5"/>
        <v>0.19690919539077059</v>
      </c>
      <c r="N55">
        <f t="shared" si="6"/>
        <v>0.36390350121085635</v>
      </c>
      <c r="O55">
        <f t="shared" si="6"/>
        <v>0.13865445640129995</v>
      </c>
      <c r="P55">
        <f t="shared" si="6"/>
        <v>0.58177537198710794</v>
      </c>
      <c r="R55" s="42">
        <f t="shared" si="7"/>
        <v>8.3916942550793294E-2</v>
      </c>
      <c r="S55" s="42">
        <f t="shared" si="8"/>
        <v>112.6245224047782</v>
      </c>
      <c r="T55" s="42">
        <f t="shared" si="9"/>
        <v>-88.624183117161607</v>
      </c>
    </row>
    <row r="56" spans="1:20">
      <c r="A56">
        <v>412</v>
      </c>
      <c r="B56" s="1355">
        <v>5.5022599999999998E-2</v>
      </c>
      <c r="C56" s="1355">
        <v>1.530752E-3</v>
      </c>
      <c r="D56" s="1355">
        <v>0.26261139999999999</v>
      </c>
      <c r="F56" s="1355">
        <f t="shared" si="0"/>
        <v>5.1435640248358394E-2</v>
      </c>
      <c r="G56" s="1355">
        <f t="shared" si="1"/>
        <v>1.0494978684000007E-4</v>
      </c>
      <c r="H56" s="1355">
        <f t="shared" si="2"/>
        <v>0.24093275862537442</v>
      </c>
      <c r="J56">
        <f t="shared" si="3"/>
        <v>5.4116006026869223E-2</v>
      </c>
      <c r="K56">
        <f t="shared" si="4"/>
        <v>1.0494978684000007E-4</v>
      </c>
      <c r="L56">
        <f t="shared" si="5"/>
        <v>0.22127674533708147</v>
      </c>
      <c r="N56">
        <f t="shared" si="6"/>
        <v>0.37824678514958354</v>
      </c>
      <c r="O56">
        <f t="shared" si="6"/>
        <v>0.13874827847288171</v>
      </c>
      <c r="P56">
        <f t="shared" si="6"/>
        <v>0.60484662035128756</v>
      </c>
      <c r="R56" s="42">
        <f t="shared" si="7"/>
        <v>9.4800302854277874E-2</v>
      </c>
      <c r="S56" s="42">
        <f t="shared" si="8"/>
        <v>119.74925333835091</v>
      </c>
      <c r="T56" s="42">
        <f t="shared" si="9"/>
        <v>-93.219668375681167</v>
      </c>
    </row>
    <row r="57" spans="1:20">
      <c r="A57">
        <v>413</v>
      </c>
      <c r="B57" s="1355">
        <v>6.1718799999999997E-2</v>
      </c>
      <c r="C57" s="1355">
        <v>1.7203679999999999E-3</v>
      </c>
      <c r="D57" s="1355">
        <v>0.2947746</v>
      </c>
      <c r="F57" s="1355">
        <f t="shared" si="0"/>
        <v>5.7692921377185596E-2</v>
      </c>
      <c r="G57" s="1355">
        <f t="shared" si="1"/>
        <v>1.2050253668000001E-4</v>
      </c>
      <c r="H57" s="1355">
        <f t="shared" si="2"/>
        <v>0.27044104436618965</v>
      </c>
      <c r="J57">
        <f t="shared" si="3"/>
        <v>6.0699360713316143E-2</v>
      </c>
      <c r="K57">
        <f t="shared" si="4"/>
        <v>1.2050253668000001E-4</v>
      </c>
      <c r="L57">
        <f t="shared" si="5"/>
        <v>0.2483776570871391</v>
      </c>
      <c r="N57">
        <f t="shared" si="6"/>
        <v>0.3930019503931852</v>
      </c>
      <c r="O57">
        <f t="shared" si="6"/>
        <v>0.13886938773588578</v>
      </c>
      <c r="P57">
        <f t="shared" si="6"/>
        <v>0.62859488396557384</v>
      </c>
      <c r="R57" s="42">
        <f t="shared" si="7"/>
        <v>0.10884897736275079</v>
      </c>
      <c r="S57" s="42">
        <f t="shared" si="8"/>
        <v>127.06628132864972</v>
      </c>
      <c r="T57" s="42">
        <f t="shared" si="9"/>
        <v>-97.945099245937612</v>
      </c>
    </row>
    <row r="58" spans="1:20">
      <c r="A58">
        <v>414</v>
      </c>
      <c r="B58" s="1355">
        <v>6.9211999999999996E-2</v>
      </c>
      <c r="C58" s="1355">
        <v>1.9353230000000001E-3</v>
      </c>
      <c r="D58" s="1355">
        <v>0.3307985</v>
      </c>
      <c r="F58" s="1355">
        <f t="shared" si="0"/>
        <v>6.4694563258739096E-2</v>
      </c>
      <c r="G58" s="1355">
        <f t="shared" si="1"/>
        <v>1.4062470008500017E-4</v>
      </c>
      <c r="H58" s="1355">
        <f t="shared" si="2"/>
        <v>0.30349138987876312</v>
      </c>
      <c r="J58">
        <f t="shared" si="3"/>
        <v>6.8065865580964252E-2</v>
      </c>
      <c r="K58">
        <f t="shared" si="4"/>
        <v>1.4062470008500017E-4</v>
      </c>
      <c r="L58">
        <f t="shared" si="5"/>
        <v>0.27873165680479334</v>
      </c>
      <c r="N58">
        <f t="shared" si="6"/>
        <v>0.40829725226554353</v>
      </c>
      <c r="O58">
        <f t="shared" si="6"/>
        <v>0.1390260790223205</v>
      </c>
      <c r="P58">
        <f t="shared" si="6"/>
        <v>0.65322394895008906</v>
      </c>
      <c r="R58" s="42">
        <f t="shared" si="7"/>
        <v>0.12702516658917773</v>
      </c>
      <c r="S58" s="42">
        <f t="shared" si="8"/>
        <v>134.63558662161151</v>
      </c>
      <c r="T58" s="42">
        <f t="shared" si="9"/>
        <v>-102.8395739855537</v>
      </c>
    </row>
    <row r="59" spans="1:20">
      <c r="A59">
        <v>415</v>
      </c>
      <c r="B59" s="1355">
        <v>7.7630000000000005E-2</v>
      </c>
      <c r="C59" s="1355">
        <v>2.1800000000000001E-3</v>
      </c>
      <c r="D59" s="1355">
        <v>0.37130000000000002</v>
      </c>
      <c r="F59" s="1355">
        <f t="shared" si="0"/>
        <v>7.2559948013999995E-2</v>
      </c>
      <c r="G59" s="1355">
        <f t="shared" si="1"/>
        <v>1.6638018399999996E-4</v>
      </c>
      <c r="H59" s="1355">
        <f t="shared" si="2"/>
        <v>0.34064978041100002</v>
      </c>
      <c r="J59">
        <f t="shared" si="3"/>
        <v>7.6341123879764744E-2</v>
      </c>
      <c r="K59">
        <f t="shared" si="4"/>
        <v>1.6638018399999996E-4</v>
      </c>
      <c r="L59">
        <f t="shared" si="5"/>
        <v>0.31285855497276899</v>
      </c>
      <c r="N59">
        <f t="shared" si="6"/>
        <v>0.42421515846553148</v>
      </c>
      <c r="O59">
        <f t="shared" si="6"/>
        <v>0.13922663697556661</v>
      </c>
      <c r="P59">
        <f t="shared" si="6"/>
        <v>0.67886384306525094</v>
      </c>
      <c r="R59" s="42">
        <f t="shared" si="7"/>
        <v>0.15028988916572672</v>
      </c>
      <c r="S59" s="42">
        <f t="shared" si="8"/>
        <v>142.49426074498245</v>
      </c>
      <c r="T59" s="42">
        <f t="shared" si="9"/>
        <v>-107.92744121793687</v>
      </c>
    </row>
    <row r="60" spans="1:20">
      <c r="A60">
        <v>416</v>
      </c>
      <c r="B60" s="1355">
        <v>8.6958110000000005E-2</v>
      </c>
      <c r="C60" s="1355">
        <v>2.4548E-3</v>
      </c>
      <c r="D60" s="1355">
        <v>0.4162091</v>
      </c>
      <c r="F60" s="1355">
        <f t="shared" si="0"/>
        <v>8.1275336185235997E-2</v>
      </c>
      <c r="G60" s="1355">
        <f t="shared" si="1"/>
        <v>1.9856294894799961E-4</v>
      </c>
      <c r="H60" s="1355">
        <f t="shared" si="2"/>
        <v>0.38185200004236503</v>
      </c>
      <c r="J60">
        <f t="shared" si="3"/>
        <v>8.5510680174267467E-2</v>
      </c>
      <c r="K60">
        <f t="shared" si="4"/>
        <v>1.9856294894799961E-4</v>
      </c>
      <c r="L60">
        <f t="shared" si="5"/>
        <v>0.35069937459692058</v>
      </c>
      <c r="N60">
        <f t="shared" si="6"/>
        <v>0.44056174837494655</v>
      </c>
      <c r="O60">
        <f t="shared" si="6"/>
        <v>0.13947724416621668</v>
      </c>
      <c r="P60">
        <f t="shared" si="6"/>
        <v>0.70519896106212177</v>
      </c>
      <c r="R60" s="42">
        <f t="shared" si="7"/>
        <v>0.17936032328113427</v>
      </c>
      <c r="S60" s="42">
        <f t="shared" si="8"/>
        <v>150.54225210436496</v>
      </c>
      <c r="T60" s="42">
        <f t="shared" si="9"/>
        <v>-113.14434337918102</v>
      </c>
    </row>
    <row r="61" spans="1:20">
      <c r="A61">
        <v>417</v>
      </c>
      <c r="B61" s="1355">
        <v>9.7176719999999994E-2</v>
      </c>
      <c r="C61" s="1355">
        <v>2.764E-3</v>
      </c>
      <c r="D61" s="1355">
        <v>0.46546419999999999</v>
      </c>
      <c r="F61" s="1355">
        <f t="shared" si="0"/>
        <v>9.0821989957151988E-2</v>
      </c>
      <c r="G61" s="1355">
        <f t="shared" si="1"/>
        <v>2.4193967109600021E-4</v>
      </c>
      <c r="H61" s="1355">
        <f t="shared" si="2"/>
        <v>0.42704158914205997</v>
      </c>
      <c r="J61">
        <f t="shared" si="3"/>
        <v>9.5554820201744384E-2</v>
      </c>
      <c r="K61">
        <f t="shared" si="4"/>
        <v>2.4193967109600021E-4</v>
      </c>
      <c r="L61">
        <f t="shared" si="5"/>
        <v>0.39220226219158177</v>
      </c>
      <c r="N61">
        <f t="shared" si="6"/>
        <v>0.45717681727435372</v>
      </c>
      <c r="O61">
        <f t="shared" si="6"/>
        <v>0.13981501870158317</v>
      </c>
      <c r="P61">
        <f t="shared" si="6"/>
        <v>0.73198699437386072</v>
      </c>
      <c r="R61" s="42">
        <f t="shared" si="7"/>
        <v>0.21854216938364601</v>
      </c>
      <c r="S61" s="42">
        <f t="shared" si="8"/>
        <v>158.68089928638528</v>
      </c>
      <c r="T61" s="42">
        <f t="shared" si="9"/>
        <v>-118.4343951344555</v>
      </c>
    </row>
    <row r="62" spans="1:20">
      <c r="A62">
        <v>418</v>
      </c>
      <c r="B62" s="1355">
        <v>0.1084063</v>
      </c>
      <c r="C62" s="1355">
        <v>3.1178E-3</v>
      </c>
      <c r="D62" s="1355">
        <v>0.51969480000000001</v>
      </c>
      <c r="F62" s="1355">
        <f t="shared" si="0"/>
        <v>0.10131184341526001</v>
      </c>
      <c r="G62" s="1355">
        <f t="shared" si="1"/>
        <v>3.0353575907999999E-4</v>
      </c>
      <c r="H62" s="1355">
        <f t="shared" si="2"/>
        <v>0.47679616723473006</v>
      </c>
      <c r="J62">
        <f t="shared" si="3"/>
        <v>0.10659131105164814</v>
      </c>
      <c r="K62">
        <f t="shared" si="4"/>
        <v>3.0353575907999999E-4</v>
      </c>
      <c r="L62">
        <f t="shared" si="5"/>
        <v>0.43789771335720917</v>
      </c>
      <c r="N62">
        <f t="shared" si="6"/>
        <v>0.47414073433820231</v>
      </c>
      <c r="O62">
        <f t="shared" si="6"/>
        <v>0.14029466743871458</v>
      </c>
      <c r="P62">
        <f t="shared" si="6"/>
        <v>0.75937720986886026</v>
      </c>
      <c r="R62" s="42">
        <f t="shared" si="7"/>
        <v>0.27418142289089076</v>
      </c>
      <c r="S62" s="42">
        <f t="shared" si="8"/>
        <v>166.92303344974385</v>
      </c>
      <c r="T62" s="42">
        <f t="shared" si="9"/>
        <v>-123.81650848602914</v>
      </c>
    </row>
    <row r="63" spans="1:20">
      <c r="A63">
        <v>419</v>
      </c>
      <c r="B63" s="1355">
        <v>0.12076720000000001</v>
      </c>
      <c r="C63" s="1355">
        <v>3.5263999999999998E-3</v>
      </c>
      <c r="D63" s="1355">
        <v>0.57953030000000005</v>
      </c>
      <c r="F63" s="1355">
        <f t="shared" si="0"/>
        <v>0.11285671295291999</v>
      </c>
      <c r="G63" s="1355">
        <f t="shared" si="1"/>
        <v>3.9037839889999944E-4</v>
      </c>
      <c r="H63" s="1355">
        <f t="shared" si="2"/>
        <v>0.53169326245695014</v>
      </c>
      <c r="J63">
        <f t="shared" si="3"/>
        <v>0.11873779598821634</v>
      </c>
      <c r="K63">
        <f t="shared" si="4"/>
        <v>3.9037839889999944E-4</v>
      </c>
      <c r="L63">
        <f t="shared" si="5"/>
        <v>0.48831613976190053</v>
      </c>
      <c r="N63">
        <f t="shared" si="6"/>
        <v>0.49150694759993219</v>
      </c>
      <c r="O63">
        <f t="shared" si="6"/>
        <v>0.14097091107499291</v>
      </c>
      <c r="P63">
        <f t="shared" si="6"/>
        <v>0.78746941129831494</v>
      </c>
      <c r="R63" s="42">
        <f t="shared" si="7"/>
        <v>0.3526256846991771</v>
      </c>
      <c r="S63" s="42">
        <f t="shared" si="8"/>
        <v>175.26801826246964</v>
      </c>
      <c r="T63" s="42">
        <f t="shared" si="9"/>
        <v>-129.29970004466441</v>
      </c>
    </row>
    <row r="64" spans="1:20">
      <c r="A64">
        <v>420</v>
      </c>
      <c r="B64" s="1355">
        <v>0.13438</v>
      </c>
      <c r="C64" s="1355">
        <v>4.0000000000000001E-3</v>
      </c>
      <c r="D64" s="1355">
        <v>0.64559999999999995</v>
      </c>
      <c r="F64" s="1355">
        <f t="shared" si="0"/>
        <v>0.12556864392800002</v>
      </c>
      <c r="G64" s="1355">
        <f t="shared" si="1"/>
        <v>5.0949222400000025E-4</v>
      </c>
      <c r="H64" s="1355">
        <f t="shared" si="2"/>
        <v>0.59231031030999992</v>
      </c>
      <c r="J64">
        <f t="shared" si="3"/>
        <v>0.13211215917177818</v>
      </c>
      <c r="K64">
        <f t="shared" si="4"/>
        <v>5.0949222400000025E-4</v>
      </c>
      <c r="L64">
        <f t="shared" si="5"/>
        <v>0.54398786799592214</v>
      </c>
      <c r="N64">
        <f t="shared" si="6"/>
        <v>0.50930850687354379</v>
      </c>
      <c r="O64">
        <f t="shared" si="6"/>
        <v>0.14189845043104662</v>
      </c>
      <c r="P64">
        <f t="shared" si="6"/>
        <v>0.8163249518755703</v>
      </c>
      <c r="R64" s="42">
        <f t="shared" si="7"/>
        <v>0.46022025000140943</v>
      </c>
      <c r="S64" s="42">
        <f t="shared" si="8"/>
        <v>183.70502822124857</v>
      </c>
      <c r="T64" s="42">
        <f t="shared" si="9"/>
        <v>-134.88530028890472</v>
      </c>
    </row>
    <row r="65" spans="1:20">
      <c r="A65">
        <v>421</v>
      </c>
      <c r="B65" s="1355">
        <v>0.1493582</v>
      </c>
      <c r="C65" s="1355">
        <v>4.54624E-3</v>
      </c>
      <c r="D65" s="1355">
        <v>0.71848380000000001</v>
      </c>
      <c r="F65" s="1355">
        <f t="shared" si="0"/>
        <v>0.13955326149084796</v>
      </c>
      <c r="G65" s="1355">
        <f t="shared" si="1"/>
        <v>6.6553418579999926E-4</v>
      </c>
      <c r="H65" s="1355">
        <f t="shared" si="2"/>
        <v>0.65917939724344798</v>
      </c>
      <c r="J65">
        <f t="shared" si="3"/>
        <v>0.14682552999131793</v>
      </c>
      <c r="K65">
        <f t="shared" si="4"/>
        <v>6.6553418579999926E-4</v>
      </c>
      <c r="L65">
        <f t="shared" si="5"/>
        <v>0.60540157530876992</v>
      </c>
      <c r="N65">
        <f t="shared" si="6"/>
        <v>0.52755433054953293</v>
      </c>
      <c r="O65">
        <f t="shared" si="6"/>
        <v>0.14311354918758321</v>
      </c>
      <c r="P65">
        <f t="shared" si="6"/>
        <v>0.84595614388359319</v>
      </c>
      <c r="R65" s="42">
        <f t="shared" si="7"/>
        <v>0.60117170575965062</v>
      </c>
      <c r="S65" s="42">
        <f t="shared" si="8"/>
        <v>192.22039068097484</v>
      </c>
      <c r="T65" s="42">
        <f t="shared" si="9"/>
        <v>-140.56851893920199</v>
      </c>
    </row>
    <row r="66" spans="1:20">
      <c r="A66">
        <v>422</v>
      </c>
      <c r="B66" s="1355">
        <v>0.16539570000000001</v>
      </c>
      <c r="C66" s="1355">
        <v>5.1593200000000002E-3</v>
      </c>
      <c r="D66" s="1355">
        <v>0.79671329999999996</v>
      </c>
      <c r="F66" s="1355">
        <f t="shared" si="0"/>
        <v>0.154524487554284</v>
      </c>
      <c r="G66" s="1355">
        <f t="shared" si="1"/>
        <v>8.6070042649999965E-4</v>
      </c>
      <c r="H66" s="1355">
        <f t="shared" si="2"/>
        <v>0.73095335318842403</v>
      </c>
      <c r="J66">
        <f t="shared" si="3"/>
        <v>0.16257692252704872</v>
      </c>
      <c r="K66">
        <f t="shared" si="4"/>
        <v>8.6070042649999965E-4</v>
      </c>
      <c r="L66">
        <f t="shared" si="5"/>
        <v>0.6713199977851676</v>
      </c>
      <c r="N66">
        <f t="shared" si="6"/>
        <v>0.54578253327944648</v>
      </c>
      <c r="O66">
        <f t="shared" si="6"/>
        <v>0.14463330870391411</v>
      </c>
      <c r="P66">
        <f t="shared" si="6"/>
        <v>0.87560828355342968</v>
      </c>
      <c r="R66" s="42">
        <f t="shared" si="7"/>
        <v>0.77746380965403716</v>
      </c>
      <c r="S66" s="42">
        <f t="shared" si="8"/>
        <v>200.57461228776617</v>
      </c>
      <c r="T66" s="42">
        <f t="shared" si="9"/>
        <v>-146.19499496990312</v>
      </c>
    </row>
    <row r="67" spans="1:20">
      <c r="A67">
        <v>423</v>
      </c>
      <c r="B67" s="1355">
        <v>0.18198310000000001</v>
      </c>
      <c r="C67" s="1355">
        <v>5.8292800000000001E-3</v>
      </c>
      <c r="D67" s="1355">
        <v>0.87784589999999996</v>
      </c>
      <c r="F67" s="1355">
        <f t="shared" si="0"/>
        <v>0.17000623177169602</v>
      </c>
      <c r="G67" s="1355">
        <f t="shared" si="1"/>
        <v>1.0983299304999999E-3</v>
      </c>
      <c r="H67" s="1355">
        <f t="shared" si="2"/>
        <v>0.80539123592167605</v>
      </c>
      <c r="J67">
        <f t="shared" si="3"/>
        <v>0.17886543685933909</v>
      </c>
      <c r="K67">
        <f t="shared" si="4"/>
        <v>1.0983299304999999E-3</v>
      </c>
      <c r="L67">
        <f t="shared" si="5"/>
        <v>0.73968501595444291</v>
      </c>
      <c r="N67">
        <f t="shared" si="6"/>
        <v>0.56343282189508681</v>
      </c>
      <c r="O67">
        <f t="shared" si="6"/>
        <v>0.14648372965156212</v>
      </c>
      <c r="P67">
        <f t="shared" si="6"/>
        <v>0.90437581613043461</v>
      </c>
      <c r="R67" s="42">
        <f t="shared" si="7"/>
        <v>0.99211263958120455</v>
      </c>
      <c r="S67" s="42">
        <f t="shared" si="8"/>
        <v>208.47454612176236</v>
      </c>
      <c r="T67" s="42">
        <f t="shared" si="9"/>
        <v>-151.5784172957745</v>
      </c>
    </row>
    <row r="68" spans="1:20">
      <c r="A68">
        <v>424</v>
      </c>
      <c r="B68" s="1355">
        <v>0.19861100000000001</v>
      </c>
      <c r="C68" s="1355">
        <v>6.5461599999999997E-3</v>
      </c>
      <c r="D68" s="1355">
        <v>0.95943900000000004</v>
      </c>
      <c r="F68" s="1355">
        <f t="shared" si="0"/>
        <v>0.185522403796472</v>
      </c>
      <c r="G68" s="1355">
        <f t="shared" si="1"/>
        <v>1.3817616821999992E-3</v>
      </c>
      <c r="H68" s="1355">
        <f t="shared" si="2"/>
        <v>0.88025210321995206</v>
      </c>
      <c r="J68">
        <f t="shared" si="3"/>
        <v>0.19519017306855765</v>
      </c>
      <c r="K68">
        <f t="shared" si="4"/>
        <v>1.3817616821999992E-3</v>
      </c>
      <c r="L68">
        <f t="shared" si="5"/>
        <v>0.80843851034592373</v>
      </c>
      <c r="N68">
        <f t="shared" si="6"/>
        <v>0.5800774500898479</v>
      </c>
      <c r="O68">
        <f t="shared" si="6"/>
        <v>0.14869081270205001</v>
      </c>
      <c r="P68">
        <f t="shared" si="6"/>
        <v>0.93157036505332902</v>
      </c>
      <c r="R68" s="42">
        <f t="shared" si="7"/>
        <v>1.2481342734378025</v>
      </c>
      <c r="S68" s="42">
        <f t="shared" si="8"/>
        <v>215.69331869389896</v>
      </c>
      <c r="T68" s="42">
        <f t="shared" si="9"/>
        <v>-156.57591047025582</v>
      </c>
    </row>
    <row r="69" spans="1:20">
      <c r="A69">
        <v>425</v>
      </c>
      <c r="B69" s="1355">
        <v>0.21476999999999999</v>
      </c>
      <c r="C69" s="1355">
        <v>7.3000000000000001E-3</v>
      </c>
      <c r="D69" s="1355">
        <v>1.0390501000000001</v>
      </c>
      <c r="F69" s="1355">
        <f t="shared" ref="F69:F132" si="10">$X$12*B69+$Y$12*C69+$Z$12*D69</f>
        <v>0.20059691212043995</v>
      </c>
      <c r="G69" s="1355">
        <f t="shared" ref="G69:G132" si="11">$X$13*B69+$Y$13*C69+$Z$13*D69</f>
        <v>1.71433437318E-3</v>
      </c>
      <c r="H69" s="1355">
        <f t="shared" ref="H69:H132" si="12">$X$14*B69+$Y$14*C69+$Z$14*D69</f>
        <v>0.95329510467569012</v>
      </c>
      <c r="J69">
        <f t="shared" ref="J69:J132" si="13">F69/$X$5</f>
        <v>0.21105023001298298</v>
      </c>
      <c r="K69">
        <f t="shared" ref="K69:K132" si="14">G69/$X$6</f>
        <v>1.71433437318E-3</v>
      </c>
      <c r="L69">
        <f t="shared" ref="L69:L132" si="15">H69/$X$7</f>
        <v>0.87552244581402983</v>
      </c>
      <c r="N69">
        <f t="shared" ref="N69:P132" si="16">IF(J69&gt;0.008856,J69^(1/3),7.787*J69+16/116)</f>
        <v>0.59538141870892436</v>
      </c>
      <c r="O69">
        <f t="shared" si="16"/>
        <v>0.15128055624671127</v>
      </c>
      <c r="P69">
        <f t="shared" si="16"/>
        <v>0.95665591596653454</v>
      </c>
      <c r="R69" s="42">
        <f t="shared" ref="R69:R132" si="17" xml:space="preserve"> 116 * O69  - 16</f>
        <v>1.5485445246185066</v>
      </c>
      <c r="S69" s="42">
        <f t="shared" ref="S69:S132" si="18" xml:space="preserve"> 500 * (N69 - O69 )</f>
        <v>222.05043123110653</v>
      </c>
      <c r="T69" s="42">
        <f t="shared" ref="T69:T132" si="19" xml:space="preserve"> 200 * (O69 - P69 )</f>
        <v>-161.07507194396464</v>
      </c>
    </row>
    <row r="70" spans="1:20">
      <c r="A70">
        <v>426</v>
      </c>
      <c r="B70" s="1355">
        <v>0.2301868</v>
      </c>
      <c r="C70" s="1355">
        <v>8.0865069999999997E-3</v>
      </c>
      <c r="D70" s="1355">
        <v>1.1153673</v>
      </c>
      <c r="F70" s="1355">
        <f t="shared" si="10"/>
        <v>0.21497433669367191</v>
      </c>
      <c r="G70" s="1355">
        <f t="shared" si="11"/>
        <v>2.0989106086449993E-3</v>
      </c>
      <c r="H70" s="1355">
        <f t="shared" si="12"/>
        <v>1.0233166550940078</v>
      </c>
      <c r="J70">
        <f t="shared" si="13"/>
        <v>0.22617687743292467</v>
      </c>
      <c r="K70">
        <f t="shared" si="14"/>
        <v>2.0989106086449993E-3</v>
      </c>
      <c r="L70">
        <f t="shared" si="15"/>
        <v>0.93983142923505769</v>
      </c>
      <c r="N70">
        <f t="shared" si="16"/>
        <v>0.60927880137489365</v>
      </c>
      <c r="O70">
        <f t="shared" si="16"/>
        <v>0.15427525139227721</v>
      </c>
      <c r="P70">
        <f t="shared" si="16"/>
        <v>0.97952754862634672</v>
      </c>
      <c r="R70" s="42">
        <f t="shared" si="17"/>
        <v>1.8959291615041565</v>
      </c>
      <c r="S70" s="42">
        <f t="shared" si="18"/>
        <v>227.50177499130822</v>
      </c>
      <c r="T70" s="42">
        <f t="shared" si="19"/>
        <v>-165.0504594468139</v>
      </c>
    </row>
    <row r="71" spans="1:20">
      <c r="A71">
        <v>427</v>
      </c>
      <c r="B71" s="1355">
        <v>0.24487970000000001</v>
      </c>
      <c r="C71" s="1355">
        <v>8.9087200000000002E-3</v>
      </c>
      <c r="D71" s="1355">
        <v>1.1884971</v>
      </c>
      <c r="F71" s="1355">
        <f t="shared" si="10"/>
        <v>0.228671543861384</v>
      </c>
      <c r="G71" s="1355">
        <f t="shared" si="11"/>
        <v>2.5380385355399993E-3</v>
      </c>
      <c r="H71" s="1355">
        <f t="shared" si="12"/>
        <v>1.090414493545824</v>
      </c>
      <c r="J71">
        <f t="shared" si="13"/>
        <v>0.24058786059674056</v>
      </c>
      <c r="K71">
        <f t="shared" si="14"/>
        <v>2.5380385355399993E-3</v>
      </c>
      <c r="L71">
        <f t="shared" si="15"/>
        <v>1.001455225834909</v>
      </c>
      <c r="N71">
        <f t="shared" si="16"/>
        <v>0.62195348180068089</v>
      </c>
      <c r="O71">
        <f t="shared" si="16"/>
        <v>0.15769474055900859</v>
      </c>
      <c r="P71">
        <f t="shared" si="16"/>
        <v>1.0004848401703217</v>
      </c>
      <c r="R71" s="42">
        <f t="shared" si="17"/>
        <v>2.2925899048449949</v>
      </c>
      <c r="S71" s="42">
        <f t="shared" si="18"/>
        <v>232.12937062083617</v>
      </c>
      <c r="T71" s="42">
        <f t="shared" si="19"/>
        <v>-168.55801992226262</v>
      </c>
    </row>
    <row r="72" spans="1:20">
      <c r="A72">
        <v>428</v>
      </c>
      <c r="B72" s="1355">
        <v>0.25877729999999999</v>
      </c>
      <c r="C72" s="1355">
        <v>9.7676800000000008E-3</v>
      </c>
      <c r="D72" s="1355">
        <v>1.2581233000000001</v>
      </c>
      <c r="F72" s="1355">
        <f t="shared" si="10"/>
        <v>0.241621481055456</v>
      </c>
      <c r="G72" s="1355">
        <f t="shared" si="11"/>
        <v>3.0345845887800008E-3</v>
      </c>
      <c r="H72" s="1355">
        <f t="shared" si="12"/>
        <v>1.1542985603005163</v>
      </c>
      <c r="J72">
        <f t="shared" si="13"/>
        <v>0.25421263275585343</v>
      </c>
      <c r="K72">
        <f t="shared" si="14"/>
        <v>3.0345845887800008E-3</v>
      </c>
      <c r="L72">
        <f t="shared" si="15"/>
        <v>1.0601274398211991</v>
      </c>
      <c r="N72">
        <f t="shared" si="16"/>
        <v>0.63347922414430291</v>
      </c>
      <c r="O72">
        <f t="shared" si="16"/>
        <v>0.16156134467558847</v>
      </c>
      <c r="P72">
        <f t="shared" si="16"/>
        <v>1.0196536821922664</v>
      </c>
      <c r="R72" s="42">
        <f t="shared" si="17"/>
        <v>2.7411159823682638</v>
      </c>
      <c r="S72" s="42">
        <f t="shared" si="18"/>
        <v>235.95893973435722</v>
      </c>
      <c r="T72" s="42">
        <f t="shared" si="19"/>
        <v>-171.61846750333558</v>
      </c>
    </row>
    <row r="73" spans="1:20">
      <c r="A73">
        <v>429</v>
      </c>
      <c r="B73" s="1355">
        <v>0.27180789999999999</v>
      </c>
      <c r="C73" s="1355">
        <v>1.0664430000000001E-2</v>
      </c>
      <c r="D73" s="1355">
        <v>1.3239296</v>
      </c>
      <c r="F73" s="1355">
        <f t="shared" si="10"/>
        <v>0.25375679972071091</v>
      </c>
      <c r="G73" s="1355">
        <f t="shared" si="11"/>
        <v>3.59142123865E-3</v>
      </c>
      <c r="H73" s="1355">
        <f t="shared" si="12"/>
        <v>1.214678704894361</v>
      </c>
      <c r="J73">
        <f t="shared" si="13"/>
        <v>0.26698033575042968</v>
      </c>
      <c r="K73">
        <f t="shared" si="14"/>
        <v>3.59142123865E-3</v>
      </c>
      <c r="L73">
        <f t="shared" si="15"/>
        <v>1.1155815920707191</v>
      </c>
      <c r="N73">
        <f t="shared" si="16"/>
        <v>0.643911860993019</v>
      </c>
      <c r="O73">
        <f t="shared" si="16"/>
        <v>0.16589743166812618</v>
      </c>
      <c r="P73">
        <f t="shared" si="16"/>
        <v>1.0371313922199139</v>
      </c>
      <c r="R73" s="42">
        <f t="shared" si="17"/>
        <v>3.2441020735026349</v>
      </c>
      <c r="S73" s="42">
        <f t="shared" si="18"/>
        <v>239.00721466244639</v>
      </c>
      <c r="T73" s="42">
        <f t="shared" si="19"/>
        <v>-174.24679211035755</v>
      </c>
    </row>
    <row r="74" spans="1:20">
      <c r="A74">
        <v>430</v>
      </c>
      <c r="B74" s="1355">
        <v>0.28389999999999999</v>
      </c>
      <c r="C74" s="1355">
        <v>1.1599999999999999E-2</v>
      </c>
      <c r="D74" s="1355">
        <v>1.3855999999999999</v>
      </c>
      <c r="F74" s="1355">
        <f t="shared" si="10"/>
        <v>0.26501034600000001</v>
      </c>
      <c r="G74" s="1355">
        <f t="shared" si="11"/>
        <v>4.2114044000000003E-3</v>
      </c>
      <c r="H74" s="1355">
        <f t="shared" si="12"/>
        <v>1.2712650515100001</v>
      </c>
      <c r="J74">
        <f t="shared" si="13"/>
        <v>0.27882031626458487</v>
      </c>
      <c r="K74">
        <f t="shared" si="14"/>
        <v>4.2114044000000003E-3</v>
      </c>
      <c r="L74">
        <f t="shared" si="15"/>
        <v>1.1675514557001554</v>
      </c>
      <c r="N74">
        <f t="shared" si="16"/>
        <v>0.65329320115209544</v>
      </c>
      <c r="O74">
        <f t="shared" si="16"/>
        <v>0.17072524054555863</v>
      </c>
      <c r="P74">
        <f t="shared" si="16"/>
        <v>1.0529926583477967</v>
      </c>
      <c r="R74" s="42">
        <f t="shared" si="17"/>
        <v>3.804127903284801</v>
      </c>
      <c r="S74" s="42">
        <f t="shared" si="18"/>
        <v>241.28398030326841</v>
      </c>
      <c r="T74" s="42">
        <f t="shared" si="19"/>
        <v>-176.45348356044761</v>
      </c>
    </row>
    <row r="75" spans="1:20" s="1368" customFormat="1">
      <c r="A75" s="1368">
        <v>431</v>
      </c>
      <c r="B75" s="1369">
        <v>0.29494379999999998</v>
      </c>
      <c r="C75" s="1369">
        <v>1.257317E-2</v>
      </c>
      <c r="D75" s="1369">
        <v>1.4426352</v>
      </c>
      <c r="F75" s="1369">
        <f t="shared" si="10"/>
        <v>0.27527917716124894</v>
      </c>
      <c r="G75" s="1369">
        <f t="shared" si="11"/>
        <v>4.8961154549500008E-3</v>
      </c>
      <c r="H75" s="1369">
        <f t="shared" si="12"/>
        <v>1.3235995474205291</v>
      </c>
      <c r="J75" s="1368">
        <f t="shared" si="13"/>
        <v>0.28962426711127015</v>
      </c>
      <c r="K75" s="1368">
        <f t="shared" si="14"/>
        <v>4.8961154549500008E-3</v>
      </c>
      <c r="L75" s="1368">
        <f t="shared" si="15"/>
        <v>1.2156163472906967</v>
      </c>
      <c r="N75" s="1368">
        <f t="shared" si="16"/>
        <v>0.66162460737077444</v>
      </c>
      <c r="O75" s="1368">
        <f t="shared" si="16"/>
        <v>0.17605708553045427</v>
      </c>
      <c r="P75" s="1368">
        <f t="shared" si="16"/>
        <v>1.0672483955408052</v>
      </c>
      <c r="R75" s="1370">
        <f t="shared" si="17"/>
        <v>4.422621921532695</v>
      </c>
      <c r="S75" s="1370">
        <f t="shared" si="18"/>
        <v>242.78376092016006</v>
      </c>
      <c r="T75" s="1370">
        <f t="shared" si="19"/>
        <v>-178.23826200207017</v>
      </c>
    </row>
    <row r="76" spans="1:20">
      <c r="A76">
        <v>432</v>
      </c>
      <c r="B76" s="1355">
        <v>0.30489650000000001</v>
      </c>
      <c r="C76" s="1355">
        <v>1.358272E-2</v>
      </c>
      <c r="D76" s="1355">
        <v>1.4948035</v>
      </c>
      <c r="F76" s="1355">
        <f t="shared" si="10"/>
        <v>0.28452360212702404</v>
      </c>
      <c r="G76" s="1355">
        <f t="shared" si="11"/>
        <v>5.6455233288999988E-3</v>
      </c>
      <c r="H76" s="1355">
        <f t="shared" si="12"/>
        <v>1.3714695999309838</v>
      </c>
      <c r="J76">
        <f t="shared" si="13"/>
        <v>0.29935042886890068</v>
      </c>
      <c r="K76">
        <f t="shared" si="14"/>
        <v>5.6455233288999988E-3</v>
      </c>
      <c r="L76">
        <f t="shared" si="15"/>
        <v>1.2595810180937188</v>
      </c>
      <c r="N76">
        <f t="shared" si="16"/>
        <v>0.66894944058919947</v>
      </c>
      <c r="O76">
        <f t="shared" si="16"/>
        <v>0.18189272464490291</v>
      </c>
      <c r="P76">
        <f t="shared" si="16"/>
        <v>1.079962566744892</v>
      </c>
      <c r="R76" s="42">
        <f t="shared" si="17"/>
        <v>5.0995560588087372</v>
      </c>
      <c r="S76" s="42">
        <f t="shared" si="18"/>
        <v>243.52835797214829</v>
      </c>
      <c r="T76" s="42">
        <f t="shared" si="19"/>
        <v>-179.6139684199978</v>
      </c>
    </row>
    <row r="77" spans="1:20">
      <c r="A77">
        <v>433</v>
      </c>
      <c r="B77" s="1355">
        <v>0.31378729999999999</v>
      </c>
      <c r="C77" s="1355">
        <v>1.4629680000000001E-2</v>
      </c>
      <c r="D77" s="1355">
        <v>1.5421902999999999</v>
      </c>
      <c r="F77" s="1355">
        <f t="shared" si="10"/>
        <v>0.29277154261165594</v>
      </c>
      <c r="G77" s="1355">
        <f t="shared" si="11"/>
        <v>6.4600627773800023E-3</v>
      </c>
      <c r="H77" s="1355">
        <f t="shared" si="12"/>
        <v>1.414953522559216</v>
      </c>
      <c r="J77">
        <f t="shared" si="13"/>
        <v>0.3080281782819615</v>
      </c>
      <c r="K77">
        <f t="shared" si="14"/>
        <v>6.4600627773800023E-3</v>
      </c>
      <c r="L77">
        <f t="shared" si="15"/>
        <v>1.2995173925766337</v>
      </c>
      <c r="N77">
        <f t="shared" si="16"/>
        <v>0.67535193592984089</v>
      </c>
      <c r="O77">
        <f t="shared" si="16"/>
        <v>0.18823554333021669</v>
      </c>
      <c r="P77">
        <f t="shared" si="16"/>
        <v>1.0912578113946592</v>
      </c>
      <c r="R77" s="42">
        <f t="shared" si="17"/>
        <v>5.8353230263051366</v>
      </c>
      <c r="S77" s="42">
        <f t="shared" si="18"/>
        <v>243.5581962998121</v>
      </c>
      <c r="T77" s="42">
        <f t="shared" si="19"/>
        <v>-180.60445361288848</v>
      </c>
    </row>
    <row r="78" spans="1:20">
      <c r="A78">
        <v>434</v>
      </c>
      <c r="B78" s="1355">
        <v>0.32164540000000003</v>
      </c>
      <c r="C78" s="1355">
        <v>1.5715090000000001E-2</v>
      </c>
      <c r="D78" s="1355">
        <v>1.5848807</v>
      </c>
      <c r="F78" s="1355">
        <f t="shared" si="10"/>
        <v>0.30005092374247305</v>
      </c>
      <c r="G78" s="1355">
        <f t="shared" si="11"/>
        <v>7.3401795903299998E-3</v>
      </c>
      <c r="H78" s="1355">
        <f t="shared" si="12"/>
        <v>1.454129353443703</v>
      </c>
      <c r="J78">
        <f t="shared" si="13"/>
        <v>0.31568689568579023</v>
      </c>
      <c r="K78">
        <f t="shared" si="14"/>
        <v>7.3401795903299998E-3</v>
      </c>
      <c r="L78">
        <f t="shared" si="15"/>
        <v>1.3354971422937494</v>
      </c>
      <c r="N78">
        <f t="shared" si="16"/>
        <v>0.68090342412854643</v>
      </c>
      <c r="O78">
        <f t="shared" si="16"/>
        <v>0.19508901295265832</v>
      </c>
      <c r="P78">
        <f t="shared" si="16"/>
        <v>1.1012374894886801</v>
      </c>
      <c r="R78" s="42">
        <f t="shared" si="17"/>
        <v>6.6303255025083665</v>
      </c>
      <c r="S78" s="42">
        <f t="shared" si="18"/>
        <v>242.90720558794405</v>
      </c>
      <c r="T78" s="42">
        <f t="shared" si="19"/>
        <v>-181.22969530720434</v>
      </c>
    </row>
    <row r="79" spans="1:20">
      <c r="A79">
        <v>435</v>
      </c>
      <c r="B79" s="1355">
        <v>0.32850000000000001</v>
      </c>
      <c r="C79" s="1355">
        <v>1.6840000000000001E-2</v>
      </c>
      <c r="D79" s="1355">
        <v>1.62296</v>
      </c>
      <c r="F79" s="1355">
        <f t="shared" si="10"/>
        <v>0.30638966825200004</v>
      </c>
      <c r="G79" s="1355">
        <f t="shared" si="11"/>
        <v>8.2863291279999998E-3</v>
      </c>
      <c r="H79" s="1355">
        <f t="shared" si="12"/>
        <v>1.4890753144219999</v>
      </c>
      <c r="J79">
        <f t="shared" si="13"/>
        <v>0.32235595889612512</v>
      </c>
      <c r="K79">
        <f t="shared" si="14"/>
        <v>8.2863291279999998E-3</v>
      </c>
      <c r="L79">
        <f t="shared" si="15"/>
        <v>1.3675921075117328</v>
      </c>
      <c r="N79">
        <f t="shared" si="16"/>
        <v>0.68566487305433943</v>
      </c>
      <c r="O79">
        <f t="shared" si="16"/>
        <v>0.20245667940249462</v>
      </c>
      <c r="P79">
        <f t="shared" si="16"/>
        <v>1.1099894778949366</v>
      </c>
      <c r="R79" s="42">
        <f t="shared" si="17"/>
        <v>7.4849748106893763</v>
      </c>
      <c r="S79" s="42">
        <f t="shared" si="18"/>
        <v>241.6040968259224</v>
      </c>
      <c r="T79" s="42">
        <f t="shared" si="19"/>
        <v>-181.50655969848839</v>
      </c>
    </row>
    <row r="80" spans="1:20">
      <c r="A80">
        <v>436</v>
      </c>
      <c r="B80" s="1355">
        <v>0.33435130000000002</v>
      </c>
      <c r="C80" s="1355">
        <v>1.800736E-2</v>
      </c>
      <c r="D80" s="1355">
        <v>1.6564048</v>
      </c>
      <c r="F80" s="1355">
        <f t="shared" si="10"/>
        <v>0.31178822488831198</v>
      </c>
      <c r="G80" s="1355">
        <f t="shared" si="11"/>
        <v>9.3015734412800026E-3</v>
      </c>
      <c r="H80" s="1355">
        <f t="shared" si="12"/>
        <v>1.519769939880562</v>
      </c>
      <c r="J80">
        <f t="shared" si="13"/>
        <v>0.3280358400457794</v>
      </c>
      <c r="K80">
        <f t="shared" si="14"/>
        <v>9.3015734412800026E-3</v>
      </c>
      <c r="L80">
        <f t="shared" si="15"/>
        <v>1.3957825738458365</v>
      </c>
      <c r="N80">
        <f t="shared" si="16"/>
        <v>0.68966856591450132</v>
      </c>
      <c r="O80">
        <f t="shared" si="16"/>
        <v>0.21030623078509039</v>
      </c>
      <c r="P80">
        <f t="shared" si="16"/>
        <v>1.1175644817217065</v>
      </c>
      <c r="R80" s="42">
        <f t="shared" si="17"/>
        <v>8.3955227710704854</v>
      </c>
      <c r="S80" s="42">
        <f t="shared" si="18"/>
        <v>239.68116756470548</v>
      </c>
      <c r="T80" s="42">
        <f t="shared" si="19"/>
        <v>-181.45165018732322</v>
      </c>
    </row>
    <row r="81" spans="1:20">
      <c r="A81">
        <v>437</v>
      </c>
      <c r="B81" s="1355">
        <v>0.33921010000000001</v>
      </c>
      <c r="C81" s="1355">
        <v>1.9214479999999999E-2</v>
      </c>
      <c r="D81" s="1355">
        <v>1.6852959000000001</v>
      </c>
      <c r="F81" s="1355">
        <f t="shared" si="10"/>
        <v>0.31625637122773598</v>
      </c>
      <c r="G81" s="1355">
        <f t="shared" si="11"/>
        <v>1.0382810372099999E-2</v>
      </c>
      <c r="H81" s="1355">
        <f t="shared" si="12"/>
        <v>1.5462873602006162</v>
      </c>
      <c r="J81">
        <f t="shared" si="13"/>
        <v>0.33273682623095518</v>
      </c>
      <c r="K81">
        <f t="shared" si="14"/>
        <v>1.0382810372099999E-2</v>
      </c>
      <c r="L81">
        <f t="shared" si="15"/>
        <v>1.4201366238996136</v>
      </c>
      <c r="N81">
        <f t="shared" si="16"/>
        <v>0.69294743246809143</v>
      </c>
      <c r="O81">
        <f t="shared" si="16"/>
        <v>0.21815824979670731</v>
      </c>
      <c r="P81">
        <f t="shared" si="16"/>
        <v>1.124026911349042</v>
      </c>
      <c r="R81" s="42">
        <f t="shared" si="17"/>
        <v>9.3063569764180478</v>
      </c>
      <c r="S81" s="42">
        <f t="shared" si="18"/>
        <v>237.39459133569207</v>
      </c>
      <c r="T81" s="42">
        <f t="shared" si="19"/>
        <v>-181.17373231046693</v>
      </c>
    </row>
    <row r="82" spans="1:20">
      <c r="A82">
        <v>438</v>
      </c>
      <c r="B82" s="1355">
        <v>0.34312130000000002</v>
      </c>
      <c r="C82" s="1355">
        <v>2.045392E-2</v>
      </c>
      <c r="D82" s="1355">
        <v>1.7098745</v>
      </c>
      <c r="F82" s="1355">
        <f t="shared" si="10"/>
        <v>0.31983583001694399</v>
      </c>
      <c r="G82" s="1355">
        <f t="shared" si="11"/>
        <v>1.1521222144940002E-2</v>
      </c>
      <c r="H82" s="1355">
        <f t="shared" si="12"/>
        <v>1.5688488244587242</v>
      </c>
      <c r="J82">
        <f t="shared" si="13"/>
        <v>0.3365028144149147</v>
      </c>
      <c r="K82">
        <f t="shared" si="14"/>
        <v>1.1521222144940002E-2</v>
      </c>
      <c r="L82">
        <f t="shared" si="15"/>
        <v>1.440857456589848</v>
      </c>
      <c r="N82">
        <f t="shared" si="16"/>
        <v>0.69555194111723917</v>
      </c>
      <c r="O82">
        <f t="shared" si="16"/>
        <v>0.22585663333251005</v>
      </c>
      <c r="P82">
        <f t="shared" si="16"/>
        <v>1.129467328390537</v>
      </c>
      <c r="R82" s="42">
        <f t="shared" si="17"/>
        <v>10.199369466571166</v>
      </c>
      <c r="S82" s="42">
        <f t="shared" si="18"/>
        <v>234.84765389236455</v>
      </c>
      <c r="T82" s="42">
        <f t="shared" si="19"/>
        <v>-180.72213901160538</v>
      </c>
    </row>
    <row r="83" spans="1:20">
      <c r="A83">
        <v>439</v>
      </c>
      <c r="B83" s="1355">
        <v>0.34612959999999998</v>
      </c>
      <c r="C83" s="1355">
        <v>2.171824E-2</v>
      </c>
      <c r="D83" s="1355">
        <v>1.7303820999999999</v>
      </c>
      <c r="F83" s="1355">
        <f t="shared" si="10"/>
        <v>0.32256812242840799</v>
      </c>
      <c r="G83" s="1355">
        <f t="shared" si="11"/>
        <v>1.2707992580060001E-2</v>
      </c>
      <c r="H83" s="1355">
        <f t="shared" si="12"/>
        <v>1.587675857891218</v>
      </c>
      <c r="J83">
        <f t="shared" si="13"/>
        <v>0.33937748948247498</v>
      </c>
      <c r="K83">
        <f t="shared" si="14"/>
        <v>1.2707992580060001E-2</v>
      </c>
      <c r="L83">
        <f t="shared" si="15"/>
        <v>1.458148524463156</v>
      </c>
      <c r="N83">
        <f t="shared" si="16"/>
        <v>0.69752698052643891</v>
      </c>
      <c r="O83">
        <f t="shared" si="16"/>
        <v>0.23335958880553739</v>
      </c>
      <c r="P83">
        <f t="shared" si="16"/>
        <v>1.1339674475275503</v>
      </c>
      <c r="R83" s="42">
        <f t="shared" si="17"/>
        <v>11.069712301442337</v>
      </c>
      <c r="S83" s="42">
        <f t="shared" si="18"/>
        <v>232.08369586045075</v>
      </c>
      <c r="T83" s="42">
        <f t="shared" si="19"/>
        <v>-180.12157174440259</v>
      </c>
    </row>
    <row r="84" spans="1:20">
      <c r="A84">
        <v>440</v>
      </c>
      <c r="B84" s="1355">
        <v>0.34827999999999998</v>
      </c>
      <c r="C84" s="1355">
        <v>2.3E-2</v>
      </c>
      <c r="D84" s="1355">
        <v>1.7470600000000001</v>
      </c>
      <c r="F84" s="1355">
        <f t="shared" si="10"/>
        <v>0.32449506909199993</v>
      </c>
      <c r="G84" s="1355">
        <f t="shared" si="11"/>
        <v>1.3934302371999999E-2</v>
      </c>
      <c r="H84" s="1355">
        <f t="shared" si="12"/>
        <v>1.602989801034</v>
      </c>
      <c r="J84">
        <f t="shared" si="13"/>
        <v>0.34140485138089566</v>
      </c>
      <c r="K84">
        <f t="shared" si="14"/>
        <v>1.3934302371999999E-2</v>
      </c>
      <c r="L84">
        <f t="shared" si="15"/>
        <v>1.4722131104341358</v>
      </c>
      <c r="N84">
        <f t="shared" si="16"/>
        <v>0.69891317835641542</v>
      </c>
      <c r="O84">
        <f t="shared" si="16"/>
        <v>0.24063663365874835</v>
      </c>
      <c r="P84">
        <f t="shared" si="16"/>
        <v>1.1376016858248195</v>
      </c>
      <c r="R84" s="42">
        <f t="shared" si="17"/>
        <v>11.913849504414809</v>
      </c>
      <c r="S84" s="42">
        <f t="shared" si="18"/>
        <v>229.13827234883354</v>
      </c>
      <c r="T84" s="42">
        <f t="shared" si="19"/>
        <v>-179.39301043321422</v>
      </c>
    </row>
    <row r="85" spans="1:20">
      <c r="A85">
        <v>441</v>
      </c>
      <c r="B85" s="1355">
        <v>0.34959990000000002</v>
      </c>
      <c r="C85" s="1355">
        <v>2.4294610000000001E-2</v>
      </c>
      <c r="D85" s="1355">
        <v>1.7600446000000001</v>
      </c>
      <c r="F85" s="1355">
        <f t="shared" si="10"/>
        <v>0.32564225680661701</v>
      </c>
      <c r="G85" s="1355">
        <f t="shared" si="11"/>
        <v>1.5194751562349999E-2</v>
      </c>
      <c r="H85" s="1355">
        <f t="shared" si="12"/>
        <v>1.6149157617754071</v>
      </c>
      <c r="J85">
        <f t="shared" si="13"/>
        <v>0.3426118202643082</v>
      </c>
      <c r="K85">
        <f t="shared" si="14"/>
        <v>1.5194751562349999E-2</v>
      </c>
      <c r="L85">
        <f t="shared" si="15"/>
        <v>1.4831661157163258</v>
      </c>
      <c r="N85">
        <f t="shared" si="16"/>
        <v>0.69973583247301374</v>
      </c>
      <c r="O85">
        <f t="shared" si="16"/>
        <v>0.24768395160367301</v>
      </c>
      <c r="P85">
        <f t="shared" si="16"/>
        <v>1.1404159033722636</v>
      </c>
      <c r="R85" s="42">
        <f t="shared" si="17"/>
        <v>12.731338386026071</v>
      </c>
      <c r="S85" s="42">
        <f t="shared" si="18"/>
        <v>226.02594043467036</v>
      </c>
      <c r="T85" s="42">
        <f t="shared" si="19"/>
        <v>-178.5463903537181</v>
      </c>
    </row>
    <row r="86" spans="1:20">
      <c r="A86">
        <v>442</v>
      </c>
      <c r="B86" s="1355">
        <v>0.3501474</v>
      </c>
      <c r="C86" s="1355">
        <v>2.5610239999999999E-2</v>
      </c>
      <c r="D86" s="1355">
        <v>1.7696232999999999</v>
      </c>
      <c r="F86" s="1355">
        <f t="shared" si="10"/>
        <v>0.32606383368936798</v>
      </c>
      <c r="G86" s="1355">
        <f t="shared" si="11"/>
        <v>1.6496077230859996E-2</v>
      </c>
      <c r="H86" s="1355">
        <f t="shared" si="12"/>
        <v>1.623717466677598</v>
      </c>
      <c r="J86">
        <f t="shared" si="13"/>
        <v>0.34305536596564645</v>
      </c>
      <c r="K86">
        <f t="shared" si="14"/>
        <v>1.6496077230859996E-2</v>
      </c>
      <c r="L86">
        <f t="shared" si="15"/>
        <v>1.4912497512720977</v>
      </c>
      <c r="N86">
        <f t="shared" si="16"/>
        <v>0.70003766189586014</v>
      </c>
      <c r="O86">
        <f t="shared" si="16"/>
        <v>0.25456199179152383</v>
      </c>
      <c r="P86">
        <f t="shared" si="16"/>
        <v>1.1424840036951909</v>
      </c>
      <c r="R86" s="42">
        <f t="shared" si="17"/>
        <v>13.529191047816767</v>
      </c>
      <c r="S86" s="42">
        <f t="shared" si="18"/>
        <v>222.73783505216815</v>
      </c>
      <c r="T86" s="42">
        <f t="shared" si="19"/>
        <v>-177.58440238073342</v>
      </c>
    </row>
    <row r="87" spans="1:20">
      <c r="A87">
        <v>443</v>
      </c>
      <c r="B87" s="1355">
        <v>0.35001300000000002</v>
      </c>
      <c r="C87" s="1355">
        <v>2.6958570000000001E-2</v>
      </c>
      <c r="D87" s="1355">
        <v>1.7762636999999999</v>
      </c>
      <c r="F87" s="1355">
        <f t="shared" si="10"/>
        <v>0.32584392006774904</v>
      </c>
      <c r="G87" s="1355">
        <f t="shared" si="11"/>
        <v>1.7847652707209997E-2</v>
      </c>
      <c r="H87" s="1355">
        <f t="shared" si="12"/>
        <v>1.629824002480359</v>
      </c>
      <c r="J87">
        <f t="shared" si="13"/>
        <v>0.34282399241191097</v>
      </c>
      <c r="K87">
        <f t="shared" si="14"/>
        <v>1.7847652707209997E-2</v>
      </c>
      <c r="L87">
        <f t="shared" si="15"/>
        <v>1.4968580976647952</v>
      </c>
      <c r="N87">
        <f t="shared" si="16"/>
        <v>0.69988024646103209</v>
      </c>
      <c r="O87">
        <f t="shared" si="16"/>
        <v>0.26133266793590376</v>
      </c>
      <c r="P87">
        <f t="shared" si="16"/>
        <v>1.1439144437950428</v>
      </c>
      <c r="R87" s="42">
        <f t="shared" si="17"/>
        <v>14.314589480564837</v>
      </c>
      <c r="S87" s="42">
        <f t="shared" si="18"/>
        <v>219.27378926256415</v>
      </c>
      <c r="T87" s="42">
        <f t="shared" si="19"/>
        <v>-176.5163551718278</v>
      </c>
    </row>
    <row r="88" spans="1:20">
      <c r="A88">
        <v>444</v>
      </c>
      <c r="B88" s="1355">
        <v>0.34928700000000001</v>
      </c>
      <c r="C88" s="1355">
        <v>2.8351250000000001E-2</v>
      </c>
      <c r="D88" s="1355">
        <v>1.7804333999999999</v>
      </c>
      <c r="F88" s="1355">
        <f t="shared" si="10"/>
        <v>0.325066438394785</v>
      </c>
      <c r="G88" s="1355">
        <f t="shared" si="11"/>
        <v>1.9258823327470004E-2</v>
      </c>
      <c r="H88" s="1355">
        <f t="shared" si="12"/>
        <v>1.6336644564330849</v>
      </c>
      <c r="J88">
        <f t="shared" si="13"/>
        <v>0.34200599534418236</v>
      </c>
      <c r="K88">
        <f t="shared" si="14"/>
        <v>1.9258823327470004E-2</v>
      </c>
      <c r="L88">
        <f t="shared" si="15"/>
        <v>1.5003852359257965</v>
      </c>
      <c r="N88">
        <f t="shared" si="16"/>
        <v>0.69932315210599427</v>
      </c>
      <c r="O88">
        <f t="shared" si="16"/>
        <v>0.26804636147278482</v>
      </c>
      <c r="P88">
        <f t="shared" si="16"/>
        <v>1.1448122308432311</v>
      </c>
      <c r="R88" s="42">
        <f t="shared" si="17"/>
        <v>15.09337793084304</v>
      </c>
      <c r="S88" s="42">
        <f t="shared" si="18"/>
        <v>215.63839531660471</v>
      </c>
      <c r="T88" s="42">
        <f t="shared" si="19"/>
        <v>-175.35317387408926</v>
      </c>
    </row>
    <row r="89" spans="1:20">
      <c r="A89">
        <v>445</v>
      </c>
      <c r="B89" s="1355">
        <v>0.34805999999999998</v>
      </c>
      <c r="C89" s="1355">
        <v>2.98E-2</v>
      </c>
      <c r="D89" s="1355">
        <v>1.7826</v>
      </c>
      <c r="F89" s="1355">
        <f t="shared" si="10"/>
        <v>0.32381560775599999</v>
      </c>
      <c r="G89" s="1355">
        <f t="shared" si="11"/>
        <v>2.0739001807999997E-2</v>
      </c>
      <c r="H89" s="1355">
        <f t="shared" si="12"/>
        <v>1.6356679151900002</v>
      </c>
      <c r="J89">
        <f t="shared" si="13"/>
        <v>0.34068998259387456</v>
      </c>
      <c r="K89">
        <f t="shared" si="14"/>
        <v>2.0739001807999997E-2</v>
      </c>
      <c r="L89">
        <f t="shared" si="15"/>
        <v>1.5022252465398642</v>
      </c>
      <c r="N89">
        <f t="shared" si="16"/>
        <v>0.6984250185789932</v>
      </c>
      <c r="O89">
        <f t="shared" si="16"/>
        <v>0.27474467456531537</v>
      </c>
      <c r="P89">
        <f t="shared" si="16"/>
        <v>1.1452800231801619</v>
      </c>
      <c r="R89" s="42">
        <f t="shared" si="17"/>
        <v>15.870382249576583</v>
      </c>
      <c r="S89" s="42">
        <f t="shared" si="18"/>
        <v>211.84017200683891</v>
      </c>
      <c r="T89" s="42">
        <f t="shared" si="19"/>
        <v>-174.1070697229693</v>
      </c>
    </row>
    <row r="90" spans="1:20">
      <c r="A90">
        <v>446</v>
      </c>
      <c r="B90" s="1355">
        <v>0.3463733</v>
      </c>
      <c r="C90" s="1355">
        <v>3.1310829999999998E-2</v>
      </c>
      <c r="D90" s="1355">
        <v>1.7829682</v>
      </c>
      <c r="F90" s="1355">
        <f t="shared" si="10"/>
        <v>0.32212991284247094</v>
      </c>
      <c r="G90" s="1355">
        <f t="shared" si="11"/>
        <v>2.2293181541650001E-2</v>
      </c>
      <c r="H90" s="1355">
        <f t="shared" si="12"/>
        <v>1.6360222189818812</v>
      </c>
      <c r="J90">
        <f t="shared" si="13"/>
        <v>0.3389164443301429</v>
      </c>
      <c r="K90">
        <f t="shared" si="14"/>
        <v>2.2293181541650001E-2</v>
      </c>
      <c r="L90">
        <f t="shared" si="15"/>
        <v>1.5025506451713135</v>
      </c>
      <c r="N90">
        <f t="shared" si="16"/>
        <v>0.69721097334608151</v>
      </c>
      <c r="O90">
        <f t="shared" si="16"/>
        <v>0.28144315085516164</v>
      </c>
      <c r="P90">
        <f t="shared" si="16"/>
        <v>1.1453627106572741</v>
      </c>
      <c r="R90" s="42">
        <f t="shared" si="17"/>
        <v>16.647405499198747</v>
      </c>
      <c r="S90" s="42">
        <f t="shared" si="18"/>
        <v>207.88391124545993</v>
      </c>
      <c r="T90" s="42">
        <f t="shared" si="19"/>
        <v>-172.7839119604225</v>
      </c>
    </row>
    <row r="91" spans="1:20">
      <c r="A91">
        <v>447</v>
      </c>
      <c r="B91" s="1355">
        <v>0.34426240000000002</v>
      </c>
      <c r="C91" s="1355">
        <v>3.2883679999999998E-2</v>
      </c>
      <c r="D91" s="1355">
        <v>1.7816997999999999</v>
      </c>
      <c r="F91" s="1355">
        <f t="shared" si="10"/>
        <v>0.32004263557001605</v>
      </c>
      <c r="G91" s="1355">
        <f t="shared" si="11"/>
        <v>2.3920388632359998E-2</v>
      </c>
      <c r="H91" s="1355">
        <f t="shared" si="12"/>
        <v>1.634875798684716</v>
      </c>
      <c r="J91">
        <f t="shared" si="13"/>
        <v>0.33672039682474569</v>
      </c>
      <c r="K91">
        <f t="shared" si="14"/>
        <v>2.3920388632359998E-2</v>
      </c>
      <c r="L91">
        <f t="shared" si="15"/>
        <v>1.5014977532624156</v>
      </c>
      <c r="N91">
        <f t="shared" si="16"/>
        <v>0.69570182323213992</v>
      </c>
      <c r="O91">
        <f t="shared" si="16"/>
        <v>0.28813061780405358</v>
      </c>
      <c r="P91">
        <f t="shared" si="16"/>
        <v>1.1450951157008504</v>
      </c>
      <c r="R91" s="42">
        <f t="shared" si="17"/>
        <v>17.423151665270218</v>
      </c>
      <c r="S91" s="42">
        <f t="shared" si="18"/>
        <v>203.78560271404316</v>
      </c>
      <c r="T91" s="42">
        <f t="shared" si="19"/>
        <v>-171.39289957935938</v>
      </c>
    </row>
    <row r="92" spans="1:20">
      <c r="A92">
        <v>448</v>
      </c>
      <c r="B92" s="1355">
        <v>0.34180880000000002</v>
      </c>
      <c r="C92" s="1355">
        <v>3.4521120000000002E-2</v>
      </c>
      <c r="D92" s="1355">
        <v>1.7791982</v>
      </c>
      <c r="F92" s="1355">
        <f t="shared" si="10"/>
        <v>0.31762979326246399</v>
      </c>
      <c r="G92" s="1355">
        <f t="shared" si="11"/>
        <v>2.5621043670600006E-2</v>
      </c>
      <c r="H92" s="1355">
        <f t="shared" si="12"/>
        <v>1.6325987657648442</v>
      </c>
      <c r="J92">
        <f t="shared" si="13"/>
        <v>0.33418181874489883</v>
      </c>
      <c r="K92">
        <f t="shared" si="14"/>
        <v>2.5621043670600006E-2</v>
      </c>
      <c r="L92">
        <f t="shared" si="15"/>
        <v>1.4994064874818329</v>
      </c>
      <c r="N92">
        <f t="shared" si="16"/>
        <v>0.69394908281172285</v>
      </c>
      <c r="O92">
        <f t="shared" si="16"/>
        <v>0.29480325355014619</v>
      </c>
      <c r="P92">
        <f t="shared" si="16"/>
        <v>1.144563244362248</v>
      </c>
      <c r="R92" s="42">
        <f t="shared" si="17"/>
        <v>18.197177411816959</v>
      </c>
      <c r="S92" s="42">
        <f t="shared" si="18"/>
        <v>199.57291463078832</v>
      </c>
      <c r="T92" s="42">
        <f t="shared" si="19"/>
        <v>-169.95199816242038</v>
      </c>
    </row>
    <row r="93" spans="1:20">
      <c r="A93">
        <v>449</v>
      </c>
      <c r="B93" s="1355">
        <v>0.33909410000000001</v>
      </c>
      <c r="C93" s="1355">
        <v>3.6225710000000001E-2</v>
      </c>
      <c r="D93" s="1355">
        <v>1.7758670999999999</v>
      </c>
      <c r="F93" s="1355">
        <f t="shared" si="10"/>
        <v>0.31496749887540698</v>
      </c>
      <c r="G93" s="1355">
        <f t="shared" si="11"/>
        <v>2.7395554975310002E-2</v>
      </c>
      <c r="H93" s="1355">
        <f t="shared" si="12"/>
        <v>1.6295615067116269</v>
      </c>
      <c r="J93">
        <f t="shared" si="13"/>
        <v>0.33138078937305437</v>
      </c>
      <c r="K93">
        <f t="shared" si="14"/>
        <v>2.7395554975310002E-2</v>
      </c>
      <c r="L93">
        <f t="shared" si="15"/>
        <v>1.4966170170840507</v>
      </c>
      <c r="N93">
        <f t="shared" si="16"/>
        <v>0.69200480395626895</v>
      </c>
      <c r="O93">
        <f t="shared" si="16"/>
        <v>0.30145792182959075</v>
      </c>
      <c r="P93">
        <f t="shared" si="16"/>
        <v>1.1438530284064923</v>
      </c>
      <c r="R93" s="42">
        <f t="shared" si="17"/>
        <v>18.969118932232526</v>
      </c>
      <c r="S93" s="42">
        <f t="shared" si="18"/>
        <v>195.27344106333911</v>
      </c>
      <c r="T93" s="42">
        <f t="shared" si="19"/>
        <v>-168.47902131538029</v>
      </c>
    </row>
    <row r="94" spans="1:20">
      <c r="A94">
        <v>450</v>
      </c>
      <c r="B94" s="1355">
        <v>0.3362</v>
      </c>
      <c r="C94" s="1355">
        <v>3.7999999999999999E-2</v>
      </c>
      <c r="D94" s="1355">
        <v>1.7721100000000001</v>
      </c>
      <c r="F94" s="1355">
        <f t="shared" si="10"/>
        <v>0.31213196680400002</v>
      </c>
      <c r="G94" s="1355">
        <f t="shared" si="11"/>
        <v>2.9244320058000001E-2</v>
      </c>
      <c r="H94" s="1355">
        <f t="shared" si="12"/>
        <v>1.6261342239590002</v>
      </c>
      <c r="J94">
        <f t="shared" si="13"/>
        <v>0.32839749471735036</v>
      </c>
      <c r="K94">
        <f t="shared" si="14"/>
        <v>2.9244320058000001E-2</v>
      </c>
      <c r="L94">
        <f t="shared" si="15"/>
        <v>1.4934693422839196</v>
      </c>
      <c r="N94">
        <f t="shared" si="16"/>
        <v>0.68992192263456631</v>
      </c>
      <c r="O94">
        <f t="shared" si="16"/>
        <v>0.30809206241169512</v>
      </c>
      <c r="P94">
        <f t="shared" si="16"/>
        <v>1.1430505509007867</v>
      </c>
      <c r="R94" s="42">
        <f t="shared" si="17"/>
        <v>19.738679239756635</v>
      </c>
      <c r="S94" s="42">
        <f t="shared" si="18"/>
        <v>190.91493011143558</v>
      </c>
      <c r="T94" s="42">
        <f t="shared" si="19"/>
        <v>-166.9916976978183</v>
      </c>
    </row>
    <row r="95" spans="1:20">
      <c r="A95">
        <v>451</v>
      </c>
      <c r="B95" s="1355">
        <v>0.33319769999999999</v>
      </c>
      <c r="C95" s="1355">
        <v>3.9846670000000001E-2</v>
      </c>
      <c r="D95" s="1355">
        <v>1.7682589</v>
      </c>
      <c r="F95" s="1355">
        <f t="shared" si="10"/>
        <v>0.30918984132711896</v>
      </c>
      <c r="G95" s="1355">
        <f t="shared" si="11"/>
        <v>3.1168207721430002E-2</v>
      </c>
      <c r="H95" s="1355">
        <f t="shared" si="12"/>
        <v>1.6226215100193591</v>
      </c>
      <c r="J95">
        <f t="shared" si="13"/>
        <v>0.32530205196073414</v>
      </c>
      <c r="K95">
        <f t="shared" si="14"/>
        <v>3.1168207721430002E-2</v>
      </c>
      <c r="L95">
        <f t="shared" si="15"/>
        <v>1.4902432060279007</v>
      </c>
      <c r="N95">
        <f t="shared" si="16"/>
        <v>0.68774736360994559</v>
      </c>
      <c r="O95">
        <f t="shared" si="16"/>
        <v>0.31470521753476921</v>
      </c>
      <c r="P95">
        <f t="shared" si="16"/>
        <v>1.1422268992842628</v>
      </c>
      <c r="R95" s="42">
        <f t="shared" si="17"/>
        <v>20.505805234033225</v>
      </c>
      <c r="S95" s="42">
        <f t="shared" si="18"/>
        <v>186.5210730375882</v>
      </c>
      <c r="T95" s="42">
        <f t="shared" si="19"/>
        <v>-165.50433634989872</v>
      </c>
    </row>
    <row r="96" spans="1:20">
      <c r="A96">
        <v>452</v>
      </c>
      <c r="B96" s="1355">
        <v>0.33004109999999998</v>
      </c>
      <c r="C96" s="1355">
        <v>4.1768E-2</v>
      </c>
      <c r="D96" s="1355">
        <v>1.7640389999999999</v>
      </c>
      <c r="F96" s="1355">
        <f t="shared" si="10"/>
        <v>0.30609863843356</v>
      </c>
      <c r="G96" s="1355">
        <f t="shared" si="11"/>
        <v>3.3170908503879999E-2</v>
      </c>
      <c r="H96" s="1355">
        <f t="shared" si="12"/>
        <v>1.6187712350888501</v>
      </c>
      <c r="J96">
        <f t="shared" si="13"/>
        <v>0.32204976320510903</v>
      </c>
      <c r="K96">
        <f t="shared" si="14"/>
        <v>3.3170908503879999E-2</v>
      </c>
      <c r="L96">
        <f t="shared" si="15"/>
        <v>1.4867070480137856</v>
      </c>
      <c r="N96">
        <f t="shared" si="16"/>
        <v>0.6854477071821502</v>
      </c>
      <c r="O96">
        <f t="shared" si="16"/>
        <v>0.32130621202142967</v>
      </c>
      <c r="P96">
        <f t="shared" si="16"/>
        <v>1.1413227305868709</v>
      </c>
      <c r="R96" s="42">
        <f t="shared" si="17"/>
        <v>21.271520594485843</v>
      </c>
      <c r="S96" s="42">
        <f t="shared" si="18"/>
        <v>182.07074758036026</v>
      </c>
      <c r="T96" s="42">
        <f t="shared" si="19"/>
        <v>-164.00330371308826</v>
      </c>
    </row>
    <row r="97" spans="1:20">
      <c r="A97">
        <v>453</v>
      </c>
      <c r="B97" s="1355">
        <v>0.32663569999999997</v>
      </c>
      <c r="C97" s="1355">
        <v>4.3765999999999999E-2</v>
      </c>
      <c r="D97" s="1355">
        <v>1.7589437999999999</v>
      </c>
      <c r="F97" s="1355">
        <f t="shared" si="10"/>
        <v>0.30277062971823998</v>
      </c>
      <c r="G97" s="1355">
        <f t="shared" si="11"/>
        <v>3.5257115963000005E-2</v>
      </c>
      <c r="H97" s="1355">
        <f t="shared" si="12"/>
        <v>1.61411870305547</v>
      </c>
      <c r="J97">
        <f t="shared" si="13"/>
        <v>0.31854832842513703</v>
      </c>
      <c r="K97">
        <f t="shared" si="14"/>
        <v>3.5257115963000005E-2</v>
      </c>
      <c r="L97">
        <f t="shared" si="15"/>
        <v>1.4824340834248413</v>
      </c>
      <c r="N97">
        <f t="shared" si="16"/>
        <v>0.68295450924174128</v>
      </c>
      <c r="O97">
        <f t="shared" si="16"/>
        <v>0.32790567125314002</v>
      </c>
      <c r="P97">
        <f t="shared" si="16"/>
        <v>1.1402282510608186</v>
      </c>
      <c r="R97" s="42">
        <f t="shared" si="17"/>
        <v>22.03705786536424</v>
      </c>
      <c r="S97" s="42">
        <f t="shared" si="18"/>
        <v>177.52441899430062</v>
      </c>
      <c r="T97" s="42">
        <f t="shared" si="19"/>
        <v>-162.46451596153571</v>
      </c>
    </row>
    <row r="98" spans="1:20">
      <c r="A98">
        <v>454</v>
      </c>
      <c r="B98" s="1355">
        <v>0.32288679999999997</v>
      </c>
      <c r="C98" s="1355">
        <v>4.5842670000000002E-2</v>
      </c>
      <c r="D98" s="1355">
        <v>1.7524663</v>
      </c>
      <c r="F98" s="1355">
        <f t="shared" si="10"/>
        <v>0.29911789456603899</v>
      </c>
      <c r="G98" s="1355">
        <f t="shared" si="11"/>
        <v>3.7431517438830005E-2</v>
      </c>
      <c r="H98" s="1355">
        <f t="shared" si="12"/>
        <v>1.6081987593737692</v>
      </c>
      <c r="J98">
        <f t="shared" si="13"/>
        <v>0.31470524536917416</v>
      </c>
      <c r="K98">
        <f t="shared" si="14"/>
        <v>3.7431517438830005E-2</v>
      </c>
      <c r="L98">
        <f t="shared" si="15"/>
        <v>1.4769971064112573</v>
      </c>
      <c r="N98">
        <f t="shared" si="16"/>
        <v>0.68019691915811875</v>
      </c>
      <c r="O98">
        <f t="shared" si="16"/>
        <v>0.3345125976260141</v>
      </c>
      <c r="P98">
        <f t="shared" si="16"/>
        <v>1.138832575909539</v>
      </c>
      <c r="R98" s="42">
        <f t="shared" si="17"/>
        <v>22.803461324617636</v>
      </c>
      <c r="S98" s="42">
        <f t="shared" si="18"/>
        <v>172.84216076605233</v>
      </c>
      <c r="T98" s="42">
        <f t="shared" si="19"/>
        <v>-160.86399565670496</v>
      </c>
    </row>
    <row r="99" spans="1:20">
      <c r="A99">
        <v>455</v>
      </c>
      <c r="B99" s="1355">
        <v>0.31869999999999998</v>
      </c>
      <c r="C99" s="1355">
        <v>4.8000000000000001E-2</v>
      </c>
      <c r="D99" s="1355">
        <v>1.7441</v>
      </c>
      <c r="F99" s="1355">
        <f t="shared" si="10"/>
        <v>0.29505280375999998</v>
      </c>
      <c r="G99" s="1355">
        <f t="shared" si="11"/>
        <v>3.9698784940000002E-2</v>
      </c>
      <c r="H99" s="1355">
        <f t="shared" si="12"/>
        <v>1.6005467074399999</v>
      </c>
      <c r="J99">
        <f t="shared" si="13"/>
        <v>0.31042831836880697</v>
      </c>
      <c r="K99">
        <f t="shared" si="14"/>
        <v>3.9698784940000002E-2</v>
      </c>
      <c r="L99">
        <f t="shared" si="15"/>
        <v>1.4699693317046738</v>
      </c>
      <c r="N99">
        <f t="shared" si="16"/>
        <v>0.67710150237268663</v>
      </c>
      <c r="O99">
        <f t="shared" si="16"/>
        <v>0.34113457461006713</v>
      </c>
      <c r="P99">
        <f t="shared" si="16"/>
        <v>1.1370234578716136</v>
      </c>
      <c r="R99" s="42">
        <f t="shared" si="17"/>
        <v>23.571610654767788</v>
      </c>
      <c r="S99" s="42">
        <f t="shared" si="18"/>
        <v>167.98346388130975</v>
      </c>
      <c r="T99" s="42">
        <f t="shared" si="19"/>
        <v>-159.17777665230929</v>
      </c>
    </row>
    <row r="100" spans="1:20">
      <c r="A100">
        <v>456</v>
      </c>
      <c r="B100" s="1355">
        <v>0.3140251</v>
      </c>
      <c r="C100" s="1355">
        <v>5.0243679999999999E-2</v>
      </c>
      <c r="D100" s="1355">
        <v>1.7335594999999999</v>
      </c>
      <c r="F100" s="1355">
        <f t="shared" si="10"/>
        <v>0.29052891113521595</v>
      </c>
      <c r="G100" s="1355">
        <f t="shared" si="11"/>
        <v>4.2066153944580006E-2</v>
      </c>
      <c r="H100" s="1355">
        <f t="shared" si="12"/>
        <v>1.5909007226821961</v>
      </c>
      <c r="J100">
        <f t="shared" si="13"/>
        <v>0.30566868090020299</v>
      </c>
      <c r="K100">
        <f t="shared" si="14"/>
        <v>4.2066153944580006E-2</v>
      </c>
      <c r="L100">
        <f t="shared" si="15"/>
        <v>1.4611102951628776</v>
      </c>
      <c r="N100">
        <f t="shared" si="16"/>
        <v>0.67362311439394851</v>
      </c>
      <c r="O100">
        <f t="shared" si="16"/>
        <v>0.34778507103396489</v>
      </c>
      <c r="P100">
        <f t="shared" si="16"/>
        <v>1.1347346945121672</v>
      </c>
      <c r="R100" s="42">
        <f t="shared" si="17"/>
        <v>24.343068239939925</v>
      </c>
      <c r="S100" s="42">
        <f t="shared" si="18"/>
        <v>162.9190216799918</v>
      </c>
      <c r="T100" s="42">
        <f t="shared" si="19"/>
        <v>-157.38992469564045</v>
      </c>
    </row>
    <row r="101" spans="1:20">
      <c r="A101">
        <v>457</v>
      </c>
      <c r="B101" s="1355">
        <v>0.30888399999999999</v>
      </c>
      <c r="C101" s="1355">
        <v>5.2573040000000001E-2</v>
      </c>
      <c r="D101" s="1355">
        <v>1.7208581000000001</v>
      </c>
      <c r="F101" s="1355">
        <f t="shared" si="10"/>
        <v>0.28556775780940802</v>
      </c>
      <c r="G101" s="1355">
        <f t="shared" si="11"/>
        <v>4.4532634129580001E-2</v>
      </c>
      <c r="H101" s="1355">
        <f t="shared" si="12"/>
        <v>1.5792729340107783</v>
      </c>
      <c r="J101">
        <f t="shared" si="13"/>
        <v>0.30044899661157953</v>
      </c>
      <c r="K101">
        <f t="shared" si="14"/>
        <v>4.4532634129580001E-2</v>
      </c>
      <c r="L101">
        <f t="shared" si="15"/>
        <v>1.45043113618359</v>
      </c>
      <c r="N101">
        <f t="shared" si="16"/>
        <v>0.66976675374812722</v>
      </c>
      <c r="O101">
        <f t="shared" si="16"/>
        <v>0.35445365707910553</v>
      </c>
      <c r="P101">
        <f t="shared" si="16"/>
        <v>1.1319633646177205</v>
      </c>
      <c r="R101" s="42">
        <f t="shared" si="17"/>
        <v>25.116624221176245</v>
      </c>
      <c r="S101" s="42">
        <f t="shared" si="18"/>
        <v>157.65654833451083</v>
      </c>
      <c r="T101" s="42">
        <f t="shared" si="19"/>
        <v>-155.50194150772302</v>
      </c>
    </row>
    <row r="102" spans="1:20">
      <c r="A102">
        <v>458</v>
      </c>
      <c r="B102" s="1355">
        <v>0.30329040000000002</v>
      </c>
      <c r="C102" s="1355">
        <v>5.4980559999999998E-2</v>
      </c>
      <c r="D102" s="1355">
        <v>1.7059369</v>
      </c>
      <c r="F102" s="1355">
        <f t="shared" si="10"/>
        <v>0.28018365097915204</v>
      </c>
      <c r="G102" s="1355">
        <f t="shared" si="11"/>
        <v>4.7090591206140002E-2</v>
      </c>
      <c r="H102" s="1355">
        <f t="shared" si="12"/>
        <v>1.565609162256242</v>
      </c>
      <c r="J102">
        <f t="shared" si="13"/>
        <v>0.29478431826270374</v>
      </c>
      <c r="K102">
        <f t="shared" si="14"/>
        <v>4.7090591206140002E-2</v>
      </c>
      <c r="L102">
        <f t="shared" si="15"/>
        <v>1.4378820956956018</v>
      </c>
      <c r="N102">
        <f t="shared" si="16"/>
        <v>0.66553074877655682</v>
      </c>
      <c r="O102">
        <f t="shared" si="16"/>
        <v>0.3611143229669217</v>
      </c>
      <c r="P102">
        <f t="shared" si="16"/>
        <v>1.1286893451720472</v>
      </c>
      <c r="R102" s="42">
        <f t="shared" si="17"/>
        <v>25.889261464162914</v>
      </c>
      <c r="S102" s="42">
        <f t="shared" si="18"/>
        <v>152.20821290481757</v>
      </c>
      <c r="T102" s="42">
        <f t="shared" si="19"/>
        <v>-153.5150044410251</v>
      </c>
    </row>
    <row r="103" spans="1:20">
      <c r="A103">
        <v>459</v>
      </c>
      <c r="B103" s="1355">
        <v>0.29725790000000002</v>
      </c>
      <c r="C103" s="1355">
        <v>5.7458719999999998E-2</v>
      </c>
      <c r="D103" s="1355">
        <v>1.6887372</v>
      </c>
      <c r="F103" s="1355">
        <f t="shared" si="10"/>
        <v>0.27439079647314396</v>
      </c>
      <c r="G103" s="1355">
        <f t="shared" si="11"/>
        <v>4.973239153688E-2</v>
      </c>
      <c r="H103" s="1355">
        <f t="shared" si="12"/>
        <v>1.549855412236814</v>
      </c>
      <c r="J103">
        <f t="shared" si="13"/>
        <v>0.28868959196307503</v>
      </c>
      <c r="K103">
        <f t="shared" si="14"/>
        <v>4.973239153688E-2</v>
      </c>
      <c r="L103">
        <f t="shared" si="15"/>
        <v>1.4234135836051671</v>
      </c>
      <c r="N103">
        <f t="shared" si="16"/>
        <v>0.66091210893609142</v>
      </c>
      <c r="O103">
        <f t="shared" si="16"/>
        <v>0.36774472178536621</v>
      </c>
      <c r="P103">
        <f t="shared" si="16"/>
        <v>1.124890809775938</v>
      </c>
      <c r="R103" s="42">
        <f t="shared" si="17"/>
        <v>26.658387727102479</v>
      </c>
      <c r="S103" s="42">
        <f t="shared" si="18"/>
        <v>146.58369357536262</v>
      </c>
      <c r="T103" s="42">
        <f t="shared" si="19"/>
        <v>-151.42921759811435</v>
      </c>
    </row>
    <row r="104" spans="1:20">
      <c r="A104">
        <v>460</v>
      </c>
      <c r="B104" s="1355">
        <v>0.2908</v>
      </c>
      <c r="C104" s="1355">
        <v>0.06</v>
      </c>
      <c r="D104" s="1355">
        <v>1.6692</v>
      </c>
      <c r="F104" s="1355">
        <f t="shared" si="10"/>
        <v>0.26820330455999997</v>
      </c>
      <c r="G104" s="1355">
        <f t="shared" si="11"/>
        <v>5.2450403600000008E-2</v>
      </c>
      <c r="H104" s="1355">
        <f t="shared" si="12"/>
        <v>1.53195741368</v>
      </c>
      <c r="J104">
        <f t="shared" si="13"/>
        <v>0.28217966328237604</v>
      </c>
      <c r="K104">
        <f t="shared" si="14"/>
        <v>5.2450403600000008E-2</v>
      </c>
      <c r="L104">
        <f t="shared" si="15"/>
        <v>1.406975757170541</v>
      </c>
      <c r="N104">
        <f t="shared" si="16"/>
        <v>0.65590645298955674</v>
      </c>
      <c r="O104">
        <f t="shared" si="16"/>
        <v>0.37432567074772843</v>
      </c>
      <c r="P104">
        <f t="shared" si="16"/>
        <v>1.120543888996185</v>
      </c>
      <c r="R104" s="42">
        <f t="shared" si="17"/>
        <v>27.4217778067365</v>
      </c>
      <c r="S104" s="42">
        <f t="shared" si="18"/>
        <v>140.79039112091417</v>
      </c>
      <c r="T104" s="42">
        <f t="shared" si="19"/>
        <v>-149.24364364969131</v>
      </c>
    </row>
    <row r="105" spans="1:20">
      <c r="A105">
        <v>461</v>
      </c>
      <c r="B105" s="1355">
        <v>0.2839701</v>
      </c>
      <c r="C105" s="1355">
        <v>6.2601970000000007E-2</v>
      </c>
      <c r="D105" s="1355">
        <v>1.6475287000000001</v>
      </c>
      <c r="F105" s="1355">
        <f t="shared" si="10"/>
        <v>0.26167171994748895</v>
      </c>
      <c r="G105" s="1355">
        <f t="shared" si="11"/>
        <v>5.5240903281690013E-2</v>
      </c>
      <c r="H105" s="1355">
        <f t="shared" si="12"/>
        <v>1.512101712957989</v>
      </c>
      <c r="J105">
        <f t="shared" si="13"/>
        <v>0.27530771086671746</v>
      </c>
      <c r="K105">
        <f t="shared" si="14"/>
        <v>5.5240903281690013E-2</v>
      </c>
      <c r="L105">
        <f t="shared" si="15"/>
        <v>1.3887399437542951</v>
      </c>
      <c r="N105">
        <f t="shared" si="16"/>
        <v>0.65053818217966408</v>
      </c>
      <c r="O105">
        <f t="shared" si="16"/>
        <v>0.3808496760065711</v>
      </c>
      <c r="P105">
        <f t="shared" si="16"/>
        <v>1.1156816985321478</v>
      </c>
      <c r="R105" s="42">
        <f t="shared" si="17"/>
        <v>28.178562416762247</v>
      </c>
      <c r="S105" s="42">
        <f t="shared" si="18"/>
        <v>134.8442530865465</v>
      </c>
      <c r="T105" s="42">
        <f t="shared" si="19"/>
        <v>-146.96640450511532</v>
      </c>
    </row>
    <row r="106" spans="1:20">
      <c r="A106">
        <v>462</v>
      </c>
      <c r="B106" s="1355">
        <v>0.27672140000000001</v>
      </c>
      <c r="C106" s="1355">
        <v>6.5277520000000006E-2</v>
      </c>
      <c r="D106" s="1355">
        <v>1.6234127</v>
      </c>
      <c r="F106" s="1355">
        <f t="shared" si="10"/>
        <v>0.25475320509390398</v>
      </c>
      <c r="G106" s="1355">
        <f t="shared" si="11"/>
        <v>5.811847007258001E-2</v>
      </c>
      <c r="H106" s="1355">
        <f t="shared" si="12"/>
        <v>1.4900033845708742</v>
      </c>
      <c r="J106">
        <f t="shared" si="13"/>
        <v>0.2680286648646501</v>
      </c>
      <c r="K106">
        <f t="shared" si="14"/>
        <v>5.811847007258001E-2</v>
      </c>
      <c r="L106">
        <f t="shared" si="15"/>
        <v>1.3684444629289001</v>
      </c>
      <c r="N106">
        <f t="shared" si="16"/>
        <v>0.64475355836815706</v>
      </c>
      <c r="O106">
        <f t="shared" si="16"/>
        <v>0.38735103829174927</v>
      </c>
      <c r="P106">
        <f t="shared" si="16"/>
        <v>1.110220031301675</v>
      </c>
      <c r="R106" s="42">
        <f t="shared" si="17"/>
        <v>28.932720441842918</v>
      </c>
      <c r="S106" s="42">
        <f t="shared" si="18"/>
        <v>128.70126003820388</v>
      </c>
      <c r="T106" s="42">
        <f t="shared" si="19"/>
        <v>-144.57379860198515</v>
      </c>
    </row>
    <row r="107" spans="1:20">
      <c r="A107">
        <v>463</v>
      </c>
      <c r="B107" s="1355">
        <v>0.26891779999999998</v>
      </c>
      <c r="C107" s="1355">
        <v>6.8042080000000005E-2</v>
      </c>
      <c r="D107" s="1355">
        <v>1.5960223</v>
      </c>
      <c r="F107" s="1355">
        <f t="shared" si="10"/>
        <v>0.24732248693733599</v>
      </c>
      <c r="G107" s="1355">
        <f t="shared" si="11"/>
        <v>6.1102887851379996E-2</v>
      </c>
      <c r="H107" s="1355">
        <f t="shared" si="12"/>
        <v>1.4649012231875462</v>
      </c>
      <c r="J107">
        <f t="shared" si="13"/>
        <v>0.26021072410211366</v>
      </c>
      <c r="K107">
        <f t="shared" si="14"/>
        <v>6.1102887851379996E-2</v>
      </c>
      <c r="L107">
        <f t="shared" si="15"/>
        <v>1.3453902107652675</v>
      </c>
      <c r="N107">
        <f t="shared" si="16"/>
        <v>0.63842281248872401</v>
      </c>
      <c r="O107">
        <f t="shared" si="16"/>
        <v>0.39387091516140665</v>
      </c>
      <c r="P107">
        <f t="shared" si="16"/>
        <v>1.1039500440044436</v>
      </c>
      <c r="R107" s="42">
        <f t="shared" si="17"/>
        <v>29.689026158723173</v>
      </c>
      <c r="S107" s="42">
        <f t="shared" si="18"/>
        <v>122.27594866365868</v>
      </c>
      <c r="T107" s="42">
        <f t="shared" si="19"/>
        <v>-142.01582576860741</v>
      </c>
    </row>
    <row r="108" spans="1:20">
      <c r="A108">
        <v>464</v>
      </c>
      <c r="B108" s="1355">
        <v>0.26042270000000001</v>
      </c>
      <c r="C108" s="1355">
        <v>7.0911089999999996E-2</v>
      </c>
      <c r="D108" s="1355">
        <v>1.5645279999999999</v>
      </c>
      <c r="F108" s="1355">
        <f t="shared" si="10"/>
        <v>0.23925379479727299</v>
      </c>
      <c r="G108" s="1355">
        <f t="shared" si="11"/>
        <v>6.4213956252709994E-2</v>
      </c>
      <c r="H108" s="1355">
        <f t="shared" si="12"/>
        <v>1.4360342089577229</v>
      </c>
      <c r="J108">
        <f t="shared" si="13"/>
        <v>0.25172156385501171</v>
      </c>
      <c r="K108">
        <f t="shared" si="14"/>
        <v>6.4213956252709994E-2</v>
      </c>
      <c r="L108">
        <f t="shared" si="15"/>
        <v>1.318878253683057</v>
      </c>
      <c r="N108">
        <f t="shared" si="16"/>
        <v>0.63140324138627246</v>
      </c>
      <c r="O108">
        <f t="shared" si="16"/>
        <v>0.40044524639836693</v>
      </c>
      <c r="P108">
        <f t="shared" si="16"/>
        <v>1.0966504869913596</v>
      </c>
      <c r="R108" s="42">
        <f t="shared" si="17"/>
        <v>30.451648582210566</v>
      </c>
      <c r="S108" s="42">
        <f t="shared" si="18"/>
        <v>115.47899749395276</v>
      </c>
      <c r="T108" s="42">
        <f t="shared" si="19"/>
        <v>-139.24104811859851</v>
      </c>
    </row>
    <row r="109" spans="1:20">
      <c r="A109">
        <v>465</v>
      </c>
      <c r="B109" s="1355">
        <v>0.25109999999999999</v>
      </c>
      <c r="C109" s="1355">
        <v>7.3899999999999993E-2</v>
      </c>
      <c r="D109" s="1355">
        <v>1.5281</v>
      </c>
      <c r="F109" s="1355">
        <f t="shared" si="10"/>
        <v>0.23042185662999998</v>
      </c>
      <c r="G109" s="1355">
        <f t="shared" si="11"/>
        <v>6.7471479759999994E-2</v>
      </c>
      <c r="H109" s="1355">
        <f t="shared" si="12"/>
        <v>1.4026410448700002</v>
      </c>
      <c r="J109">
        <f t="shared" si="13"/>
        <v>0.24242938402053718</v>
      </c>
      <c r="K109">
        <f t="shared" si="14"/>
        <v>6.7471479759999994E-2</v>
      </c>
      <c r="L109">
        <f t="shared" si="15"/>
        <v>1.2882094035524372</v>
      </c>
      <c r="N109">
        <f t="shared" si="16"/>
        <v>0.62353631591293146</v>
      </c>
      <c r="O109">
        <f t="shared" si="16"/>
        <v>0.40710528934275725</v>
      </c>
      <c r="P109">
        <f t="shared" si="16"/>
        <v>1.0880833256991784</v>
      </c>
      <c r="R109" s="42">
        <f t="shared" si="17"/>
        <v>31.224213563759839</v>
      </c>
      <c r="S109" s="42">
        <f t="shared" si="18"/>
        <v>108.21551328508711</v>
      </c>
      <c r="T109" s="42">
        <f t="shared" si="19"/>
        <v>-136.19560727128425</v>
      </c>
    </row>
    <row r="110" spans="1:20">
      <c r="A110">
        <v>466</v>
      </c>
      <c r="B110" s="1355">
        <v>0.24084749999999999</v>
      </c>
      <c r="C110" s="1355">
        <v>7.7016000000000001E-2</v>
      </c>
      <c r="D110" s="1355">
        <v>1.4861114</v>
      </c>
      <c r="F110" s="1355">
        <f t="shared" si="10"/>
        <v>0.22073267897035997</v>
      </c>
      <c r="G110" s="1355">
        <f t="shared" si="11"/>
        <v>7.0885860526520003E-2</v>
      </c>
      <c r="H110" s="1355">
        <f t="shared" si="12"/>
        <v>1.3641465512276099</v>
      </c>
      <c r="J110">
        <f t="shared" si="13"/>
        <v>0.23223529303435139</v>
      </c>
      <c r="K110">
        <f t="shared" si="14"/>
        <v>7.0885860526520003E-2</v>
      </c>
      <c r="L110">
        <f t="shared" si="15"/>
        <v>1.2528554055523911</v>
      </c>
      <c r="N110">
        <f t="shared" si="16"/>
        <v>0.61467102332705703</v>
      </c>
      <c r="O110">
        <f t="shared" si="16"/>
        <v>0.41385976355687615</v>
      </c>
      <c r="P110">
        <f t="shared" si="16"/>
        <v>1.0780369592142938</v>
      </c>
      <c r="R110" s="42">
        <f t="shared" si="17"/>
        <v>32.007732572597632</v>
      </c>
      <c r="S110" s="42">
        <f t="shared" si="18"/>
        <v>100.40562988509045</v>
      </c>
      <c r="T110" s="42">
        <f t="shared" si="19"/>
        <v>-132.83543913148353</v>
      </c>
    </row>
    <row r="111" spans="1:20">
      <c r="A111">
        <v>467</v>
      </c>
      <c r="B111" s="1355">
        <v>0.22985120000000001</v>
      </c>
      <c r="C111" s="1355">
        <v>8.0266400000000002E-2</v>
      </c>
      <c r="D111" s="1355">
        <v>1.4395214999999999</v>
      </c>
      <c r="F111" s="1355">
        <f t="shared" si="10"/>
        <v>0.21035928982660002</v>
      </c>
      <c r="G111" s="1355">
        <f t="shared" si="11"/>
        <v>7.4459412486259993E-2</v>
      </c>
      <c r="H111" s="1355">
        <f t="shared" si="12"/>
        <v>1.32143090262023</v>
      </c>
      <c r="J111">
        <f t="shared" si="13"/>
        <v>0.22132133557776679</v>
      </c>
      <c r="K111">
        <f t="shared" si="14"/>
        <v>7.4459412486259993E-2</v>
      </c>
      <c r="L111">
        <f t="shared" si="15"/>
        <v>1.2136246270035085</v>
      </c>
      <c r="N111">
        <f t="shared" si="16"/>
        <v>0.60488724586590836</v>
      </c>
      <c r="O111">
        <f t="shared" si="16"/>
        <v>0.42070066810878803</v>
      </c>
      <c r="P111">
        <f t="shared" si="16"/>
        <v>1.0666652010515314</v>
      </c>
      <c r="R111" s="42">
        <f t="shared" si="17"/>
        <v>32.801277500619413</v>
      </c>
      <c r="S111" s="42">
        <f t="shared" si="18"/>
        <v>92.093288878560159</v>
      </c>
      <c r="T111" s="42">
        <f t="shared" si="19"/>
        <v>-129.19290658854868</v>
      </c>
    </row>
    <row r="112" spans="1:20">
      <c r="A112">
        <v>468</v>
      </c>
      <c r="B112" s="1355">
        <v>0.2184072</v>
      </c>
      <c r="C112" s="1355">
        <v>8.36668E-2</v>
      </c>
      <c r="D112" s="1355">
        <v>1.3898798999999999</v>
      </c>
      <c r="F112" s="1355">
        <f t="shared" si="10"/>
        <v>0.19957684937383999</v>
      </c>
      <c r="G112" s="1355">
        <f t="shared" si="11"/>
        <v>7.8199778270180001E-2</v>
      </c>
      <c r="H112" s="1355">
        <f t="shared" si="12"/>
        <v>1.27591592543507</v>
      </c>
      <c r="J112">
        <f t="shared" si="13"/>
        <v>0.20997701071453068</v>
      </c>
      <c r="K112">
        <f t="shared" si="14"/>
        <v>7.8199778270180001E-2</v>
      </c>
      <c r="L112">
        <f t="shared" si="15"/>
        <v>1.1718228974542124</v>
      </c>
      <c r="N112">
        <f t="shared" si="16"/>
        <v>0.59437050456119533</v>
      </c>
      <c r="O112">
        <f t="shared" si="16"/>
        <v>0.42763033682159934</v>
      </c>
      <c r="P112">
        <f t="shared" si="16"/>
        <v>1.0542752065106156</v>
      </c>
      <c r="R112" s="42">
        <f t="shared" si="17"/>
        <v>33.605119071305523</v>
      </c>
      <c r="S112" s="42">
        <f t="shared" si="18"/>
        <v>83.370083869797995</v>
      </c>
      <c r="T112" s="42">
        <f t="shared" si="19"/>
        <v>-125.32897393780324</v>
      </c>
    </row>
    <row r="113" spans="1:20">
      <c r="A113">
        <v>469</v>
      </c>
      <c r="B113" s="1355">
        <v>0.20681150000000001</v>
      </c>
      <c r="C113" s="1355">
        <v>8.7232799999999999E-2</v>
      </c>
      <c r="D113" s="1355">
        <v>1.3387362</v>
      </c>
      <c r="F113" s="1355">
        <f t="shared" si="10"/>
        <v>0.18866041874243999</v>
      </c>
      <c r="G113" s="1355">
        <f t="shared" si="11"/>
        <v>8.2114601746360011E-2</v>
      </c>
      <c r="H113" s="1355">
        <f t="shared" si="12"/>
        <v>1.2290234464156899</v>
      </c>
      <c r="J113">
        <f t="shared" si="13"/>
        <v>0.19849171330230306</v>
      </c>
      <c r="K113">
        <f t="shared" si="14"/>
        <v>8.2114601746360011E-2</v>
      </c>
      <c r="L113">
        <f t="shared" si="15"/>
        <v>1.1287560467802045</v>
      </c>
      <c r="N113">
        <f t="shared" si="16"/>
        <v>0.58332975087730721</v>
      </c>
      <c r="O113">
        <f t="shared" si="16"/>
        <v>0.43465044670696695</v>
      </c>
      <c r="P113">
        <f t="shared" si="16"/>
        <v>1.0411980912665391</v>
      </c>
      <c r="R113" s="42">
        <f t="shared" si="17"/>
        <v>34.41945181800817</v>
      </c>
      <c r="S113" s="42">
        <f t="shared" si="18"/>
        <v>74.33965208517013</v>
      </c>
      <c r="T113" s="42">
        <f t="shared" si="19"/>
        <v>-121.30952891191443</v>
      </c>
    </row>
    <row r="114" spans="1:20">
      <c r="A114">
        <v>470</v>
      </c>
      <c r="B114" s="1355">
        <v>0.19536000000000001</v>
      </c>
      <c r="C114" s="1355">
        <v>9.0980000000000005E-2</v>
      </c>
      <c r="D114" s="1355">
        <v>1.2876399999999999</v>
      </c>
      <c r="F114" s="1355">
        <f t="shared" si="10"/>
        <v>0.17788496001800003</v>
      </c>
      <c r="G114" s="1355">
        <f t="shared" si="11"/>
        <v>8.6211528020000011E-2</v>
      </c>
      <c r="H114" s="1355">
        <f t="shared" si="12"/>
        <v>1.1821752926619999</v>
      </c>
      <c r="J114">
        <f t="shared" si="13"/>
        <v>0.18715473399265628</v>
      </c>
      <c r="K114">
        <f t="shared" si="14"/>
        <v>8.6211528020000011E-2</v>
      </c>
      <c r="L114">
        <f t="shared" si="15"/>
        <v>1.085729905184464</v>
      </c>
      <c r="N114">
        <f t="shared" si="16"/>
        <v>0.57200558904576904</v>
      </c>
      <c r="O114">
        <f t="shared" si="16"/>
        <v>0.44176209363480445</v>
      </c>
      <c r="P114">
        <f t="shared" si="16"/>
        <v>1.0277968130573882</v>
      </c>
      <c r="R114" s="42">
        <f t="shared" si="17"/>
        <v>35.244402861637319</v>
      </c>
      <c r="S114" s="42">
        <f t="shared" si="18"/>
        <v>65.121747705482292</v>
      </c>
      <c r="T114" s="42">
        <f t="shared" si="19"/>
        <v>-117.20694388451676</v>
      </c>
    </row>
    <row r="115" spans="1:20">
      <c r="A115">
        <v>471</v>
      </c>
      <c r="B115" s="1355">
        <v>0.18421360000000001</v>
      </c>
      <c r="C115" s="1355">
        <v>9.4917550000000003E-2</v>
      </c>
      <c r="D115" s="1355">
        <v>1.2374223</v>
      </c>
      <c r="F115" s="1355">
        <f t="shared" si="10"/>
        <v>0.16740011806581501</v>
      </c>
      <c r="G115" s="1355">
        <f t="shared" si="11"/>
        <v>9.0495425925070011E-2</v>
      </c>
      <c r="H115" s="1355">
        <f t="shared" si="12"/>
        <v>1.136133941133505</v>
      </c>
      <c r="J115">
        <f t="shared" si="13"/>
        <v>0.17612351580356561</v>
      </c>
      <c r="K115">
        <f t="shared" si="14"/>
        <v>9.0495425925070011E-2</v>
      </c>
      <c r="L115">
        <f t="shared" si="15"/>
        <v>1.0434447444812367</v>
      </c>
      <c r="N115">
        <f t="shared" si="16"/>
        <v>0.5605389324978689</v>
      </c>
      <c r="O115">
        <f t="shared" si="16"/>
        <v>0.4489612682219255</v>
      </c>
      <c r="P115">
        <f t="shared" si="16"/>
        <v>1.0142767849102563</v>
      </c>
      <c r="R115" s="42">
        <f t="shared" si="17"/>
        <v>36.079507113743361</v>
      </c>
      <c r="S115" s="42">
        <f t="shared" si="18"/>
        <v>55.788832137971703</v>
      </c>
      <c r="T115" s="42">
        <f t="shared" si="19"/>
        <v>-113.06310333766616</v>
      </c>
    </row>
    <row r="116" spans="1:20">
      <c r="A116">
        <v>472</v>
      </c>
      <c r="B116" s="1355">
        <v>0.17332729999999999</v>
      </c>
      <c r="C116" s="1355">
        <v>9.9045839999999996E-2</v>
      </c>
      <c r="D116" s="1355">
        <v>1.1878242999999999</v>
      </c>
      <c r="F116" s="1355">
        <f t="shared" si="10"/>
        <v>0.15716432606552799</v>
      </c>
      <c r="G116" s="1355">
        <f t="shared" si="11"/>
        <v>9.496800606578E-2</v>
      </c>
      <c r="H116" s="1355">
        <f t="shared" si="12"/>
        <v>1.0906619358221679</v>
      </c>
      <c r="J116">
        <f t="shared" si="13"/>
        <v>0.16535432582356938</v>
      </c>
      <c r="K116">
        <f t="shared" si="14"/>
        <v>9.496800606578E-2</v>
      </c>
      <c r="L116">
        <f t="shared" si="15"/>
        <v>1.0016824810320875</v>
      </c>
      <c r="N116">
        <f t="shared" si="16"/>
        <v>0.54887298234331083</v>
      </c>
      <c r="O116">
        <f t="shared" si="16"/>
        <v>0.45623903490780193</v>
      </c>
      <c r="P116">
        <f t="shared" si="16"/>
        <v>1.0005605127774226</v>
      </c>
      <c r="R116" s="42">
        <f t="shared" si="17"/>
        <v>36.923728049305026</v>
      </c>
      <c r="S116" s="42">
        <f t="shared" si="18"/>
        <v>46.31697371775445</v>
      </c>
      <c r="T116" s="42">
        <f t="shared" si="19"/>
        <v>-108.86429557392414</v>
      </c>
    </row>
    <row r="117" spans="1:20">
      <c r="A117">
        <v>473</v>
      </c>
      <c r="B117" s="1355">
        <v>0.1626881</v>
      </c>
      <c r="C117" s="1355">
        <v>0.1033674</v>
      </c>
      <c r="D117" s="1355">
        <v>1.1387611</v>
      </c>
      <c r="F117" s="1355">
        <f t="shared" si="10"/>
        <v>0.14716567622697999</v>
      </c>
      <c r="G117" s="1355">
        <f t="shared" si="11"/>
        <v>9.9632247327260004E-2</v>
      </c>
      <c r="H117" s="1355">
        <f t="shared" si="12"/>
        <v>1.04568138866002</v>
      </c>
      <c r="J117">
        <f t="shared" si="13"/>
        <v>0.15483463573493111</v>
      </c>
      <c r="K117">
        <f t="shared" si="14"/>
        <v>9.9632247327260004E-2</v>
      </c>
      <c r="L117">
        <f t="shared" si="15"/>
        <v>0.96037158111001719</v>
      </c>
      <c r="N117">
        <f t="shared" si="16"/>
        <v>0.53697743853062285</v>
      </c>
      <c r="O117">
        <f t="shared" si="16"/>
        <v>0.46358919887977751</v>
      </c>
      <c r="P117">
        <f t="shared" si="16"/>
        <v>0.98661209078923973</v>
      </c>
      <c r="R117" s="42">
        <f t="shared" si="17"/>
        <v>37.776347070054193</v>
      </c>
      <c r="S117" s="42">
        <f t="shared" si="18"/>
        <v>36.694119825422675</v>
      </c>
      <c r="T117" s="42">
        <f t="shared" si="19"/>
        <v>-104.60457838189244</v>
      </c>
    </row>
    <row r="118" spans="1:20">
      <c r="A118">
        <v>474</v>
      </c>
      <c r="B118" s="1355">
        <v>0.15228330000000001</v>
      </c>
      <c r="C118" s="1355">
        <v>0.1078846</v>
      </c>
      <c r="D118" s="1355">
        <v>1.0901479999999999</v>
      </c>
      <c r="F118" s="1355">
        <f t="shared" si="10"/>
        <v>0.1373925567181</v>
      </c>
      <c r="G118" s="1355">
        <f t="shared" si="11"/>
        <v>0.10449096180244</v>
      </c>
      <c r="H118" s="1355">
        <f t="shared" si="12"/>
        <v>1.0011145930582701</v>
      </c>
      <c r="J118">
        <f t="shared" si="13"/>
        <v>0.14455222860069228</v>
      </c>
      <c r="K118">
        <f t="shared" si="14"/>
        <v>0.10449096180244</v>
      </c>
      <c r="L118">
        <f t="shared" si="15"/>
        <v>0.91944067766159099</v>
      </c>
      <c r="N118">
        <f t="shared" si="16"/>
        <v>0.52481744655323059</v>
      </c>
      <c r="O118">
        <f t="shared" si="16"/>
        <v>0.47100578605868576</v>
      </c>
      <c r="P118">
        <f t="shared" si="16"/>
        <v>0.97239168819885924</v>
      </c>
      <c r="R118" s="42">
        <f t="shared" si="17"/>
        <v>38.636671182807547</v>
      </c>
      <c r="S118" s="42">
        <f t="shared" si="18"/>
        <v>26.905830247272416</v>
      </c>
      <c r="T118" s="42">
        <f t="shared" si="19"/>
        <v>-100.27718042803468</v>
      </c>
    </row>
    <row r="119" spans="1:20">
      <c r="A119">
        <v>475</v>
      </c>
      <c r="B119" s="1355">
        <v>0.1421</v>
      </c>
      <c r="C119" s="1355">
        <v>0.11260000000000001</v>
      </c>
      <c r="D119" s="1355">
        <v>1.0419</v>
      </c>
      <c r="F119" s="1355">
        <f t="shared" si="10"/>
        <v>0.12783315973999998</v>
      </c>
      <c r="G119" s="1355">
        <f t="shared" si="11"/>
        <v>0.10954715790000001</v>
      </c>
      <c r="H119" s="1355">
        <f t="shared" si="12"/>
        <v>0.95688356898000004</v>
      </c>
      <c r="J119">
        <f t="shared" si="13"/>
        <v>0.13449468130503853</v>
      </c>
      <c r="K119">
        <f t="shared" si="14"/>
        <v>0.10954715790000001</v>
      </c>
      <c r="L119">
        <f t="shared" si="15"/>
        <v>0.87881815249396145</v>
      </c>
      <c r="N119">
        <f t="shared" si="16"/>
        <v>0.51235192238975946</v>
      </c>
      <c r="O119">
        <f t="shared" si="16"/>
        <v>0.47848357937162206</v>
      </c>
      <c r="P119">
        <f t="shared" si="16"/>
        <v>0.95785478470558194</v>
      </c>
      <c r="R119" s="42">
        <f t="shared" si="17"/>
        <v>39.504095207108158</v>
      </c>
      <c r="S119" s="42">
        <f t="shared" si="18"/>
        <v>16.934171509068701</v>
      </c>
      <c r="T119" s="42">
        <f t="shared" si="19"/>
        <v>-95.874241066791981</v>
      </c>
    </row>
    <row r="120" spans="1:20">
      <c r="A120">
        <v>476</v>
      </c>
      <c r="B120" s="1355">
        <v>0.13217860000000001</v>
      </c>
      <c r="C120" s="1355">
        <v>0.117532</v>
      </c>
      <c r="D120" s="1355">
        <v>0.99419760000000001</v>
      </c>
      <c r="F120" s="1355">
        <f t="shared" si="10"/>
        <v>0.11852527086319999</v>
      </c>
      <c r="G120" s="1355">
        <f t="shared" si="11"/>
        <v>0.11481849423136001</v>
      </c>
      <c r="H120" s="1355">
        <f t="shared" si="12"/>
        <v>0.91315402434274007</v>
      </c>
      <c r="J120">
        <f t="shared" si="13"/>
        <v>0.1247017484646543</v>
      </c>
      <c r="K120">
        <f t="shared" si="14"/>
        <v>0.11481849423136001</v>
      </c>
      <c r="L120">
        <f t="shared" si="15"/>
        <v>0.83865619457834562</v>
      </c>
      <c r="N120">
        <f t="shared" si="16"/>
        <v>0.49960201458547593</v>
      </c>
      <c r="O120">
        <f t="shared" si="16"/>
        <v>0.48603843711329719</v>
      </c>
      <c r="P120">
        <f t="shared" si="16"/>
        <v>0.94303537968074946</v>
      </c>
      <c r="R120" s="42">
        <f t="shared" si="17"/>
        <v>40.380458705142473</v>
      </c>
      <c r="S120" s="42">
        <f t="shared" si="18"/>
        <v>6.7817887360893669</v>
      </c>
      <c r="T120" s="42">
        <f t="shared" si="19"/>
        <v>-91.39938851349045</v>
      </c>
    </row>
    <row r="121" spans="1:20">
      <c r="A121">
        <v>477</v>
      </c>
      <c r="B121" s="1355">
        <v>0.1225696</v>
      </c>
      <c r="C121" s="1355">
        <v>0.1226744</v>
      </c>
      <c r="D121" s="1355">
        <v>0.9473473</v>
      </c>
      <c r="F121" s="1355">
        <f t="shared" si="10"/>
        <v>0.10951539195356</v>
      </c>
      <c r="G121" s="1355">
        <f t="shared" si="11"/>
        <v>0.12029715186862001</v>
      </c>
      <c r="H121" s="1355">
        <f t="shared" si="12"/>
        <v>0.87020715230745005</v>
      </c>
      <c r="J121">
        <f t="shared" si="13"/>
        <v>0.11522235520696077</v>
      </c>
      <c r="K121">
        <f t="shared" si="14"/>
        <v>0.12029715186862001</v>
      </c>
      <c r="L121">
        <f t="shared" si="15"/>
        <v>0.79921305649867291</v>
      </c>
      <c r="N121">
        <f t="shared" si="16"/>
        <v>0.48660763188896483</v>
      </c>
      <c r="O121">
        <f t="shared" si="16"/>
        <v>0.49364921234127823</v>
      </c>
      <c r="P121">
        <f t="shared" si="16"/>
        <v>0.92801327784687437</v>
      </c>
      <c r="R121" s="42">
        <f t="shared" si="17"/>
        <v>41.263308631588274</v>
      </c>
      <c r="S121" s="42">
        <f t="shared" si="18"/>
        <v>-3.5207902261567003</v>
      </c>
      <c r="T121" s="42">
        <f t="shared" si="19"/>
        <v>-86.872813101119235</v>
      </c>
    </row>
    <row r="122" spans="1:20">
      <c r="A122">
        <v>478</v>
      </c>
      <c r="B122" s="1355">
        <v>0.11327520000000001</v>
      </c>
      <c r="C122" s="1355">
        <v>0.12799279999999999</v>
      </c>
      <c r="D122" s="1355">
        <v>0.90145310000000001</v>
      </c>
      <c r="F122" s="1355">
        <f t="shared" si="10"/>
        <v>0.10080474056292001</v>
      </c>
      <c r="G122" s="1355">
        <f t="shared" si="11"/>
        <v>0.12594786259433999</v>
      </c>
      <c r="H122" s="1355">
        <f t="shared" si="12"/>
        <v>0.82813820047435005</v>
      </c>
      <c r="J122">
        <f t="shared" si="13"/>
        <v>0.1060577825317159</v>
      </c>
      <c r="K122">
        <f t="shared" si="14"/>
        <v>0.12594786259433999</v>
      </c>
      <c r="L122">
        <f t="shared" si="15"/>
        <v>0.76057621527175967</v>
      </c>
      <c r="N122">
        <f t="shared" si="16"/>
        <v>0.47334832813902183</v>
      </c>
      <c r="O122">
        <f t="shared" si="16"/>
        <v>0.50126063571642721</v>
      </c>
      <c r="P122">
        <f t="shared" si="16"/>
        <v>0.91281110163800994</v>
      </c>
      <c r="R122" s="42">
        <f t="shared" si="17"/>
        <v>42.146233743105554</v>
      </c>
      <c r="S122" s="42">
        <f t="shared" si="18"/>
        <v>-13.956153788702686</v>
      </c>
      <c r="T122" s="42">
        <f t="shared" si="19"/>
        <v>-82.310093184316543</v>
      </c>
    </row>
    <row r="123" spans="1:20">
      <c r="A123">
        <v>479</v>
      </c>
      <c r="B123" s="1355">
        <v>0.1042979</v>
      </c>
      <c r="C123" s="1355">
        <v>0.13345280000000001</v>
      </c>
      <c r="D123" s="1355">
        <v>0.85661929999999997</v>
      </c>
      <c r="F123" s="1355">
        <f t="shared" si="10"/>
        <v>9.2394827892719994E-2</v>
      </c>
      <c r="G123" s="1355">
        <f t="shared" si="11"/>
        <v>0.13173535360126001</v>
      </c>
      <c r="H123" s="1355">
        <f t="shared" si="12"/>
        <v>0.78704269082167999</v>
      </c>
      <c r="J123">
        <f t="shared" si="13"/>
        <v>9.7209620390669868E-2</v>
      </c>
      <c r="K123">
        <f t="shared" si="14"/>
        <v>0.13173535360126001</v>
      </c>
      <c r="L123">
        <f t="shared" si="15"/>
        <v>0.72283339990786444</v>
      </c>
      <c r="N123">
        <f t="shared" si="16"/>
        <v>0.45980082806350936</v>
      </c>
      <c r="O123">
        <f t="shared" si="16"/>
        <v>0.50882383529707598</v>
      </c>
      <c r="P123">
        <f t="shared" si="16"/>
        <v>0.89745511522868571</v>
      </c>
      <c r="R123" s="42">
        <f t="shared" si="17"/>
        <v>43.023564894460812</v>
      </c>
      <c r="S123" s="42">
        <f t="shared" si="18"/>
        <v>-24.511503616783308</v>
      </c>
      <c r="T123" s="42">
        <f t="shared" si="19"/>
        <v>-77.726255986321945</v>
      </c>
    </row>
    <row r="124" spans="1:20">
      <c r="A124">
        <v>480</v>
      </c>
      <c r="B124" s="1355">
        <v>9.5640000000000003E-2</v>
      </c>
      <c r="C124" s="1355">
        <v>0.13902</v>
      </c>
      <c r="D124" s="1355">
        <v>0.81295010000000001</v>
      </c>
      <c r="F124" s="1355">
        <f t="shared" si="10"/>
        <v>8.4286968216439995E-2</v>
      </c>
      <c r="G124" s="1355">
        <f t="shared" si="11"/>
        <v>0.13762435484918001</v>
      </c>
      <c r="H124" s="1355">
        <f t="shared" si="12"/>
        <v>0.74701605422469008</v>
      </c>
      <c r="J124">
        <f t="shared" si="13"/>
        <v>8.8679251545488016E-2</v>
      </c>
      <c r="K124">
        <f t="shared" si="14"/>
        <v>0.13762435484918001</v>
      </c>
      <c r="L124">
        <f t="shared" si="15"/>
        <v>0.68607225574670982</v>
      </c>
      <c r="N124">
        <f t="shared" si="16"/>
        <v>0.44593751184947605</v>
      </c>
      <c r="O124">
        <f t="shared" si="16"/>
        <v>0.51629560967795618</v>
      </c>
      <c r="P124">
        <f t="shared" si="16"/>
        <v>0.8819756986475602</v>
      </c>
      <c r="R124" s="42">
        <f t="shared" si="17"/>
        <v>43.890290722642916</v>
      </c>
      <c r="S124" s="42">
        <f t="shared" si="18"/>
        <v>-35.179048914240063</v>
      </c>
      <c r="T124" s="42">
        <f t="shared" si="19"/>
        <v>-73.1360177939208</v>
      </c>
    </row>
    <row r="125" spans="1:20">
      <c r="A125">
        <v>481</v>
      </c>
      <c r="B125" s="1355">
        <v>8.7299550000000004E-2</v>
      </c>
      <c r="C125" s="1355">
        <v>0.14467640000000001</v>
      </c>
      <c r="D125" s="1355">
        <v>0.77051729999999996</v>
      </c>
      <c r="F125" s="1355">
        <f t="shared" si="10"/>
        <v>7.6478525190580016E-2</v>
      </c>
      <c r="G125" s="1355">
        <f t="shared" si="11"/>
        <v>0.14359639950718001</v>
      </c>
      <c r="H125" s="1355">
        <f t="shared" si="12"/>
        <v>0.70812409944302501</v>
      </c>
      <c r="J125">
        <f t="shared" si="13"/>
        <v>8.0463902270013793E-2</v>
      </c>
      <c r="K125">
        <f t="shared" si="14"/>
        <v>0.14359639950718001</v>
      </c>
      <c r="L125">
        <f t="shared" si="15"/>
        <v>0.6503532226729839</v>
      </c>
      <c r="N125">
        <f t="shared" si="16"/>
        <v>0.43171820591088833</v>
      </c>
      <c r="O125">
        <f t="shared" si="16"/>
        <v>0.52365812964850789</v>
      </c>
      <c r="P125">
        <f t="shared" si="16"/>
        <v>0.86639598733302847</v>
      </c>
      <c r="R125" s="42">
        <f t="shared" si="17"/>
        <v>44.744343039226912</v>
      </c>
      <c r="S125" s="42">
        <f t="shared" si="18"/>
        <v>-45.969961868809776</v>
      </c>
      <c r="T125" s="42">
        <f t="shared" si="19"/>
        <v>-68.547571536904115</v>
      </c>
    </row>
    <row r="126" spans="1:20">
      <c r="A126">
        <v>482</v>
      </c>
      <c r="B126" s="1355">
        <v>7.9308039999999996E-2</v>
      </c>
      <c r="C126" s="1355">
        <v>0.1504693</v>
      </c>
      <c r="D126" s="1355">
        <v>0.7294448</v>
      </c>
      <c r="F126" s="1355">
        <f t="shared" si="10"/>
        <v>6.8998909776633977E-2</v>
      </c>
      <c r="G126" s="1355">
        <f t="shared" si="11"/>
        <v>0.14969877284569202</v>
      </c>
      <c r="H126" s="1355">
        <f t="shared" si="12"/>
        <v>0.67048079410879002</v>
      </c>
      <c r="J126">
        <f t="shared" si="13"/>
        <v>7.2594516162145017E-2</v>
      </c>
      <c r="K126">
        <f t="shared" si="14"/>
        <v>0.14969877284569202</v>
      </c>
      <c r="L126">
        <f t="shared" si="15"/>
        <v>0.61578097049933422</v>
      </c>
      <c r="N126">
        <f t="shared" si="16"/>
        <v>0.41715866762456938</v>
      </c>
      <c r="O126">
        <f t="shared" si="16"/>
        <v>0.53097337778000497</v>
      </c>
      <c r="P126">
        <f t="shared" si="16"/>
        <v>0.85076331455564336</v>
      </c>
      <c r="R126" s="42">
        <f t="shared" si="17"/>
        <v>45.592911822480573</v>
      </c>
      <c r="S126" s="42">
        <f t="shared" si="18"/>
        <v>-56.907355077717796</v>
      </c>
      <c r="T126" s="42">
        <f t="shared" si="19"/>
        <v>-63.957987355127678</v>
      </c>
    </row>
    <row r="127" spans="1:20">
      <c r="A127">
        <v>483</v>
      </c>
      <c r="B127" s="1355">
        <v>7.1717760000000005E-2</v>
      </c>
      <c r="C127" s="1355">
        <v>0.15646189999999999</v>
      </c>
      <c r="D127" s="1355">
        <v>0.68991360000000002</v>
      </c>
      <c r="F127" s="1355">
        <f t="shared" si="10"/>
        <v>6.1897357019446007E-2</v>
      </c>
      <c r="G127" s="1355">
        <f t="shared" si="11"/>
        <v>0.15599448357446799</v>
      </c>
      <c r="H127" s="1355">
        <f t="shared" si="12"/>
        <v>0.63425256613051006</v>
      </c>
      <c r="J127">
        <f t="shared" si="13"/>
        <v>6.512289395714331E-2</v>
      </c>
      <c r="K127">
        <f t="shared" si="14"/>
        <v>0.15599448357446799</v>
      </c>
      <c r="L127">
        <f t="shared" si="15"/>
        <v>0.58250834944895902</v>
      </c>
      <c r="N127">
        <f t="shared" si="16"/>
        <v>0.40232581268810241</v>
      </c>
      <c r="O127">
        <f t="shared" si="16"/>
        <v>0.53831491581523716</v>
      </c>
      <c r="P127">
        <f t="shared" si="16"/>
        <v>0.83515557570591692</v>
      </c>
      <c r="R127" s="42">
        <f t="shared" si="17"/>
        <v>46.444530234567509</v>
      </c>
      <c r="S127" s="42">
        <f t="shared" si="18"/>
        <v>-67.99455156356737</v>
      </c>
      <c r="T127" s="42">
        <f t="shared" si="19"/>
        <v>-59.368131978135949</v>
      </c>
    </row>
    <row r="128" spans="1:20">
      <c r="A128">
        <v>484</v>
      </c>
      <c r="B128" s="1355">
        <v>6.4580990000000005E-2</v>
      </c>
      <c r="C128" s="1355">
        <v>0.16271769999999999</v>
      </c>
      <c r="D128" s="1355">
        <v>0.65210489999999999</v>
      </c>
      <c r="F128" s="1355">
        <f t="shared" si="10"/>
        <v>5.5223087585773996E-2</v>
      </c>
      <c r="G128" s="1355">
        <f t="shared" si="11"/>
        <v>0.16254684461983199</v>
      </c>
      <c r="H128" s="1355">
        <f t="shared" si="12"/>
        <v>0.59960602911463512</v>
      </c>
      <c r="J128">
        <f t="shared" si="13"/>
        <v>5.8100821262926754E-2</v>
      </c>
      <c r="K128">
        <f t="shared" si="14"/>
        <v>0.16254684461983199</v>
      </c>
      <c r="L128">
        <f t="shared" si="15"/>
        <v>0.550688380293191</v>
      </c>
      <c r="N128">
        <f t="shared" si="16"/>
        <v>0.38731182541706682</v>
      </c>
      <c r="O128">
        <f t="shared" si="16"/>
        <v>0.54574887329744182</v>
      </c>
      <c r="P128">
        <f t="shared" si="16"/>
        <v>0.81966294907163073</v>
      </c>
      <c r="R128" s="42">
        <f t="shared" si="17"/>
        <v>47.306869302503252</v>
      </c>
      <c r="S128" s="42">
        <f t="shared" si="18"/>
        <v>-79.218523940187495</v>
      </c>
      <c r="T128" s="42">
        <f t="shared" si="19"/>
        <v>-54.782815154837785</v>
      </c>
    </row>
    <row r="129" spans="1:20">
      <c r="A129">
        <v>485</v>
      </c>
      <c r="B129" s="1355">
        <v>5.7950010000000003E-2</v>
      </c>
      <c r="C129" s="1355">
        <v>0.16930000000000001</v>
      </c>
      <c r="D129" s="1355">
        <v>0.61619999999999997</v>
      </c>
      <c r="F129" s="1355">
        <f t="shared" si="10"/>
        <v>4.9025322414476005E-2</v>
      </c>
      <c r="G129" s="1355">
        <f t="shared" si="11"/>
        <v>0.16941896549628802</v>
      </c>
      <c r="H129" s="1355">
        <f t="shared" si="12"/>
        <v>0.56670788712936504</v>
      </c>
      <c r="J129">
        <f t="shared" si="13"/>
        <v>5.1580083973693021E-2</v>
      </c>
      <c r="K129">
        <f t="shared" si="14"/>
        <v>0.16941896549628802</v>
      </c>
      <c r="L129">
        <f t="shared" si="15"/>
        <v>0.52047416688497294</v>
      </c>
      <c r="N129">
        <f t="shared" si="16"/>
        <v>0.37224369311498418</v>
      </c>
      <c r="O129">
        <f t="shared" si="16"/>
        <v>0.55333398124147037</v>
      </c>
      <c r="P129">
        <f t="shared" si="16"/>
        <v>0.80438949989941866</v>
      </c>
      <c r="R129" s="42">
        <f t="shared" si="17"/>
        <v>48.186741824010568</v>
      </c>
      <c r="S129" s="42">
        <f t="shared" si="18"/>
        <v>-90.5451440632431</v>
      </c>
      <c r="T129" s="42">
        <f t="shared" si="19"/>
        <v>-50.21110373158966</v>
      </c>
    </row>
    <row r="130" spans="1:20">
      <c r="A130">
        <v>486</v>
      </c>
      <c r="B130" s="1355">
        <v>5.1862110000000003E-2</v>
      </c>
      <c r="C130" s="1355">
        <v>0.17624310000000001</v>
      </c>
      <c r="D130" s="1355">
        <v>0.58232859999999997</v>
      </c>
      <c r="F130" s="1355">
        <f t="shared" si="10"/>
        <v>4.3339242880546004E-2</v>
      </c>
      <c r="G130" s="1355">
        <f t="shared" si="11"/>
        <v>0.17664484000274802</v>
      </c>
      <c r="H130" s="1355">
        <f t="shared" si="12"/>
        <v>0.535677324442425</v>
      </c>
      <c r="J130">
        <f t="shared" si="13"/>
        <v>4.5597696803208944E-2</v>
      </c>
      <c r="K130">
        <f t="shared" si="14"/>
        <v>0.17664484000274802</v>
      </c>
      <c r="L130">
        <f t="shared" si="15"/>
        <v>0.49197517008387442</v>
      </c>
      <c r="N130">
        <f t="shared" si="16"/>
        <v>0.35725718247359833</v>
      </c>
      <c r="O130">
        <f t="shared" si="16"/>
        <v>0.56109145129229165</v>
      </c>
      <c r="P130">
        <f t="shared" si="16"/>
        <v>0.78943139669052209</v>
      </c>
      <c r="R130" s="42">
        <f t="shared" si="17"/>
        <v>49.086608349905831</v>
      </c>
      <c r="S130" s="42">
        <f t="shared" si="18"/>
        <v>-101.91713440934666</v>
      </c>
      <c r="T130" s="42">
        <f t="shared" si="19"/>
        <v>-45.667989079646091</v>
      </c>
    </row>
    <row r="131" spans="1:20">
      <c r="A131">
        <v>487</v>
      </c>
      <c r="B131" s="1355">
        <v>4.628152E-2</v>
      </c>
      <c r="C131" s="1355">
        <v>0.1835581</v>
      </c>
      <c r="D131" s="1355">
        <v>0.55041620000000002</v>
      </c>
      <c r="F131" s="1355">
        <f t="shared" si="10"/>
        <v>3.8130206467401992E-2</v>
      </c>
      <c r="G131" s="1355">
        <f t="shared" si="11"/>
        <v>0.18423640191243598</v>
      </c>
      <c r="H131" s="1355">
        <f t="shared" si="12"/>
        <v>0.50644614097483009</v>
      </c>
      <c r="J131">
        <f t="shared" si="13"/>
        <v>4.0117211976603145E-2</v>
      </c>
      <c r="K131">
        <f t="shared" si="14"/>
        <v>0.18423640191243598</v>
      </c>
      <c r="L131">
        <f t="shared" si="15"/>
        <v>0.46512875377683394</v>
      </c>
      <c r="N131">
        <f t="shared" si="16"/>
        <v>0.34232891301161866</v>
      </c>
      <c r="O131">
        <f t="shared" si="16"/>
        <v>0.56901687708547988</v>
      </c>
      <c r="P131">
        <f t="shared" si="16"/>
        <v>0.77480258795740886</v>
      </c>
      <c r="R131" s="42">
        <f t="shared" si="17"/>
        <v>50.005957741915665</v>
      </c>
      <c r="S131" s="42">
        <f t="shared" si="18"/>
        <v>-113.34398203693061</v>
      </c>
      <c r="T131" s="42">
        <f t="shared" si="19"/>
        <v>-41.157142174385797</v>
      </c>
    </row>
    <row r="132" spans="1:20">
      <c r="A132">
        <v>488</v>
      </c>
      <c r="B132" s="1355">
        <v>4.1150880000000001E-2</v>
      </c>
      <c r="C132" s="1355">
        <v>0.19127350000000001</v>
      </c>
      <c r="D132" s="1355">
        <v>0.52033759999999996</v>
      </c>
      <c r="F132" s="1355">
        <f t="shared" si="10"/>
        <v>3.3342651077278004E-2</v>
      </c>
      <c r="G132" s="1355">
        <f t="shared" si="11"/>
        <v>0.192223671905524</v>
      </c>
      <c r="H132" s="1355">
        <f t="shared" si="12"/>
        <v>0.47889978082151002</v>
      </c>
      <c r="J132">
        <f t="shared" si="13"/>
        <v>3.5080171996252386E-2</v>
      </c>
      <c r="K132">
        <f t="shared" si="14"/>
        <v>0.192223671905524</v>
      </c>
      <c r="L132">
        <f t="shared" si="15"/>
        <v>0.43982970787130227</v>
      </c>
      <c r="N132">
        <f t="shared" si="16"/>
        <v>0.32735620047874103</v>
      </c>
      <c r="O132">
        <f t="shared" si="16"/>
        <v>0.57712376251355368</v>
      </c>
      <c r="P132">
        <f t="shared" si="16"/>
        <v>0.7604923563286633</v>
      </c>
      <c r="R132" s="42">
        <f t="shared" si="17"/>
        <v>50.946356451572228</v>
      </c>
      <c r="S132" s="42">
        <f t="shared" si="18"/>
        <v>-124.88378101740632</v>
      </c>
      <c r="T132" s="42">
        <f t="shared" si="19"/>
        <v>-36.673718763021924</v>
      </c>
    </row>
    <row r="133" spans="1:20">
      <c r="A133">
        <v>489</v>
      </c>
      <c r="B133" s="1355">
        <v>3.641283E-2</v>
      </c>
      <c r="C133" s="1355">
        <v>0.19941800000000001</v>
      </c>
      <c r="D133" s="1355">
        <v>0.4919673</v>
      </c>
      <c r="F133" s="1355">
        <f t="shared" ref="F133:F196" si="20">$X$12*B133+$Y$12*C133+$Z$12*D133</f>
        <v>2.8921016663428001E-2</v>
      </c>
      <c r="G133" s="1355">
        <f t="shared" ref="G133:G196" si="21">$X$13*B133+$Y$13*C133+$Z$13*D133</f>
        <v>0.20063687465964403</v>
      </c>
      <c r="H133" s="1355">
        <f t="shared" ref="H133:H196" si="22">$X$14*B133+$Y$14*C133+$Z$14*D133</f>
        <v>0.452923413984265</v>
      </c>
      <c r="J133">
        <f t="shared" ref="J133:J196" si="23">F133/$X$5</f>
        <v>3.0428121522434164E-2</v>
      </c>
      <c r="K133">
        <f t="shared" ref="K133:K196" si="24">G133/$X$6</f>
        <v>0.20063687465964403</v>
      </c>
      <c r="L133">
        <f t="shared" ref="L133:L196" si="25">H133/$X$7</f>
        <v>0.41597257054293602</v>
      </c>
      <c r="N133">
        <f t="shared" ref="N133:P196" si="26">IF(J133&gt;0.008856,J133^(1/3),7.787*J133+16/116)</f>
        <v>0.31219435595553319</v>
      </c>
      <c r="O133">
        <f t="shared" si="26"/>
        <v>0.58542363417920029</v>
      </c>
      <c r="P133">
        <f t="shared" si="26"/>
        <v>0.74648582383062945</v>
      </c>
      <c r="R133" s="42">
        <f t="shared" ref="R133:R196" si="27" xml:space="preserve"> 116 * O133  - 16</f>
        <v>51.909141564787234</v>
      </c>
      <c r="S133" s="42">
        <f t="shared" ref="S133:S196" si="28" xml:space="preserve"> 500 * (N133 - O133 )</f>
        <v>-136.61463911183355</v>
      </c>
      <c r="T133" s="42">
        <f t="shared" ref="T133:T196" si="29" xml:space="preserve"> 200 * (O133 - P133 )</f>
        <v>-32.21243793028583</v>
      </c>
    </row>
    <row r="134" spans="1:20">
      <c r="A134">
        <v>490</v>
      </c>
      <c r="B134" s="1355">
        <v>3.2009999999999997E-2</v>
      </c>
      <c r="C134" s="1355">
        <v>0.20802000000000001</v>
      </c>
      <c r="D134" s="1355">
        <v>0.46517999999999998</v>
      </c>
      <c r="F134" s="1355">
        <f t="shared" si="20"/>
        <v>2.4809733101999992E-2</v>
      </c>
      <c r="G134" s="1355">
        <f t="shared" si="21"/>
        <v>0.20950592971200002</v>
      </c>
      <c r="H134" s="1355">
        <f t="shared" si="22"/>
        <v>0.42840239210100001</v>
      </c>
      <c r="J134">
        <f t="shared" si="23"/>
        <v>2.6102594613191359E-2</v>
      </c>
      <c r="K134">
        <f t="shared" si="24"/>
        <v>0.20950592971200002</v>
      </c>
      <c r="L134">
        <f t="shared" si="25"/>
        <v>0.39345204678508128</v>
      </c>
      <c r="N134">
        <f t="shared" si="26"/>
        <v>0.29663875714890059</v>
      </c>
      <c r="O134">
        <f t="shared" si="26"/>
        <v>0.59392568395387446</v>
      </c>
      <c r="P134">
        <f t="shared" si="26"/>
        <v>0.7327636821106247</v>
      </c>
      <c r="R134" s="42">
        <f t="shared" si="27"/>
        <v>52.895379338649434</v>
      </c>
      <c r="S134" s="42">
        <f t="shared" si="28"/>
        <v>-148.64346340248693</v>
      </c>
      <c r="T134" s="42">
        <f t="shared" si="29"/>
        <v>-27.767599631350048</v>
      </c>
    </row>
    <row r="135" spans="1:20">
      <c r="A135">
        <v>491</v>
      </c>
      <c r="B135" s="1355">
        <v>2.79172E-2</v>
      </c>
      <c r="C135" s="1355">
        <v>0.2171199</v>
      </c>
      <c r="D135" s="1355">
        <v>0.4399246</v>
      </c>
      <c r="F135" s="1355">
        <f t="shared" si="20"/>
        <v>2.0984154975789999E-2</v>
      </c>
      <c r="G135" s="1355">
        <f t="shared" si="21"/>
        <v>0.21887232836214002</v>
      </c>
      <c r="H135" s="1355">
        <f t="shared" si="22"/>
        <v>0.40529016061457002</v>
      </c>
      <c r="J135">
        <f t="shared" si="23"/>
        <v>2.2077661552484557E-2</v>
      </c>
      <c r="K135">
        <f t="shared" si="24"/>
        <v>0.21887232836214002</v>
      </c>
      <c r="L135">
        <f t="shared" si="25"/>
        <v>0.37222538010026363</v>
      </c>
      <c r="N135">
        <f t="shared" si="26"/>
        <v>0.28053325907331311</v>
      </c>
      <c r="O135">
        <f t="shared" si="26"/>
        <v>0.602647860830542</v>
      </c>
      <c r="P135">
        <f t="shared" si="26"/>
        <v>0.71934184976595361</v>
      </c>
      <c r="R135" s="42">
        <f t="shared" si="27"/>
        <v>53.907151856342878</v>
      </c>
      <c r="S135" s="42">
        <f t="shared" si="28"/>
        <v>-161.05730087861446</v>
      </c>
      <c r="T135" s="42">
        <f t="shared" si="29"/>
        <v>-23.338797787082321</v>
      </c>
    </row>
    <row r="136" spans="1:20">
      <c r="A136">
        <v>492</v>
      </c>
      <c r="B136" s="1355">
        <v>2.41444E-2</v>
      </c>
      <c r="C136" s="1355">
        <v>0.22673450000000001</v>
      </c>
      <c r="D136" s="1355">
        <v>0.41618359999999999</v>
      </c>
      <c r="F136" s="1355">
        <f t="shared" si="20"/>
        <v>1.7454239892930001E-2</v>
      </c>
      <c r="G136" s="1355">
        <f t="shared" si="21"/>
        <v>0.22875306050870001</v>
      </c>
      <c r="H136" s="1355">
        <f t="shared" si="22"/>
        <v>0.38357072998209002</v>
      </c>
      <c r="J136">
        <f t="shared" si="23"/>
        <v>1.8363798849968964E-2</v>
      </c>
      <c r="K136">
        <f t="shared" si="24"/>
        <v>0.22875306050870001</v>
      </c>
      <c r="L136">
        <f t="shared" si="25"/>
        <v>0.35227788542021254</v>
      </c>
      <c r="N136">
        <f t="shared" si="26"/>
        <v>0.2638279739508444</v>
      </c>
      <c r="O136">
        <f t="shared" si="26"/>
        <v>0.61158332783565206</v>
      </c>
      <c r="P136">
        <f t="shared" si="26"/>
        <v>0.70625541977090855</v>
      </c>
      <c r="R136" s="42">
        <f t="shared" si="27"/>
        <v>54.943666028935638</v>
      </c>
      <c r="S136" s="42">
        <f t="shared" si="28"/>
        <v>-173.87767694240384</v>
      </c>
      <c r="T136" s="42">
        <f t="shared" si="29"/>
        <v>-18.934418387051299</v>
      </c>
    </row>
    <row r="137" spans="1:20">
      <c r="A137">
        <v>493</v>
      </c>
      <c r="B137" s="1355">
        <v>2.0687000000000001E-2</v>
      </c>
      <c r="C137" s="1355">
        <v>0.23685709999999999</v>
      </c>
      <c r="D137" s="1355">
        <v>0.39388220000000002</v>
      </c>
      <c r="F137" s="1355">
        <f t="shared" si="20"/>
        <v>1.421634866895E-2</v>
      </c>
      <c r="G137" s="1355">
        <f t="shared" si="21"/>
        <v>0.23914159760206</v>
      </c>
      <c r="H137" s="1355">
        <f t="shared" si="22"/>
        <v>0.36317539310255004</v>
      </c>
      <c r="J137">
        <f t="shared" si="23"/>
        <v>1.4957177679411238E-2</v>
      </c>
      <c r="K137">
        <f t="shared" si="24"/>
        <v>0.23914159760206</v>
      </c>
      <c r="L137">
        <f t="shared" si="25"/>
        <v>0.33354646097421087</v>
      </c>
      <c r="N137">
        <f t="shared" si="26"/>
        <v>0.24638629725085431</v>
      </c>
      <c r="O137">
        <f t="shared" si="26"/>
        <v>0.62070471170786279</v>
      </c>
      <c r="P137">
        <f t="shared" si="26"/>
        <v>0.69350901731967496</v>
      </c>
      <c r="R137" s="42">
        <f t="shared" si="27"/>
        <v>56.001746558112089</v>
      </c>
      <c r="S137" s="42">
        <f t="shared" si="28"/>
        <v>-187.15920722850424</v>
      </c>
      <c r="T137" s="42">
        <f t="shared" si="29"/>
        <v>-14.560861122362434</v>
      </c>
    </row>
    <row r="138" spans="1:20">
      <c r="A138">
        <v>494</v>
      </c>
      <c r="B138" s="1355">
        <v>1.7540400000000001E-2</v>
      </c>
      <c r="C138" s="1355">
        <v>0.24748120000000001</v>
      </c>
      <c r="D138" s="1355">
        <v>0.3729459</v>
      </c>
      <c r="F138" s="1355">
        <f t="shared" si="20"/>
        <v>1.1266837201040002E-2</v>
      </c>
      <c r="G138" s="1355">
        <f t="shared" si="21"/>
        <v>0.25003161333314</v>
      </c>
      <c r="H138" s="1355">
        <f t="shared" si="22"/>
        <v>0.34403571967595004</v>
      </c>
      <c r="J138">
        <f t="shared" si="23"/>
        <v>1.1853964039938138E-2</v>
      </c>
      <c r="K138">
        <f t="shared" si="24"/>
        <v>0.25003161333314</v>
      </c>
      <c r="L138">
        <f t="shared" si="25"/>
        <v>0.3159682592102992</v>
      </c>
      <c r="N138">
        <f t="shared" si="26"/>
        <v>0.22801033630129192</v>
      </c>
      <c r="O138">
        <f t="shared" si="26"/>
        <v>0.62998707736417447</v>
      </c>
      <c r="P138">
        <f t="shared" si="26"/>
        <v>0.68110565456728822</v>
      </c>
      <c r="R138" s="42">
        <f t="shared" si="27"/>
        <v>57.078500974244236</v>
      </c>
      <c r="S138" s="42">
        <f t="shared" si="28"/>
        <v>-200.98837053144129</v>
      </c>
      <c r="T138" s="42">
        <f t="shared" si="29"/>
        <v>-10.223715440622749</v>
      </c>
    </row>
    <row r="139" spans="1:20">
      <c r="A139">
        <v>495</v>
      </c>
      <c r="B139" s="1355">
        <v>1.47E-2</v>
      </c>
      <c r="C139" s="1355">
        <v>0.2586</v>
      </c>
      <c r="D139" s="1355">
        <v>0.3533</v>
      </c>
      <c r="F139" s="1355">
        <f t="shared" si="20"/>
        <v>8.6020658599999973E-3</v>
      </c>
      <c r="G139" s="1355">
        <f t="shared" si="21"/>
        <v>0.26141647730000001</v>
      </c>
      <c r="H139" s="1355">
        <f t="shared" si="22"/>
        <v>0.32608309374</v>
      </c>
      <c r="J139">
        <f t="shared" si="23"/>
        <v>9.0503286374109624E-3</v>
      </c>
      <c r="K139">
        <f t="shared" si="24"/>
        <v>0.26141647730000001</v>
      </c>
      <c r="L139">
        <f t="shared" si="25"/>
        <v>0.2994802620611115</v>
      </c>
      <c r="N139">
        <f t="shared" si="26"/>
        <v>0.20839539433484333</v>
      </c>
      <c r="O139">
        <f t="shared" si="26"/>
        <v>0.63940739195497087</v>
      </c>
      <c r="P139">
        <f t="shared" si="26"/>
        <v>0.66904613805989288</v>
      </c>
      <c r="R139" s="42">
        <f t="shared" si="27"/>
        <v>58.171257466776623</v>
      </c>
      <c r="S139" s="42">
        <f t="shared" si="28"/>
        <v>-215.50599881006377</v>
      </c>
      <c r="T139" s="42">
        <f t="shared" si="29"/>
        <v>-5.9277492209844018</v>
      </c>
    </row>
    <row r="140" spans="1:20">
      <c r="A140">
        <v>496</v>
      </c>
      <c r="B140" s="1355">
        <v>1.216179E-2</v>
      </c>
      <c r="C140" s="1355">
        <v>0.27018490000000001</v>
      </c>
      <c r="D140" s="1355">
        <v>0.33485779999999998</v>
      </c>
      <c r="F140" s="1355">
        <f t="shared" si="20"/>
        <v>6.2192750368539988E-3</v>
      </c>
      <c r="G140" s="1355">
        <f t="shared" si="21"/>
        <v>0.273267446969092</v>
      </c>
      <c r="H140" s="1355">
        <f t="shared" si="22"/>
        <v>0.30923773176768504</v>
      </c>
      <c r="J140">
        <f t="shared" si="23"/>
        <v>6.5433680567024716E-3</v>
      </c>
      <c r="K140">
        <f t="shared" si="24"/>
        <v>0.273267446969092</v>
      </c>
      <c r="L140">
        <f t="shared" si="25"/>
        <v>0.28400919497780652</v>
      </c>
      <c r="N140">
        <f t="shared" si="26"/>
        <v>0.18888424154030076</v>
      </c>
      <c r="O140">
        <f t="shared" si="26"/>
        <v>0.64892718254526216</v>
      </c>
      <c r="P140">
        <f t="shared" si="26"/>
        <v>0.65732093894822319</v>
      </c>
      <c r="R140" s="42">
        <f t="shared" si="27"/>
        <v>59.275553175250408</v>
      </c>
      <c r="S140" s="42">
        <f t="shared" si="28"/>
        <v>-230.0214705024807</v>
      </c>
      <c r="T140" s="42">
        <f t="shared" si="29"/>
        <v>-1.6787512805922056</v>
      </c>
    </row>
    <row r="141" spans="1:20">
      <c r="A141">
        <v>497</v>
      </c>
      <c r="B141" s="1355">
        <v>9.9199600000000002E-3</v>
      </c>
      <c r="C141" s="1355">
        <v>0.28229389999999999</v>
      </c>
      <c r="D141" s="1355">
        <v>0.3175521</v>
      </c>
      <c r="F141" s="1355">
        <f t="shared" si="20"/>
        <v>4.1130750379660009E-3</v>
      </c>
      <c r="G141" s="1355">
        <f t="shared" si="21"/>
        <v>0.28564369550212798</v>
      </c>
      <c r="H141" s="1355">
        <f t="shared" si="22"/>
        <v>0.29343834696186005</v>
      </c>
      <c r="J141">
        <f t="shared" si="23"/>
        <v>4.3274117415236677E-3</v>
      </c>
      <c r="K141">
        <f t="shared" si="24"/>
        <v>0.28564369550212798</v>
      </c>
      <c r="L141">
        <f t="shared" si="25"/>
        <v>0.26949877112300363</v>
      </c>
      <c r="N141">
        <f t="shared" si="26"/>
        <v>0.17162858971400341</v>
      </c>
      <c r="O141">
        <f t="shared" si="26"/>
        <v>0.65857950959462808</v>
      </c>
      <c r="P141">
        <f t="shared" si="26"/>
        <v>0.64593020930889167</v>
      </c>
      <c r="R141" s="42">
        <f t="shared" si="27"/>
        <v>60.395223112976851</v>
      </c>
      <c r="S141" s="42">
        <f t="shared" si="28"/>
        <v>-243.47545994031233</v>
      </c>
      <c r="T141" s="42">
        <f t="shared" si="29"/>
        <v>2.5298600571472818</v>
      </c>
    </row>
    <row r="142" spans="1:20">
      <c r="A142">
        <v>498</v>
      </c>
      <c r="B142" s="1355">
        <v>7.9672400000000004E-3</v>
      </c>
      <c r="C142" s="1355">
        <v>0.29505049999999999</v>
      </c>
      <c r="D142" s="1355">
        <v>0.30133749999999998</v>
      </c>
      <c r="F142" s="1355">
        <f t="shared" si="20"/>
        <v>2.2759073724740002E-3</v>
      </c>
      <c r="G142" s="1355">
        <f t="shared" si="21"/>
        <v>0.29867087176051199</v>
      </c>
      <c r="H142" s="1355">
        <f t="shared" si="22"/>
        <v>0.27864411696386004</v>
      </c>
      <c r="J142">
        <f t="shared" si="23"/>
        <v>2.3945073200353512E-3</v>
      </c>
      <c r="K142">
        <f t="shared" si="24"/>
        <v>0.29867087176051199</v>
      </c>
      <c r="L142">
        <f t="shared" si="25"/>
        <v>0.25591149854785417</v>
      </c>
      <c r="N142">
        <f t="shared" si="26"/>
        <v>0.15657706298387389</v>
      </c>
      <c r="O142">
        <f t="shared" si="26"/>
        <v>0.66844286175857459</v>
      </c>
      <c r="P142">
        <f t="shared" si="26"/>
        <v>0.6348872418859367</v>
      </c>
      <c r="R142" s="42">
        <f t="shared" si="27"/>
        <v>61.539371963994654</v>
      </c>
      <c r="S142" s="42">
        <f t="shared" si="28"/>
        <v>-255.93289938735037</v>
      </c>
      <c r="T142" s="42">
        <f t="shared" si="29"/>
        <v>6.7111239745275775</v>
      </c>
    </row>
    <row r="143" spans="1:20">
      <c r="A143">
        <v>499</v>
      </c>
      <c r="B143" s="1355">
        <v>6.2963460000000004E-3</v>
      </c>
      <c r="C143" s="1355">
        <v>0.30857800000000002</v>
      </c>
      <c r="D143" s="1355">
        <v>0.2861686</v>
      </c>
      <c r="F143" s="1355">
        <f t="shared" si="20"/>
        <v>7.0020111690960018E-4</v>
      </c>
      <c r="G143" s="1355">
        <f t="shared" si="21"/>
        <v>0.31247442165984485</v>
      </c>
      <c r="H143" s="1355">
        <f t="shared" si="22"/>
        <v>0.26481421811096906</v>
      </c>
      <c r="J143">
        <f t="shared" si="23"/>
        <v>7.3668933991562083E-4</v>
      </c>
      <c r="K143">
        <f t="shared" si="24"/>
        <v>0.31247442165984485</v>
      </c>
      <c r="L143">
        <f t="shared" si="25"/>
        <v>0.24320988410584671</v>
      </c>
      <c r="N143">
        <f t="shared" si="26"/>
        <v>0.14366763437268157</v>
      </c>
      <c r="O143">
        <f t="shared" si="26"/>
        <v>0.6785858888976567</v>
      </c>
      <c r="P143">
        <f t="shared" si="26"/>
        <v>0.62420475633951533</v>
      </c>
      <c r="R143" s="42">
        <f t="shared" si="27"/>
        <v>62.715963112128179</v>
      </c>
      <c r="S143" s="42">
        <f t="shared" si="28"/>
        <v>-267.45912726248753</v>
      </c>
      <c r="T143" s="42">
        <f t="shared" si="29"/>
        <v>10.876226511628273</v>
      </c>
    </row>
    <row r="144" spans="1:20">
      <c r="A144">
        <v>500</v>
      </c>
      <c r="B144" s="1355">
        <v>4.8999999999999998E-3</v>
      </c>
      <c r="C144" s="1355">
        <v>0.32300000000000001</v>
      </c>
      <c r="D144" s="1355">
        <v>0.27200000000000002</v>
      </c>
      <c r="F144" s="1355">
        <f t="shared" si="20"/>
        <v>-6.2161086000000077E-4</v>
      </c>
      <c r="G144" s="1355">
        <f t="shared" si="21"/>
        <v>0.32718009572000001</v>
      </c>
      <c r="H144" s="1355">
        <f t="shared" si="22"/>
        <v>0.25190782875000001</v>
      </c>
      <c r="J144">
        <f t="shared" si="23"/>
        <v>-6.5400366134649255E-4</v>
      </c>
      <c r="K144">
        <f t="shared" si="24"/>
        <v>0.32718009572000001</v>
      </c>
      <c r="L144">
        <f t="shared" si="25"/>
        <v>0.23135643649605542</v>
      </c>
      <c r="N144">
        <f t="shared" si="26"/>
        <v>0.13283830797185348</v>
      </c>
      <c r="O144">
        <f t="shared" si="26"/>
        <v>0.68906833281589641</v>
      </c>
      <c r="P144">
        <f t="shared" si="26"/>
        <v>0.61389466913971591</v>
      </c>
      <c r="R144" s="42">
        <f t="shared" si="27"/>
        <v>63.931926606643984</v>
      </c>
      <c r="S144" s="42">
        <f t="shared" si="28"/>
        <v>-278.11501242202149</v>
      </c>
      <c r="T144" s="42">
        <f t="shared" si="29"/>
        <v>15.034732735236101</v>
      </c>
    </row>
    <row r="145" spans="1:20">
      <c r="A145">
        <v>501</v>
      </c>
      <c r="B145" s="1355">
        <v>3.777173E-3</v>
      </c>
      <c r="C145" s="1355">
        <v>0.33840209999999998</v>
      </c>
      <c r="D145" s="1355">
        <v>0.25881710000000002</v>
      </c>
      <c r="F145" s="1355">
        <f t="shared" si="20"/>
        <v>-1.6909917475552002E-3</v>
      </c>
      <c r="G145" s="1355">
        <f t="shared" si="21"/>
        <v>0.3428748843546624</v>
      </c>
      <c r="H145" s="1355">
        <f t="shared" si="22"/>
        <v>0.23991212694337455</v>
      </c>
      <c r="J145">
        <f t="shared" si="23"/>
        <v>-1.7791111213980454E-3</v>
      </c>
      <c r="K145">
        <f t="shared" si="24"/>
        <v>0.3428748843546624</v>
      </c>
      <c r="L145">
        <f t="shared" si="25"/>
        <v>0.22033937983282473</v>
      </c>
      <c r="N145">
        <f t="shared" si="26"/>
        <v>0.12407709618043204</v>
      </c>
      <c r="O145">
        <f t="shared" si="26"/>
        <v>0.69991487696518639</v>
      </c>
      <c r="P145">
        <f t="shared" si="26"/>
        <v>0.60399133416731565</v>
      </c>
      <c r="R145" s="42">
        <f t="shared" si="27"/>
        <v>65.190125727961629</v>
      </c>
      <c r="S145" s="42">
        <f t="shared" si="28"/>
        <v>-287.91889039237719</v>
      </c>
      <c r="T145" s="42">
        <f t="shared" si="29"/>
        <v>19.184708559574148</v>
      </c>
    </row>
    <row r="146" spans="1:20">
      <c r="A146">
        <v>502</v>
      </c>
      <c r="B146" s="1355">
        <v>2.94532E-3</v>
      </c>
      <c r="C146" s="1355">
        <v>0.3546858</v>
      </c>
      <c r="D146" s="1355">
        <v>0.2464838</v>
      </c>
      <c r="F146" s="1355">
        <f t="shared" si="20"/>
        <v>-2.4883663221879999E-3</v>
      </c>
      <c r="G146" s="1355">
        <f t="shared" si="21"/>
        <v>0.35945893404505602</v>
      </c>
      <c r="H146" s="1355">
        <f t="shared" si="22"/>
        <v>0.22870142252066</v>
      </c>
      <c r="J146">
        <f t="shared" si="23"/>
        <v>-2.6180377310046606E-3</v>
      </c>
      <c r="K146">
        <f t="shared" si="24"/>
        <v>0.35945893404505602</v>
      </c>
      <c r="L146">
        <f t="shared" si="25"/>
        <v>0.21004327812483126</v>
      </c>
      <c r="N146">
        <f t="shared" si="26"/>
        <v>0.11754437467142533</v>
      </c>
      <c r="O146">
        <f t="shared" si="26"/>
        <v>0.71102209074343714</v>
      </c>
      <c r="P146">
        <f t="shared" si="26"/>
        <v>0.5944330245028121</v>
      </c>
      <c r="R146" s="42">
        <f t="shared" si="27"/>
        <v>66.478562526238704</v>
      </c>
      <c r="S146" s="42">
        <f t="shared" si="28"/>
        <v>-296.73885803600592</v>
      </c>
      <c r="T146" s="42">
        <f t="shared" si="29"/>
        <v>23.317813248125006</v>
      </c>
    </row>
    <row r="147" spans="1:20">
      <c r="A147">
        <v>503</v>
      </c>
      <c r="B147" s="1355">
        <v>2.4248799999999999E-3</v>
      </c>
      <c r="C147" s="1355">
        <v>0.37169859999999999</v>
      </c>
      <c r="D147" s="1355">
        <v>0.2347718</v>
      </c>
      <c r="F147" s="1355">
        <f t="shared" si="20"/>
        <v>-2.989745818172E-3</v>
      </c>
      <c r="G147" s="1355">
        <f t="shared" si="21"/>
        <v>0.37677778220678398</v>
      </c>
      <c r="H147" s="1355">
        <f t="shared" si="22"/>
        <v>0.21806499504796001</v>
      </c>
      <c r="J147">
        <f t="shared" si="23"/>
        <v>-3.1455446444096078E-3</v>
      </c>
      <c r="K147">
        <f t="shared" si="24"/>
        <v>0.37677778220678398</v>
      </c>
      <c r="L147">
        <f t="shared" si="25"/>
        <v>0.20027460213987491</v>
      </c>
      <c r="N147">
        <f t="shared" si="26"/>
        <v>0.11343667833674101</v>
      </c>
      <c r="O147">
        <f t="shared" si="26"/>
        <v>0.72226254714904514</v>
      </c>
      <c r="P147">
        <f t="shared" si="26"/>
        <v>0.58507107241776068</v>
      </c>
      <c r="R147" s="42">
        <f t="shared" si="27"/>
        <v>67.782455469289232</v>
      </c>
      <c r="S147" s="42">
        <f t="shared" si="28"/>
        <v>-304.41293440615209</v>
      </c>
      <c r="T147" s="42">
        <f t="shared" si="29"/>
        <v>27.438294946256892</v>
      </c>
    </row>
    <row r="148" spans="1:20">
      <c r="A148">
        <v>504</v>
      </c>
      <c r="B148" s="1355">
        <v>2.2362929999999999E-3</v>
      </c>
      <c r="C148" s="1355">
        <v>0.38928750000000001</v>
      </c>
      <c r="D148" s="1355">
        <v>0.22345329999999999</v>
      </c>
      <c r="F148" s="1355">
        <f t="shared" si="20"/>
        <v>-3.1711427029831999E-3</v>
      </c>
      <c r="G148" s="1355">
        <f t="shared" si="21"/>
        <v>0.39467645698147846</v>
      </c>
      <c r="H148" s="1355">
        <f t="shared" si="22"/>
        <v>0.20779257978141449</v>
      </c>
      <c r="J148">
        <f t="shared" si="23"/>
        <v>-3.3363943133220405E-3</v>
      </c>
      <c r="K148">
        <f t="shared" si="24"/>
        <v>0.39467645698147846</v>
      </c>
      <c r="L148">
        <f t="shared" si="25"/>
        <v>0.19084024115923928</v>
      </c>
      <c r="N148">
        <f t="shared" si="26"/>
        <v>0.11195053196491989</v>
      </c>
      <c r="O148">
        <f t="shared" si="26"/>
        <v>0.73352300737664966</v>
      </c>
      <c r="P148">
        <f t="shared" si="26"/>
        <v>0.57573591083703579</v>
      </c>
      <c r="R148" s="42">
        <f t="shared" si="27"/>
        <v>69.088668855691367</v>
      </c>
      <c r="S148" s="42">
        <f t="shared" si="28"/>
        <v>-310.78623770586489</v>
      </c>
      <c r="T148" s="42">
        <f t="shared" si="29"/>
        <v>31.557419307922775</v>
      </c>
    </row>
    <row r="149" spans="1:20">
      <c r="A149">
        <v>505</v>
      </c>
      <c r="B149" s="1355">
        <v>2.3999999999999998E-3</v>
      </c>
      <c r="C149" s="1355">
        <v>0.4073</v>
      </c>
      <c r="D149" s="1355">
        <v>0.21229999999999999</v>
      </c>
      <c r="F149" s="1355">
        <f t="shared" si="20"/>
        <v>-3.0085662299999998E-3</v>
      </c>
      <c r="G149" s="1355">
        <f t="shared" si="21"/>
        <v>0.41300049576000003</v>
      </c>
      <c r="H149" s="1355">
        <f t="shared" si="22"/>
        <v>0.19767345627999999</v>
      </c>
      <c r="J149">
        <f t="shared" si="23"/>
        <v>-3.1653458078634779E-3</v>
      </c>
      <c r="K149">
        <f t="shared" si="24"/>
        <v>0.41300049576000003</v>
      </c>
      <c r="L149">
        <f t="shared" si="25"/>
        <v>0.18154666594417862</v>
      </c>
      <c r="N149">
        <f t="shared" si="26"/>
        <v>0.11328248667692571</v>
      </c>
      <c r="O149">
        <f t="shared" si="26"/>
        <v>0.74470372181192945</v>
      </c>
      <c r="P149">
        <f t="shared" si="26"/>
        <v>0.56623419445975876</v>
      </c>
      <c r="R149" s="42">
        <f t="shared" si="27"/>
        <v>70.385631730183817</v>
      </c>
      <c r="S149" s="42">
        <f t="shared" si="28"/>
        <v>-315.71061756750186</v>
      </c>
      <c r="T149" s="42">
        <f t="shared" si="29"/>
        <v>35.693905470434139</v>
      </c>
    </row>
    <row r="150" spans="1:20">
      <c r="A150">
        <v>506</v>
      </c>
      <c r="B150" s="1355">
        <v>2.92552E-3</v>
      </c>
      <c r="C150" s="1355">
        <v>0.42562990000000001</v>
      </c>
      <c r="D150" s="1355">
        <v>0.20116919999999999</v>
      </c>
      <c r="F150" s="1355">
        <f t="shared" si="20"/>
        <v>-2.4901695089380002E-3</v>
      </c>
      <c r="G150" s="1355">
        <f t="shared" si="21"/>
        <v>0.43164234244603605</v>
      </c>
      <c r="H150" s="1355">
        <f t="shared" si="22"/>
        <v>0.18757585069099</v>
      </c>
      <c r="J150">
        <f t="shared" si="23"/>
        <v>-2.6199348837291025E-3</v>
      </c>
      <c r="K150">
        <f t="shared" si="24"/>
        <v>0.43164234244603605</v>
      </c>
      <c r="L150">
        <f t="shared" si="25"/>
        <v>0.1722728531460283</v>
      </c>
      <c r="N150">
        <f t="shared" si="26"/>
        <v>0.1175296015431601</v>
      </c>
      <c r="O150">
        <f t="shared" si="26"/>
        <v>0.75574395183694565</v>
      </c>
      <c r="P150">
        <f t="shared" si="26"/>
        <v>0.55642369446415574</v>
      </c>
      <c r="R150" s="42">
        <f t="shared" si="27"/>
        <v>71.666298413085698</v>
      </c>
      <c r="S150" s="42">
        <f t="shared" si="28"/>
        <v>-319.10717514689281</v>
      </c>
      <c r="T150" s="42">
        <f t="shared" si="29"/>
        <v>39.864051474557982</v>
      </c>
    </row>
    <row r="151" spans="1:20">
      <c r="A151">
        <v>507</v>
      </c>
      <c r="B151" s="1355">
        <v>3.8365600000000001E-3</v>
      </c>
      <c r="C151" s="1355">
        <v>0.44430960000000003</v>
      </c>
      <c r="D151" s="1355">
        <v>0.1901196</v>
      </c>
      <c r="F151" s="1355">
        <f t="shared" si="20"/>
        <v>-1.5933860871840001E-3</v>
      </c>
      <c r="G151" s="1355">
        <f t="shared" si="21"/>
        <v>0.450634437148208</v>
      </c>
      <c r="H151" s="1355">
        <f t="shared" si="22"/>
        <v>0.17755379368280003</v>
      </c>
      <c r="J151">
        <f t="shared" si="23"/>
        <v>-1.6764191265205635E-3</v>
      </c>
      <c r="K151">
        <f t="shared" si="24"/>
        <v>0.450634437148208</v>
      </c>
      <c r="L151">
        <f t="shared" si="25"/>
        <v>0.16306842545007028</v>
      </c>
      <c r="N151">
        <f t="shared" si="26"/>
        <v>0.12487675874454299</v>
      </c>
      <c r="O151">
        <f t="shared" si="26"/>
        <v>0.76666939303801762</v>
      </c>
      <c r="P151">
        <f t="shared" si="26"/>
        <v>0.5463319836175482</v>
      </c>
      <c r="R151" s="42">
        <f t="shared" si="27"/>
        <v>72.933649592410049</v>
      </c>
      <c r="S151" s="42">
        <f t="shared" si="28"/>
        <v>-320.89631714673732</v>
      </c>
      <c r="T151" s="42">
        <f t="shared" si="29"/>
        <v>44.067481884093887</v>
      </c>
    </row>
    <row r="152" spans="1:20">
      <c r="A152">
        <v>508</v>
      </c>
      <c r="B152" s="1355">
        <v>5.17484E-3</v>
      </c>
      <c r="C152" s="1355">
        <v>0.46339439999999998</v>
      </c>
      <c r="D152" s="1355">
        <v>0.17922540000000001</v>
      </c>
      <c r="F152" s="1355">
        <f t="shared" si="20"/>
        <v>-2.7815277537600065E-4</v>
      </c>
      <c r="G152" s="1355">
        <f t="shared" si="21"/>
        <v>0.47003220887111202</v>
      </c>
      <c r="H152" s="1355">
        <f t="shared" si="22"/>
        <v>0.16767563819260001</v>
      </c>
      <c r="J152">
        <f t="shared" si="23"/>
        <v>-2.9264761157743078E-4</v>
      </c>
      <c r="K152">
        <f t="shared" si="24"/>
        <v>0.47003220887111202</v>
      </c>
      <c r="L152">
        <f t="shared" si="25"/>
        <v>0.15399615935692443</v>
      </c>
      <c r="N152">
        <f t="shared" si="26"/>
        <v>0.13565218753140518</v>
      </c>
      <c r="O152">
        <f t="shared" si="26"/>
        <v>0.77751576984855719</v>
      </c>
      <c r="P152">
        <f t="shared" si="26"/>
        <v>0.53600638515835652</v>
      </c>
      <c r="R152" s="42">
        <f t="shared" si="27"/>
        <v>74.191829302432637</v>
      </c>
      <c r="S152" s="42">
        <f t="shared" si="28"/>
        <v>-320.931791158576</v>
      </c>
      <c r="T152" s="42">
        <f t="shared" si="29"/>
        <v>48.301876938040131</v>
      </c>
    </row>
    <row r="153" spans="1:20">
      <c r="A153">
        <v>509</v>
      </c>
      <c r="B153" s="1355">
        <v>6.9820799999999999E-3</v>
      </c>
      <c r="C153" s="1355">
        <v>0.48293950000000002</v>
      </c>
      <c r="D153" s="1355">
        <v>0.16856080000000001</v>
      </c>
      <c r="F153" s="1355">
        <f t="shared" si="20"/>
        <v>1.4955943326779996E-3</v>
      </c>
      <c r="G153" s="1355">
        <f t="shared" si="21"/>
        <v>0.48989098505984402</v>
      </c>
      <c r="H153" s="1355">
        <f t="shared" si="22"/>
        <v>0.15800973648059002</v>
      </c>
      <c r="J153">
        <f t="shared" si="23"/>
        <v>1.5735313399455001E-3</v>
      </c>
      <c r="K153">
        <f t="shared" si="24"/>
        <v>0.48989098505984402</v>
      </c>
      <c r="L153">
        <f t="shared" si="25"/>
        <v>0.14511883074546994</v>
      </c>
      <c r="N153">
        <f t="shared" si="26"/>
        <v>0.15018412302691422</v>
      </c>
      <c r="O153">
        <f t="shared" si="26"/>
        <v>0.78831504633357374</v>
      </c>
      <c r="P153">
        <f t="shared" si="26"/>
        <v>0.52550226249104137</v>
      </c>
      <c r="R153" s="42">
        <f t="shared" si="27"/>
        <v>75.444545374694556</v>
      </c>
      <c r="S153" s="42">
        <f t="shared" si="28"/>
        <v>-319.06546165332975</v>
      </c>
      <c r="T153" s="42">
        <f t="shared" si="29"/>
        <v>52.562556768506475</v>
      </c>
    </row>
    <row r="154" spans="1:20">
      <c r="A154">
        <v>510</v>
      </c>
      <c r="B154" s="1355">
        <v>9.2999999999999992E-3</v>
      </c>
      <c r="C154" s="1355">
        <v>0.503</v>
      </c>
      <c r="D154" s="1355">
        <v>0.15820000000000001</v>
      </c>
      <c r="F154" s="1355">
        <f t="shared" si="20"/>
        <v>3.7679198599999994E-3</v>
      </c>
      <c r="G154" s="1355">
        <f t="shared" si="21"/>
        <v>0.51026599160000008</v>
      </c>
      <c r="H154" s="1355">
        <f t="shared" si="22"/>
        <v>0.14862444013000001</v>
      </c>
      <c r="J154">
        <f t="shared" si="23"/>
        <v>3.9642701610782026E-3</v>
      </c>
      <c r="K154">
        <f t="shared" si="24"/>
        <v>0.51026599160000008</v>
      </c>
      <c r="L154">
        <f t="shared" si="25"/>
        <v>0.13649921487284516</v>
      </c>
      <c r="N154">
        <f t="shared" si="26"/>
        <v>0.16880080622707458</v>
      </c>
      <c r="O154">
        <f t="shared" si="26"/>
        <v>0.79909584914901355</v>
      </c>
      <c r="P154">
        <f t="shared" si="26"/>
        <v>0.5148847762744484</v>
      </c>
      <c r="R154" s="42">
        <f t="shared" si="27"/>
        <v>76.695118501285577</v>
      </c>
      <c r="S154" s="42">
        <f t="shared" si="28"/>
        <v>-315.14752146096947</v>
      </c>
      <c r="T154" s="42">
        <f t="shared" si="29"/>
        <v>56.842214574913029</v>
      </c>
    </row>
    <row r="155" spans="1:20">
      <c r="A155">
        <v>511</v>
      </c>
      <c r="B155" s="1355">
        <v>1.2149490000000001E-2</v>
      </c>
      <c r="C155" s="1355">
        <v>0.52356930000000002</v>
      </c>
      <c r="D155" s="1355">
        <v>0.1481383</v>
      </c>
      <c r="F155" s="1355">
        <f t="shared" si="20"/>
        <v>6.5596161610540007E-3</v>
      </c>
      <c r="G155" s="1355">
        <f t="shared" si="21"/>
        <v>0.53115028089275196</v>
      </c>
      <c r="H155" s="1355">
        <f t="shared" si="22"/>
        <v>0.13951531468186501</v>
      </c>
      <c r="J155">
        <f t="shared" si="23"/>
        <v>6.9014447179332333E-3</v>
      </c>
      <c r="K155">
        <f t="shared" si="24"/>
        <v>0.53115028089275196</v>
      </c>
      <c r="L155">
        <f t="shared" si="25"/>
        <v>0.12813323905647805</v>
      </c>
      <c r="N155">
        <f t="shared" si="26"/>
        <v>0.1916725845013047</v>
      </c>
      <c r="O155">
        <f t="shared" si="26"/>
        <v>0.80985227245086822</v>
      </c>
      <c r="P155">
        <f t="shared" si="26"/>
        <v>0.50414322462291306</v>
      </c>
      <c r="R155" s="42">
        <f t="shared" si="27"/>
        <v>77.942863604300712</v>
      </c>
      <c r="S155" s="42">
        <f t="shared" si="28"/>
        <v>-309.08984397478179</v>
      </c>
      <c r="T155" s="42">
        <f t="shared" si="29"/>
        <v>61.141809565591032</v>
      </c>
    </row>
    <row r="156" spans="1:20">
      <c r="A156">
        <v>512</v>
      </c>
      <c r="B156" s="1355">
        <v>1.553588E-2</v>
      </c>
      <c r="C156" s="1355">
        <v>0.544512</v>
      </c>
      <c r="D156" s="1355">
        <v>0.13837579999999999</v>
      </c>
      <c r="F156" s="1355">
        <f t="shared" si="20"/>
        <v>9.8769317478080015E-3</v>
      </c>
      <c r="G156" s="1355">
        <f t="shared" si="21"/>
        <v>0.55240627514378415</v>
      </c>
      <c r="H156" s="1355">
        <f t="shared" si="22"/>
        <v>0.13068151634104</v>
      </c>
      <c r="J156">
        <f t="shared" si="23"/>
        <v>1.0391629139065937E-2</v>
      </c>
      <c r="K156">
        <f t="shared" si="24"/>
        <v>0.55240627514378415</v>
      </c>
      <c r="L156">
        <f t="shared" si="25"/>
        <v>0.12002012834054904</v>
      </c>
      <c r="N156">
        <f t="shared" si="26"/>
        <v>0.21821999744377502</v>
      </c>
      <c r="O156">
        <f t="shared" si="26"/>
        <v>0.82051438831209289</v>
      </c>
      <c r="P156">
        <f t="shared" si="26"/>
        <v>0.49326999152233852</v>
      </c>
      <c r="R156" s="42">
        <f t="shared" si="27"/>
        <v>79.179669044202768</v>
      </c>
      <c r="S156" s="42">
        <f t="shared" si="28"/>
        <v>-301.1471954341589</v>
      </c>
      <c r="T156" s="42">
        <f t="shared" si="29"/>
        <v>65.448879357950872</v>
      </c>
    </row>
    <row r="157" spans="1:20">
      <c r="A157">
        <v>513</v>
      </c>
      <c r="B157" s="1355">
        <v>1.9477520000000002E-2</v>
      </c>
      <c r="C157" s="1355">
        <v>0.56569000000000003</v>
      </c>
      <c r="D157" s="1355">
        <v>0.1289942</v>
      </c>
      <c r="F157" s="1355">
        <f t="shared" si="20"/>
        <v>1.3738082281432001E-2</v>
      </c>
      <c r="G157" s="1355">
        <f t="shared" si="21"/>
        <v>0.57389325443813599</v>
      </c>
      <c r="H157" s="1355">
        <f t="shared" si="22"/>
        <v>0.12219705824046001</v>
      </c>
      <c r="J157">
        <f t="shared" si="23"/>
        <v>1.4453988323073848E-2</v>
      </c>
      <c r="K157">
        <f t="shared" si="24"/>
        <v>0.57389325443813599</v>
      </c>
      <c r="L157">
        <f t="shared" si="25"/>
        <v>0.11222785764578494</v>
      </c>
      <c r="N157">
        <f t="shared" si="26"/>
        <v>0.24359174497836322</v>
      </c>
      <c r="O157">
        <f t="shared" si="26"/>
        <v>0.83101789011167748</v>
      </c>
      <c r="P157">
        <f t="shared" si="26"/>
        <v>0.48235511792118824</v>
      </c>
      <c r="R157" s="42">
        <f t="shared" si="27"/>
        <v>80.398075252954584</v>
      </c>
      <c r="S157" s="42">
        <f t="shared" si="28"/>
        <v>-293.7130725666571</v>
      </c>
      <c r="T157" s="42">
        <f t="shared" si="29"/>
        <v>69.73255443809785</v>
      </c>
    </row>
    <row r="158" spans="1:20">
      <c r="A158">
        <v>514</v>
      </c>
      <c r="B158" s="1355">
        <v>2.399277E-2</v>
      </c>
      <c r="C158" s="1355">
        <v>0.58696530000000002</v>
      </c>
      <c r="D158" s="1355">
        <v>0.1200751</v>
      </c>
      <c r="F158" s="1355">
        <f t="shared" si="20"/>
        <v>1.8161293772301999E-2</v>
      </c>
      <c r="G158" s="1355">
        <f t="shared" si="21"/>
        <v>0.595470600589456</v>
      </c>
      <c r="H158" s="1355">
        <f t="shared" si="22"/>
        <v>0.11413586233870501</v>
      </c>
      <c r="J158">
        <f t="shared" si="23"/>
        <v>1.9107698057068606E-2</v>
      </c>
      <c r="K158">
        <f t="shared" si="24"/>
        <v>0.595470600589456</v>
      </c>
      <c r="L158">
        <f t="shared" si="25"/>
        <v>0.10482431815683349</v>
      </c>
      <c r="N158">
        <f t="shared" si="26"/>
        <v>0.26734339361993281</v>
      </c>
      <c r="O158">
        <f t="shared" si="26"/>
        <v>0.84130494477866813</v>
      </c>
      <c r="P158">
        <f t="shared" si="26"/>
        <v>0.47150613585707957</v>
      </c>
      <c r="R158" s="42">
        <f t="shared" si="27"/>
        <v>81.591373594325503</v>
      </c>
      <c r="S158" s="42">
        <f t="shared" si="28"/>
        <v>-286.98077557936762</v>
      </c>
      <c r="T158" s="42">
        <f t="shared" si="29"/>
        <v>73.959761784317706</v>
      </c>
    </row>
    <row r="159" spans="1:20">
      <c r="A159">
        <v>515</v>
      </c>
      <c r="B159" s="1355">
        <v>2.9100000000000001E-2</v>
      </c>
      <c r="C159" s="1355">
        <v>0.60819999999999996</v>
      </c>
      <c r="D159" s="1355">
        <v>0.11169999999999999</v>
      </c>
      <c r="F159" s="1355">
        <f t="shared" si="20"/>
        <v>2.3164802580000001E-2</v>
      </c>
      <c r="G159" s="1355">
        <f t="shared" si="21"/>
        <v>0.61699779714000003</v>
      </c>
      <c r="H159" s="1355">
        <f t="shared" si="22"/>
        <v>0.10657175942000001</v>
      </c>
      <c r="J159">
        <f t="shared" si="23"/>
        <v>2.4371945016675962E-2</v>
      </c>
      <c r="K159">
        <f t="shared" si="24"/>
        <v>0.61699779714000003</v>
      </c>
      <c r="L159">
        <f t="shared" si="25"/>
        <v>9.787731732226336E-2</v>
      </c>
      <c r="N159">
        <f t="shared" si="26"/>
        <v>0.28993238620559314</v>
      </c>
      <c r="O159">
        <f t="shared" si="26"/>
        <v>0.85132333528077375</v>
      </c>
      <c r="P159">
        <f t="shared" si="26"/>
        <v>0.46085116088582362</v>
      </c>
      <c r="R159" s="42">
        <f t="shared" si="27"/>
        <v>82.75350689256976</v>
      </c>
      <c r="S159" s="42">
        <f t="shared" si="28"/>
        <v>-280.69547453759031</v>
      </c>
      <c r="T159" s="42">
        <f t="shared" si="29"/>
        <v>78.094434878990029</v>
      </c>
    </row>
    <row r="160" spans="1:20">
      <c r="A160">
        <v>516</v>
      </c>
      <c r="B160" s="1355">
        <v>3.4814850000000001E-2</v>
      </c>
      <c r="C160" s="1355">
        <v>0.62934559999999995</v>
      </c>
      <c r="D160" s="1355">
        <v>0.10390480000000001</v>
      </c>
      <c r="F160" s="1355">
        <f t="shared" si="20"/>
        <v>2.87640299675E-2</v>
      </c>
      <c r="G160" s="1355">
        <f t="shared" si="21"/>
        <v>0.63842528912431984</v>
      </c>
      <c r="H160" s="1355">
        <f t="shared" si="22"/>
        <v>9.9537327253465008E-2</v>
      </c>
      <c r="J160">
        <f t="shared" si="23"/>
        <v>3.0262954083243025E-2</v>
      </c>
      <c r="K160">
        <f t="shared" si="24"/>
        <v>0.63842528912431984</v>
      </c>
      <c r="L160">
        <f t="shared" si="25"/>
        <v>9.1416775119591676E-2</v>
      </c>
      <c r="N160">
        <f t="shared" si="26"/>
        <v>0.31162845483939611</v>
      </c>
      <c r="O160">
        <f t="shared" si="26"/>
        <v>0.86106650142150098</v>
      </c>
      <c r="P160">
        <f t="shared" si="26"/>
        <v>0.45047977655747851</v>
      </c>
      <c r="R160" s="42">
        <f t="shared" si="27"/>
        <v>83.883714164894116</v>
      </c>
      <c r="S160" s="42">
        <f t="shared" si="28"/>
        <v>-274.71902329105245</v>
      </c>
      <c r="T160" s="42">
        <f t="shared" si="29"/>
        <v>82.117344972804489</v>
      </c>
    </row>
    <row r="161" spans="1:20">
      <c r="A161">
        <v>517</v>
      </c>
      <c r="B161" s="1355">
        <v>4.1120160000000003E-2</v>
      </c>
      <c r="C161" s="1355">
        <v>0.65030679999999996</v>
      </c>
      <c r="D161" s="1355">
        <v>9.666748E-2</v>
      </c>
      <c r="F161" s="1355">
        <f t="shared" si="20"/>
        <v>3.4942918768487999E-2</v>
      </c>
      <c r="G161" s="1355">
        <f t="shared" si="21"/>
        <v>0.65965656710767195</v>
      </c>
      <c r="H161" s="1355">
        <f t="shared" si="22"/>
        <v>9.3011764021412008E-2</v>
      </c>
      <c r="J161">
        <f t="shared" si="23"/>
        <v>3.6763831334485041E-2</v>
      </c>
      <c r="K161">
        <f t="shared" si="24"/>
        <v>0.65965656710767195</v>
      </c>
      <c r="L161">
        <f t="shared" si="25"/>
        <v>8.5423586805481122E-2</v>
      </c>
      <c r="N161">
        <f t="shared" si="26"/>
        <v>0.33251169260929203</v>
      </c>
      <c r="O161">
        <f t="shared" si="26"/>
        <v>0.87050772632020301</v>
      </c>
      <c r="P161">
        <f t="shared" si="26"/>
        <v>0.44041212557987447</v>
      </c>
      <c r="R161" s="42">
        <f t="shared" si="27"/>
        <v>84.978896253143546</v>
      </c>
      <c r="S161" s="42">
        <f t="shared" si="28"/>
        <v>-268.99801685545549</v>
      </c>
      <c r="T161" s="42">
        <f t="shared" si="29"/>
        <v>86.01912014806571</v>
      </c>
    </row>
    <row r="162" spans="1:20">
      <c r="A162">
        <v>518</v>
      </c>
      <c r="B162" s="1355">
        <v>4.798504E-2</v>
      </c>
      <c r="C162" s="1355">
        <v>0.6708752</v>
      </c>
      <c r="D162" s="1355">
        <v>8.9982720000000002E-2</v>
      </c>
      <c r="F162" s="1355">
        <f t="shared" si="20"/>
        <v>4.1672429725311995E-2</v>
      </c>
      <c r="G162" s="1355">
        <f t="shared" si="21"/>
        <v>0.68048037881644807</v>
      </c>
      <c r="H162" s="1355">
        <f t="shared" si="22"/>
        <v>8.6988884400168012E-2</v>
      </c>
      <c r="J162">
        <f t="shared" si="23"/>
        <v>4.3844024246227652E-2</v>
      </c>
      <c r="K162">
        <f t="shared" si="24"/>
        <v>0.68048037881644807</v>
      </c>
      <c r="L162">
        <f t="shared" si="25"/>
        <v>7.9892071673418275E-2</v>
      </c>
      <c r="N162">
        <f t="shared" si="26"/>
        <v>0.35261718149269483</v>
      </c>
      <c r="O162">
        <f t="shared" si="26"/>
        <v>0.87957295861417606</v>
      </c>
      <c r="P162">
        <f t="shared" si="26"/>
        <v>0.43069308035982162</v>
      </c>
      <c r="R162" s="42">
        <f t="shared" si="27"/>
        <v>86.030463199244423</v>
      </c>
      <c r="S162" s="42">
        <f t="shared" si="28"/>
        <v>-263.47788856074061</v>
      </c>
      <c r="T162" s="42">
        <f t="shared" si="29"/>
        <v>89.77597565087089</v>
      </c>
    </row>
    <row r="163" spans="1:20">
      <c r="A163">
        <v>519</v>
      </c>
      <c r="B163" s="1355">
        <v>5.5378610000000002E-2</v>
      </c>
      <c r="C163" s="1355">
        <v>0.69084239999999997</v>
      </c>
      <c r="D163" s="1355">
        <v>8.3845310000000006E-2</v>
      </c>
      <c r="F163" s="1355">
        <f t="shared" si="20"/>
        <v>4.8923532207079998E-2</v>
      </c>
      <c r="G163" s="1355">
        <f t="shared" si="21"/>
        <v>0.70068547153122596</v>
      </c>
      <c r="H163" s="1355">
        <f t="shared" si="22"/>
        <v>8.1462604027684016E-2</v>
      </c>
      <c r="J163">
        <f t="shared" si="23"/>
        <v>5.1472989370606119E-2</v>
      </c>
      <c r="K163">
        <f t="shared" si="24"/>
        <v>0.70068547153122596</v>
      </c>
      <c r="L163">
        <f t="shared" si="25"/>
        <v>7.4816641741763196E-2</v>
      </c>
      <c r="N163">
        <f t="shared" si="26"/>
        <v>0.37198588745409383</v>
      </c>
      <c r="O163">
        <f t="shared" si="26"/>
        <v>0.88819373238866894</v>
      </c>
      <c r="P163">
        <f t="shared" si="26"/>
        <v>0.42137238477437267</v>
      </c>
      <c r="R163" s="42">
        <f t="shared" si="27"/>
        <v>87.030472957085593</v>
      </c>
      <c r="S163" s="42">
        <f t="shared" si="28"/>
        <v>-258.10392246728753</v>
      </c>
      <c r="T163" s="42">
        <f t="shared" si="29"/>
        <v>93.36426952285926</v>
      </c>
    </row>
    <row r="164" spans="1:20">
      <c r="A164">
        <v>520</v>
      </c>
      <c r="B164" s="1355">
        <v>6.3270000000000007E-2</v>
      </c>
      <c r="C164" s="1355">
        <v>0.71</v>
      </c>
      <c r="D164" s="1355">
        <v>7.8249990000000005E-2</v>
      </c>
      <c r="F164" s="1355">
        <f t="shared" si="20"/>
        <v>5.6667206068155999E-2</v>
      </c>
      <c r="G164" s="1355">
        <f t="shared" si="21"/>
        <v>0.72006059255528199</v>
      </c>
      <c r="H164" s="1355">
        <f t="shared" si="22"/>
        <v>7.642679259843102E-2</v>
      </c>
      <c r="J164">
        <f t="shared" si="23"/>
        <v>5.9620194291409509E-2</v>
      </c>
      <c r="K164">
        <f t="shared" si="24"/>
        <v>0.72006059255528199</v>
      </c>
      <c r="L164">
        <f t="shared" si="25"/>
        <v>7.0191666833602145E-2</v>
      </c>
      <c r="N164">
        <f t="shared" si="26"/>
        <v>0.39065896548262058</v>
      </c>
      <c r="O164">
        <f t="shared" si="26"/>
        <v>0.8963060911769829</v>
      </c>
      <c r="P164">
        <f t="shared" si="26"/>
        <v>0.41250433657364882</v>
      </c>
      <c r="R164" s="42">
        <f t="shared" si="27"/>
        <v>87.971506576530018</v>
      </c>
      <c r="S164" s="42">
        <f t="shared" si="28"/>
        <v>-252.82356284718117</v>
      </c>
      <c r="T164" s="42">
        <f t="shared" si="29"/>
        <v>96.760350920666809</v>
      </c>
    </row>
    <row r="165" spans="1:20">
      <c r="A165">
        <v>521</v>
      </c>
      <c r="B165" s="1355">
        <v>7.1635009999999999E-2</v>
      </c>
      <c r="C165" s="1355">
        <v>0.72818519999999998</v>
      </c>
      <c r="D165" s="1355">
        <v>7.3208990000000002E-2</v>
      </c>
      <c r="F165" s="1355">
        <f t="shared" si="20"/>
        <v>6.4880507417071992E-2</v>
      </c>
      <c r="G165" s="1355">
        <f t="shared" si="21"/>
        <v>0.73844066659377006</v>
      </c>
      <c r="H165" s="1355">
        <f t="shared" si="22"/>
        <v>7.1891663300836003E-2</v>
      </c>
      <c r="J165">
        <f t="shared" si="23"/>
        <v>6.8261499486645547E-2</v>
      </c>
      <c r="K165">
        <f t="shared" si="24"/>
        <v>0.73844066659377006</v>
      </c>
      <c r="L165">
        <f t="shared" si="25"/>
        <v>6.602652691497847E-2</v>
      </c>
      <c r="N165">
        <f t="shared" si="26"/>
        <v>0.40868805207162179</v>
      </c>
      <c r="O165">
        <f t="shared" si="26"/>
        <v>0.90386839694194754</v>
      </c>
      <c r="P165">
        <f t="shared" si="26"/>
        <v>0.40417813704776212</v>
      </c>
      <c r="R165" s="42">
        <f t="shared" si="27"/>
        <v>88.848734045265914</v>
      </c>
      <c r="S165" s="42">
        <f t="shared" si="28"/>
        <v>-247.59017243516288</v>
      </c>
      <c r="T165" s="42">
        <f t="shared" si="29"/>
        <v>99.93805197883708</v>
      </c>
    </row>
    <row r="166" spans="1:20">
      <c r="A166">
        <v>522</v>
      </c>
      <c r="B166" s="1355">
        <v>8.0462240000000004E-2</v>
      </c>
      <c r="C166" s="1355">
        <v>0.7454636</v>
      </c>
      <c r="D166" s="1355">
        <v>6.8678160000000002E-2</v>
      </c>
      <c r="F166" s="1355">
        <f t="shared" si="20"/>
        <v>7.3552187739448008E-2</v>
      </c>
      <c r="G166" s="1355">
        <f t="shared" si="21"/>
        <v>0.75589258699039996</v>
      </c>
      <c r="H166" s="1355">
        <f t="shared" si="22"/>
        <v>6.7817164223984011E-2</v>
      </c>
      <c r="J166">
        <f t="shared" si="23"/>
        <v>7.7385070269916992E-2</v>
      </c>
      <c r="K166">
        <f t="shared" si="24"/>
        <v>0.75589258699039996</v>
      </c>
      <c r="L166">
        <f t="shared" si="25"/>
        <v>6.2284437629367313E-2</v>
      </c>
      <c r="N166">
        <f t="shared" si="26"/>
        <v>0.42614009049126017</v>
      </c>
      <c r="O166">
        <f t="shared" si="26"/>
        <v>0.91093354545038996</v>
      </c>
      <c r="P166">
        <f t="shared" si="26"/>
        <v>0.39639349220983172</v>
      </c>
      <c r="R166" s="42">
        <f t="shared" si="27"/>
        <v>89.668291272245241</v>
      </c>
      <c r="S166" s="42">
        <f t="shared" si="28"/>
        <v>-242.3967274795649</v>
      </c>
      <c r="T166" s="42">
        <f t="shared" si="29"/>
        <v>102.90801064811164</v>
      </c>
    </row>
    <row r="167" spans="1:20">
      <c r="A167">
        <v>523</v>
      </c>
      <c r="B167" s="1355">
        <v>8.9739959999999994E-2</v>
      </c>
      <c r="C167" s="1355">
        <v>0.76196940000000002</v>
      </c>
      <c r="D167" s="1355">
        <v>6.4567840000000001E-2</v>
      </c>
      <c r="F167" s="1355">
        <f t="shared" si="20"/>
        <v>8.2670708553771996E-2</v>
      </c>
      <c r="G167" s="1355">
        <f t="shared" si="21"/>
        <v>0.77255305425076004</v>
      </c>
      <c r="H167" s="1355">
        <f t="shared" si="22"/>
        <v>6.4121923713816004E-2</v>
      </c>
      <c r="J167">
        <f t="shared" si="23"/>
        <v>8.6978766877199687E-2</v>
      </c>
      <c r="K167">
        <f t="shared" si="24"/>
        <v>0.77255305425076004</v>
      </c>
      <c r="L167">
        <f t="shared" si="25"/>
        <v>5.8890665865025768E-2</v>
      </c>
      <c r="N167">
        <f t="shared" si="26"/>
        <v>0.44306871135196302</v>
      </c>
      <c r="O167">
        <f t="shared" si="26"/>
        <v>0.91757753301467426</v>
      </c>
      <c r="P167">
        <f t="shared" si="26"/>
        <v>0.38905901978744495</v>
      </c>
      <c r="R167" s="42">
        <f t="shared" si="27"/>
        <v>90.438993829702213</v>
      </c>
      <c r="S167" s="42">
        <f t="shared" si="28"/>
        <v>-237.25441083135561</v>
      </c>
      <c r="T167" s="42">
        <f t="shared" si="29"/>
        <v>105.70370264544586</v>
      </c>
    </row>
    <row r="168" spans="1:20">
      <c r="A168">
        <v>524</v>
      </c>
      <c r="B168" s="1355">
        <v>9.9456450000000002E-2</v>
      </c>
      <c r="C168" s="1355">
        <v>0.77783679999999999</v>
      </c>
      <c r="D168" s="1355">
        <v>6.0788349999999998E-2</v>
      </c>
      <c r="F168" s="1355">
        <f t="shared" si="20"/>
        <v>9.2224541515320016E-2</v>
      </c>
      <c r="G168" s="1355">
        <f t="shared" si="21"/>
        <v>0.78855876881529008</v>
      </c>
      <c r="H168" s="1355">
        <f t="shared" si="22"/>
        <v>6.0724551717499999E-2</v>
      </c>
      <c r="J168">
        <f t="shared" si="23"/>
        <v>9.7030460209496364E-2</v>
      </c>
      <c r="K168">
        <f t="shared" si="24"/>
        <v>0.78855876881529008</v>
      </c>
      <c r="L168">
        <f t="shared" si="25"/>
        <v>5.5770461612464753E-2</v>
      </c>
      <c r="N168">
        <f t="shared" si="26"/>
        <v>0.45951817887862889</v>
      </c>
      <c r="O168">
        <f t="shared" si="26"/>
        <v>0.92387104295869193</v>
      </c>
      <c r="P168">
        <f t="shared" si="26"/>
        <v>0.38206279317443537</v>
      </c>
      <c r="R168" s="42">
        <f t="shared" si="27"/>
        <v>91.169040983208262</v>
      </c>
      <c r="S168" s="42">
        <f t="shared" si="28"/>
        <v>-232.17643204003153</v>
      </c>
      <c r="T168" s="42">
        <f t="shared" si="29"/>
        <v>108.36164995685131</v>
      </c>
    </row>
    <row r="169" spans="1:20">
      <c r="A169">
        <v>525</v>
      </c>
      <c r="B169" s="1355">
        <v>0.1096</v>
      </c>
      <c r="C169" s="1355">
        <v>0.79320000000000002</v>
      </c>
      <c r="D169" s="1355">
        <v>5.7250009999999997E-2</v>
      </c>
      <c r="F169" s="1355">
        <f t="shared" si="20"/>
        <v>0.10220216818384401</v>
      </c>
      <c r="G169" s="1355">
        <f t="shared" si="21"/>
        <v>0.80404643100071804</v>
      </c>
      <c r="H169" s="1355">
        <f t="shared" si="22"/>
        <v>5.7543658146569004E-2</v>
      </c>
      <c r="J169">
        <f t="shared" si="23"/>
        <v>0.10752803158841837</v>
      </c>
      <c r="K169">
        <f t="shared" si="24"/>
        <v>0.80404643100071804</v>
      </c>
      <c r="L169">
        <f t="shared" si="25"/>
        <v>5.2849074829467414E-2</v>
      </c>
      <c r="N169">
        <f t="shared" si="26"/>
        <v>0.47552559598942429</v>
      </c>
      <c r="O169">
        <f t="shared" si="26"/>
        <v>0.92988029098587177</v>
      </c>
      <c r="P169">
        <f t="shared" si="26"/>
        <v>0.37527168419691392</v>
      </c>
      <c r="R169" s="42">
        <f t="shared" si="27"/>
        <v>91.866113754361123</v>
      </c>
      <c r="S169" s="42">
        <f t="shared" si="28"/>
        <v>-227.17734749822375</v>
      </c>
      <c r="T169" s="42">
        <f t="shared" si="29"/>
        <v>110.92172135779157</v>
      </c>
    </row>
    <row r="170" spans="1:20">
      <c r="A170">
        <v>526</v>
      </c>
      <c r="B170" s="1355">
        <v>0.12016739999999999</v>
      </c>
      <c r="C170" s="1355">
        <v>0.80811040000000001</v>
      </c>
      <c r="D170" s="1355">
        <v>5.3904349999999997E-2</v>
      </c>
      <c r="F170" s="1355">
        <f t="shared" si="20"/>
        <v>0.11260060378006</v>
      </c>
      <c r="G170" s="1355">
        <f t="shared" si="21"/>
        <v>0.81906842403144997</v>
      </c>
      <c r="H170" s="1355">
        <f t="shared" si="22"/>
        <v>5.4535099337495001E-2</v>
      </c>
      <c r="J170">
        <f t="shared" si="23"/>
        <v>0.11846834069466684</v>
      </c>
      <c r="K170">
        <f t="shared" si="24"/>
        <v>0.81906842403144997</v>
      </c>
      <c r="L170">
        <f t="shared" si="25"/>
        <v>5.0085963224282028E-2</v>
      </c>
      <c r="N170">
        <f t="shared" si="26"/>
        <v>0.49113486877709428</v>
      </c>
      <c r="O170">
        <f t="shared" si="26"/>
        <v>0.93563557843311007</v>
      </c>
      <c r="P170">
        <f t="shared" si="26"/>
        <v>0.3686141564687988</v>
      </c>
      <c r="R170" s="42">
        <f t="shared" si="27"/>
        <v>92.533727098240774</v>
      </c>
      <c r="S170" s="42">
        <f t="shared" si="28"/>
        <v>-222.25035482800789</v>
      </c>
      <c r="T170" s="42">
        <f t="shared" si="29"/>
        <v>113.40428439286225</v>
      </c>
    </row>
    <row r="171" spans="1:20">
      <c r="A171">
        <v>527</v>
      </c>
      <c r="B171" s="1355">
        <v>0.13111449999999999</v>
      </c>
      <c r="C171" s="1355">
        <v>0.82249620000000001</v>
      </c>
      <c r="D171" s="1355">
        <v>5.0746640000000003E-2</v>
      </c>
      <c r="F171" s="1355">
        <f t="shared" si="20"/>
        <v>0.123376689668156</v>
      </c>
      <c r="G171" s="1355">
        <f t="shared" si="21"/>
        <v>0.83355238822535205</v>
      </c>
      <c r="H171" s="1355">
        <f t="shared" si="22"/>
        <v>5.1694203672206E-2</v>
      </c>
      <c r="J171">
        <f t="shared" si="23"/>
        <v>0.12980597985013309</v>
      </c>
      <c r="K171">
        <f t="shared" si="24"/>
        <v>0.83355238822535205</v>
      </c>
      <c r="L171">
        <f t="shared" si="25"/>
        <v>4.7476836303377019E-2</v>
      </c>
      <c r="N171">
        <f t="shared" si="26"/>
        <v>0.5063275593289025</v>
      </c>
      <c r="O171">
        <f t="shared" si="26"/>
        <v>0.94111847707545526</v>
      </c>
      <c r="P171">
        <f t="shared" si="26"/>
        <v>0.36209894302872647</v>
      </c>
      <c r="R171" s="42">
        <f t="shared" si="27"/>
        <v>93.169743340752817</v>
      </c>
      <c r="S171" s="42">
        <f t="shared" si="28"/>
        <v>-217.39545887327637</v>
      </c>
      <c r="T171" s="42">
        <f t="shared" si="29"/>
        <v>115.80390680934576</v>
      </c>
    </row>
    <row r="172" spans="1:20">
      <c r="A172">
        <v>528</v>
      </c>
      <c r="B172" s="1355">
        <v>0.14236789999999999</v>
      </c>
      <c r="C172" s="1355">
        <v>0.83630680000000002</v>
      </c>
      <c r="D172" s="1355">
        <v>4.7752759999999998E-2</v>
      </c>
      <c r="F172" s="1355">
        <f t="shared" si="20"/>
        <v>0.13445836987854398</v>
      </c>
      <c r="G172" s="1355">
        <f t="shared" si="21"/>
        <v>0.84744791314968804</v>
      </c>
      <c r="H172" s="1355">
        <f t="shared" si="22"/>
        <v>4.8998744220354003E-2</v>
      </c>
      <c r="J172">
        <f t="shared" si="23"/>
        <v>0.14146513817221373</v>
      </c>
      <c r="K172">
        <f t="shared" si="24"/>
        <v>0.84744791314968804</v>
      </c>
      <c r="L172">
        <f t="shared" si="25"/>
        <v>4.5001280475697771E-2</v>
      </c>
      <c r="N172">
        <f t="shared" si="26"/>
        <v>0.52105449008715199</v>
      </c>
      <c r="O172">
        <f t="shared" si="26"/>
        <v>0.94631924332514283</v>
      </c>
      <c r="P172">
        <f t="shared" si="26"/>
        <v>0.35569270413214488</v>
      </c>
      <c r="R172" s="42">
        <f t="shared" si="27"/>
        <v>93.773032225716562</v>
      </c>
      <c r="S172" s="42">
        <f t="shared" si="28"/>
        <v>-212.63237661899541</v>
      </c>
      <c r="T172" s="42">
        <f t="shared" si="29"/>
        <v>118.12530783859958</v>
      </c>
    </row>
    <row r="173" spans="1:20">
      <c r="A173">
        <v>529</v>
      </c>
      <c r="B173" s="1355">
        <v>0.1538542</v>
      </c>
      <c r="C173" s="1355">
        <v>0.84949160000000001</v>
      </c>
      <c r="D173" s="1355">
        <v>4.4898590000000002E-2</v>
      </c>
      <c r="F173" s="1355">
        <f t="shared" si="20"/>
        <v>0.14577358844163599</v>
      </c>
      <c r="G173" s="1355">
        <f t="shared" si="21"/>
        <v>0.86070458837172203</v>
      </c>
      <c r="H173" s="1355">
        <f t="shared" si="22"/>
        <v>4.6426494051591001E-2</v>
      </c>
      <c r="J173">
        <f t="shared" si="23"/>
        <v>0.15337000477830545</v>
      </c>
      <c r="K173">
        <f t="shared" si="24"/>
        <v>0.86070458837172203</v>
      </c>
      <c r="L173">
        <f t="shared" si="25"/>
        <v>4.2638882150189655E-2</v>
      </c>
      <c r="N173">
        <f t="shared" si="26"/>
        <v>0.5352789237954283</v>
      </c>
      <c r="O173">
        <f t="shared" si="26"/>
        <v>0.95122817637307111</v>
      </c>
      <c r="P173">
        <f t="shared" si="26"/>
        <v>0.34935631939025502</v>
      </c>
      <c r="R173" s="42">
        <f t="shared" si="27"/>
        <v>94.342468459276247</v>
      </c>
      <c r="S173" s="42">
        <f t="shared" si="28"/>
        <v>-207.97462628882141</v>
      </c>
      <c r="T173" s="42">
        <f t="shared" si="29"/>
        <v>120.37437139656322</v>
      </c>
    </row>
    <row r="174" spans="1:20">
      <c r="A174">
        <v>530</v>
      </c>
      <c r="B174" s="1355">
        <v>0.16550000000000001</v>
      </c>
      <c r="C174" s="1355">
        <v>0.86199999999999999</v>
      </c>
      <c r="D174" s="1355">
        <v>4.2160000000000003E-2</v>
      </c>
      <c r="F174" s="1355">
        <f t="shared" si="20"/>
        <v>0.157250289504</v>
      </c>
      <c r="G174" s="1355">
        <f t="shared" si="21"/>
        <v>0.87327200348799994</v>
      </c>
      <c r="H174" s="1355">
        <f t="shared" si="22"/>
        <v>4.3955217054000004E-2</v>
      </c>
      <c r="J174">
        <f t="shared" si="23"/>
        <v>0.16544476890801391</v>
      </c>
      <c r="K174">
        <f t="shared" si="24"/>
        <v>0.87327200348799994</v>
      </c>
      <c r="L174">
        <f t="shared" si="25"/>
        <v>4.0369219303288857E-2</v>
      </c>
      <c r="N174">
        <f t="shared" si="26"/>
        <v>0.54897303560211008</v>
      </c>
      <c r="O174">
        <f t="shared" si="26"/>
        <v>0.95583555009355503</v>
      </c>
      <c r="P174">
        <f t="shared" si="26"/>
        <v>0.34304422842613824</v>
      </c>
      <c r="R174" s="42">
        <f t="shared" si="27"/>
        <v>94.876923810852389</v>
      </c>
      <c r="S174" s="42">
        <f t="shared" si="28"/>
        <v>-203.43125724572246</v>
      </c>
      <c r="T174" s="42">
        <f t="shared" si="29"/>
        <v>122.55826433348335</v>
      </c>
    </row>
    <row r="175" spans="1:20">
      <c r="A175">
        <v>531</v>
      </c>
      <c r="B175" s="1355">
        <v>0.1772571</v>
      </c>
      <c r="C175" s="1355">
        <v>0.8738108</v>
      </c>
      <c r="D175" s="1355">
        <v>3.9507279999999999E-2</v>
      </c>
      <c r="F175" s="1355">
        <f t="shared" si="20"/>
        <v>0.16884123055875203</v>
      </c>
      <c r="G175" s="1355">
        <f t="shared" si="21"/>
        <v>0.88512931117318405</v>
      </c>
      <c r="H175" s="1355">
        <f t="shared" si="22"/>
        <v>4.1557663029141996E-2</v>
      </c>
      <c r="J175">
        <f t="shared" si="23"/>
        <v>0.1776397261973045</v>
      </c>
      <c r="K175">
        <f t="shared" si="24"/>
        <v>0.88512931117318405</v>
      </c>
      <c r="L175">
        <f t="shared" si="25"/>
        <v>3.8167264889047876E-2</v>
      </c>
      <c r="N175">
        <f t="shared" si="26"/>
        <v>0.56214285932841623</v>
      </c>
      <c r="O175">
        <f t="shared" si="26"/>
        <v>0.96014223557043865</v>
      </c>
      <c r="P175">
        <f t="shared" si="26"/>
        <v>0.33669009977558839</v>
      </c>
      <c r="R175" s="42">
        <f t="shared" si="27"/>
        <v>95.376499326170887</v>
      </c>
      <c r="S175" s="42">
        <f t="shared" si="28"/>
        <v>-198.99968812101122</v>
      </c>
      <c r="T175" s="42">
        <f t="shared" si="29"/>
        <v>124.69042715897005</v>
      </c>
    </row>
    <row r="176" spans="1:20">
      <c r="A176">
        <v>532</v>
      </c>
      <c r="B176" s="1355">
        <v>0.18914</v>
      </c>
      <c r="C176" s="1355">
        <v>0.88496240000000004</v>
      </c>
      <c r="D176" s="1355">
        <v>3.6935639999999999E-2</v>
      </c>
      <c r="F176" s="1355">
        <f t="shared" si="20"/>
        <v>0.18056055347209599</v>
      </c>
      <c r="G176" s="1355">
        <f t="shared" si="21"/>
        <v>0.89631534491895215</v>
      </c>
      <c r="H176" s="1355">
        <f t="shared" si="22"/>
        <v>3.9229642291196007E-2</v>
      </c>
      <c r="J176">
        <f t="shared" si="23"/>
        <v>0.18996975546003134</v>
      </c>
      <c r="K176">
        <f t="shared" si="24"/>
        <v>0.89631534491895215</v>
      </c>
      <c r="L176">
        <f t="shared" si="25"/>
        <v>3.6029171028715237E-2</v>
      </c>
      <c r="N176">
        <f t="shared" si="26"/>
        <v>0.57485920228499399</v>
      </c>
      <c r="O176">
        <f t="shared" si="26"/>
        <v>0.96416999152891691</v>
      </c>
      <c r="P176">
        <f t="shared" si="26"/>
        <v>0.33028188656529295</v>
      </c>
      <c r="R176" s="42">
        <f t="shared" si="27"/>
        <v>95.84371901735436</v>
      </c>
      <c r="S176" s="42">
        <f t="shared" si="28"/>
        <v>-194.65539462196148</v>
      </c>
      <c r="T176" s="42">
        <f t="shared" si="29"/>
        <v>126.77762099272481</v>
      </c>
    </row>
    <row r="177" spans="1:20">
      <c r="A177">
        <v>533</v>
      </c>
      <c r="B177" s="1355">
        <v>0.2011694</v>
      </c>
      <c r="C177" s="1355">
        <v>0.8954936</v>
      </c>
      <c r="D177" s="1355">
        <v>3.445836E-2</v>
      </c>
      <c r="F177" s="1355">
        <f t="shared" si="20"/>
        <v>0.19242832812414401</v>
      </c>
      <c r="G177" s="1355">
        <f t="shared" si="21"/>
        <v>0.90686921484096805</v>
      </c>
      <c r="H177" s="1355">
        <f t="shared" si="22"/>
        <v>3.6983536863704002E-2</v>
      </c>
      <c r="J177">
        <f t="shared" si="23"/>
        <v>0.20245597243905017</v>
      </c>
      <c r="K177">
        <f t="shared" si="24"/>
        <v>0.90686921484096805</v>
      </c>
      <c r="L177">
        <f t="shared" si="25"/>
        <v>3.3966309583409716E-2</v>
      </c>
      <c r="N177">
        <f t="shared" si="26"/>
        <v>0.58718758455388553</v>
      </c>
      <c r="O177">
        <f t="shared" si="26"/>
        <v>0.96793951496691721</v>
      </c>
      <c r="P177">
        <f t="shared" si="26"/>
        <v>0.32385414096984766</v>
      </c>
      <c r="R177" s="42">
        <f t="shared" si="27"/>
        <v>96.280983736162398</v>
      </c>
      <c r="S177" s="42">
        <f t="shared" si="28"/>
        <v>-190.37596520651584</v>
      </c>
      <c r="T177" s="42">
        <f t="shared" si="29"/>
        <v>128.81707479941392</v>
      </c>
    </row>
    <row r="178" spans="1:20">
      <c r="A178">
        <v>534</v>
      </c>
      <c r="B178" s="1355">
        <v>0.21336579999999999</v>
      </c>
      <c r="C178" s="1355">
        <v>0.9054432</v>
      </c>
      <c r="D178" s="1355">
        <v>3.2088720000000001E-2</v>
      </c>
      <c r="F178" s="1355">
        <f t="shared" si="20"/>
        <v>0.204464426305488</v>
      </c>
      <c r="G178" s="1355">
        <f t="shared" si="21"/>
        <v>0.91683003352913606</v>
      </c>
      <c r="H178" s="1355">
        <f t="shared" si="22"/>
        <v>3.4831729482908004E-2</v>
      </c>
      <c r="J178">
        <f t="shared" si="23"/>
        <v>0.2151192844650415</v>
      </c>
      <c r="K178">
        <f t="shared" si="24"/>
        <v>0.91683003352913606</v>
      </c>
      <c r="L178">
        <f t="shared" si="25"/>
        <v>3.1990053068805972E-2</v>
      </c>
      <c r="N178">
        <f t="shared" si="26"/>
        <v>0.59918341179650603</v>
      </c>
      <c r="O178">
        <f t="shared" si="26"/>
        <v>0.97147048498972699</v>
      </c>
      <c r="P178">
        <f t="shared" si="26"/>
        <v>0.31744731163246731</v>
      </c>
      <c r="R178" s="42">
        <f t="shared" si="27"/>
        <v>96.690576258808335</v>
      </c>
      <c r="S178" s="42">
        <f t="shared" si="28"/>
        <v>-186.14353659661049</v>
      </c>
      <c r="T178" s="42">
        <f t="shared" si="29"/>
        <v>130.80463467145194</v>
      </c>
    </row>
    <row r="179" spans="1:20">
      <c r="A179">
        <v>535</v>
      </c>
      <c r="B179" s="1355">
        <v>0.2257499</v>
      </c>
      <c r="C179" s="1355">
        <v>0.9148501</v>
      </c>
      <c r="D179" s="1355">
        <v>2.9839999999999998E-2</v>
      </c>
      <c r="F179" s="1355">
        <f t="shared" si="20"/>
        <v>0.21668891717941</v>
      </c>
      <c r="G179" s="1355">
        <f t="shared" si="21"/>
        <v>0.92623701265862002</v>
      </c>
      <c r="H179" s="1355">
        <f t="shared" si="22"/>
        <v>3.2786602849320001E-2</v>
      </c>
      <c r="J179">
        <f t="shared" si="23"/>
        <v>0.22798080652667627</v>
      </c>
      <c r="K179">
        <f t="shared" si="24"/>
        <v>0.92623701265862002</v>
      </c>
      <c r="L179">
        <f t="shared" si="25"/>
        <v>3.0111773967763565E-2</v>
      </c>
      <c r="N179">
        <f t="shared" si="26"/>
        <v>0.61089433138491334</v>
      </c>
      <c r="O179">
        <f t="shared" si="26"/>
        <v>0.97478172195713553</v>
      </c>
      <c r="P179">
        <f t="shared" si="26"/>
        <v>0.31110866977723167</v>
      </c>
      <c r="R179" s="42">
        <f t="shared" si="27"/>
        <v>97.074679747027716</v>
      </c>
      <c r="S179" s="42">
        <f t="shared" si="28"/>
        <v>-181.94369528611111</v>
      </c>
      <c r="T179" s="42">
        <f t="shared" si="29"/>
        <v>132.73461043598078</v>
      </c>
    </row>
    <row r="180" spans="1:20">
      <c r="A180">
        <v>536</v>
      </c>
      <c r="B180" s="1355">
        <v>0.2383209</v>
      </c>
      <c r="C180" s="1355">
        <v>0.92373479999999997</v>
      </c>
      <c r="D180" s="1355">
        <v>2.771181E-2</v>
      </c>
      <c r="F180" s="1355">
        <f t="shared" si="20"/>
        <v>0.22910086596776402</v>
      </c>
      <c r="G180" s="1355">
        <f t="shared" si="21"/>
        <v>0.93511098296587802</v>
      </c>
      <c r="H180" s="1355">
        <f t="shared" si="22"/>
        <v>3.0847940511399E-2</v>
      </c>
      <c r="J180">
        <f t="shared" si="23"/>
        <v>0.24103955513352765</v>
      </c>
      <c r="K180">
        <f t="shared" si="24"/>
        <v>0.93511098296587802</v>
      </c>
      <c r="L180">
        <f t="shared" si="25"/>
        <v>2.833127348750402E-2</v>
      </c>
      <c r="N180">
        <f t="shared" si="26"/>
        <v>0.62234246978294994</v>
      </c>
      <c r="O180">
        <f t="shared" si="26"/>
        <v>0.97788485329818875</v>
      </c>
      <c r="P180">
        <f t="shared" si="26"/>
        <v>0.30485175448195184</v>
      </c>
      <c r="R180" s="42">
        <f t="shared" si="27"/>
        <v>97.434642982589892</v>
      </c>
      <c r="S180" s="42">
        <f t="shared" si="28"/>
        <v>-177.77119175761942</v>
      </c>
      <c r="T180" s="42">
        <f t="shared" si="29"/>
        <v>134.60661976324738</v>
      </c>
    </row>
    <row r="181" spans="1:20">
      <c r="A181">
        <v>537</v>
      </c>
      <c r="B181" s="1355">
        <v>0.25106679999999998</v>
      </c>
      <c r="C181" s="1355">
        <v>0.93209240000000004</v>
      </c>
      <c r="D181" s="1355">
        <v>2.5694439999999999E-2</v>
      </c>
      <c r="F181" s="1355">
        <f t="shared" si="20"/>
        <v>0.24168853521149597</v>
      </c>
      <c r="G181" s="1355">
        <f t="shared" si="21"/>
        <v>0.94344714492263204</v>
      </c>
      <c r="H181" s="1355">
        <f t="shared" si="22"/>
        <v>2.9006836756116001E-2</v>
      </c>
      <c r="J181">
        <f t="shared" si="23"/>
        <v>0.25428318117509857</v>
      </c>
      <c r="K181">
        <f t="shared" si="24"/>
        <v>0.94344714492263204</v>
      </c>
      <c r="L181">
        <f t="shared" si="25"/>
        <v>2.6640372469638053E-2</v>
      </c>
      <c r="N181">
        <f t="shared" si="26"/>
        <v>0.63353781921865537</v>
      </c>
      <c r="O181">
        <f t="shared" si="26"/>
        <v>0.98078208599481564</v>
      </c>
      <c r="P181">
        <f t="shared" si="26"/>
        <v>0.29866208836190289</v>
      </c>
      <c r="R181" s="42">
        <f t="shared" si="27"/>
        <v>97.770721975398615</v>
      </c>
      <c r="S181" s="42">
        <f t="shared" si="28"/>
        <v>-173.62213338808013</v>
      </c>
      <c r="T181" s="42">
        <f t="shared" si="29"/>
        <v>136.42399952658255</v>
      </c>
    </row>
    <row r="182" spans="1:20">
      <c r="A182">
        <v>538</v>
      </c>
      <c r="B182" s="1355">
        <v>0.26399220000000001</v>
      </c>
      <c r="C182" s="1355">
        <v>0.93992260000000005</v>
      </c>
      <c r="D182" s="1355">
        <v>2.3787160000000002E-2</v>
      </c>
      <c r="F182" s="1355">
        <f t="shared" si="20"/>
        <v>0.254456491599444</v>
      </c>
      <c r="G182" s="1355">
        <f t="shared" si="21"/>
        <v>0.95124513908044805</v>
      </c>
      <c r="H182" s="1355">
        <f t="shared" si="22"/>
        <v>2.7262602905924003E-2</v>
      </c>
      <c r="J182">
        <f t="shared" si="23"/>
        <v>0.26771648931522718</v>
      </c>
      <c r="K182">
        <f t="shared" si="24"/>
        <v>0.95124513908044805</v>
      </c>
      <c r="L182">
        <f t="shared" si="25"/>
        <v>2.5038438420987668E-2</v>
      </c>
      <c r="N182">
        <f t="shared" si="26"/>
        <v>0.64450314424442989</v>
      </c>
      <c r="O182">
        <f t="shared" si="26"/>
        <v>0.98347686953419389</v>
      </c>
      <c r="P182">
        <f t="shared" si="26"/>
        <v>0.29255155658172038</v>
      </c>
      <c r="R182" s="42">
        <f t="shared" si="27"/>
        <v>98.083316865966495</v>
      </c>
      <c r="S182" s="42">
        <f t="shared" si="28"/>
        <v>-169.486862644882</v>
      </c>
      <c r="T182" s="42">
        <f t="shared" si="29"/>
        <v>138.18506259049471</v>
      </c>
    </row>
    <row r="183" spans="1:20">
      <c r="A183">
        <v>539</v>
      </c>
      <c r="B183" s="1355">
        <v>0.27710170000000001</v>
      </c>
      <c r="C183" s="1355">
        <v>0.94722519999999999</v>
      </c>
      <c r="D183" s="1355">
        <v>2.1989249999999998E-2</v>
      </c>
      <c r="F183" s="1355">
        <f t="shared" si="20"/>
        <v>0.26740930098746002</v>
      </c>
      <c r="G183" s="1355">
        <f t="shared" si="21"/>
        <v>0.95850470752110994</v>
      </c>
      <c r="H183" s="1355">
        <f t="shared" si="22"/>
        <v>2.5614560141814999E-2</v>
      </c>
      <c r="J183">
        <f t="shared" si="23"/>
        <v>0.28134428334135742</v>
      </c>
      <c r="K183">
        <f t="shared" si="24"/>
        <v>0.95850470752110994</v>
      </c>
      <c r="L183">
        <f t="shared" si="25"/>
        <v>2.3524847902624834E-2</v>
      </c>
      <c r="N183">
        <f t="shared" si="26"/>
        <v>0.65525855289288681</v>
      </c>
      <c r="O183">
        <f t="shared" si="26"/>
        <v>0.98597238186020175</v>
      </c>
      <c r="P183">
        <f t="shared" si="26"/>
        <v>0.28653363417089167</v>
      </c>
      <c r="R183" s="42">
        <f t="shared" si="27"/>
        <v>98.372796295783402</v>
      </c>
      <c r="S183" s="42">
        <f t="shared" si="28"/>
        <v>-165.35691448365748</v>
      </c>
      <c r="T183" s="42">
        <f t="shared" si="29"/>
        <v>139.88774953786199</v>
      </c>
    </row>
    <row r="184" spans="1:20">
      <c r="A184">
        <v>540</v>
      </c>
      <c r="B184" s="1355">
        <v>0.29039999999999999</v>
      </c>
      <c r="C184" s="1355">
        <v>0.95399999999999996</v>
      </c>
      <c r="D184" s="1355">
        <v>2.0299999999999999E-2</v>
      </c>
      <c r="F184" s="1355">
        <f t="shared" si="20"/>
        <v>0.28055162815999996</v>
      </c>
      <c r="G184" s="1355">
        <f t="shared" si="21"/>
        <v>0.96522559105999994</v>
      </c>
      <c r="H184" s="1355">
        <f t="shared" si="22"/>
        <v>2.4062038470000002E-2</v>
      </c>
      <c r="J184">
        <f t="shared" si="23"/>
        <v>0.2951714711248119</v>
      </c>
      <c r="K184">
        <f t="shared" si="24"/>
        <v>0.96522559105999994</v>
      </c>
      <c r="L184">
        <f t="shared" si="25"/>
        <v>2.2098985580852843E-2</v>
      </c>
      <c r="N184">
        <f t="shared" si="26"/>
        <v>0.66582197799163012</v>
      </c>
      <c r="O184">
        <f t="shared" si="26"/>
        <v>0.98827151067182017</v>
      </c>
      <c r="P184">
        <f t="shared" si="26"/>
        <v>0.28062354904397963</v>
      </c>
      <c r="R184" s="42">
        <f t="shared" si="27"/>
        <v>98.639495237931143</v>
      </c>
      <c r="S184" s="42">
        <f t="shared" si="28"/>
        <v>-161.22476634009502</v>
      </c>
      <c r="T184" s="42">
        <f t="shared" si="29"/>
        <v>141.52959232556813</v>
      </c>
    </row>
    <row r="185" spans="1:20">
      <c r="A185">
        <v>541</v>
      </c>
      <c r="B185" s="1355">
        <v>0.30389119999999997</v>
      </c>
      <c r="C185" s="1355">
        <v>0.96025609999999995</v>
      </c>
      <c r="D185" s="1355">
        <v>1.871805E-2</v>
      </c>
      <c r="F185" s="1355">
        <f t="shared" si="20"/>
        <v>0.29388748451790997</v>
      </c>
      <c r="G185" s="1355">
        <f t="shared" si="21"/>
        <v>0.97141698487204997</v>
      </c>
      <c r="H185" s="1355">
        <f t="shared" si="22"/>
        <v>2.2603836191014998E-2</v>
      </c>
      <c r="J185">
        <f t="shared" si="23"/>
        <v>0.3092022731047902</v>
      </c>
      <c r="K185">
        <f t="shared" si="24"/>
        <v>0.97141698487204997</v>
      </c>
      <c r="L185">
        <f t="shared" si="25"/>
        <v>2.0759747794435311E-2</v>
      </c>
      <c r="N185">
        <f t="shared" si="26"/>
        <v>0.67620891584527254</v>
      </c>
      <c r="O185">
        <f t="shared" si="26"/>
        <v>0.99038008222410168</v>
      </c>
      <c r="P185">
        <f t="shared" si="26"/>
        <v>0.27483625643620047</v>
      </c>
      <c r="R185" s="42">
        <f t="shared" si="27"/>
        <v>98.884089537995791</v>
      </c>
      <c r="S185" s="42">
        <f t="shared" si="28"/>
        <v>-157.08558318941456</v>
      </c>
      <c r="T185" s="42">
        <f t="shared" si="29"/>
        <v>143.10876515758025</v>
      </c>
    </row>
    <row r="186" spans="1:20">
      <c r="A186">
        <v>542</v>
      </c>
      <c r="B186" s="1355">
        <v>0.31757259999999998</v>
      </c>
      <c r="C186" s="1355">
        <v>0.96600739999999996</v>
      </c>
      <c r="D186" s="1355">
        <v>1.724036E-2</v>
      </c>
      <c r="F186" s="1355">
        <f t="shared" si="20"/>
        <v>0.30741413152472397</v>
      </c>
      <c r="G186" s="1355">
        <f t="shared" si="21"/>
        <v>0.97709304803172803</v>
      </c>
      <c r="H186" s="1355">
        <f t="shared" si="22"/>
        <v>2.1237265828164001E-2</v>
      </c>
      <c r="J186">
        <f t="shared" si="23"/>
        <v>0.32343380803678595</v>
      </c>
      <c r="K186">
        <f t="shared" si="24"/>
        <v>0.97709304803172803</v>
      </c>
      <c r="L186">
        <f t="shared" si="25"/>
        <v>1.9504666319043379E-2</v>
      </c>
      <c r="N186">
        <f t="shared" si="26"/>
        <v>0.6864282332436441</v>
      </c>
      <c r="O186">
        <f t="shared" si="26"/>
        <v>0.99230529268736101</v>
      </c>
      <c r="P186">
        <f t="shared" si="26"/>
        <v>0.26918209879588922</v>
      </c>
      <c r="R186" s="42">
        <f t="shared" si="27"/>
        <v>99.107413951733875</v>
      </c>
      <c r="S186" s="42">
        <f t="shared" si="28"/>
        <v>-152.93852972185846</v>
      </c>
      <c r="T186" s="42">
        <f t="shared" si="29"/>
        <v>144.62463877829435</v>
      </c>
    </row>
    <row r="187" spans="1:20">
      <c r="A187">
        <v>543</v>
      </c>
      <c r="B187" s="1355">
        <v>0.33143840000000002</v>
      </c>
      <c r="C187" s="1355">
        <v>0.97126060000000003</v>
      </c>
      <c r="D187" s="1355">
        <v>1.5863639999999998E-2</v>
      </c>
      <c r="F187" s="1355">
        <f t="shared" si="20"/>
        <v>0.32112581477207602</v>
      </c>
      <c r="G187" s="1355">
        <f t="shared" si="21"/>
        <v>0.98226066641227205</v>
      </c>
      <c r="H187" s="1355">
        <f t="shared" si="22"/>
        <v>1.9959372670535998E-2</v>
      </c>
      <c r="J187">
        <f t="shared" si="23"/>
        <v>0.33786002164410872</v>
      </c>
      <c r="K187">
        <f t="shared" si="24"/>
        <v>0.98226066641227205</v>
      </c>
      <c r="L187">
        <f t="shared" si="25"/>
        <v>1.8331027497897744E-2</v>
      </c>
      <c r="N187">
        <f t="shared" si="26"/>
        <v>0.69648580335306154</v>
      </c>
      <c r="O187">
        <f t="shared" si="26"/>
        <v>0.99405157520576493</v>
      </c>
      <c r="P187">
        <f t="shared" si="26"/>
        <v>0.26367094130732754</v>
      </c>
      <c r="R187" s="42">
        <f t="shared" si="27"/>
        <v>99.309982723868728</v>
      </c>
      <c r="S187" s="42">
        <f t="shared" si="28"/>
        <v>-148.7828859263517</v>
      </c>
      <c r="T187" s="42">
        <f t="shared" si="29"/>
        <v>146.07612677968746</v>
      </c>
    </row>
    <row r="188" spans="1:20">
      <c r="A188">
        <v>544</v>
      </c>
      <c r="B188" s="1355">
        <v>0.34548279999999998</v>
      </c>
      <c r="C188" s="1355">
        <v>0.97602250000000002</v>
      </c>
      <c r="D188" s="1355">
        <v>1.458461E-2</v>
      </c>
      <c r="F188" s="1355">
        <f t="shared" si="20"/>
        <v>0.33501677901861399</v>
      </c>
      <c r="G188" s="1355">
        <f t="shared" si="21"/>
        <v>0.98692682741713811</v>
      </c>
      <c r="H188" s="1355">
        <f t="shared" si="22"/>
        <v>1.8767211865759002E-2</v>
      </c>
      <c r="J188">
        <f t="shared" si="23"/>
        <v>0.35247485877367407</v>
      </c>
      <c r="K188">
        <f t="shared" si="24"/>
        <v>0.98692682741713811</v>
      </c>
      <c r="L188">
        <f t="shared" si="25"/>
        <v>1.7236126728469092E-2</v>
      </c>
      <c r="N188">
        <f t="shared" si="26"/>
        <v>0.7063870275954649</v>
      </c>
      <c r="O188">
        <f t="shared" si="26"/>
        <v>0.99562314691165144</v>
      </c>
      <c r="P188">
        <f t="shared" si="26"/>
        <v>0.25831317621308553</v>
      </c>
      <c r="R188" s="42">
        <f t="shared" si="27"/>
        <v>99.492285041751572</v>
      </c>
      <c r="S188" s="42">
        <f t="shared" si="28"/>
        <v>-144.61805965809327</v>
      </c>
      <c r="T188" s="42">
        <f t="shared" si="29"/>
        <v>147.4619941397132</v>
      </c>
    </row>
    <row r="189" spans="1:20">
      <c r="A189">
        <v>545</v>
      </c>
      <c r="B189" s="1355">
        <v>0.35970000000000002</v>
      </c>
      <c r="C189" s="1355">
        <v>0.98029999999999995</v>
      </c>
      <c r="D189" s="1355">
        <v>1.34E-2</v>
      </c>
      <c r="F189" s="1355">
        <f t="shared" si="20"/>
        <v>0.34908126819000002</v>
      </c>
      <c r="G189" s="1355">
        <f t="shared" si="21"/>
        <v>0.99109861997999993</v>
      </c>
      <c r="H189" s="1355">
        <f t="shared" si="22"/>
        <v>1.765784842E-2</v>
      </c>
      <c r="J189">
        <f t="shared" si="23"/>
        <v>0.36727226339600411</v>
      </c>
      <c r="K189">
        <f t="shared" si="24"/>
        <v>0.99109861997999993</v>
      </c>
      <c r="L189">
        <f t="shared" si="25"/>
        <v>1.6217268462478073E-2</v>
      </c>
      <c r="N189">
        <f t="shared" si="26"/>
        <v>0.71613688655704577</v>
      </c>
      <c r="O189">
        <f t="shared" si="26"/>
        <v>0.99702402568906312</v>
      </c>
      <c r="P189">
        <f t="shared" si="26"/>
        <v>0.25311967374647154</v>
      </c>
      <c r="R189" s="42">
        <f t="shared" si="27"/>
        <v>99.654786979931316</v>
      </c>
      <c r="S189" s="42">
        <f t="shared" si="28"/>
        <v>-140.44356956600868</v>
      </c>
      <c r="T189" s="42">
        <f t="shared" si="29"/>
        <v>148.78087038851834</v>
      </c>
    </row>
    <row r="190" spans="1:20">
      <c r="A190">
        <v>546</v>
      </c>
      <c r="B190" s="1355">
        <v>0.37408390000000002</v>
      </c>
      <c r="C190" s="1355">
        <v>0.98409239999999998</v>
      </c>
      <c r="D190" s="1355">
        <v>1.2307230000000001E-2</v>
      </c>
      <c r="F190" s="1355">
        <f t="shared" si="20"/>
        <v>0.36331327554193205</v>
      </c>
      <c r="G190" s="1355">
        <f t="shared" si="21"/>
        <v>0.99477541620343402</v>
      </c>
      <c r="H190" s="1355">
        <f t="shared" si="22"/>
        <v>1.6628930487017003E-2</v>
      </c>
      <c r="J190">
        <f t="shared" si="23"/>
        <v>0.38224591574897898</v>
      </c>
      <c r="K190">
        <f t="shared" si="24"/>
        <v>0.99477541620343402</v>
      </c>
      <c r="L190">
        <f t="shared" si="25"/>
        <v>1.5272292724316013E-2</v>
      </c>
      <c r="N190">
        <f t="shared" si="26"/>
        <v>0.72573981761463702</v>
      </c>
      <c r="O190">
        <f t="shared" si="26"/>
        <v>0.99825543031430264</v>
      </c>
      <c r="P190">
        <f t="shared" si="26"/>
        <v>0.24810456007827278</v>
      </c>
      <c r="R190" s="42">
        <f t="shared" si="27"/>
        <v>99.797629916459101</v>
      </c>
      <c r="S190" s="42">
        <f t="shared" si="28"/>
        <v>-136.2578063498328</v>
      </c>
      <c r="T190" s="42">
        <f t="shared" si="29"/>
        <v>150.03017404720597</v>
      </c>
    </row>
    <row r="191" spans="1:20">
      <c r="A191">
        <v>547</v>
      </c>
      <c r="B191" s="1355">
        <v>0.38863959999999997</v>
      </c>
      <c r="C191" s="1355">
        <v>0.98741820000000002</v>
      </c>
      <c r="D191" s="1355">
        <v>1.130188E-2</v>
      </c>
      <c r="F191" s="1355">
        <f t="shared" si="20"/>
        <v>0.37771777108457194</v>
      </c>
      <c r="G191" s="1355">
        <f t="shared" si="21"/>
        <v>0.99797595444446408</v>
      </c>
      <c r="H191" s="1355">
        <f t="shared" si="22"/>
        <v>1.5676506878911999E-2</v>
      </c>
      <c r="J191">
        <f t="shared" si="23"/>
        <v>0.39740104483526245</v>
      </c>
      <c r="K191">
        <f t="shared" si="24"/>
        <v>0.99797595444446408</v>
      </c>
      <c r="L191">
        <f t="shared" si="25"/>
        <v>1.439757067578226E-2</v>
      </c>
      <c r="N191">
        <f t="shared" si="26"/>
        <v>0.73520705896648231</v>
      </c>
      <c r="O191">
        <f t="shared" si="26"/>
        <v>0.99932486244000807</v>
      </c>
      <c r="P191">
        <f t="shared" si="26"/>
        <v>0.24327439790480498</v>
      </c>
      <c r="R191" s="42">
        <f t="shared" si="27"/>
        <v>99.921684043040941</v>
      </c>
      <c r="S191" s="42">
        <f t="shared" si="28"/>
        <v>-132.05890173676289</v>
      </c>
      <c r="T191" s="42">
        <f t="shared" si="29"/>
        <v>151.2100929070406</v>
      </c>
    </row>
    <row r="192" spans="1:20">
      <c r="A192">
        <v>548</v>
      </c>
      <c r="B192" s="1355">
        <v>0.40337840000000003</v>
      </c>
      <c r="C192" s="1355">
        <v>0.99031279999999999</v>
      </c>
      <c r="D192" s="1355">
        <v>1.0377920000000001E-2</v>
      </c>
      <c r="F192" s="1355">
        <f t="shared" si="20"/>
        <v>0.39230576316004806</v>
      </c>
      <c r="G192" s="1355">
        <f t="shared" si="21"/>
        <v>1.0007360646285759</v>
      </c>
      <c r="H192" s="1355">
        <f t="shared" si="22"/>
        <v>1.4795240489408001E-2</v>
      </c>
      <c r="J192">
        <f t="shared" si="23"/>
        <v>0.41274923265336944</v>
      </c>
      <c r="K192">
        <f t="shared" si="24"/>
        <v>1.0007360646285759</v>
      </c>
      <c r="L192">
        <f t="shared" si="25"/>
        <v>1.3588200627653538E-2</v>
      </c>
      <c r="N192">
        <f t="shared" si="26"/>
        <v>0.74455266910401208</v>
      </c>
      <c r="O192">
        <f t="shared" si="26"/>
        <v>1.0002452947017815</v>
      </c>
      <c r="P192">
        <f t="shared" si="26"/>
        <v>0.23862758727195973</v>
      </c>
      <c r="R192" s="42">
        <f t="shared" si="27"/>
        <v>100.02845418540664</v>
      </c>
      <c r="S192" s="42">
        <f t="shared" si="28"/>
        <v>-127.8463127988847</v>
      </c>
      <c r="T192" s="42">
        <f t="shared" si="29"/>
        <v>152.32354148596434</v>
      </c>
    </row>
    <row r="193" spans="1:20">
      <c r="A193">
        <v>549</v>
      </c>
      <c r="B193" s="1355">
        <v>0.4183115</v>
      </c>
      <c r="C193" s="1355">
        <v>0.99281160000000002</v>
      </c>
      <c r="D193" s="1355">
        <v>9.5293059999999995E-3</v>
      </c>
      <c r="F193" s="1355">
        <f t="shared" si="20"/>
        <v>0.4070881612283464</v>
      </c>
      <c r="G193" s="1355">
        <f t="shared" si="21"/>
        <v>1.003091577959371</v>
      </c>
      <c r="H193" s="1355">
        <f t="shared" si="22"/>
        <v>1.3979781714381401E-2</v>
      </c>
      <c r="J193">
        <f t="shared" si="23"/>
        <v>0.4283019571668189</v>
      </c>
      <c r="K193">
        <f t="shared" si="24"/>
        <v>1.003091577959371</v>
      </c>
      <c r="L193">
        <f t="shared" si="25"/>
        <v>1.2839269412471554E-2</v>
      </c>
      <c r="N193">
        <f t="shared" si="26"/>
        <v>0.75378938900614223</v>
      </c>
      <c r="O193">
        <f t="shared" si="26"/>
        <v>1.0010294658229006</v>
      </c>
      <c r="P193">
        <f t="shared" si="26"/>
        <v>0.23416039246155462</v>
      </c>
      <c r="R193" s="42">
        <f t="shared" si="27"/>
        <v>100.11941803545648</v>
      </c>
      <c r="S193" s="42">
        <f t="shared" si="28"/>
        <v>-123.6200384083792</v>
      </c>
      <c r="T193" s="42">
        <f t="shared" si="29"/>
        <v>153.37381467226919</v>
      </c>
    </row>
    <row r="194" spans="1:20">
      <c r="A194">
        <v>550</v>
      </c>
      <c r="B194" s="1355">
        <v>0.4334499</v>
      </c>
      <c r="C194" s="1355">
        <v>0.99495009999999995</v>
      </c>
      <c r="D194" s="1355">
        <v>8.7499989999999996E-3</v>
      </c>
      <c r="F194" s="1355">
        <f t="shared" si="20"/>
        <v>0.42207567588502559</v>
      </c>
      <c r="G194" s="1355">
        <f t="shared" si="21"/>
        <v>1.0050784296595481</v>
      </c>
      <c r="H194" s="1355">
        <f t="shared" si="22"/>
        <v>1.3224786930163098E-2</v>
      </c>
      <c r="J194">
        <f t="shared" si="23"/>
        <v>0.44407048711166641</v>
      </c>
      <c r="K194">
        <f t="shared" si="24"/>
        <v>1.0050784296595481</v>
      </c>
      <c r="L194">
        <f t="shared" si="25"/>
        <v>1.2145869355329205E-2</v>
      </c>
      <c r="N194">
        <f t="shared" si="26"/>
        <v>0.76292873116777282</v>
      </c>
      <c r="O194">
        <f t="shared" si="26"/>
        <v>1.0016899523388083</v>
      </c>
      <c r="P194">
        <f t="shared" si="26"/>
        <v>0.22986677448555656</v>
      </c>
      <c r="R194" s="42">
        <f t="shared" si="27"/>
        <v>100.19603447130176</v>
      </c>
      <c r="S194" s="42">
        <f t="shared" si="28"/>
        <v>-119.38061058551774</v>
      </c>
      <c r="T194" s="42">
        <f t="shared" si="29"/>
        <v>154.36463557065034</v>
      </c>
    </row>
    <row r="195" spans="1:20">
      <c r="A195">
        <v>551</v>
      </c>
      <c r="B195" s="1355">
        <v>0.44879530000000001</v>
      </c>
      <c r="C195" s="1355">
        <v>0.99671080000000001</v>
      </c>
      <c r="D195" s="1355">
        <v>8.0351999999999993E-3</v>
      </c>
      <c r="F195" s="1355">
        <f t="shared" si="20"/>
        <v>0.43727017207952001</v>
      </c>
      <c r="G195" s="1355">
        <f t="shared" si="21"/>
        <v>1.0066788398380002</v>
      </c>
      <c r="H195" s="1355">
        <f t="shared" si="22"/>
        <v>1.252572537409E-2</v>
      </c>
      <c r="J195">
        <f t="shared" si="23"/>
        <v>0.46005678462183974</v>
      </c>
      <c r="K195">
        <f t="shared" si="24"/>
        <v>1.0066788398380002</v>
      </c>
      <c r="L195">
        <f t="shared" si="25"/>
        <v>1.1503839326699301E-2</v>
      </c>
      <c r="N195">
        <f t="shared" si="26"/>
        <v>0.77197602580533753</v>
      </c>
      <c r="O195">
        <f t="shared" si="26"/>
        <v>1.002221341932386</v>
      </c>
      <c r="P195">
        <f t="shared" si="26"/>
        <v>0.22574298795426645</v>
      </c>
      <c r="R195" s="42">
        <f t="shared" si="27"/>
        <v>100.25767566415678</v>
      </c>
      <c r="S195" s="42">
        <f t="shared" si="28"/>
        <v>-115.12265806352423</v>
      </c>
      <c r="T195" s="42">
        <f t="shared" si="29"/>
        <v>155.29567079562389</v>
      </c>
    </row>
    <row r="196" spans="1:20">
      <c r="A196">
        <v>552</v>
      </c>
      <c r="B196" s="1355">
        <v>0.46433600000000003</v>
      </c>
      <c r="C196" s="1355">
        <v>0.99809829999999999</v>
      </c>
      <c r="D196" s="1355">
        <v>7.3816000000000003E-3</v>
      </c>
      <c r="F196" s="1355">
        <f t="shared" si="20"/>
        <v>0.45266006703675005</v>
      </c>
      <c r="G196" s="1355">
        <f t="shared" si="21"/>
        <v>1.0078976346641799</v>
      </c>
      <c r="H196" s="1355">
        <f t="shared" si="22"/>
        <v>1.1879631698550001E-2</v>
      </c>
      <c r="J196">
        <f t="shared" si="23"/>
        <v>0.47624866333156229</v>
      </c>
      <c r="K196">
        <f t="shared" si="24"/>
        <v>1.0078976346641799</v>
      </c>
      <c r="L196">
        <f t="shared" si="25"/>
        <v>1.0910455900875252E-2</v>
      </c>
      <c r="N196">
        <f t="shared" si="26"/>
        <v>0.78092847102476848</v>
      </c>
      <c r="O196">
        <f t="shared" si="26"/>
        <v>1.0026256448434745</v>
      </c>
      <c r="P196">
        <f t="shared" si="26"/>
        <v>0.22179289657089041</v>
      </c>
      <c r="R196" s="42">
        <f t="shared" si="27"/>
        <v>100.30457480184305</v>
      </c>
      <c r="S196" s="42">
        <f t="shared" si="28"/>
        <v>-110.848586909353</v>
      </c>
      <c r="T196" s="42">
        <f t="shared" si="29"/>
        <v>156.16654965451681</v>
      </c>
    </row>
    <row r="197" spans="1:20">
      <c r="A197">
        <v>553</v>
      </c>
      <c r="B197" s="1355">
        <v>0.48006399999999999</v>
      </c>
      <c r="C197" s="1355">
        <v>0.999112</v>
      </c>
      <c r="D197" s="1355">
        <v>6.7853999999999996E-3</v>
      </c>
      <c r="F197" s="1355">
        <f t="shared" ref="F197:F260" si="30">$X$12*B197+$Y$12*C197+$Z$12*D197</f>
        <v>0.46823748560455997</v>
      </c>
      <c r="G197" s="1355">
        <f t="shared" ref="G197:G260" si="31">$X$13*B197+$Y$13*C197+$Z$13*D197</f>
        <v>1.0087343148749199</v>
      </c>
      <c r="H197" s="1355">
        <f t="shared" ref="H197:H260" si="32">$X$14*B197+$Y$14*C197+$Z$14*D197</f>
        <v>1.128304227166E-2</v>
      </c>
      <c r="J197">
        <f t="shared" ref="J197:J260" si="33">F197/$X$5</f>
        <v>0.49263783770614533</v>
      </c>
      <c r="K197">
        <f t="shared" ref="K197:K260" si="34">G197/$X$6</f>
        <v>1.0087343148749199</v>
      </c>
      <c r="L197">
        <f t="shared" ref="L197:L260" si="35">H197/$X$7</f>
        <v>1.0362538019396968E-2</v>
      </c>
      <c r="N197">
        <f t="shared" ref="N197:P260" si="36">IF(J197&gt;0.008856,J197^(1/3),7.787*J197+16/116)</f>
        <v>0.78978568010187222</v>
      </c>
      <c r="O197">
        <f t="shared" si="36"/>
        <v>1.0029030027119488</v>
      </c>
      <c r="P197">
        <f t="shared" si="36"/>
        <v>0.21801617322001493</v>
      </c>
      <c r="R197" s="42">
        <f t="shared" ref="R197:R260" si="37" xml:space="preserve"> 116 * O197  - 16</f>
        <v>100.33674831458606</v>
      </c>
      <c r="S197" s="42">
        <f t="shared" ref="S197:S260" si="38" xml:space="preserve"> 500 * (N197 - O197 )</f>
        <v>-106.55866130503827</v>
      </c>
      <c r="T197" s="42">
        <f t="shared" ref="T197:T260" si="39" xml:space="preserve"> 200 * (O197 - P197 )</f>
        <v>156.97736589838675</v>
      </c>
    </row>
    <row r="198" spans="1:20">
      <c r="A198">
        <v>554</v>
      </c>
      <c r="B198" s="1355">
        <v>0.4959713</v>
      </c>
      <c r="C198" s="1355">
        <v>0.99974819999999998</v>
      </c>
      <c r="D198" s="1355">
        <v>6.2427999999999997E-3</v>
      </c>
      <c r="F198" s="1355">
        <f t="shared" si="30"/>
        <v>0.48399457486413999</v>
      </c>
      <c r="G198" s="1355">
        <f t="shared" si="31"/>
        <v>1.0091852328654802</v>
      </c>
      <c r="H198" s="1355">
        <f t="shared" si="32"/>
        <v>1.0732471557310001E-2</v>
      </c>
      <c r="J198">
        <f t="shared" si="33"/>
        <v>0.50921604560284905</v>
      </c>
      <c r="K198">
        <f t="shared" si="34"/>
        <v>1.0091852328654802</v>
      </c>
      <c r="L198">
        <f t="shared" si="35"/>
        <v>9.8568845065896433E-3</v>
      </c>
      <c r="N198">
        <f t="shared" si="36"/>
        <v>0.79854738774495215</v>
      </c>
      <c r="O198">
        <f t="shared" si="36"/>
        <v>1.0030524175555113</v>
      </c>
      <c r="P198">
        <f t="shared" si="36"/>
        <v>0.21441075000651558</v>
      </c>
      <c r="R198" s="42">
        <f t="shared" si="37"/>
        <v>100.35408043643932</v>
      </c>
      <c r="S198" s="42">
        <f t="shared" si="38"/>
        <v>-102.2525149052796</v>
      </c>
      <c r="T198" s="42">
        <f t="shared" si="39"/>
        <v>157.72833350979914</v>
      </c>
    </row>
    <row r="199" spans="1:20">
      <c r="A199">
        <v>555</v>
      </c>
      <c r="B199" s="1355">
        <v>0.51205009999999995</v>
      </c>
      <c r="C199" s="1355">
        <v>1</v>
      </c>
      <c r="D199" s="1355">
        <v>5.7499990000000004E-3</v>
      </c>
      <c r="F199" s="1355">
        <f t="shared" si="30"/>
        <v>0.4999237029363755</v>
      </c>
      <c r="G199" s="1355">
        <f t="shared" si="31"/>
        <v>1.0092434886558082</v>
      </c>
      <c r="H199" s="1355">
        <f t="shared" si="32"/>
        <v>1.0224410725493101E-2</v>
      </c>
      <c r="J199">
        <f t="shared" si="33"/>
        <v>0.52597525743724205</v>
      </c>
      <c r="K199">
        <f t="shared" si="34"/>
        <v>1.0092434886558082</v>
      </c>
      <c r="L199">
        <f t="shared" si="35"/>
        <v>9.3902727932671775E-3</v>
      </c>
      <c r="N199">
        <f t="shared" si="36"/>
        <v>0.807213540458948</v>
      </c>
      <c r="O199">
        <f t="shared" si="36"/>
        <v>1.0030717177741719</v>
      </c>
      <c r="P199">
        <f t="shared" si="36"/>
        <v>0.21097260707158363</v>
      </c>
      <c r="R199" s="42">
        <f t="shared" si="37"/>
        <v>100.35631926180395</v>
      </c>
      <c r="S199" s="42">
        <f t="shared" si="38"/>
        <v>-97.929088657611956</v>
      </c>
      <c r="T199" s="42">
        <f t="shared" si="39"/>
        <v>158.41982214051765</v>
      </c>
    </row>
    <row r="200" spans="1:20">
      <c r="A200">
        <v>556</v>
      </c>
      <c r="B200" s="1355">
        <v>0.52829590000000004</v>
      </c>
      <c r="C200" s="1355">
        <v>0.99985670000000004</v>
      </c>
      <c r="D200" s="1355">
        <v>5.3036000000000003E-3</v>
      </c>
      <c r="F200" s="1355">
        <f t="shared" si="30"/>
        <v>0.51602052896607009</v>
      </c>
      <c r="G200" s="1355">
        <f t="shared" si="31"/>
        <v>1.0088982809969</v>
      </c>
      <c r="H200" s="1355">
        <f t="shared" si="32"/>
        <v>9.7556843971800013E-3</v>
      </c>
      <c r="J200">
        <f t="shared" si="33"/>
        <v>0.54291090614755866</v>
      </c>
      <c r="K200">
        <f t="shared" si="34"/>
        <v>1.0088982809969</v>
      </c>
      <c r="L200">
        <f t="shared" si="35"/>
        <v>8.9597865572954467E-3</v>
      </c>
      <c r="N200">
        <f t="shared" si="36"/>
        <v>0.81578588860655765</v>
      </c>
      <c r="O200">
        <f t="shared" si="36"/>
        <v>1.0029573391890676</v>
      </c>
      <c r="P200">
        <f t="shared" si="36"/>
        <v>0.20769811480501871</v>
      </c>
      <c r="R200" s="42">
        <f t="shared" si="37"/>
        <v>100.34305134593184</v>
      </c>
      <c r="S200" s="42">
        <f t="shared" si="38"/>
        <v>-93.585725291254974</v>
      </c>
      <c r="T200" s="42">
        <f t="shared" si="39"/>
        <v>159.05184487680975</v>
      </c>
    </row>
    <row r="201" spans="1:20">
      <c r="A201">
        <v>557</v>
      </c>
      <c r="B201" s="1355">
        <v>0.54469160000000005</v>
      </c>
      <c r="C201" s="1355">
        <v>0.99930459999999999</v>
      </c>
      <c r="D201" s="1355">
        <v>4.8998000000000002E-3</v>
      </c>
      <c r="F201" s="1355">
        <f t="shared" si="30"/>
        <v>0.53226825867909999</v>
      </c>
      <c r="G201" s="1355">
        <f t="shared" si="31"/>
        <v>1.0081359189207202</v>
      </c>
      <c r="H201" s="1355">
        <f t="shared" si="32"/>
        <v>9.3227690126400017E-3</v>
      </c>
      <c r="J201">
        <f t="shared" si="33"/>
        <v>0.56000532229223432</v>
      </c>
      <c r="K201">
        <f t="shared" si="34"/>
        <v>1.0081359189207202</v>
      </c>
      <c r="L201">
        <f t="shared" si="35"/>
        <v>8.5621897014593659E-3</v>
      </c>
      <c r="N201">
        <f t="shared" si="36"/>
        <v>0.82425967122543242</v>
      </c>
      <c r="O201">
        <f t="shared" si="36"/>
        <v>1.002704651240276</v>
      </c>
      <c r="P201">
        <f t="shared" si="36"/>
        <v>0.2046048056880227</v>
      </c>
      <c r="R201" s="42">
        <f t="shared" si="37"/>
        <v>100.31373954387202</v>
      </c>
      <c r="S201" s="42">
        <f t="shared" si="38"/>
        <v>-89.222490007421769</v>
      </c>
      <c r="T201" s="42">
        <f t="shared" si="39"/>
        <v>159.61996911045065</v>
      </c>
    </row>
    <row r="202" spans="1:20">
      <c r="A202">
        <v>558</v>
      </c>
      <c r="B202" s="1355">
        <v>0.56120939999999997</v>
      </c>
      <c r="C202" s="1355">
        <v>0.99832549999999998</v>
      </c>
      <c r="D202" s="1355">
        <v>4.5342000000000004E-3</v>
      </c>
      <c r="F202" s="1355">
        <f t="shared" si="30"/>
        <v>0.54863953919227004</v>
      </c>
      <c r="G202" s="1355">
        <f t="shared" si="31"/>
        <v>1.0069382753987799</v>
      </c>
      <c r="H202" s="1355">
        <f t="shared" si="32"/>
        <v>8.9216014564299992E-3</v>
      </c>
      <c r="J202">
        <f t="shared" si="33"/>
        <v>0.57722972760031355</v>
      </c>
      <c r="K202">
        <f t="shared" si="34"/>
        <v>1.0069382753987799</v>
      </c>
      <c r="L202">
        <f t="shared" si="35"/>
        <v>8.1937505913962684E-3</v>
      </c>
      <c r="N202">
        <f t="shared" si="36"/>
        <v>0.83262522327030142</v>
      </c>
      <c r="O202">
        <f t="shared" si="36"/>
        <v>1.002307430137322</v>
      </c>
      <c r="P202">
        <f t="shared" si="36"/>
        <v>0.20173577033796136</v>
      </c>
      <c r="R202" s="42">
        <f t="shared" si="37"/>
        <v>100.26766189592935</v>
      </c>
      <c r="S202" s="42">
        <f t="shared" si="38"/>
        <v>-84.841103433510312</v>
      </c>
      <c r="T202" s="42">
        <f t="shared" si="39"/>
        <v>160.11433195987212</v>
      </c>
    </row>
    <row r="203" spans="1:20">
      <c r="A203">
        <v>559</v>
      </c>
      <c r="B203" s="1355">
        <v>0.57782149999999999</v>
      </c>
      <c r="C203" s="1355">
        <v>0.99689870000000003</v>
      </c>
      <c r="D203" s="1355">
        <v>4.2024000000000002E-3</v>
      </c>
      <c r="F203" s="1355">
        <f t="shared" si="30"/>
        <v>0.56510703555475006</v>
      </c>
      <c r="G203" s="1355">
        <f t="shared" si="31"/>
        <v>1.0052846844180201</v>
      </c>
      <c r="H203" s="1355">
        <f t="shared" si="32"/>
        <v>8.5481007706999998E-3</v>
      </c>
      <c r="J203">
        <f t="shared" si="33"/>
        <v>0.59455536266768028</v>
      </c>
      <c r="K203">
        <f t="shared" si="34"/>
        <v>1.0052846844180201</v>
      </c>
      <c r="L203">
        <f t="shared" si="35"/>
        <v>7.8507212059733839E-3</v>
      </c>
      <c r="N203">
        <f t="shared" si="36"/>
        <v>0.84087369537738432</v>
      </c>
      <c r="O203">
        <f t="shared" si="36"/>
        <v>1.0017584674523767</v>
      </c>
      <c r="P203">
        <f t="shared" si="36"/>
        <v>0.19906460051367336</v>
      </c>
      <c r="R203" s="42">
        <f t="shared" si="37"/>
        <v>100.20398222447569</v>
      </c>
      <c r="S203" s="42">
        <f t="shared" si="38"/>
        <v>-80.442386037496206</v>
      </c>
      <c r="T203" s="42">
        <f t="shared" si="39"/>
        <v>160.53877338774066</v>
      </c>
    </row>
    <row r="204" spans="1:20">
      <c r="A204">
        <v>560</v>
      </c>
      <c r="B204" s="1355">
        <v>0.59450000000000003</v>
      </c>
      <c r="C204" s="1355">
        <v>0.995</v>
      </c>
      <c r="D204" s="1355">
        <v>3.8999999999999998E-3</v>
      </c>
      <c r="F204" s="1355">
        <f t="shared" si="30"/>
        <v>0.58164333886000008</v>
      </c>
      <c r="G204" s="1355">
        <f t="shared" si="31"/>
        <v>1.0031509266199998</v>
      </c>
      <c r="H204" s="1355">
        <f t="shared" si="32"/>
        <v>8.1981626599999993E-3</v>
      </c>
      <c r="J204">
        <f t="shared" si="33"/>
        <v>0.61195339028059803</v>
      </c>
      <c r="K204">
        <f t="shared" si="34"/>
        <v>1.0031509266199998</v>
      </c>
      <c r="L204">
        <f t="shared" si="35"/>
        <v>7.5293320904089708E-3</v>
      </c>
      <c r="N204">
        <f t="shared" si="36"/>
        <v>0.84899692067410504</v>
      </c>
      <c r="O204">
        <f t="shared" si="36"/>
        <v>1.0010492076516349</v>
      </c>
      <c r="P204">
        <f t="shared" si="36"/>
        <v>0.19656194347077327</v>
      </c>
      <c r="R204" s="42">
        <f t="shared" si="37"/>
        <v>100.12170808758964</v>
      </c>
      <c r="S204" s="42">
        <f t="shared" si="38"/>
        <v>-76.026143488764902</v>
      </c>
      <c r="T204" s="42">
        <f t="shared" si="39"/>
        <v>160.89745283617231</v>
      </c>
    </row>
    <row r="205" spans="1:20">
      <c r="A205">
        <v>561</v>
      </c>
      <c r="B205" s="1355">
        <v>0.61122089999999996</v>
      </c>
      <c r="C205" s="1355">
        <v>0.9926005</v>
      </c>
      <c r="D205" s="1355">
        <v>3.6232E-3</v>
      </c>
      <c r="F205" s="1355">
        <f t="shared" si="30"/>
        <v>0.59822492966876994</v>
      </c>
      <c r="G205" s="1355">
        <f t="shared" si="31"/>
        <v>1.00050795934518</v>
      </c>
      <c r="H205" s="1355">
        <f t="shared" si="32"/>
        <v>7.8681880077800005E-3</v>
      </c>
      <c r="J205">
        <f t="shared" si="33"/>
        <v>0.62939906537688717</v>
      </c>
      <c r="K205">
        <f t="shared" si="34"/>
        <v>1.00050795934518</v>
      </c>
      <c r="L205">
        <f t="shared" si="35"/>
        <v>7.2262777548193942E-3</v>
      </c>
      <c r="N205">
        <f t="shared" si="36"/>
        <v>0.85698923096485669</v>
      </c>
      <c r="O205">
        <f t="shared" si="36"/>
        <v>1.0001692911206259</v>
      </c>
      <c r="P205">
        <f t="shared" si="36"/>
        <v>0.19420205935953724</v>
      </c>
      <c r="R205" s="42">
        <f t="shared" si="37"/>
        <v>100.01963776999261</v>
      </c>
      <c r="S205" s="42">
        <f t="shared" si="38"/>
        <v>-71.59003007788462</v>
      </c>
      <c r="T205" s="42">
        <f t="shared" si="39"/>
        <v>161.19344635221773</v>
      </c>
    </row>
    <row r="206" spans="1:20">
      <c r="A206">
        <v>562</v>
      </c>
      <c r="B206" s="1355">
        <v>0.62797579999999997</v>
      </c>
      <c r="C206" s="1355">
        <v>0.98974260000000003</v>
      </c>
      <c r="D206" s="1355">
        <v>3.3706000000000001E-3</v>
      </c>
      <c r="F206" s="1355">
        <f t="shared" si="30"/>
        <v>0.61484320054713992</v>
      </c>
      <c r="G206" s="1355">
        <f t="shared" si="31"/>
        <v>0.9973989518391202</v>
      </c>
      <c r="H206" s="1355">
        <f t="shared" si="32"/>
        <v>7.5572083630600006E-3</v>
      </c>
      <c r="J206">
        <f t="shared" si="33"/>
        <v>0.64688333198011494</v>
      </c>
      <c r="K206">
        <f t="shared" si="34"/>
        <v>0.9973989518391202</v>
      </c>
      <c r="L206">
        <f t="shared" si="35"/>
        <v>6.9406687573450405E-3</v>
      </c>
      <c r="N206">
        <f t="shared" si="36"/>
        <v>0.86485238417016153</v>
      </c>
      <c r="O206">
        <f t="shared" si="36"/>
        <v>0.99913223114139804</v>
      </c>
      <c r="P206">
        <f t="shared" si="36"/>
        <v>0.19197802209620446</v>
      </c>
      <c r="R206" s="42">
        <f t="shared" si="37"/>
        <v>99.899338812402178</v>
      </c>
      <c r="S206" s="42">
        <f t="shared" si="38"/>
        <v>-67.139923485618255</v>
      </c>
      <c r="T206" s="42">
        <f t="shared" si="39"/>
        <v>161.4308418090387</v>
      </c>
    </row>
    <row r="207" spans="1:20">
      <c r="A207">
        <v>563</v>
      </c>
      <c r="B207" s="1355">
        <v>0.64476020000000001</v>
      </c>
      <c r="C207" s="1355">
        <v>0.9864444</v>
      </c>
      <c r="D207" s="1355">
        <v>3.1413999999999999E-3</v>
      </c>
      <c r="F207" s="1355">
        <f t="shared" si="30"/>
        <v>0.63149357402716</v>
      </c>
      <c r="G207" s="1355">
        <f t="shared" si="31"/>
        <v>0.9938423443842801</v>
      </c>
      <c r="H207" s="1355">
        <f t="shared" si="32"/>
        <v>7.2646277676399994E-3</v>
      </c>
      <c r="J207">
        <f t="shared" si="33"/>
        <v>0.66440137408562072</v>
      </c>
      <c r="K207">
        <f t="shared" si="34"/>
        <v>0.9938423443842801</v>
      </c>
      <c r="L207">
        <f t="shared" si="35"/>
        <v>6.6719577598339502E-3</v>
      </c>
      <c r="N207">
        <f t="shared" si="36"/>
        <v>0.87258988423746975</v>
      </c>
      <c r="O207">
        <f t="shared" si="36"/>
        <v>0.99794322068724473</v>
      </c>
      <c r="P207">
        <f t="shared" si="36"/>
        <v>0.1898855695585856</v>
      </c>
      <c r="R207" s="42">
        <f t="shared" si="37"/>
        <v>99.761413599720385</v>
      </c>
      <c r="S207" s="42">
        <f t="shared" si="38"/>
        <v>-62.676668224887486</v>
      </c>
      <c r="T207" s="42">
        <f t="shared" si="39"/>
        <v>161.61153022573183</v>
      </c>
    </row>
    <row r="208" spans="1:20">
      <c r="A208">
        <v>564</v>
      </c>
      <c r="B208" s="1355">
        <v>0.66156970000000004</v>
      </c>
      <c r="C208" s="1355">
        <v>0.98272409999999999</v>
      </c>
      <c r="D208" s="1355">
        <v>2.9348E-3</v>
      </c>
      <c r="F208" s="1355">
        <f t="shared" si="30"/>
        <v>0.64817157096881006</v>
      </c>
      <c r="G208" s="1355">
        <f t="shared" si="31"/>
        <v>0.9898566775855</v>
      </c>
      <c r="H208" s="1355">
        <f t="shared" si="32"/>
        <v>6.9898505839400011E-3</v>
      </c>
      <c r="J208">
        <f t="shared" si="33"/>
        <v>0.68194847914064627</v>
      </c>
      <c r="K208">
        <f t="shared" si="34"/>
        <v>0.9898566775855</v>
      </c>
      <c r="L208">
        <f t="shared" si="35"/>
        <v>6.4195977185970273E-3</v>
      </c>
      <c r="N208">
        <f t="shared" si="36"/>
        <v>0.88020504826694856</v>
      </c>
      <c r="O208">
        <f t="shared" si="36"/>
        <v>0.99660739578113811</v>
      </c>
      <c r="P208">
        <f t="shared" si="36"/>
        <v>0.18792044191747367</v>
      </c>
      <c r="R208" s="42">
        <f t="shared" si="37"/>
        <v>99.606457910612022</v>
      </c>
      <c r="S208" s="42">
        <f t="shared" si="38"/>
        <v>-58.201173757094772</v>
      </c>
      <c r="T208" s="42">
        <f t="shared" si="39"/>
        <v>161.73739077273288</v>
      </c>
    </row>
    <row r="209" spans="1:20">
      <c r="A209">
        <v>565</v>
      </c>
      <c r="B209" s="1355">
        <v>0.6784</v>
      </c>
      <c r="C209" s="1355">
        <v>0.97860000000000003</v>
      </c>
      <c r="D209" s="1355">
        <v>2.7499989999999999E-3</v>
      </c>
      <c r="F209" s="1355">
        <f t="shared" si="30"/>
        <v>0.66487281057161562</v>
      </c>
      <c r="G209" s="1355">
        <f t="shared" si="31"/>
        <v>0.98546059237292827</v>
      </c>
      <c r="H209" s="1355">
        <f t="shared" si="32"/>
        <v>6.7322805768431004E-3</v>
      </c>
      <c r="J209">
        <f t="shared" si="33"/>
        <v>0.69952003805655683</v>
      </c>
      <c r="K209">
        <f t="shared" si="34"/>
        <v>0.98546059237292827</v>
      </c>
      <c r="L209">
        <f t="shared" si="35"/>
        <v>6.1830410411571144E-3</v>
      </c>
      <c r="N209">
        <f t="shared" si="36"/>
        <v>0.88770102194846112</v>
      </c>
      <c r="O209">
        <f t="shared" si="36"/>
        <v>0.99512985094310935</v>
      </c>
      <c r="P209">
        <f t="shared" si="36"/>
        <v>0.18607837507024907</v>
      </c>
      <c r="R209" s="42">
        <f t="shared" si="37"/>
        <v>99.435062709400682</v>
      </c>
      <c r="S209" s="42">
        <f t="shared" si="38"/>
        <v>-53.714414497324114</v>
      </c>
      <c r="T209" s="42">
        <f t="shared" si="39"/>
        <v>161.81029517457205</v>
      </c>
    </row>
    <row r="210" spans="1:20">
      <c r="A210">
        <v>566</v>
      </c>
      <c r="B210" s="1355">
        <v>0.69523919999999995</v>
      </c>
      <c r="C210" s="1355">
        <v>0.9740837</v>
      </c>
      <c r="D210" s="1355">
        <v>2.5852000000000002E-3</v>
      </c>
      <c r="F210" s="1355">
        <f t="shared" si="30"/>
        <v>0.68158544423008993</v>
      </c>
      <c r="G210" s="1355">
        <f t="shared" si="31"/>
        <v>0.98066602212782006</v>
      </c>
      <c r="H210" s="1355">
        <f t="shared" si="32"/>
        <v>6.4903887525700008E-3</v>
      </c>
      <c r="J210">
        <f t="shared" si="33"/>
        <v>0.71710358478446445</v>
      </c>
      <c r="K210">
        <f t="shared" si="34"/>
        <v>0.98066602212782006</v>
      </c>
      <c r="L210">
        <f t="shared" si="35"/>
        <v>5.9608834736092882E-3</v>
      </c>
      <c r="N210">
        <f t="shared" si="36"/>
        <v>0.89507748142065868</v>
      </c>
      <c r="O210">
        <f t="shared" si="36"/>
        <v>0.99351335512612471</v>
      </c>
      <c r="P210">
        <f t="shared" si="36"/>
        <v>0.18434843409175414</v>
      </c>
      <c r="R210" s="42">
        <f t="shared" si="37"/>
        <v>99.247549194630466</v>
      </c>
      <c r="S210" s="42">
        <f t="shared" si="38"/>
        <v>-49.217936852733011</v>
      </c>
      <c r="T210" s="42">
        <f t="shared" si="39"/>
        <v>161.8329842068741</v>
      </c>
    </row>
    <row r="211" spans="1:20">
      <c r="A211">
        <v>567</v>
      </c>
      <c r="B211" s="1355">
        <v>0.71205859999999999</v>
      </c>
      <c r="C211" s="1355">
        <v>0.96917120000000001</v>
      </c>
      <c r="D211" s="1355">
        <v>2.4386E-3</v>
      </c>
      <c r="F211" s="1355">
        <f t="shared" si="30"/>
        <v>0.69828109571424002</v>
      </c>
      <c r="G211" s="1355">
        <f t="shared" si="31"/>
        <v>0.97546926480315999</v>
      </c>
      <c r="H211" s="1355">
        <f t="shared" si="32"/>
        <v>6.2625948678800003E-3</v>
      </c>
      <c r="J211">
        <f t="shared" si="33"/>
        <v>0.73466926437892832</v>
      </c>
      <c r="K211">
        <f t="shared" si="34"/>
        <v>0.97546926480315999</v>
      </c>
      <c r="L211">
        <f t="shared" si="35"/>
        <v>5.7516736936711887E-3</v>
      </c>
      <c r="N211">
        <f t="shared" si="36"/>
        <v>0.9023270087899149</v>
      </c>
      <c r="O211">
        <f t="shared" si="36"/>
        <v>0.99175530000102219</v>
      </c>
      <c r="P211">
        <f t="shared" si="36"/>
        <v>0.18271931753537618</v>
      </c>
      <c r="R211" s="42">
        <f t="shared" si="37"/>
        <v>99.043614800118576</v>
      </c>
      <c r="S211" s="42">
        <f t="shared" si="38"/>
        <v>-44.714145605553647</v>
      </c>
      <c r="T211" s="42">
        <f t="shared" si="39"/>
        <v>161.8071964931292</v>
      </c>
    </row>
    <row r="212" spans="1:20">
      <c r="A212">
        <v>568</v>
      </c>
      <c r="B212" s="1355">
        <v>0.72882840000000004</v>
      </c>
      <c r="C212" s="1355">
        <v>0.96385679999999996</v>
      </c>
      <c r="D212" s="1355">
        <v>2.3094000000000001E-3</v>
      </c>
      <c r="F212" s="1355">
        <f t="shared" si="30"/>
        <v>0.71493029982576006</v>
      </c>
      <c r="G212" s="1355">
        <f t="shared" si="31"/>
        <v>0.96986490250883994</v>
      </c>
      <c r="H212" s="1355">
        <f t="shared" si="32"/>
        <v>6.0482329204199995E-3</v>
      </c>
      <c r="J212">
        <f t="shared" si="33"/>
        <v>0.75218607617890099</v>
      </c>
      <c r="K212">
        <f t="shared" si="34"/>
        <v>0.96986490250883994</v>
      </c>
      <c r="L212">
        <f t="shared" si="35"/>
        <v>5.5548000334487476E-3</v>
      </c>
      <c r="N212">
        <f t="shared" si="36"/>
        <v>0.90944218769895313</v>
      </c>
      <c r="O212">
        <f t="shared" si="36"/>
        <v>0.98985234083476825</v>
      </c>
      <c r="P212">
        <f t="shared" si="36"/>
        <v>0.18118626234322402</v>
      </c>
      <c r="R212" s="42">
        <f t="shared" si="37"/>
        <v>98.822871536833119</v>
      </c>
      <c r="S212" s="42">
        <f t="shared" si="38"/>
        <v>-40.205076567907561</v>
      </c>
      <c r="T212" s="42">
        <f t="shared" si="39"/>
        <v>161.73321569830884</v>
      </c>
    </row>
    <row r="213" spans="1:20">
      <c r="A213">
        <v>569</v>
      </c>
      <c r="B213" s="1355">
        <v>0.74551880000000004</v>
      </c>
      <c r="C213" s="1355">
        <v>0.95813490000000001</v>
      </c>
      <c r="D213" s="1355">
        <v>2.1968000000000001E-3</v>
      </c>
      <c r="F213" s="1355">
        <f t="shared" si="30"/>
        <v>0.73150359066112991</v>
      </c>
      <c r="G213" s="1355">
        <f t="shared" si="31"/>
        <v>0.96384761891718007</v>
      </c>
      <c r="H213" s="1355">
        <f t="shared" si="32"/>
        <v>5.8466366666500005E-3</v>
      </c>
      <c r="J213">
        <f t="shared" si="33"/>
        <v>0.76962301878137118</v>
      </c>
      <c r="K213">
        <f t="shared" si="34"/>
        <v>0.96384761891718007</v>
      </c>
      <c r="L213">
        <f t="shared" si="35"/>
        <v>5.3696506035377433E-3</v>
      </c>
      <c r="N213">
        <f t="shared" si="36"/>
        <v>0.91641604178026326</v>
      </c>
      <c r="O213">
        <f t="shared" si="36"/>
        <v>0.98780099573514635</v>
      </c>
      <c r="P213">
        <f t="shared" si="36"/>
        <v>0.17974450373250703</v>
      </c>
      <c r="R213" s="42">
        <f t="shared" si="37"/>
        <v>98.584915505276982</v>
      </c>
      <c r="S213" s="42">
        <f t="shared" si="38"/>
        <v>-35.692476977441544</v>
      </c>
      <c r="T213" s="42">
        <f t="shared" si="39"/>
        <v>161.61129840052786</v>
      </c>
    </row>
    <row r="214" spans="1:20">
      <c r="A214">
        <v>570</v>
      </c>
      <c r="B214" s="1355">
        <v>0.7621</v>
      </c>
      <c r="C214" s="1355">
        <v>0.95199999999999996</v>
      </c>
      <c r="D214" s="1355">
        <v>2.0999999999999999E-3</v>
      </c>
      <c r="F214" s="1355">
        <f t="shared" si="30"/>
        <v>0.74797150160000003</v>
      </c>
      <c r="G214" s="1355">
        <f t="shared" si="31"/>
        <v>0.95741219925999999</v>
      </c>
      <c r="H214" s="1355">
        <f t="shared" si="32"/>
        <v>5.6571405399999993E-3</v>
      </c>
      <c r="J214">
        <f t="shared" si="33"/>
        <v>0.78694909002914348</v>
      </c>
      <c r="K214">
        <f t="shared" si="34"/>
        <v>0.95741219925999999</v>
      </c>
      <c r="L214">
        <f t="shared" si="35"/>
        <v>5.1956141362747166E-3</v>
      </c>
      <c r="N214">
        <f t="shared" si="36"/>
        <v>0.92324198451279893</v>
      </c>
      <c r="O214">
        <f t="shared" si="36"/>
        <v>0.98559763409501355</v>
      </c>
      <c r="P214">
        <f t="shared" si="36"/>
        <v>0.17838928176192984</v>
      </c>
      <c r="R214" s="42">
        <f t="shared" si="37"/>
        <v>98.329325555021569</v>
      </c>
      <c r="S214" s="42">
        <f t="shared" si="38"/>
        <v>-31.177824791107312</v>
      </c>
      <c r="T214" s="42">
        <f t="shared" si="39"/>
        <v>161.44167046661676</v>
      </c>
    </row>
    <row r="215" spans="1:20">
      <c r="A215">
        <v>571</v>
      </c>
      <c r="B215" s="1355">
        <v>0.77854319999999999</v>
      </c>
      <c r="C215" s="1355">
        <v>0.94545040000000002</v>
      </c>
      <c r="D215" s="1355">
        <v>2.0177329999999999E-3</v>
      </c>
      <c r="F215" s="1355">
        <f t="shared" si="30"/>
        <v>0.76430553465456519</v>
      </c>
      <c r="G215" s="1355">
        <f t="shared" si="31"/>
        <v>0.95055727702638937</v>
      </c>
      <c r="H215" s="1355">
        <f t="shared" si="32"/>
        <v>5.4786723559876998E-3</v>
      </c>
      <c r="J215">
        <f t="shared" si="33"/>
        <v>0.8041343068740362</v>
      </c>
      <c r="K215">
        <f t="shared" si="34"/>
        <v>0.95055727702638937</v>
      </c>
      <c r="L215">
        <f t="shared" si="35"/>
        <v>5.0317059191863746E-3</v>
      </c>
      <c r="N215">
        <f t="shared" si="36"/>
        <v>0.92991416592260168</v>
      </c>
      <c r="O215">
        <f t="shared" si="36"/>
        <v>0.98323975590999724</v>
      </c>
      <c r="P215">
        <f t="shared" si="36"/>
        <v>0.17711292847546292</v>
      </c>
      <c r="R215" s="42">
        <f t="shared" si="37"/>
        <v>98.055811685559675</v>
      </c>
      <c r="S215" s="42">
        <f t="shared" si="38"/>
        <v>-26.66279499369778</v>
      </c>
      <c r="T215" s="42">
        <f t="shared" si="39"/>
        <v>161.22536548690687</v>
      </c>
    </row>
    <row r="216" spans="1:20">
      <c r="A216">
        <v>572</v>
      </c>
      <c r="B216" s="1355">
        <v>0.79482560000000002</v>
      </c>
      <c r="C216" s="1355">
        <v>0.93849919999999998</v>
      </c>
      <c r="D216" s="1355">
        <v>1.9482E-3</v>
      </c>
      <c r="F216" s="1355">
        <f t="shared" si="30"/>
        <v>0.7804830346112801</v>
      </c>
      <c r="G216" s="1355">
        <f t="shared" si="31"/>
        <v>0.94329644384203992</v>
      </c>
      <c r="H216" s="1355">
        <f t="shared" si="32"/>
        <v>5.3097502812199998E-3</v>
      </c>
      <c r="J216">
        <f t="shared" si="33"/>
        <v>0.8211548335152925</v>
      </c>
      <c r="K216">
        <f t="shared" si="34"/>
        <v>0.94329644384203992</v>
      </c>
      <c r="L216">
        <f t="shared" si="35"/>
        <v>4.8765650112689764E-3</v>
      </c>
      <c r="N216">
        <f t="shared" si="36"/>
        <v>0.93642935165455254</v>
      </c>
      <c r="O216">
        <f t="shared" si="36"/>
        <v>0.98072986162749476</v>
      </c>
      <c r="P216">
        <f t="shared" si="36"/>
        <v>0.17590484622551014</v>
      </c>
      <c r="R216" s="42">
        <f t="shared" si="37"/>
        <v>97.764663948789391</v>
      </c>
      <c r="S216" s="42">
        <f t="shared" si="38"/>
        <v>-22.150254986471108</v>
      </c>
      <c r="T216" s="42">
        <f t="shared" si="39"/>
        <v>160.96500308039691</v>
      </c>
    </row>
    <row r="217" spans="1:20">
      <c r="A217">
        <v>573</v>
      </c>
      <c r="B217" s="1355">
        <v>0.81092640000000005</v>
      </c>
      <c r="C217" s="1355">
        <v>0.93116279999999996</v>
      </c>
      <c r="D217" s="1355">
        <v>1.8898000000000001E-3</v>
      </c>
      <c r="F217" s="1355">
        <f t="shared" si="30"/>
        <v>0.79648330119652011</v>
      </c>
      <c r="G217" s="1355">
        <f t="shared" si="31"/>
        <v>0.93564661747396005</v>
      </c>
      <c r="H217" s="1355">
        <f t="shared" si="32"/>
        <v>5.1490894903800004E-3</v>
      </c>
      <c r="J217">
        <f t="shared" si="33"/>
        <v>0.83798889096606954</v>
      </c>
      <c r="K217">
        <f t="shared" si="34"/>
        <v>0.93564661747396005</v>
      </c>
      <c r="L217">
        <f t="shared" si="35"/>
        <v>4.729011407088343E-3</v>
      </c>
      <c r="N217">
        <f t="shared" si="36"/>
        <v>0.9427851945638136</v>
      </c>
      <c r="O217">
        <f t="shared" si="36"/>
        <v>0.97807152949827136</v>
      </c>
      <c r="P217">
        <f t="shared" si="36"/>
        <v>0.17475584630975555</v>
      </c>
      <c r="R217" s="42">
        <f t="shared" si="37"/>
        <v>97.456297421799476</v>
      </c>
      <c r="S217" s="42">
        <f t="shared" si="38"/>
        <v>-17.643167467228881</v>
      </c>
      <c r="T217" s="42">
        <f t="shared" si="39"/>
        <v>160.66313663770316</v>
      </c>
    </row>
    <row r="218" spans="1:20">
      <c r="A218">
        <v>574</v>
      </c>
      <c r="B218" s="1355">
        <v>0.82682480000000003</v>
      </c>
      <c r="C218" s="1355">
        <v>0.92345759999999999</v>
      </c>
      <c r="D218" s="1355">
        <v>1.8409329999999999E-3</v>
      </c>
      <c r="F218" s="1355">
        <f t="shared" si="30"/>
        <v>0.81228563412504518</v>
      </c>
      <c r="G218" s="1355">
        <f t="shared" si="31"/>
        <v>0.9276247156862294</v>
      </c>
      <c r="H218" s="1355">
        <f t="shared" si="32"/>
        <v>4.9954060763077006E-3</v>
      </c>
      <c r="J218">
        <f t="shared" si="33"/>
        <v>0.85461470022730346</v>
      </c>
      <c r="K218">
        <f t="shared" si="34"/>
        <v>0.9276247156862294</v>
      </c>
      <c r="L218">
        <f t="shared" si="35"/>
        <v>4.5878659444612115E-3</v>
      </c>
      <c r="N218">
        <f t="shared" si="36"/>
        <v>0.94897940265055225</v>
      </c>
      <c r="O218">
        <f t="shared" si="36"/>
        <v>0.97526829020433548</v>
      </c>
      <c r="P218">
        <f t="shared" si="36"/>
        <v>0.17365674659227809</v>
      </c>
      <c r="R218" s="42">
        <f t="shared" si="37"/>
        <v>97.131121663702913</v>
      </c>
      <c r="S218" s="42">
        <f t="shared" si="38"/>
        <v>-13.144443776891613</v>
      </c>
      <c r="T218" s="42">
        <f t="shared" si="39"/>
        <v>160.32230872241149</v>
      </c>
    </row>
    <row r="219" spans="1:20">
      <c r="A219">
        <v>575</v>
      </c>
      <c r="B219" s="1355">
        <v>0.84250000000000003</v>
      </c>
      <c r="C219" s="1355">
        <v>0.91539999999999999</v>
      </c>
      <c r="D219" s="1355">
        <v>1.8E-3</v>
      </c>
      <c r="F219" s="1355">
        <f t="shared" si="30"/>
        <v>0.8278693331000001</v>
      </c>
      <c r="G219" s="1355">
        <f t="shared" si="31"/>
        <v>0.91924765624000004</v>
      </c>
      <c r="H219" s="1355">
        <f t="shared" si="32"/>
        <v>4.8474170500000004E-3</v>
      </c>
      <c r="J219">
        <f t="shared" si="33"/>
        <v>0.87101048228771039</v>
      </c>
      <c r="K219">
        <f t="shared" si="34"/>
        <v>0.91924765624000004</v>
      </c>
      <c r="L219">
        <f t="shared" si="35"/>
        <v>4.4519503044552411E-3</v>
      </c>
      <c r="N219">
        <f t="shared" si="36"/>
        <v>0.95500972452026245</v>
      </c>
      <c r="O219">
        <f t="shared" si="36"/>
        <v>0.97232363756532281</v>
      </c>
      <c r="P219">
        <f t="shared" si="36"/>
        <v>0.17259837150355159</v>
      </c>
      <c r="R219" s="42">
        <f t="shared" si="37"/>
        <v>96.789541957577441</v>
      </c>
      <c r="S219" s="42">
        <f t="shared" si="38"/>
        <v>-8.6569565225301801</v>
      </c>
      <c r="T219" s="42">
        <f t="shared" si="39"/>
        <v>159.94505321235422</v>
      </c>
    </row>
    <row r="220" spans="1:20">
      <c r="A220">
        <v>576</v>
      </c>
      <c r="B220" s="1355">
        <v>0.85793249999999999</v>
      </c>
      <c r="C220" s="1355">
        <v>0.90700639999999999</v>
      </c>
      <c r="D220" s="1355">
        <v>1.766267E-3</v>
      </c>
      <c r="F220" s="1355">
        <f t="shared" si="30"/>
        <v>0.84321497535891476</v>
      </c>
      <c r="G220" s="1355">
        <f t="shared" si="31"/>
        <v>0.91053233828097058</v>
      </c>
      <c r="H220" s="1355">
        <f t="shared" si="32"/>
        <v>4.7046289956223005E-3</v>
      </c>
      <c r="J220">
        <f t="shared" si="33"/>
        <v>0.88715580224406321</v>
      </c>
      <c r="K220">
        <f t="shared" si="34"/>
        <v>0.91053233828097058</v>
      </c>
      <c r="L220">
        <f t="shared" si="35"/>
        <v>4.3208113255717613E-3</v>
      </c>
      <c r="N220">
        <f t="shared" si="36"/>
        <v>0.96087442111259314</v>
      </c>
      <c r="O220">
        <f t="shared" si="36"/>
        <v>0.96924103251002802</v>
      </c>
      <c r="P220">
        <f t="shared" si="36"/>
        <v>0.17157719227498591</v>
      </c>
      <c r="R220" s="42">
        <f t="shared" si="37"/>
        <v>96.43195977116325</v>
      </c>
      <c r="S220" s="42">
        <f t="shared" si="38"/>
        <v>-4.1833056987174437</v>
      </c>
      <c r="T220" s="42">
        <f t="shared" si="39"/>
        <v>159.53276804700843</v>
      </c>
    </row>
    <row r="221" spans="1:20">
      <c r="A221">
        <v>577</v>
      </c>
      <c r="B221" s="1355">
        <v>0.87308160000000001</v>
      </c>
      <c r="C221" s="1355">
        <v>0.8982772</v>
      </c>
      <c r="D221" s="1355">
        <v>1.7378000000000001E-3</v>
      </c>
      <c r="F221" s="1355">
        <f t="shared" si="30"/>
        <v>0.85828226928172002</v>
      </c>
      <c r="G221" s="1355">
        <f t="shared" si="31"/>
        <v>0.90147967721811995</v>
      </c>
      <c r="H221" s="1355">
        <f t="shared" si="32"/>
        <v>4.5654139400600003E-3</v>
      </c>
      <c r="J221">
        <f t="shared" si="33"/>
        <v>0.90300826883722785</v>
      </c>
      <c r="K221">
        <f t="shared" si="34"/>
        <v>0.90147967721811995</v>
      </c>
      <c r="L221">
        <f t="shared" si="35"/>
        <v>4.1929538496000293E-3</v>
      </c>
      <c r="N221">
        <f t="shared" si="36"/>
        <v>0.9665639111096298</v>
      </c>
      <c r="O221">
        <f t="shared" si="36"/>
        <v>0.9660182106946934</v>
      </c>
      <c r="P221">
        <f t="shared" si="36"/>
        <v>0.17058156610959405</v>
      </c>
      <c r="R221" s="42">
        <f t="shared" si="37"/>
        <v>96.058112440584438</v>
      </c>
      <c r="S221" s="42">
        <f t="shared" si="38"/>
        <v>0.27285020746820043</v>
      </c>
      <c r="T221" s="42">
        <f t="shared" si="39"/>
        <v>159.08732891701987</v>
      </c>
    </row>
    <row r="222" spans="1:20">
      <c r="A222">
        <v>578</v>
      </c>
      <c r="B222" s="1355">
        <v>0.88789439999999997</v>
      </c>
      <c r="C222" s="1355">
        <v>0.88920480000000002</v>
      </c>
      <c r="D222" s="1355">
        <v>1.7112E-3</v>
      </c>
      <c r="F222" s="1355">
        <f t="shared" si="30"/>
        <v>0.87301891415087995</v>
      </c>
      <c r="G222" s="1355">
        <f t="shared" si="31"/>
        <v>0.89208261891888008</v>
      </c>
      <c r="H222" s="1355">
        <f t="shared" si="32"/>
        <v>4.4267881274400005E-3</v>
      </c>
      <c r="J222">
        <f t="shared" si="33"/>
        <v>0.91851285590379483</v>
      </c>
      <c r="K222">
        <f t="shared" si="34"/>
        <v>0.89208261891888008</v>
      </c>
      <c r="L222">
        <f t="shared" si="35"/>
        <v>4.0656375443733185E-3</v>
      </c>
      <c r="N222">
        <f t="shared" si="36"/>
        <v>0.97206449296872177</v>
      </c>
      <c r="O222">
        <f t="shared" si="36"/>
        <v>0.96264987608624164</v>
      </c>
      <c r="P222">
        <f t="shared" si="36"/>
        <v>0.16959015404079364</v>
      </c>
      <c r="R222" s="42">
        <f t="shared" si="37"/>
        <v>95.667385626004034</v>
      </c>
      <c r="S222" s="42">
        <f t="shared" si="38"/>
        <v>4.7073084412400661</v>
      </c>
      <c r="T222" s="42">
        <f t="shared" si="39"/>
        <v>158.6119444090896</v>
      </c>
    </row>
    <row r="223" spans="1:20">
      <c r="A223">
        <v>579</v>
      </c>
      <c r="B223" s="1355">
        <v>0.90231810000000001</v>
      </c>
      <c r="C223" s="1355">
        <v>0.87978160000000005</v>
      </c>
      <c r="D223" s="1355">
        <v>1.6830669999999999E-3</v>
      </c>
      <c r="F223" s="1355">
        <f t="shared" si="30"/>
        <v>0.88737270830523485</v>
      </c>
      <c r="G223" s="1355">
        <f t="shared" si="31"/>
        <v>0.88233410801649059</v>
      </c>
      <c r="H223" s="1355">
        <f t="shared" si="32"/>
        <v>4.2857665273823E-3</v>
      </c>
      <c r="J223">
        <f t="shared" si="33"/>
        <v>0.93361464149866358</v>
      </c>
      <c r="K223">
        <f t="shared" si="34"/>
        <v>0.88233410801649059</v>
      </c>
      <c r="L223">
        <f t="shared" si="35"/>
        <v>3.936120907196073E-3</v>
      </c>
      <c r="N223">
        <f t="shared" si="36"/>
        <v>0.97736297911686876</v>
      </c>
      <c r="O223">
        <f t="shared" si="36"/>
        <v>0.95913047279026453</v>
      </c>
      <c r="P223">
        <f t="shared" si="36"/>
        <v>0.16858160798709443</v>
      </c>
      <c r="R223" s="42">
        <f t="shared" si="37"/>
        <v>95.25913484367068</v>
      </c>
      <c r="S223" s="42">
        <f t="shared" si="38"/>
        <v>9.1162531633021118</v>
      </c>
      <c r="T223" s="42">
        <f t="shared" si="39"/>
        <v>158.10977296063402</v>
      </c>
    </row>
    <row r="224" spans="1:20">
      <c r="A224">
        <v>580</v>
      </c>
      <c r="B224" s="1355">
        <v>0.9163</v>
      </c>
      <c r="C224" s="1355">
        <v>0.87</v>
      </c>
      <c r="D224" s="1355">
        <v>1.6500009999999999E-3</v>
      </c>
      <c r="F224" s="1355">
        <f t="shared" si="30"/>
        <v>0.90129154912838438</v>
      </c>
      <c r="G224" s="1355">
        <f t="shared" si="31"/>
        <v>0.87222708790707182</v>
      </c>
      <c r="H224" s="1355">
        <f t="shared" si="32"/>
        <v>4.1393637531569006E-3</v>
      </c>
      <c r="J224">
        <f t="shared" si="33"/>
        <v>0.94825880788282046</v>
      </c>
      <c r="K224">
        <f t="shared" si="34"/>
        <v>0.87222708790707182</v>
      </c>
      <c r="L224">
        <f t="shared" si="35"/>
        <v>3.8016621080948364E-3</v>
      </c>
      <c r="N224">
        <f t="shared" si="36"/>
        <v>0.98244661758329155</v>
      </c>
      <c r="O224">
        <f t="shared" si="36"/>
        <v>0.95545416221010127</v>
      </c>
      <c r="P224">
        <f t="shared" si="36"/>
        <v>0.16753457731849311</v>
      </c>
      <c r="R224" s="42">
        <f t="shared" si="37"/>
        <v>94.832682816371744</v>
      </c>
      <c r="S224" s="42">
        <f t="shared" si="38"/>
        <v>13.496227686595141</v>
      </c>
      <c r="T224" s="42">
        <f t="shared" si="39"/>
        <v>157.58391697832164</v>
      </c>
    </row>
    <row r="225" spans="1:20">
      <c r="A225">
        <v>581</v>
      </c>
      <c r="B225" s="1355">
        <v>0.9297995</v>
      </c>
      <c r="C225" s="1355">
        <v>0.85986130000000005</v>
      </c>
      <c r="D225" s="1355">
        <v>1.6101329999999999E-3</v>
      </c>
      <c r="F225" s="1355">
        <f t="shared" si="30"/>
        <v>0.91473523683853519</v>
      </c>
      <c r="G225" s="1355">
        <f t="shared" si="31"/>
        <v>0.86176338660764951</v>
      </c>
      <c r="H225" s="1355">
        <f t="shared" si="32"/>
        <v>3.9860172482277002E-3</v>
      </c>
      <c r="J225">
        <f t="shared" si="33"/>
        <v>0.96240306042119705</v>
      </c>
      <c r="K225">
        <f t="shared" si="34"/>
        <v>0.86176338660764951</v>
      </c>
      <c r="L225">
        <f t="shared" si="35"/>
        <v>3.6608260685577184E-3</v>
      </c>
      <c r="N225">
        <f t="shared" si="36"/>
        <v>0.98730726285439563</v>
      </c>
      <c r="O225">
        <f t="shared" si="36"/>
        <v>0.9516180685708201</v>
      </c>
      <c r="P225">
        <f t="shared" si="36"/>
        <v>0.16643788707861756</v>
      </c>
      <c r="R225" s="42">
        <f t="shared" si="37"/>
        <v>94.387695954215133</v>
      </c>
      <c r="S225" s="42">
        <f t="shared" si="38"/>
        <v>17.844597141787766</v>
      </c>
      <c r="T225" s="42">
        <f t="shared" si="39"/>
        <v>157.03603629844051</v>
      </c>
    </row>
    <row r="226" spans="1:20">
      <c r="A226">
        <v>582</v>
      </c>
      <c r="B226" s="1355">
        <v>0.94279840000000004</v>
      </c>
      <c r="C226" s="1355">
        <v>0.84939200000000004</v>
      </c>
      <c r="D226" s="1355">
        <v>1.5644000000000001E-3</v>
      </c>
      <c r="F226" s="1355">
        <f t="shared" si="30"/>
        <v>0.92768554444560003</v>
      </c>
      <c r="G226" s="1355">
        <f t="shared" si="31"/>
        <v>0.85097013979783998</v>
      </c>
      <c r="H226" s="1355">
        <f t="shared" si="32"/>
        <v>3.8268315783600002E-3</v>
      </c>
      <c r="J226">
        <f t="shared" si="33"/>
        <v>0.97602822229591679</v>
      </c>
      <c r="K226">
        <f t="shared" si="34"/>
        <v>0.85097013979783998</v>
      </c>
      <c r="L226">
        <f t="shared" si="35"/>
        <v>3.5146272405793379E-3</v>
      </c>
      <c r="N226">
        <f t="shared" si="36"/>
        <v>0.9919446937032339</v>
      </c>
      <c r="O226">
        <f t="shared" si="36"/>
        <v>0.94762848550492285</v>
      </c>
      <c r="P226">
        <f t="shared" si="36"/>
        <v>0.16529943680514991</v>
      </c>
      <c r="R226" s="42">
        <f t="shared" si="37"/>
        <v>93.924904318571052</v>
      </c>
      <c r="S226" s="42">
        <f t="shared" si="38"/>
        <v>22.15810409915553</v>
      </c>
      <c r="T226" s="42">
        <f t="shared" si="39"/>
        <v>156.46580973995458</v>
      </c>
    </row>
    <row r="227" spans="1:20">
      <c r="A227">
        <v>583</v>
      </c>
      <c r="B227" s="1355">
        <v>0.95527759999999995</v>
      </c>
      <c r="C227" s="1355">
        <v>0.83862199999999998</v>
      </c>
      <c r="D227" s="1355">
        <v>1.5135999999999999E-3</v>
      </c>
      <c r="F227" s="1355">
        <f t="shared" si="30"/>
        <v>0.9401233307989999</v>
      </c>
      <c r="G227" s="1355">
        <f t="shared" si="31"/>
        <v>0.83987794772136004</v>
      </c>
      <c r="H227" s="1355">
        <f t="shared" si="32"/>
        <v>3.6628099096400004E-3</v>
      </c>
      <c r="J227">
        <f t="shared" si="33"/>
        <v>0.98911415489073817</v>
      </c>
      <c r="K227">
        <f t="shared" si="34"/>
        <v>0.83987794772136004</v>
      </c>
      <c r="L227">
        <f t="shared" si="35"/>
        <v>3.3639869489635668E-3</v>
      </c>
      <c r="N227">
        <f t="shared" si="36"/>
        <v>0.99635813790492578</v>
      </c>
      <c r="O227">
        <f t="shared" si="36"/>
        <v>0.94349309501642498</v>
      </c>
      <c r="P227">
        <f t="shared" si="36"/>
        <v>0.16412640085433791</v>
      </c>
      <c r="R227" s="42">
        <f t="shared" si="37"/>
        <v>93.445199021905296</v>
      </c>
      <c r="S227" s="42">
        <f t="shared" si="38"/>
        <v>26.432521444250401</v>
      </c>
      <c r="T227" s="42">
        <f t="shared" si="39"/>
        <v>155.8733388324174</v>
      </c>
    </row>
    <row r="228" spans="1:20">
      <c r="A228">
        <v>584</v>
      </c>
      <c r="B228" s="1355">
        <v>0.96721789999999996</v>
      </c>
      <c r="C228" s="1355">
        <v>0.82758129999999996</v>
      </c>
      <c r="D228" s="1355">
        <v>1.4585329999999999E-3</v>
      </c>
      <c r="F228" s="1355">
        <f t="shared" si="30"/>
        <v>0.95202935496333518</v>
      </c>
      <c r="G228" s="1355">
        <f t="shared" si="31"/>
        <v>0.82851751341268931</v>
      </c>
      <c r="H228" s="1355">
        <f t="shared" si="32"/>
        <v>3.4949582777877002E-3</v>
      </c>
      <c r="J228">
        <f t="shared" si="33"/>
        <v>1.0016406146047063</v>
      </c>
      <c r="K228">
        <f t="shared" si="34"/>
        <v>0.82851751341268931</v>
      </c>
      <c r="L228">
        <f t="shared" si="35"/>
        <v>3.2098291540347901E-3</v>
      </c>
      <c r="N228">
        <f t="shared" si="36"/>
        <v>1.0005465727387153</v>
      </c>
      <c r="O228">
        <f t="shared" si="36"/>
        <v>0.9392197816655381</v>
      </c>
      <c r="P228">
        <f t="shared" si="36"/>
        <v>0.16292597410522752</v>
      </c>
      <c r="R228" s="42">
        <f t="shared" si="37"/>
        <v>92.949494673202423</v>
      </c>
      <c r="S228" s="42">
        <f t="shared" si="38"/>
        <v>30.663395536588588</v>
      </c>
      <c r="T228" s="42">
        <f t="shared" si="39"/>
        <v>155.25876151206211</v>
      </c>
    </row>
    <row r="229" spans="1:20">
      <c r="A229">
        <v>585</v>
      </c>
      <c r="B229" s="1355">
        <v>0.97860000000000003</v>
      </c>
      <c r="C229" s="1355">
        <v>0.81630000000000003</v>
      </c>
      <c r="D229" s="1355">
        <v>1.4E-3</v>
      </c>
      <c r="F229" s="1355">
        <f t="shared" si="30"/>
        <v>0.96338427623</v>
      </c>
      <c r="G229" s="1355">
        <f t="shared" si="31"/>
        <v>0.81691964270000006</v>
      </c>
      <c r="H229" s="1355">
        <f t="shared" si="32"/>
        <v>3.3242846700000002E-3</v>
      </c>
      <c r="J229">
        <f t="shared" si="33"/>
        <v>1.0135872528643723</v>
      </c>
      <c r="K229">
        <f t="shared" si="34"/>
        <v>0.81691964270000006</v>
      </c>
      <c r="L229">
        <f t="shared" si="35"/>
        <v>3.0530796083869847E-3</v>
      </c>
      <c r="N229">
        <f t="shared" si="36"/>
        <v>1.0045087251337654</v>
      </c>
      <c r="O229">
        <f t="shared" si="36"/>
        <v>0.93481666558986076</v>
      </c>
      <c r="P229">
        <f t="shared" si="36"/>
        <v>0.16170536539326807</v>
      </c>
      <c r="R229" s="42">
        <f t="shared" si="37"/>
        <v>92.438733208423855</v>
      </c>
      <c r="S229" s="42">
        <f t="shared" si="38"/>
        <v>34.846029771952338</v>
      </c>
      <c r="T229" s="42">
        <f t="shared" si="39"/>
        <v>154.62226003931855</v>
      </c>
    </row>
    <row r="230" spans="1:20">
      <c r="A230">
        <v>586</v>
      </c>
      <c r="B230" s="1355">
        <v>0.98938559999999998</v>
      </c>
      <c r="C230" s="1355">
        <v>0.80479469999999997</v>
      </c>
      <c r="D230" s="1355">
        <v>1.3366669999999999E-3</v>
      </c>
      <c r="F230" s="1355">
        <f t="shared" si="30"/>
        <v>0.9741500569573448</v>
      </c>
      <c r="G230" s="1355">
        <f t="shared" si="31"/>
        <v>0.80510167218347062</v>
      </c>
      <c r="H230" s="1355">
        <f t="shared" si="32"/>
        <v>3.1498131240422999E-3</v>
      </c>
      <c r="J230">
        <f t="shared" si="33"/>
        <v>1.0249140498462284</v>
      </c>
      <c r="K230">
        <f t="shared" si="34"/>
        <v>0.80510167218347062</v>
      </c>
      <c r="L230">
        <f t="shared" si="35"/>
        <v>2.8928419716964999E-3</v>
      </c>
      <c r="N230">
        <f t="shared" si="36"/>
        <v>1.0082366545390622</v>
      </c>
      <c r="O230">
        <f t="shared" si="36"/>
        <v>0.93028690888974819</v>
      </c>
      <c r="P230">
        <f t="shared" si="36"/>
        <v>0.16045759491635928</v>
      </c>
      <c r="R230" s="42">
        <f t="shared" si="37"/>
        <v>91.913281431210791</v>
      </c>
      <c r="S230" s="42">
        <f t="shared" si="38"/>
        <v>38.974872824657005</v>
      </c>
      <c r="T230" s="42">
        <f t="shared" si="39"/>
        <v>153.96586279467778</v>
      </c>
    </row>
    <row r="231" spans="1:20">
      <c r="A231">
        <v>587</v>
      </c>
      <c r="B231" s="1355">
        <v>0.99954880000000002</v>
      </c>
      <c r="C231" s="1355">
        <v>0.79308199999999995</v>
      </c>
      <c r="D231" s="1355">
        <v>1.2700000000000001E-3</v>
      </c>
      <c r="F231" s="1355">
        <f t="shared" si="30"/>
        <v>0.98430090853028007</v>
      </c>
      <c r="G231" s="1355">
        <f t="shared" si="31"/>
        <v>0.79308077686143996</v>
      </c>
      <c r="H231" s="1355">
        <f t="shared" si="32"/>
        <v>2.9730943296E-3</v>
      </c>
      <c r="J231">
        <f t="shared" si="33"/>
        <v>1.0355938730630951</v>
      </c>
      <c r="K231">
        <f t="shared" si="34"/>
        <v>0.79308077686143996</v>
      </c>
      <c r="L231">
        <f t="shared" si="35"/>
        <v>2.7305404237576115E-3</v>
      </c>
      <c r="N231">
        <f t="shared" si="36"/>
        <v>1.0117265742926993</v>
      </c>
      <c r="O231">
        <f t="shared" si="36"/>
        <v>0.92563366442058737</v>
      </c>
      <c r="P231">
        <f t="shared" si="36"/>
        <v>0.15919375276255915</v>
      </c>
      <c r="R231" s="42">
        <f t="shared" si="37"/>
        <v>91.373505072788134</v>
      </c>
      <c r="S231" s="42">
        <f t="shared" si="38"/>
        <v>43.046454936055966</v>
      </c>
      <c r="T231" s="42">
        <f t="shared" si="39"/>
        <v>153.28798233160566</v>
      </c>
    </row>
    <row r="232" spans="1:20">
      <c r="A232">
        <v>588</v>
      </c>
      <c r="B232" s="1355">
        <v>1.0090892</v>
      </c>
      <c r="C232" s="1355">
        <v>0.781192</v>
      </c>
      <c r="D232" s="1355">
        <v>1.2049999999999999E-3</v>
      </c>
      <c r="F232" s="1355">
        <f t="shared" si="30"/>
        <v>0.99383616091432003</v>
      </c>
      <c r="G232" s="1355">
        <f t="shared" si="31"/>
        <v>0.78088751644795995</v>
      </c>
      <c r="H232" s="1355">
        <f t="shared" si="32"/>
        <v>2.7989251827000008E-3</v>
      </c>
      <c r="J232">
        <f t="shared" si="33"/>
        <v>1.0456260175642786</v>
      </c>
      <c r="K232">
        <f t="shared" si="34"/>
        <v>0.78088751644795995</v>
      </c>
      <c r="L232">
        <f t="shared" si="35"/>
        <v>2.570580515507472E-3</v>
      </c>
      <c r="N232">
        <f t="shared" si="36"/>
        <v>1.0149830592638835</v>
      </c>
      <c r="O232">
        <f t="shared" si="36"/>
        <v>0.92086540986976806</v>
      </c>
      <c r="P232">
        <f t="shared" si="36"/>
        <v>0.15794814495701531</v>
      </c>
      <c r="R232" s="42">
        <f t="shared" si="37"/>
        <v>90.820387544893094</v>
      </c>
      <c r="S232" s="42">
        <f t="shared" si="38"/>
        <v>47.058824697057744</v>
      </c>
      <c r="T232" s="42">
        <f t="shared" si="39"/>
        <v>152.58345298255054</v>
      </c>
    </row>
    <row r="233" spans="1:20">
      <c r="A233">
        <v>589</v>
      </c>
      <c r="B233" s="1355">
        <v>1.0180064</v>
      </c>
      <c r="C233" s="1355">
        <v>0.76915469999999997</v>
      </c>
      <c r="D233" s="1355">
        <v>1.1466670000000001E-3</v>
      </c>
      <c r="F233" s="1355">
        <f t="shared" si="30"/>
        <v>1.0027551448034249</v>
      </c>
      <c r="G233" s="1355">
        <f t="shared" si="31"/>
        <v>0.76855234910051062</v>
      </c>
      <c r="H233" s="1355">
        <f t="shared" si="32"/>
        <v>2.6321009842423006E-3</v>
      </c>
      <c r="J233">
        <f t="shared" si="33"/>
        <v>1.0550097791654915</v>
      </c>
      <c r="K233">
        <f t="shared" si="34"/>
        <v>0.76855234910051062</v>
      </c>
      <c r="L233">
        <f t="shared" si="35"/>
        <v>2.4173663328915448E-3</v>
      </c>
      <c r="N233">
        <f t="shared" si="36"/>
        <v>1.0180102756933864</v>
      </c>
      <c r="O233">
        <f t="shared" si="36"/>
        <v>0.91599088375195303</v>
      </c>
      <c r="P233">
        <f t="shared" si="36"/>
        <v>0.15675506611698509</v>
      </c>
      <c r="R233" s="42">
        <f t="shared" si="37"/>
        <v>90.254942515226546</v>
      </c>
      <c r="S233" s="42">
        <f t="shared" si="38"/>
        <v>51.009695970716692</v>
      </c>
      <c r="T233" s="42">
        <f t="shared" si="39"/>
        <v>151.8471635269936</v>
      </c>
    </row>
    <row r="234" spans="1:20">
      <c r="A234">
        <v>590</v>
      </c>
      <c r="B234" s="1355">
        <v>1.0263</v>
      </c>
      <c r="C234" s="1355">
        <v>0.75700000000000001</v>
      </c>
      <c r="D234" s="1355">
        <v>1.1000000000000001E-3</v>
      </c>
      <c r="F234" s="1355">
        <f t="shared" si="30"/>
        <v>1.01105719162</v>
      </c>
      <c r="G234" s="1355">
        <f t="shared" si="31"/>
        <v>0.75610563141999998</v>
      </c>
      <c r="H234" s="1355">
        <f t="shared" si="32"/>
        <v>2.4774154400000001E-3</v>
      </c>
      <c r="J234">
        <f t="shared" si="33"/>
        <v>1.0637444544488515</v>
      </c>
      <c r="K234">
        <f t="shared" si="34"/>
        <v>0.75610563141999998</v>
      </c>
      <c r="L234">
        <f t="shared" si="35"/>
        <v>2.2753004968636063E-3</v>
      </c>
      <c r="N234">
        <f t="shared" si="36"/>
        <v>1.0208120070120352</v>
      </c>
      <c r="O234">
        <f t="shared" si="36"/>
        <v>0.91101911805303626</v>
      </c>
      <c r="P234">
        <f t="shared" si="36"/>
        <v>0.15564879945183552</v>
      </c>
      <c r="R234" s="42">
        <f t="shared" si="37"/>
        <v>89.67821769415221</v>
      </c>
      <c r="S234" s="42">
        <f t="shared" si="38"/>
        <v>54.896444479499486</v>
      </c>
      <c r="T234" s="42">
        <f t="shared" si="39"/>
        <v>151.07406372024016</v>
      </c>
    </row>
    <row r="235" spans="1:20">
      <c r="A235">
        <v>591</v>
      </c>
      <c r="B235" s="1355">
        <v>1.0339826999999999</v>
      </c>
      <c r="C235" s="1355">
        <v>0.74475409999999997</v>
      </c>
      <c r="D235" s="1355">
        <v>1.0688E-3</v>
      </c>
      <c r="F235" s="1355">
        <f t="shared" si="30"/>
        <v>1.0187546480882099</v>
      </c>
      <c r="G235" s="1355">
        <f t="shared" si="31"/>
        <v>0.74357380375109994</v>
      </c>
      <c r="H235" s="1355">
        <f t="shared" si="32"/>
        <v>2.3384905740400008E-3</v>
      </c>
      <c r="J235">
        <f t="shared" si="33"/>
        <v>1.0718430335394171</v>
      </c>
      <c r="K235">
        <f t="shared" si="34"/>
        <v>0.74357380375109994</v>
      </c>
      <c r="L235">
        <f t="shared" si="35"/>
        <v>2.147709535960619E-3</v>
      </c>
      <c r="N235">
        <f t="shared" si="36"/>
        <v>1.0233960346137438</v>
      </c>
      <c r="O235">
        <f t="shared" si="36"/>
        <v>0.90595792214231596</v>
      </c>
      <c r="P235">
        <f t="shared" si="36"/>
        <v>0.15465524863928395</v>
      </c>
      <c r="R235" s="42">
        <f t="shared" si="37"/>
        <v>89.091118968508653</v>
      </c>
      <c r="S235" s="42">
        <f t="shared" si="38"/>
        <v>58.719056235713943</v>
      </c>
      <c r="T235" s="42">
        <f t="shared" si="39"/>
        <v>150.2605347006064</v>
      </c>
    </row>
    <row r="236" spans="1:20">
      <c r="A236">
        <v>592</v>
      </c>
      <c r="B236" s="1355">
        <v>1.040986</v>
      </c>
      <c r="C236" s="1355">
        <v>0.73242240000000003</v>
      </c>
      <c r="D236" s="1355">
        <v>1.0494E-3</v>
      </c>
      <c r="F236" s="1355">
        <f t="shared" si="30"/>
        <v>1.0257796724330399</v>
      </c>
      <c r="G236" s="1355">
        <f t="shared" si="31"/>
        <v>0.73096320847172003</v>
      </c>
      <c r="H236" s="1355">
        <f t="shared" si="32"/>
        <v>2.2122401611400009E-3</v>
      </c>
      <c r="J236">
        <f t="shared" si="33"/>
        <v>1.0792341393553082</v>
      </c>
      <c r="K236">
        <f t="shared" si="34"/>
        <v>0.73096320847172003</v>
      </c>
      <c r="L236">
        <f t="shared" si="35"/>
        <v>2.0317590084218849E-3</v>
      </c>
      <c r="N236">
        <f t="shared" si="36"/>
        <v>1.0257429915314444</v>
      </c>
      <c r="O236">
        <f t="shared" si="36"/>
        <v>0.90080718057058873</v>
      </c>
      <c r="P236">
        <f t="shared" si="36"/>
        <v>0.15375234188133985</v>
      </c>
      <c r="R236" s="42">
        <f t="shared" si="37"/>
        <v>88.493632946188299</v>
      </c>
      <c r="S236" s="42">
        <f t="shared" si="38"/>
        <v>62.467905480427852</v>
      </c>
      <c r="T236" s="42">
        <f t="shared" si="39"/>
        <v>149.41096773784977</v>
      </c>
    </row>
    <row r="237" spans="1:20">
      <c r="A237">
        <v>593</v>
      </c>
      <c r="B237" s="1355">
        <v>1.047188</v>
      </c>
      <c r="C237" s="1355">
        <v>0.72000359999999997</v>
      </c>
      <c r="D237" s="1355">
        <v>1.0356E-3</v>
      </c>
      <c r="F237" s="1355">
        <f t="shared" si="30"/>
        <v>1.0320116104275601</v>
      </c>
      <c r="G237" s="1355">
        <f t="shared" si="31"/>
        <v>0.71827405151247992</v>
      </c>
      <c r="H237" s="1355">
        <f t="shared" si="32"/>
        <v>2.0933972185600003E-3</v>
      </c>
      <c r="J237">
        <f t="shared" si="33"/>
        <v>1.0857908302498342</v>
      </c>
      <c r="K237">
        <f t="shared" si="34"/>
        <v>0.71827405151247992</v>
      </c>
      <c r="L237">
        <f t="shared" si="35"/>
        <v>1.9226116276737418E-3</v>
      </c>
      <c r="N237">
        <f t="shared" si="36"/>
        <v>1.0278160374263259</v>
      </c>
      <c r="O237">
        <f t="shared" si="36"/>
        <v>0.8955642027946733</v>
      </c>
      <c r="P237">
        <f t="shared" si="36"/>
        <v>0.15290241122745404</v>
      </c>
      <c r="R237" s="42">
        <f t="shared" si="37"/>
        <v>87.885447524182098</v>
      </c>
      <c r="S237" s="42">
        <f t="shared" si="38"/>
        <v>66.125917315826285</v>
      </c>
      <c r="T237" s="42">
        <f t="shared" si="39"/>
        <v>148.53235831344384</v>
      </c>
    </row>
    <row r="238" spans="1:20">
      <c r="A238">
        <v>594</v>
      </c>
      <c r="B238" s="1355">
        <v>1.0524667000000001</v>
      </c>
      <c r="C238" s="1355">
        <v>0.70749649999999997</v>
      </c>
      <c r="D238" s="1355">
        <v>1.0212000000000001E-3</v>
      </c>
      <c r="F238" s="1355">
        <f t="shared" si="30"/>
        <v>1.03732970808325</v>
      </c>
      <c r="G238" s="1355">
        <f t="shared" si="31"/>
        <v>0.70550664160062004</v>
      </c>
      <c r="H238" s="1355">
        <f t="shared" si="32"/>
        <v>1.9766957968799996E-3</v>
      </c>
      <c r="J238">
        <f t="shared" si="33"/>
        <v>1.0913860596160321</v>
      </c>
      <c r="K238">
        <f t="shared" si="34"/>
        <v>0.70550664160062004</v>
      </c>
      <c r="L238">
        <f t="shared" si="35"/>
        <v>1.8154310561612002E-3</v>
      </c>
      <c r="N238">
        <f t="shared" si="36"/>
        <v>1.0295785059006288</v>
      </c>
      <c r="O238">
        <f t="shared" si="36"/>
        <v>0.89022619407558323</v>
      </c>
      <c r="P238">
        <f t="shared" si="36"/>
        <v>0.15206779611708587</v>
      </c>
      <c r="R238" s="42">
        <f t="shared" si="37"/>
        <v>87.266238512767657</v>
      </c>
      <c r="S238" s="42">
        <f t="shared" si="38"/>
        <v>69.676155912522802</v>
      </c>
      <c r="T238" s="42">
        <f t="shared" si="39"/>
        <v>147.63167959169948</v>
      </c>
    </row>
    <row r="239" spans="1:20">
      <c r="A239">
        <v>595</v>
      </c>
      <c r="B239" s="1355">
        <v>1.0567</v>
      </c>
      <c r="C239" s="1355">
        <v>0.69489999999999996</v>
      </c>
      <c r="D239" s="1355">
        <v>1E-3</v>
      </c>
      <c r="F239" s="1355">
        <f t="shared" si="30"/>
        <v>1.0416131116499998</v>
      </c>
      <c r="G239" s="1355">
        <f t="shared" si="31"/>
        <v>0.69266139025999995</v>
      </c>
      <c r="H239" s="1355">
        <f t="shared" si="32"/>
        <v>1.8568709800000005E-3</v>
      </c>
      <c r="J239">
        <f t="shared" si="33"/>
        <v>1.0958926758866663</v>
      </c>
      <c r="K239">
        <f t="shared" si="34"/>
        <v>0.69266139025999995</v>
      </c>
      <c r="L239">
        <f t="shared" si="35"/>
        <v>1.7053819053479428E-3</v>
      </c>
      <c r="N239">
        <f t="shared" si="36"/>
        <v>1.0309936920744964</v>
      </c>
      <c r="O239">
        <f t="shared" si="36"/>
        <v>0.88479024693156283</v>
      </c>
      <c r="P239">
        <f t="shared" si="36"/>
        <v>0.15121084337970306</v>
      </c>
      <c r="R239" s="42">
        <f t="shared" si="37"/>
        <v>86.635668644061283</v>
      </c>
      <c r="S239" s="42">
        <f t="shared" si="38"/>
        <v>73.101722571466794</v>
      </c>
      <c r="T239" s="42">
        <f t="shared" si="39"/>
        <v>146.71588071037195</v>
      </c>
    </row>
    <row r="240" spans="1:20">
      <c r="A240">
        <v>596</v>
      </c>
      <c r="B240" s="1355">
        <v>1.0597943999999999</v>
      </c>
      <c r="C240" s="1355">
        <v>0.68221920000000003</v>
      </c>
      <c r="D240" s="1355">
        <v>9.6864E-4</v>
      </c>
      <c r="F240" s="1355">
        <f t="shared" si="30"/>
        <v>1.0447692167472959</v>
      </c>
      <c r="G240" s="1355">
        <f t="shared" si="31"/>
        <v>0.679744643571072</v>
      </c>
      <c r="H240" s="1355">
        <f t="shared" si="32"/>
        <v>1.7312054734560003E-3</v>
      </c>
      <c r="J240">
        <f t="shared" si="33"/>
        <v>1.0992132489687165</v>
      </c>
      <c r="K240">
        <f t="shared" si="34"/>
        <v>0.679744643571072</v>
      </c>
      <c r="L240">
        <f t="shared" si="35"/>
        <v>1.5899685657595772E-3</v>
      </c>
      <c r="N240">
        <f t="shared" si="36"/>
        <v>1.0320339514727401</v>
      </c>
      <c r="O240">
        <f t="shared" si="36"/>
        <v>0.87925584626555509</v>
      </c>
      <c r="P240">
        <f t="shared" si="36"/>
        <v>0.15031211970432845</v>
      </c>
      <c r="R240" s="42">
        <f t="shared" si="37"/>
        <v>85.993678166804386</v>
      </c>
      <c r="S240" s="42">
        <f t="shared" si="38"/>
        <v>76.389052603592518</v>
      </c>
      <c r="T240" s="42">
        <f t="shared" si="39"/>
        <v>145.78874531224534</v>
      </c>
    </row>
    <row r="241" spans="1:20">
      <c r="A241">
        <v>597</v>
      </c>
      <c r="B241" s="1355">
        <v>1.0617992000000001</v>
      </c>
      <c r="C241" s="1355">
        <v>0.66947160000000006</v>
      </c>
      <c r="D241" s="1355">
        <v>9.2991999999999999E-4</v>
      </c>
      <c r="F241" s="1355">
        <f t="shared" si="30"/>
        <v>1.046846694472888</v>
      </c>
      <c r="G241" s="1355">
        <f t="shared" si="31"/>
        <v>0.66677355634721602</v>
      </c>
      <c r="H241" s="1355">
        <f t="shared" si="32"/>
        <v>1.6022129057680007E-3</v>
      </c>
      <c r="J241">
        <f t="shared" si="33"/>
        <v>1.101398986262468</v>
      </c>
      <c r="K241">
        <f t="shared" si="34"/>
        <v>0.66677355634721602</v>
      </c>
      <c r="L241">
        <f t="shared" si="35"/>
        <v>1.4714995966018578E-3</v>
      </c>
      <c r="N241">
        <f t="shared" si="36"/>
        <v>1.0327175499740966</v>
      </c>
      <c r="O241">
        <f t="shared" si="36"/>
        <v>0.87362715060967366</v>
      </c>
      <c r="P241">
        <f t="shared" si="36"/>
        <v>0.1493896018414973</v>
      </c>
      <c r="R241" s="42">
        <f t="shared" si="37"/>
        <v>85.340749470722145</v>
      </c>
      <c r="S241" s="42">
        <f t="shared" si="38"/>
        <v>79.545199682211461</v>
      </c>
      <c r="T241" s="42">
        <f t="shared" si="39"/>
        <v>144.84750975363528</v>
      </c>
    </row>
    <row r="242" spans="1:20">
      <c r="A242">
        <v>598</v>
      </c>
      <c r="B242" s="1355">
        <v>1.0628067999999999</v>
      </c>
      <c r="C242" s="1355">
        <v>0.65667439999999999</v>
      </c>
      <c r="D242" s="1355">
        <v>8.8688000000000005E-4</v>
      </c>
      <c r="F242" s="1355">
        <f t="shared" si="30"/>
        <v>1.047936903578832</v>
      </c>
      <c r="G242" s="1355">
        <f t="shared" si="31"/>
        <v>0.65376444482182405</v>
      </c>
      <c r="H242" s="1355">
        <f t="shared" si="32"/>
        <v>1.4724716453520005E-3</v>
      </c>
      <c r="J242">
        <f t="shared" si="33"/>
        <v>1.1025460073214641</v>
      </c>
      <c r="K242">
        <f t="shared" si="34"/>
        <v>0.65376444482182405</v>
      </c>
      <c r="L242">
        <f t="shared" si="35"/>
        <v>1.3523430153026649E-3</v>
      </c>
      <c r="N242">
        <f t="shared" si="36"/>
        <v>1.0330759238317402</v>
      </c>
      <c r="O242">
        <f t="shared" si="36"/>
        <v>0.86790814860047172</v>
      </c>
      <c r="P242">
        <f t="shared" si="36"/>
        <v>0.14846172954292047</v>
      </c>
      <c r="R242" s="42">
        <f t="shared" si="37"/>
        <v>84.67734523765472</v>
      </c>
      <c r="S242" s="42">
        <f t="shared" si="38"/>
        <v>82.583887615634239</v>
      </c>
      <c r="T242" s="42">
        <f t="shared" si="39"/>
        <v>143.88928381151024</v>
      </c>
    </row>
    <row r="243" spans="1:20">
      <c r="A243">
        <v>599</v>
      </c>
      <c r="B243" s="1355">
        <v>1.0629096</v>
      </c>
      <c r="C243" s="1355">
        <v>0.64384479999999999</v>
      </c>
      <c r="D243" s="1355">
        <v>8.4256000000000001E-4</v>
      </c>
      <c r="F243" s="1355">
        <f t="shared" si="30"/>
        <v>1.0481312028171839</v>
      </c>
      <c r="G243" s="1355">
        <f t="shared" si="31"/>
        <v>0.64073362522828814</v>
      </c>
      <c r="H243" s="1355">
        <f t="shared" si="32"/>
        <v>1.3445600606240002E-3</v>
      </c>
      <c r="J243">
        <f t="shared" si="33"/>
        <v>1.1027504316992476</v>
      </c>
      <c r="K243">
        <f t="shared" si="34"/>
        <v>0.64073362522828814</v>
      </c>
      <c r="L243">
        <f t="shared" si="35"/>
        <v>1.2348668392898803E-3</v>
      </c>
      <c r="N243">
        <f t="shared" si="36"/>
        <v>1.0331397678348617</v>
      </c>
      <c r="O243">
        <f t="shared" si="36"/>
        <v>0.86210303103440511</v>
      </c>
      <c r="P243">
        <f t="shared" si="36"/>
        <v>0.14754694256030892</v>
      </c>
      <c r="R243" s="42">
        <f t="shared" si="37"/>
        <v>84.003951599990998</v>
      </c>
      <c r="S243" s="42">
        <f t="shared" si="38"/>
        <v>85.518368400228312</v>
      </c>
      <c r="T243" s="42">
        <f t="shared" si="39"/>
        <v>142.91121769481924</v>
      </c>
    </row>
    <row r="244" spans="1:20">
      <c r="A244">
        <v>600</v>
      </c>
      <c r="B244" s="1355">
        <v>1.0622</v>
      </c>
      <c r="C244" s="1355">
        <v>0.63100000000000001</v>
      </c>
      <c r="D244" s="1355">
        <v>8.0000000000000004E-4</v>
      </c>
      <c r="F244" s="1355">
        <f t="shared" si="30"/>
        <v>1.0475209509400001</v>
      </c>
      <c r="G244" s="1355">
        <f t="shared" si="31"/>
        <v>0.6276974138000001</v>
      </c>
      <c r="H244" s="1355">
        <f t="shared" si="32"/>
        <v>1.2210565199999998E-3</v>
      </c>
      <c r="J244">
        <f t="shared" si="33"/>
        <v>1.102108378949362</v>
      </c>
      <c r="K244">
        <f t="shared" si="34"/>
        <v>0.6276974138000001</v>
      </c>
      <c r="L244">
        <f t="shared" si="35"/>
        <v>1.1214390859913851E-3</v>
      </c>
      <c r="N244">
        <f t="shared" si="36"/>
        <v>1.0329392210964121</v>
      </c>
      <c r="O244">
        <f t="shared" si="36"/>
        <v>0.85621621145159632</v>
      </c>
      <c r="P244">
        <f t="shared" si="36"/>
        <v>0.14666368064537352</v>
      </c>
      <c r="R244" s="42">
        <f t="shared" si="37"/>
        <v>83.321080528385167</v>
      </c>
      <c r="S244" s="42">
        <f t="shared" si="38"/>
        <v>88.361504822407895</v>
      </c>
      <c r="T244" s="42">
        <f t="shared" si="39"/>
        <v>141.91050616124457</v>
      </c>
    </row>
    <row r="245" spans="1:20">
      <c r="A245">
        <v>601</v>
      </c>
      <c r="B245" s="1355">
        <v>1.0607352000000001</v>
      </c>
      <c r="C245" s="1355">
        <v>0.61815549999999997</v>
      </c>
      <c r="D245" s="1355">
        <v>7.6095999999999998E-4</v>
      </c>
      <c r="F245" s="1355">
        <f t="shared" si="30"/>
        <v>1.0461626699978941</v>
      </c>
      <c r="G245" s="1355">
        <f t="shared" si="31"/>
        <v>0.61467083947318812</v>
      </c>
      <c r="H245" s="1355">
        <f t="shared" si="32"/>
        <v>1.1034780777740001E-3</v>
      </c>
      <c r="J245">
        <f t="shared" si="33"/>
        <v>1.1006793165464392</v>
      </c>
      <c r="K245">
        <f t="shared" si="34"/>
        <v>0.61467083947318812</v>
      </c>
      <c r="L245">
        <f t="shared" si="35"/>
        <v>1.0134530438856389E-3</v>
      </c>
      <c r="N245">
        <f t="shared" si="36"/>
        <v>1.0324925702014478</v>
      </c>
      <c r="O245">
        <f t="shared" si="36"/>
        <v>0.8502517544809316</v>
      </c>
      <c r="P245">
        <f t="shared" si="36"/>
        <v>0.14582279333549608</v>
      </c>
      <c r="R245" s="42">
        <f t="shared" si="37"/>
        <v>82.629203519788064</v>
      </c>
      <c r="S245" s="42">
        <f t="shared" si="38"/>
        <v>91.120407860258098</v>
      </c>
      <c r="T245" s="42">
        <f t="shared" si="39"/>
        <v>140.88579222908712</v>
      </c>
    </row>
    <row r="246" spans="1:20">
      <c r="A246">
        <v>602</v>
      </c>
      <c r="B246" s="1355">
        <v>1.0584435999999999</v>
      </c>
      <c r="C246" s="1355">
        <v>0.60531440000000003</v>
      </c>
      <c r="D246" s="1355">
        <v>7.2367999999999998E-4</v>
      </c>
      <c r="F246" s="1355">
        <f t="shared" si="30"/>
        <v>1.0439854421644321</v>
      </c>
      <c r="G246" s="1355">
        <f t="shared" si="31"/>
        <v>0.60165794152390406</v>
      </c>
      <c r="H246" s="1355">
        <f t="shared" si="32"/>
        <v>9.9048491047200099E-4</v>
      </c>
      <c r="J246">
        <f t="shared" si="33"/>
        <v>1.0983886310608773</v>
      </c>
      <c r="K246">
        <f t="shared" si="34"/>
        <v>0.60165794152390406</v>
      </c>
      <c r="L246">
        <f t="shared" si="35"/>
        <v>9.0967819629510672E-4</v>
      </c>
      <c r="N246">
        <f t="shared" si="36"/>
        <v>1.0317758133363621</v>
      </c>
      <c r="O246">
        <f t="shared" si="36"/>
        <v>0.84420881864100139</v>
      </c>
      <c r="P246">
        <f t="shared" si="36"/>
        <v>0.14501469859730862</v>
      </c>
      <c r="R246" s="42">
        <f t="shared" si="37"/>
        <v>81.928222962356159</v>
      </c>
      <c r="S246" s="42">
        <f t="shared" si="38"/>
        <v>93.783497347680381</v>
      </c>
      <c r="T246" s="42">
        <f t="shared" si="39"/>
        <v>139.83882400873856</v>
      </c>
    </row>
    <row r="247" spans="1:20">
      <c r="A247">
        <v>603</v>
      </c>
      <c r="B247" s="1355">
        <v>1.0552244</v>
      </c>
      <c r="C247" s="1355">
        <v>0.59247559999999999</v>
      </c>
      <c r="D247" s="1355">
        <v>6.8592000000000002E-4</v>
      </c>
      <c r="F247" s="1355">
        <f t="shared" si="30"/>
        <v>1.0408894642256079</v>
      </c>
      <c r="G247" s="1355">
        <f t="shared" si="31"/>
        <v>0.58865885637377602</v>
      </c>
      <c r="H247" s="1355">
        <f t="shared" si="32"/>
        <v>8.8037210076800031E-4</v>
      </c>
      <c r="J247">
        <f t="shared" si="33"/>
        <v>1.0951313184273126</v>
      </c>
      <c r="K247">
        <f t="shared" si="34"/>
        <v>0.58865885637377602</v>
      </c>
      <c r="L247">
        <f t="shared" si="35"/>
        <v>8.085487181359811E-4</v>
      </c>
      <c r="N247">
        <f t="shared" si="36"/>
        <v>1.0307548801894235</v>
      </c>
      <c r="O247">
        <f t="shared" si="36"/>
        <v>0.83808466494667189</v>
      </c>
      <c r="P247">
        <f t="shared" si="36"/>
        <v>0.14422720335088351</v>
      </c>
      <c r="R247" s="42">
        <f t="shared" si="37"/>
        <v>81.217821133813942</v>
      </c>
      <c r="S247" s="42">
        <f t="shared" si="38"/>
        <v>96.335107621375812</v>
      </c>
      <c r="T247" s="42">
        <f t="shared" si="39"/>
        <v>138.77149231915769</v>
      </c>
    </row>
    <row r="248" spans="1:20">
      <c r="A248">
        <v>604</v>
      </c>
      <c r="B248" s="1355">
        <v>1.0509767999999999</v>
      </c>
      <c r="C248" s="1355">
        <v>0.57963790000000004</v>
      </c>
      <c r="D248" s="1355">
        <v>6.4543999999999995E-4</v>
      </c>
      <c r="F248" s="1355">
        <f t="shared" si="30"/>
        <v>1.036774933684246</v>
      </c>
      <c r="G248" s="1355">
        <f t="shared" si="31"/>
        <v>0.57567361888493207</v>
      </c>
      <c r="H248" s="1355">
        <f t="shared" si="32"/>
        <v>7.714340543660004E-4</v>
      </c>
      <c r="J248">
        <f t="shared" si="33"/>
        <v>1.090802375334567</v>
      </c>
      <c r="K248">
        <f t="shared" si="34"/>
        <v>0.57567361888493207</v>
      </c>
      <c r="L248">
        <f t="shared" si="35"/>
        <v>7.084981625836912E-4</v>
      </c>
      <c r="N248">
        <f t="shared" si="36"/>
        <v>1.0293949301780774</v>
      </c>
      <c r="O248">
        <f t="shared" si="36"/>
        <v>0.83187634673297328</v>
      </c>
      <c r="P248">
        <f t="shared" si="36"/>
        <v>0.14344810967479782</v>
      </c>
      <c r="R248" s="42">
        <f t="shared" si="37"/>
        <v>80.497656221024897</v>
      </c>
      <c r="S248" s="42">
        <f t="shared" si="38"/>
        <v>98.759291722552049</v>
      </c>
      <c r="T248" s="42">
        <f t="shared" si="39"/>
        <v>137.6856474116351</v>
      </c>
    </row>
    <row r="249" spans="1:20">
      <c r="A249">
        <v>605</v>
      </c>
      <c r="B249" s="1355">
        <v>1.0456000000000001</v>
      </c>
      <c r="C249" s="1355">
        <v>0.56679999999999997</v>
      </c>
      <c r="D249" s="1355">
        <v>5.9999999999999995E-4</v>
      </c>
      <c r="F249" s="1355">
        <f t="shared" si="30"/>
        <v>1.03154204876</v>
      </c>
      <c r="G249" s="1355">
        <f t="shared" si="31"/>
        <v>0.56270216235999992</v>
      </c>
      <c r="H249" s="1355">
        <f t="shared" si="32"/>
        <v>6.6196449999999987E-4</v>
      </c>
      <c r="J249">
        <f t="shared" si="33"/>
        <v>1.0852967992256461</v>
      </c>
      <c r="K249">
        <f t="shared" si="34"/>
        <v>0.56270216235999992</v>
      </c>
      <c r="L249">
        <f t="shared" si="35"/>
        <v>6.0795946107289464E-4</v>
      </c>
      <c r="N249">
        <f t="shared" si="36"/>
        <v>1.0276601295459074</v>
      </c>
      <c r="O249">
        <f t="shared" si="36"/>
        <v>0.82558069303130999</v>
      </c>
      <c r="P249">
        <f t="shared" si="36"/>
        <v>0.14266521480613326</v>
      </c>
      <c r="R249" s="42">
        <f t="shared" si="37"/>
        <v>79.767360391631954</v>
      </c>
      <c r="S249" s="42">
        <f t="shared" si="38"/>
        <v>101.03971825729869</v>
      </c>
      <c r="T249" s="42">
        <f t="shared" si="39"/>
        <v>136.58309564503534</v>
      </c>
    </row>
    <row r="250" spans="1:20">
      <c r="A250">
        <v>606</v>
      </c>
      <c r="B250" s="1355">
        <v>1.0390368999999999</v>
      </c>
      <c r="C250" s="1355">
        <v>0.55396109999999998</v>
      </c>
      <c r="D250" s="1355">
        <v>5.4786669999999996E-4</v>
      </c>
      <c r="F250" s="1355">
        <f t="shared" si="30"/>
        <v>1.0251342807628692</v>
      </c>
      <c r="G250" s="1355">
        <f t="shared" si="31"/>
        <v>0.54974438579394913</v>
      </c>
      <c r="H250" s="1355">
        <f t="shared" si="32"/>
        <v>5.5057005640523043E-4</v>
      </c>
      <c r="J250">
        <f t="shared" si="33"/>
        <v>1.0785551156405453</v>
      </c>
      <c r="K250">
        <f t="shared" si="34"/>
        <v>0.54974438579394913</v>
      </c>
      <c r="L250">
        <f t="shared" si="35"/>
        <v>5.0565290853965311E-4</v>
      </c>
      <c r="N250">
        <f t="shared" si="36"/>
        <v>1.0255278235353924</v>
      </c>
      <c r="O250">
        <f t="shared" si="36"/>
        <v>0.81919432356494704</v>
      </c>
      <c r="P250">
        <f t="shared" si="36"/>
        <v>0.1418685536815569</v>
      </c>
      <c r="R250" s="42">
        <f t="shared" si="37"/>
        <v>79.026541533533859</v>
      </c>
      <c r="S250" s="42">
        <f t="shared" si="38"/>
        <v>103.16674998522268</v>
      </c>
      <c r="T250" s="42">
        <f t="shared" si="39"/>
        <v>135.46515397667801</v>
      </c>
    </row>
    <row r="251" spans="1:20">
      <c r="A251">
        <v>607</v>
      </c>
      <c r="B251" s="1355">
        <v>1.0313608000000001</v>
      </c>
      <c r="C251" s="1355">
        <v>0.54113719999999998</v>
      </c>
      <c r="D251" s="1355">
        <v>4.9160000000000002E-4</v>
      </c>
      <c r="F251" s="1355">
        <f t="shared" si="30"/>
        <v>1.0176240850743603</v>
      </c>
      <c r="G251" s="1355">
        <f t="shared" si="31"/>
        <v>0.53681562440191988</v>
      </c>
      <c r="H251" s="1355">
        <f t="shared" si="32"/>
        <v>4.3944822407999978E-4</v>
      </c>
      <c r="J251">
        <f t="shared" si="33"/>
        <v>1.0706535556875654</v>
      </c>
      <c r="K251">
        <f t="shared" si="34"/>
        <v>0.53681562440191988</v>
      </c>
      <c r="L251">
        <f t="shared" si="35"/>
        <v>4.035967268352266E-4</v>
      </c>
      <c r="N251">
        <f t="shared" si="36"/>
        <v>1.0230173232232684</v>
      </c>
      <c r="O251">
        <f t="shared" si="36"/>
        <v>0.81272143835563293</v>
      </c>
      <c r="P251">
        <f t="shared" si="36"/>
        <v>0.14107384219462452</v>
      </c>
      <c r="R251" s="42">
        <f t="shared" si="37"/>
        <v>78.275686849253418</v>
      </c>
      <c r="S251" s="42">
        <f t="shared" si="38"/>
        <v>105.14794243381775</v>
      </c>
      <c r="T251" s="42">
        <f t="shared" si="39"/>
        <v>134.32951923220168</v>
      </c>
    </row>
    <row r="252" spans="1:20">
      <c r="A252">
        <v>608</v>
      </c>
      <c r="B252" s="1355">
        <v>1.0226662</v>
      </c>
      <c r="C252" s="1355">
        <v>0.52835279999999996</v>
      </c>
      <c r="D252" s="1355">
        <v>4.3540000000000001E-4</v>
      </c>
      <c r="F252" s="1355">
        <f t="shared" si="30"/>
        <v>1.0091048345826399</v>
      </c>
      <c r="G252" s="1355">
        <f t="shared" si="31"/>
        <v>0.52393957888428</v>
      </c>
      <c r="H252" s="1355">
        <f t="shared" si="32"/>
        <v>3.3228446072000004E-4</v>
      </c>
      <c r="J252">
        <f t="shared" si="33"/>
        <v>1.0616903580151291</v>
      </c>
      <c r="K252">
        <f t="shared" si="34"/>
        <v>0.52393957888428</v>
      </c>
      <c r="L252">
        <f t="shared" si="35"/>
        <v>3.0517570302067361E-4</v>
      </c>
      <c r="N252">
        <f t="shared" si="36"/>
        <v>1.0201545190793391</v>
      </c>
      <c r="O252">
        <f t="shared" si="36"/>
        <v>0.80617080966975641</v>
      </c>
      <c r="P252">
        <f t="shared" si="36"/>
        <v>0.1403074376821806</v>
      </c>
      <c r="R252" s="42">
        <f t="shared" si="37"/>
        <v>77.515813921691745</v>
      </c>
      <c r="S252" s="42">
        <f t="shared" si="38"/>
        <v>106.99185470479134</v>
      </c>
      <c r="T252" s="42">
        <f t="shared" si="39"/>
        <v>133.17267439751518</v>
      </c>
    </row>
    <row r="253" spans="1:20">
      <c r="A253">
        <v>609</v>
      </c>
      <c r="B253" s="1355">
        <v>1.0130477</v>
      </c>
      <c r="C253" s="1355">
        <v>0.51563230000000004</v>
      </c>
      <c r="D253" s="1355">
        <v>3.8346670000000003E-4</v>
      </c>
      <c r="F253" s="1355">
        <f t="shared" si="30"/>
        <v>0.99967000193862943</v>
      </c>
      <c r="G253" s="1355">
        <f t="shared" si="31"/>
        <v>0.51113984714506921</v>
      </c>
      <c r="H253" s="1355">
        <f t="shared" si="32"/>
        <v>2.3276309888523039E-4</v>
      </c>
      <c r="J253">
        <f t="shared" si="33"/>
        <v>1.0517638662331577</v>
      </c>
      <c r="K253">
        <f t="shared" si="34"/>
        <v>0.51113984714506921</v>
      </c>
      <c r="L253">
        <f t="shared" si="35"/>
        <v>2.1377359081328618E-4</v>
      </c>
      <c r="N253">
        <f t="shared" si="36"/>
        <v>1.0169651772162576</v>
      </c>
      <c r="O253">
        <f t="shared" si="36"/>
        <v>0.79955175261114675</v>
      </c>
      <c r="P253">
        <f t="shared" si="36"/>
        <v>0.13959568943442169</v>
      </c>
      <c r="R253" s="42">
        <f t="shared" si="37"/>
        <v>76.748003302893025</v>
      </c>
      <c r="S253" s="42">
        <f t="shared" si="38"/>
        <v>108.7067123025554</v>
      </c>
      <c r="T253" s="42">
        <f t="shared" si="39"/>
        <v>131.99121263534502</v>
      </c>
    </row>
    <row r="254" spans="1:20">
      <c r="A254">
        <v>610</v>
      </c>
      <c r="B254" s="1355">
        <v>1.0025999999999999</v>
      </c>
      <c r="C254" s="1355">
        <v>0.503</v>
      </c>
      <c r="D254" s="1355">
        <v>3.4000000000000002E-4</v>
      </c>
      <c r="F254" s="1355">
        <f t="shared" si="30"/>
        <v>0.98941315955599984</v>
      </c>
      <c r="G254" s="1355">
        <f t="shared" si="31"/>
        <v>0.49843992429200001</v>
      </c>
      <c r="H254" s="1355">
        <f t="shared" si="32"/>
        <v>1.4456734600000064E-4</v>
      </c>
      <c r="J254">
        <f t="shared" si="33"/>
        <v>1.0409725289130638</v>
      </c>
      <c r="K254">
        <f t="shared" si="34"/>
        <v>0.49843992429200001</v>
      </c>
      <c r="L254">
        <f t="shared" si="35"/>
        <v>1.3277311058659355E-4</v>
      </c>
      <c r="N254">
        <f t="shared" si="36"/>
        <v>1.0134751153070307</v>
      </c>
      <c r="O254">
        <f t="shared" si="36"/>
        <v>0.79287417733628029</v>
      </c>
      <c r="P254">
        <f t="shared" si="36"/>
        <v>0.13896493869489643</v>
      </c>
      <c r="R254" s="42">
        <f t="shared" si="37"/>
        <v>75.973404571008516</v>
      </c>
      <c r="S254" s="42">
        <f t="shared" si="38"/>
        <v>110.3004689853752</v>
      </c>
      <c r="T254" s="42">
        <f t="shared" si="39"/>
        <v>130.78184772827677</v>
      </c>
    </row>
    <row r="255" spans="1:20">
      <c r="A255">
        <v>611</v>
      </c>
      <c r="B255" s="1355">
        <v>0.99136749999999996</v>
      </c>
      <c r="C255" s="1355">
        <v>0.49046879999999998</v>
      </c>
      <c r="D255" s="1355">
        <v>3.072533E-4</v>
      </c>
      <c r="F255" s="1355">
        <f t="shared" si="30"/>
        <v>0.97837816466252847</v>
      </c>
      <c r="G255" s="1355">
        <f t="shared" si="31"/>
        <v>0.48585235562088697</v>
      </c>
      <c r="H255" s="1355">
        <f t="shared" si="32"/>
        <v>6.9695286552770162E-5</v>
      </c>
      <c r="J255">
        <f t="shared" si="33"/>
        <v>1.0293624887292903</v>
      </c>
      <c r="K255">
        <f t="shared" si="34"/>
        <v>0.48585235562088697</v>
      </c>
      <c r="L255">
        <f t="shared" si="35"/>
        <v>6.400933713506256E-5</v>
      </c>
      <c r="N255">
        <f t="shared" si="36"/>
        <v>1.0096932338720463</v>
      </c>
      <c r="O255">
        <f t="shared" si="36"/>
        <v>0.78614279338081083</v>
      </c>
      <c r="P255">
        <f t="shared" si="36"/>
        <v>0.13842947519102936</v>
      </c>
      <c r="R255" s="42">
        <f t="shared" si="37"/>
        <v>75.192564032174062</v>
      </c>
      <c r="S255" s="42">
        <f t="shared" si="38"/>
        <v>111.77522024561776</v>
      </c>
      <c r="T255" s="42">
        <f t="shared" si="39"/>
        <v>129.54266363795631</v>
      </c>
    </row>
    <row r="256" spans="1:20">
      <c r="A256">
        <v>612</v>
      </c>
      <c r="B256" s="1355">
        <v>0.97933139999999996</v>
      </c>
      <c r="C256" s="1355">
        <v>0.47803040000000002</v>
      </c>
      <c r="D256" s="1355">
        <v>2.8316000000000002E-4</v>
      </c>
      <c r="F256" s="1355">
        <f t="shared" si="30"/>
        <v>0.96654648034502388</v>
      </c>
      <c r="G256" s="1355">
        <f t="shared" si="31"/>
        <v>0.47336895032320803</v>
      </c>
      <c r="H256" s="1355">
        <f t="shared" si="32"/>
        <v>6.2602627840007883E-6</v>
      </c>
      <c r="J256">
        <f t="shared" si="33"/>
        <v>1.0169142427904341</v>
      </c>
      <c r="K256">
        <f t="shared" si="34"/>
        <v>0.47336895032320803</v>
      </c>
      <c r="L256">
        <f t="shared" si="35"/>
        <v>5.7495318681527774E-6</v>
      </c>
      <c r="N256">
        <f t="shared" si="36"/>
        <v>1.0056065883516789</v>
      </c>
      <c r="O256">
        <f t="shared" si="36"/>
        <v>0.77935128525755826</v>
      </c>
      <c r="P256">
        <f t="shared" si="36"/>
        <v>0.13797580608741591</v>
      </c>
      <c r="R256" s="42">
        <f t="shared" si="37"/>
        <v>74.404749089876759</v>
      </c>
      <c r="S256" s="42">
        <f t="shared" si="38"/>
        <v>113.12765154706034</v>
      </c>
      <c r="T256" s="42">
        <f t="shared" si="39"/>
        <v>128.27509583402846</v>
      </c>
    </row>
    <row r="257" spans="1:20">
      <c r="A257">
        <v>613</v>
      </c>
      <c r="B257" s="1355">
        <v>0.96649160000000001</v>
      </c>
      <c r="C257" s="1355">
        <v>0.46567760000000002</v>
      </c>
      <c r="D257" s="1355">
        <v>2.6543999999999998E-4</v>
      </c>
      <c r="F257" s="1355">
        <f t="shared" si="30"/>
        <v>0.95391808565521596</v>
      </c>
      <c r="G257" s="1355">
        <f t="shared" si="31"/>
        <v>0.46098240402867202</v>
      </c>
      <c r="H257" s="1355">
        <f t="shared" si="32"/>
        <v>-4.7879600343999794E-5</v>
      </c>
      <c r="J257">
        <f t="shared" si="33"/>
        <v>1.0036277690565887</v>
      </c>
      <c r="K257">
        <f t="shared" si="34"/>
        <v>0.46098240402867202</v>
      </c>
      <c r="L257">
        <f t="shared" si="35"/>
        <v>-4.3973439695820098E-5</v>
      </c>
      <c r="N257">
        <f t="shared" si="36"/>
        <v>1.0012077969913231</v>
      </c>
      <c r="O257">
        <f t="shared" si="36"/>
        <v>0.77249340925936683</v>
      </c>
      <c r="P257">
        <f t="shared" si="36"/>
        <v>0.13758861330784727</v>
      </c>
      <c r="R257" s="42">
        <f t="shared" si="37"/>
        <v>73.609235474086546</v>
      </c>
      <c r="S257" s="42">
        <f t="shared" si="38"/>
        <v>114.35719386597815</v>
      </c>
      <c r="T257" s="42">
        <f t="shared" si="39"/>
        <v>126.98095919030391</v>
      </c>
    </row>
    <row r="258" spans="1:20">
      <c r="A258">
        <v>614</v>
      </c>
      <c r="B258" s="1355">
        <v>0.95284789999999997</v>
      </c>
      <c r="C258" s="1355">
        <v>0.45340320000000001</v>
      </c>
      <c r="D258" s="1355">
        <v>2.5181329999999998E-4</v>
      </c>
      <c r="F258" s="1355">
        <f t="shared" si="30"/>
        <v>0.94049286059891246</v>
      </c>
      <c r="G258" s="1355">
        <f t="shared" si="31"/>
        <v>0.44868541360381498</v>
      </c>
      <c r="H258" s="1355">
        <f t="shared" si="32"/>
        <v>-9.4865729703229556E-5</v>
      </c>
      <c r="J258">
        <f t="shared" si="33"/>
        <v>0.9895029412805374</v>
      </c>
      <c r="K258">
        <f t="shared" si="34"/>
        <v>0.44868541360381498</v>
      </c>
      <c r="L258">
        <f t="shared" si="35"/>
        <v>-8.7126300435540492E-5</v>
      </c>
      <c r="N258">
        <f t="shared" si="36"/>
        <v>0.9964886653870475</v>
      </c>
      <c r="O258">
        <f t="shared" si="36"/>
        <v>0.76556249720518388</v>
      </c>
      <c r="P258">
        <f t="shared" si="36"/>
        <v>0.13725258198126705</v>
      </c>
      <c r="R258" s="42">
        <f t="shared" si="37"/>
        <v>72.805249675801335</v>
      </c>
      <c r="S258" s="42">
        <f t="shared" si="38"/>
        <v>115.46308409093182</v>
      </c>
      <c r="T258" s="42">
        <f t="shared" si="39"/>
        <v>125.66198304478337</v>
      </c>
    </row>
    <row r="259" spans="1:20">
      <c r="A259">
        <v>615</v>
      </c>
      <c r="B259" s="1355">
        <v>0.93840000000000001</v>
      </c>
      <c r="C259" s="1355">
        <v>0.44119999999999998</v>
      </c>
      <c r="D259" s="1355">
        <v>2.4000000000000001E-4</v>
      </c>
      <c r="F259" s="1355">
        <f t="shared" si="30"/>
        <v>0.926270586136</v>
      </c>
      <c r="G259" s="1355">
        <f t="shared" si="31"/>
        <v>0.43647067715199994</v>
      </c>
      <c r="H259" s="1355">
        <f t="shared" si="32"/>
        <v>-1.368391039999997E-4</v>
      </c>
      <c r="J259">
        <f t="shared" si="33"/>
        <v>0.97453952900775398</v>
      </c>
      <c r="K259">
        <f t="shared" si="34"/>
        <v>0.43647067715199994</v>
      </c>
      <c r="L259">
        <f t="shared" si="35"/>
        <v>-1.2567536162669994E-4</v>
      </c>
      <c r="N259">
        <f t="shared" si="36"/>
        <v>0.99144011374895791</v>
      </c>
      <c r="O259">
        <f t="shared" si="36"/>
        <v>0.758551417277327</v>
      </c>
      <c r="P259">
        <f t="shared" si="36"/>
        <v>0.13695240044177151</v>
      </c>
      <c r="R259" s="42">
        <f t="shared" si="37"/>
        <v>71.991964404169934</v>
      </c>
      <c r="S259" s="42">
        <f t="shared" si="38"/>
        <v>116.44434823581545</v>
      </c>
      <c r="T259" s="42">
        <f t="shared" si="39"/>
        <v>124.31980336711111</v>
      </c>
    </row>
    <row r="260" spans="1:20">
      <c r="A260">
        <v>616</v>
      </c>
      <c r="B260" s="1355">
        <v>0.92319399999999996</v>
      </c>
      <c r="C260" s="1355">
        <v>0.42908000000000002</v>
      </c>
      <c r="D260" s="1355">
        <v>2.2954670000000001E-4</v>
      </c>
      <c r="F260" s="1355">
        <f t="shared" si="30"/>
        <v>0.91129684114775145</v>
      </c>
      <c r="G260" s="1355">
        <f t="shared" si="31"/>
        <v>0.42434981282855305</v>
      </c>
      <c r="H260" s="1355">
        <f t="shared" si="32"/>
        <v>-1.7429905652276942E-4</v>
      </c>
      <c r="J260">
        <f t="shared" si="33"/>
        <v>0.95878548628336657</v>
      </c>
      <c r="K260">
        <f t="shared" si="34"/>
        <v>0.42434981282855305</v>
      </c>
      <c r="L260">
        <f t="shared" si="35"/>
        <v>-1.6007921945828958E-4</v>
      </c>
      <c r="N260">
        <f t="shared" si="36"/>
        <v>0.98606864745502198</v>
      </c>
      <c r="O260">
        <f t="shared" si="36"/>
        <v>0.75146369734541962</v>
      </c>
      <c r="P260">
        <f t="shared" si="36"/>
        <v>0.13668449760083692</v>
      </c>
      <c r="R260" s="42">
        <f t="shared" si="37"/>
        <v>71.169788892068681</v>
      </c>
      <c r="S260" s="42">
        <f t="shared" si="38"/>
        <v>117.30247505480118</v>
      </c>
      <c r="T260" s="42">
        <f t="shared" si="39"/>
        <v>122.95583994891655</v>
      </c>
    </row>
    <row r="261" spans="1:20">
      <c r="A261">
        <v>617</v>
      </c>
      <c r="B261" s="1355">
        <v>0.90724400000000005</v>
      </c>
      <c r="C261" s="1355">
        <v>0.41703600000000002</v>
      </c>
      <c r="D261" s="1355">
        <v>2.2064E-4</v>
      </c>
      <c r="F261" s="1355">
        <f t="shared" ref="F261:F324" si="40">$X$12*B261+$Y$12*C261+$Z$12*D261</f>
        <v>0.89558564038961608</v>
      </c>
      <c r="G261" s="1355">
        <f t="shared" ref="G261:G324" si="41">$X$13*B261+$Y$13*C261+$Z$13*D261</f>
        <v>0.41231533336915199</v>
      </c>
      <c r="H261" s="1355">
        <f t="shared" ref="H261:H324" si="42">$X$14*B261+$Y$14*C261+$Z$14*D261</f>
        <v>-2.0717324638399993E-4</v>
      </c>
      <c r="J261">
        <f t="shared" ref="J261:J324" si="43">F261/$X$5</f>
        <v>0.94225555818659823</v>
      </c>
      <c r="K261">
        <f t="shared" ref="K261:K324" si="44">G261/$X$6</f>
        <v>0.41231533336915199</v>
      </c>
      <c r="L261">
        <f t="shared" ref="L261:L324" si="45">H261/$X$7</f>
        <v>-1.9027143482821003E-4</v>
      </c>
      <c r="N261">
        <f t="shared" ref="N261:P324" si="46">IF(J261&gt;0.008856,J261^(1/3),7.787*J261+16/116)</f>
        <v>0.98036899827390001</v>
      </c>
      <c r="O261">
        <f t="shared" si="46"/>
        <v>0.7442916759748347</v>
      </c>
      <c r="P261">
        <f t="shared" si="46"/>
        <v>0.13644939081975135</v>
      </c>
      <c r="R261" s="42">
        <f t="shared" ref="R261:R324" si="47" xml:space="preserve"> 116 * O261  - 16</f>
        <v>70.337834413080827</v>
      </c>
      <c r="S261" s="42">
        <f t="shared" ref="S261:S324" si="48" xml:space="preserve"> 500 * (N261 - O261 )</f>
        <v>118.03866114953266</v>
      </c>
      <c r="T261" s="42">
        <f t="shared" ref="T261:T324" si="49" xml:space="preserve"> 200 * (O261 - P261 )</f>
        <v>121.56845703101666</v>
      </c>
    </row>
    <row r="262" spans="1:20">
      <c r="A262">
        <v>618</v>
      </c>
      <c r="B262" s="1355">
        <v>0.89050200000000002</v>
      </c>
      <c r="C262" s="1355">
        <v>0.405032</v>
      </c>
      <c r="D262" s="1355">
        <v>2.1196E-4</v>
      </c>
      <c r="F262" s="1355">
        <f t="shared" si="40"/>
        <v>0.87908971576702399</v>
      </c>
      <c r="G262" s="1355">
        <f t="shared" si="41"/>
        <v>0.40033127503632804</v>
      </c>
      <c r="H262" s="1355">
        <f t="shared" si="42"/>
        <v>-2.3674621007599986E-4</v>
      </c>
      <c r="J262">
        <f t="shared" si="43"/>
        <v>0.92490001343232708</v>
      </c>
      <c r="K262">
        <f t="shared" si="44"/>
        <v>0.40033127503632804</v>
      </c>
      <c r="L262">
        <f t="shared" si="45"/>
        <v>-2.1743174790922354E-4</v>
      </c>
      <c r="N262">
        <f t="shared" si="46"/>
        <v>0.97431247201410598</v>
      </c>
      <c r="O262">
        <f t="shared" si="46"/>
        <v>0.73700964821293158</v>
      </c>
      <c r="P262">
        <f t="shared" si="46"/>
        <v>0.13623789346178949</v>
      </c>
      <c r="R262" s="42">
        <f t="shared" si="47"/>
        <v>69.493119192700064</v>
      </c>
      <c r="S262" s="42">
        <f t="shared" si="48"/>
        <v>118.65141190058721</v>
      </c>
      <c r="T262" s="42">
        <f t="shared" si="49"/>
        <v>120.15435095022842</v>
      </c>
    </row>
    <row r="263" spans="1:20">
      <c r="A263">
        <v>619</v>
      </c>
      <c r="B263" s="1355">
        <v>0.87292000000000003</v>
      </c>
      <c r="C263" s="1355">
        <v>0.39303199999999999</v>
      </c>
      <c r="D263" s="1355">
        <v>2.021867E-4</v>
      </c>
      <c r="F263" s="1355">
        <f t="shared" si="40"/>
        <v>0.86176179918656748</v>
      </c>
      <c r="G263" s="1355">
        <f t="shared" si="41"/>
        <v>0.38836167409290506</v>
      </c>
      <c r="H263" s="1355">
        <f t="shared" si="42"/>
        <v>-2.6430257590677009E-4</v>
      </c>
      <c r="J263">
        <f t="shared" si="43"/>
        <v>0.90666912073665396</v>
      </c>
      <c r="K263">
        <f t="shared" si="44"/>
        <v>0.38836167409290506</v>
      </c>
      <c r="L263">
        <f t="shared" si="45"/>
        <v>-2.4273998319918638E-4</v>
      </c>
      <c r="N263">
        <f t="shared" si="46"/>
        <v>0.96786832012298796</v>
      </c>
      <c r="O263">
        <f t="shared" si="46"/>
        <v>0.72958985786426855</v>
      </c>
      <c r="P263">
        <f t="shared" si="46"/>
        <v>0.13604081823358655</v>
      </c>
      <c r="R263" s="42">
        <f t="shared" si="47"/>
        <v>68.632423512255158</v>
      </c>
      <c r="S263" s="42">
        <f t="shared" si="48"/>
        <v>119.1392311293597</v>
      </c>
      <c r="T263" s="42">
        <f t="shared" si="49"/>
        <v>118.70980792613639</v>
      </c>
    </row>
    <row r="264" spans="1:20">
      <c r="A264">
        <v>620</v>
      </c>
      <c r="B264" s="1355">
        <v>0.85444989999999998</v>
      </c>
      <c r="C264" s="1355">
        <v>0.38100000000000001</v>
      </c>
      <c r="D264" s="1355">
        <v>1.9000000000000001E-4</v>
      </c>
      <c r="F264" s="1355">
        <f t="shared" si="40"/>
        <v>0.84355452351123994</v>
      </c>
      <c r="G264" s="1355">
        <f t="shared" si="41"/>
        <v>0.37637056803912</v>
      </c>
      <c r="H264" s="1355">
        <f t="shared" si="42"/>
        <v>-2.9112670764999975E-4</v>
      </c>
      <c r="J264">
        <f t="shared" si="43"/>
        <v>0.88751304461081348</v>
      </c>
      <c r="K264">
        <f t="shared" si="44"/>
        <v>0.37637056803912</v>
      </c>
      <c r="L264">
        <f t="shared" si="45"/>
        <v>-2.6737572224314152E-4</v>
      </c>
      <c r="N264">
        <f t="shared" si="46"/>
        <v>0.96100337966611238</v>
      </c>
      <c r="O264">
        <f t="shared" si="46"/>
        <v>0.72200225087038039</v>
      </c>
      <c r="P264">
        <f t="shared" si="46"/>
        <v>0.13584897973365129</v>
      </c>
      <c r="R264" s="42">
        <f t="shared" si="47"/>
        <v>67.75226110096412</v>
      </c>
      <c r="S264" s="42">
        <f t="shared" si="48"/>
        <v>119.500564397866</v>
      </c>
      <c r="T264" s="42">
        <f t="shared" si="49"/>
        <v>117.23065422734582</v>
      </c>
    </row>
    <row r="265" spans="1:20">
      <c r="A265">
        <v>621</v>
      </c>
      <c r="B265" s="1355">
        <v>0.83508400000000005</v>
      </c>
      <c r="C265" s="1355">
        <v>0.36891839999999998</v>
      </c>
      <c r="D265" s="1355">
        <v>1.7421329999999999E-4</v>
      </c>
      <c r="F265" s="1355">
        <f t="shared" si="40"/>
        <v>0.82446040223967243</v>
      </c>
      <c r="G265" s="1355">
        <f t="shared" si="41"/>
        <v>0.3643401811358149</v>
      </c>
      <c r="H265" s="1355">
        <f t="shared" si="42"/>
        <v>-3.183997980532303E-4</v>
      </c>
      <c r="J265">
        <f t="shared" si="43"/>
        <v>0.8674239084239086</v>
      </c>
      <c r="K265">
        <f t="shared" si="44"/>
        <v>0.3643401811358149</v>
      </c>
      <c r="L265">
        <f t="shared" si="45"/>
        <v>-2.9242379256011529E-4</v>
      </c>
      <c r="N265">
        <f t="shared" si="46"/>
        <v>0.95369710156744381</v>
      </c>
      <c r="O265">
        <f t="shared" si="46"/>
        <v>0.71422605621662805</v>
      </c>
      <c r="P265">
        <f t="shared" si="46"/>
        <v>0.13565393041009299</v>
      </c>
      <c r="R265" s="42">
        <f t="shared" si="47"/>
        <v>66.850222521128856</v>
      </c>
      <c r="S265" s="42">
        <f t="shared" si="48"/>
        <v>119.73552267540788</v>
      </c>
      <c r="T265" s="42">
        <f t="shared" si="49"/>
        <v>115.71442516130701</v>
      </c>
    </row>
    <row r="266" spans="1:20">
      <c r="A266">
        <v>622</v>
      </c>
      <c r="B266" s="1355">
        <v>0.81494599999999995</v>
      </c>
      <c r="C266" s="1355">
        <v>0.35682720000000001</v>
      </c>
      <c r="D266" s="1355">
        <v>1.5563999999999999E-4</v>
      </c>
      <c r="F266" s="1355">
        <f t="shared" si="40"/>
        <v>0.80460165755985591</v>
      </c>
      <c r="G266" s="1355">
        <f t="shared" si="41"/>
        <v>0.35230960448375204</v>
      </c>
      <c r="H266" s="1355">
        <f t="shared" si="42"/>
        <v>-3.4554503524399961E-4</v>
      </c>
      <c r="J266">
        <f t="shared" si="43"/>
        <v>0.84653030349180503</v>
      </c>
      <c r="K266">
        <f t="shared" si="44"/>
        <v>0.35230960448375204</v>
      </c>
      <c r="L266">
        <f t="shared" si="45"/>
        <v>-3.1735444031115933E-4</v>
      </c>
      <c r="N266">
        <f t="shared" si="46"/>
        <v>0.94597756439833136</v>
      </c>
      <c r="O266">
        <f t="shared" si="46"/>
        <v>0.70627661618917659</v>
      </c>
      <c r="P266">
        <f t="shared" si="46"/>
        <v>0.13545979545605563</v>
      </c>
      <c r="R266" s="42">
        <f t="shared" si="47"/>
        <v>65.928087477944487</v>
      </c>
      <c r="S266" s="42">
        <f t="shared" si="48"/>
        <v>119.85047410457739</v>
      </c>
      <c r="T266" s="42">
        <f t="shared" si="49"/>
        <v>114.1633641466242</v>
      </c>
    </row>
    <row r="267" spans="1:20">
      <c r="A267">
        <v>623</v>
      </c>
      <c r="B267" s="1355">
        <v>0.79418599999999995</v>
      </c>
      <c r="C267" s="1355">
        <v>0.34477679999999999</v>
      </c>
      <c r="D267" s="1355">
        <v>1.3595999999999999E-4</v>
      </c>
      <c r="F267" s="1355">
        <f t="shared" si="40"/>
        <v>0.78412657486118398</v>
      </c>
      <c r="G267" s="1355">
        <f t="shared" si="41"/>
        <v>0.340328162234728</v>
      </c>
      <c r="H267" s="1355">
        <f t="shared" si="42"/>
        <v>-3.7121369591599975E-4</v>
      </c>
      <c r="J267">
        <f t="shared" si="43"/>
        <v>0.82498824251284519</v>
      </c>
      <c r="K267">
        <f t="shared" si="44"/>
        <v>0.340328162234728</v>
      </c>
      <c r="L267">
        <f t="shared" si="45"/>
        <v>-3.409289750613041E-4</v>
      </c>
      <c r="N267">
        <f t="shared" si="46"/>
        <v>0.93788427222201598</v>
      </c>
      <c r="O267">
        <f t="shared" si="46"/>
        <v>0.69817768335143826</v>
      </c>
      <c r="P267">
        <f t="shared" si="46"/>
        <v>0.13527622055395624</v>
      </c>
      <c r="R267" s="42">
        <f t="shared" si="47"/>
        <v>64.988611268766832</v>
      </c>
      <c r="S267" s="42">
        <f t="shared" si="48"/>
        <v>119.85329443528886</v>
      </c>
      <c r="T267" s="42">
        <f t="shared" si="49"/>
        <v>112.5802925594964</v>
      </c>
    </row>
    <row r="268" spans="1:20">
      <c r="A268">
        <v>624</v>
      </c>
      <c r="B268" s="1355">
        <v>0.77295400000000003</v>
      </c>
      <c r="C268" s="1355">
        <v>0.33281759999999999</v>
      </c>
      <c r="D268" s="1355">
        <v>1.1685329999999999E-4</v>
      </c>
      <c r="F268" s="1355">
        <f t="shared" si="40"/>
        <v>0.76318334048712866</v>
      </c>
      <c r="G268" s="1355">
        <f t="shared" si="41"/>
        <v>0.32844517977736687</v>
      </c>
      <c r="H268" s="1355">
        <f t="shared" si="42"/>
        <v>-3.9405660859722995E-4</v>
      </c>
      <c r="J268">
        <f t="shared" si="43"/>
        <v>0.80295363397806208</v>
      </c>
      <c r="K268">
        <f t="shared" si="44"/>
        <v>0.32844517977736687</v>
      </c>
      <c r="L268">
        <f t="shared" si="45"/>
        <v>-3.6190829477258154E-4</v>
      </c>
      <c r="N268">
        <f t="shared" si="46"/>
        <v>0.92945882646649769</v>
      </c>
      <c r="O268">
        <f t="shared" si="46"/>
        <v>0.68995531446060732</v>
      </c>
      <c r="P268">
        <f t="shared" si="46"/>
        <v>0.13511285459136452</v>
      </c>
      <c r="R268" s="42">
        <f t="shared" si="47"/>
        <v>64.034816477430454</v>
      </c>
      <c r="S268" s="42">
        <f t="shared" si="48"/>
        <v>119.75175600294519</v>
      </c>
      <c r="T268" s="42">
        <f t="shared" si="49"/>
        <v>110.96849197384854</v>
      </c>
    </row>
    <row r="269" spans="1:20">
      <c r="A269">
        <v>625</v>
      </c>
      <c r="B269" s="1355">
        <v>0.75139999999999996</v>
      </c>
      <c r="C269" s="1355">
        <v>0.32100000000000001</v>
      </c>
      <c r="D269" s="1355">
        <v>1E-4</v>
      </c>
      <c r="F269" s="1355">
        <f t="shared" si="40"/>
        <v>0.74192014078000001</v>
      </c>
      <c r="G269" s="1355">
        <f t="shared" si="41"/>
        <v>0.31670998249999999</v>
      </c>
      <c r="H269" s="1355">
        <f t="shared" si="42"/>
        <v>-4.1272450999999954E-4</v>
      </c>
      <c r="J269">
        <f t="shared" si="43"/>
        <v>0.78058238637726596</v>
      </c>
      <c r="K269">
        <f t="shared" si="44"/>
        <v>0.31670998249999999</v>
      </c>
      <c r="L269">
        <f t="shared" si="45"/>
        <v>-3.7905321308193157E-4</v>
      </c>
      <c r="N269">
        <f t="shared" si="46"/>
        <v>0.92074545220298321</v>
      </c>
      <c r="O269">
        <f t="shared" si="46"/>
        <v>0.68163819448817686</v>
      </c>
      <c r="P269">
        <f t="shared" si="46"/>
        <v>0.13497934711248963</v>
      </c>
      <c r="R269" s="42">
        <f t="shared" si="47"/>
        <v>63.07003056062851</v>
      </c>
      <c r="S269" s="42">
        <f t="shared" si="48"/>
        <v>119.55362885740317</v>
      </c>
      <c r="T269" s="42">
        <f t="shared" si="49"/>
        <v>109.33176947513745</v>
      </c>
    </row>
    <row r="270" spans="1:20">
      <c r="A270">
        <v>626</v>
      </c>
      <c r="B270" s="1355">
        <v>0.7295836</v>
      </c>
      <c r="C270" s="1355">
        <v>0.3093381</v>
      </c>
      <c r="D270" s="1355">
        <v>8.6133330000000006E-5</v>
      </c>
      <c r="F270" s="1355">
        <f t="shared" si="40"/>
        <v>0.72039589682682204</v>
      </c>
      <c r="G270" s="1355">
        <f t="shared" si="41"/>
        <v>0.30513615082156315</v>
      </c>
      <c r="H270" s="1355">
        <f t="shared" si="42"/>
        <v>-4.266611117705229E-4</v>
      </c>
      <c r="J270">
        <f t="shared" si="43"/>
        <v>0.7579364912378318</v>
      </c>
      <c r="K270">
        <f t="shared" si="44"/>
        <v>0.30513615082156315</v>
      </c>
      <c r="L270">
        <f t="shared" si="45"/>
        <v>-3.918528252991954E-4</v>
      </c>
      <c r="N270">
        <f t="shared" si="46"/>
        <v>0.91175384953317484</v>
      </c>
      <c r="O270">
        <f t="shared" si="46"/>
        <v>0.67323169593404719</v>
      </c>
      <c r="P270">
        <f t="shared" si="46"/>
        <v>0.1348796765321538</v>
      </c>
      <c r="R270" s="42">
        <f t="shared" si="47"/>
        <v>62.094876728349476</v>
      </c>
      <c r="S270" s="42">
        <f t="shared" si="48"/>
        <v>119.26107679956382</v>
      </c>
      <c r="T270" s="42">
        <f t="shared" si="49"/>
        <v>107.67040388037867</v>
      </c>
    </row>
    <row r="271" spans="1:20">
      <c r="A271">
        <v>627</v>
      </c>
      <c r="B271" s="1355">
        <v>0.70758880000000002</v>
      </c>
      <c r="C271" s="1355">
        <v>0.29785040000000002</v>
      </c>
      <c r="D271" s="1355">
        <v>7.4599999999999997E-5</v>
      </c>
      <c r="F271" s="1355">
        <f t="shared" si="40"/>
        <v>0.69869368120080011</v>
      </c>
      <c r="G271" s="1355">
        <f t="shared" si="41"/>
        <v>0.29374143598171998</v>
      </c>
      <c r="H271" s="1355">
        <f t="shared" si="42"/>
        <v>-4.3664033117999984E-4</v>
      </c>
      <c r="J271">
        <f t="shared" si="43"/>
        <v>0.73510335013288175</v>
      </c>
      <c r="K271">
        <f t="shared" si="44"/>
        <v>0.29374143598171998</v>
      </c>
      <c r="L271">
        <f t="shared" si="45"/>
        <v>-4.0101791021555233E-4</v>
      </c>
      <c r="N271">
        <f t="shared" si="46"/>
        <v>0.90250468973210618</v>
      </c>
      <c r="O271">
        <f t="shared" si="46"/>
        <v>0.66474498747672695</v>
      </c>
      <c r="P271">
        <f t="shared" si="46"/>
        <v>0.13480830801591012</v>
      </c>
      <c r="R271" s="42">
        <f t="shared" si="47"/>
        <v>61.110418547300327</v>
      </c>
      <c r="S271" s="42">
        <f t="shared" si="48"/>
        <v>118.87985112768962</v>
      </c>
      <c r="T271" s="42">
        <f t="shared" si="49"/>
        <v>105.98733589216336</v>
      </c>
    </row>
    <row r="272" spans="1:20">
      <c r="A272">
        <v>628</v>
      </c>
      <c r="B272" s="1355">
        <v>0.68560220000000005</v>
      </c>
      <c r="C272" s="1355">
        <v>0.2865936</v>
      </c>
      <c r="D272" s="1355">
        <v>6.4999999999999994E-5</v>
      </c>
      <c r="F272" s="1355">
        <f t="shared" si="40"/>
        <v>0.67699790962784001</v>
      </c>
      <c r="G272" s="1355">
        <f t="shared" si="41"/>
        <v>0.28258111492235999</v>
      </c>
      <c r="H272" s="1355">
        <f t="shared" si="42"/>
        <v>-4.4331054727999984E-4</v>
      </c>
      <c r="J272">
        <f t="shared" si="43"/>
        <v>0.71227698888743463</v>
      </c>
      <c r="K272">
        <f t="shared" si="44"/>
        <v>0.28258111492235999</v>
      </c>
      <c r="L272">
        <f t="shared" si="45"/>
        <v>-4.071439501850609E-4</v>
      </c>
      <c r="N272">
        <f t="shared" si="46"/>
        <v>0.89306479855908638</v>
      </c>
      <c r="O272">
        <f t="shared" si="46"/>
        <v>0.65621735414359517</v>
      </c>
      <c r="P272">
        <f t="shared" si="46"/>
        <v>0.13476060454266756</v>
      </c>
      <c r="R272" s="42">
        <f t="shared" si="47"/>
        <v>60.121213080657043</v>
      </c>
      <c r="S272" s="42">
        <f t="shared" si="48"/>
        <v>118.42372220774561</v>
      </c>
      <c r="T272" s="42">
        <f t="shared" si="49"/>
        <v>104.29134992018551</v>
      </c>
    </row>
    <row r="273" spans="1:20">
      <c r="A273">
        <v>629</v>
      </c>
      <c r="B273" s="1355">
        <v>0.66381040000000002</v>
      </c>
      <c r="C273" s="1355">
        <v>0.27562449999999999</v>
      </c>
      <c r="D273" s="1355">
        <v>5.6933330000000001E-5</v>
      </c>
      <c r="F273" s="1355">
        <f t="shared" si="40"/>
        <v>0.65549299711690201</v>
      </c>
      <c r="G273" s="1355">
        <f t="shared" si="41"/>
        <v>0.27171056614484312</v>
      </c>
      <c r="H273" s="1355">
        <f t="shared" si="42"/>
        <v>-4.4731945297052302E-4</v>
      </c>
      <c r="J273">
        <f t="shared" si="43"/>
        <v>0.68965143257220318</v>
      </c>
      <c r="K273">
        <f t="shared" si="44"/>
        <v>0.27171056614484312</v>
      </c>
      <c r="L273">
        <f t="shared" si="45"/>
        <v>-4.1082579738850237E-4</v>
      </c>
      <c r="N273">
        <f t="shared" si="46"/>
        <v>0.8835067683573522</v>
      </c>
      <c r="O273">
        <f t="shared" si="46"/>
        <v>0.64769246169821759</v>
      </c>
      <c r="P273">
        <f t="shared" si="46"/>
        <v>0.13473193399849434</v>
      </c>
      <c r="R273" s="42">
        <f t="shared" si="47"/>
        <v>59.132325556993237</v>
      </c>
      <c r="S273" s="42">
        <f t="shared" si="48"/>
        <v>117.90715332956731</v>
      </c>
      <c r="T273" s="42">
        <f t="shared" si="49"/>
        <v>102.59210553994464</v>
      </c>
    </row>
    <row r="274" spans="1:20">
      <c r="A274">
        <v>630</v>
      </c>
      <c r="B274" s="1355">
        <v>0.64239999999999997</v>
      </c>
      <c r="C274" s="1355">
        <v>0.26500000000000001</v>
      </c>
      <c r="D274" s="1355">
        <v>4.9999990000000002E-5</v>
      </c>
      <c r="F274" s="1355">
        <f t="shared" si="40"/>
        <v>0.63436335796011611</v>
      </c>
      <c r="G274" s="1355">
        <f t="shared" si="41"/>
        <v>0.26118526971002937</v>
      </c>
      <c r="H274" s="1355">
        <f t="shared" si="42"/>
        <v>-4.4931406418156878E-4</v>
      </c>
      <c r="J274">
        <f t="shared" si="43"/>
        <v>0.66742070550371513</v>
      </c>
      <c r="K274">
        <f t="shared" si="44"/>
        <v>0.26118526971002937</v>
      </c>
      <c r="L274">
        <f t="shared" si="45"/>
        <v>-4.1265768226588981E-4</v>
      </c>
      <c r="N274">
        <f t="shared" si="46"/>
        <v>0.87390969743920699</v>
      </c>
      <c r="O274">
        <f t="shared" si="46"/>
        <v>0.63921883020207815</v>
      </c>
      <c r="P274">
        <f t="shared" si="46"/>
        <v>0.13471766911095415</v>
      </c>
      <c r="R274" s="42">
        <f t="shared" si="47"/>
        <v>58.149384303441067</v>
      </c>
      <c r="S274" s="42">
        <f t="shared" si="48"/>
        <v>117.34543361856441</v>
      </c>
      <c r="T274" s="42">
        <f t="shared" si="49"/>
        <v>100.9002322182248</v>
      </c>
    </row>
    <row r="275" spans="1:20">
      <c r="A275">
        <v>631</v>
      </c>
      <c r="B275" s="1355">
        <v>0.62151489999999998</v>
      </c>
      <c r="C275" s="1355">
        <v>0.25476320000000002</v>
      </c>
      <c r="D275" s="1355">
        <v>4.4159999999999997E-5</v>
      </c>
      <c r="F275" s="1355">
        <f t="shared" si="40"/>
        <v>0.61375120907778402</v>
      </c>
      <c r="G275" s="1355">
        <f t="shared" si="41"/>
        <v>0.25104721766380805</v>
      </c>
      <c r="H275" s="1355">
        <f t="shared" si="42"/>
        <v>-4.4955210240599984E-4</v>
      </c>
      <c r="J275">
        <f t="shared" si="43"/>
        <v>0.64573443567685884</v>
      </c>
      <c r="K275">
        <f t="shared" si="44"/>
        <v>0.25104721766380805</v>
      </c>
      <c r="L275">
        <f t="shared" si="45"/>
        <v>-4.1287630062176821E-4</v>
      </c>
      <c r="N275">
        <f t="shared" si="46"/>
        <v>0.86434007410252023</v>
      </c>
      <c r="O275">
        <f t="shared" si="46"/>
        <v>0.63083890732897163</v>
      </c>
      <c r="P275">
        <f t="shared" si="46"/>
        <v>0.13471596672981692</v>
      </c>
      <c r="R275" s="42">
        <f t="shared" si="47"/>
        <v>57.177313250160708</v>
      </c>
      <c r="S275" s="42">
        <f t="shared" si="48"/>
        <v>116.7505833867743</v>
      </c>
      <c r="T275" s="42">
        <f t="shared" si="49"/>
        <v>99.224588119830941</v>
      </c>
    </row>
    <row r="276" spans="1:20">
      <c r="A276">
        <v>632</v>
      </c>
      <c r="B276" s="1355">
        <v>0.60111380000000003</v>
      </c>
      <c r="C276" s="1355">
        <v>0.24488960000000001</v>
      </c>
      <c r="D276" s="1355">
        <v>3.9480000000000001E-5</v>
      </c>
      <c r="F276" s="1355">
        <f t="shared" si="40"/>
        <v>0.59361581983331202</v>
      </c>
      <c r="G276" s="1355">
        <f t="shared" si="41"/>
        <v>0.24127203866410402</v>
      </c>
      <c r="H276" s="1355">
        <f t="shared" si="42"/>
        <v>-4.4799106676799978E-4</v>
      </c>
      <c r="J276">
        <f t="shared" si="43"/>
        <v>0.62454976993835887</v>
      </c>
      <c r="K276">
        <f t="shared" si="44"/>
        <v>0.24127203866410402</v>
      </c>
      <c r="L276">
        <f t="shared" si="45"/>
        <v>-4.114426189285745E-4</v>
      </c>
      <c r="N276">
        <f t="shared" si="46"/>
        <v>0.85478262200070065</v>
      </c>
      <c r="O276">
        <f t="shared" si="46"/>
        <v>0.6225424893512862</v>
      </c>
      <c r="P276">
        <f t="shared" si="46"/>
        <v>0.13472713080916182</v>
      </c>
      <c r="R276" s="42">
        <f t="shared" si="47"/>
        <v>56.214928764749203</v>
      </c>
      <c r="S276" s="42">
        <f t="shared" si="48"/>
        <v>116.12006632470722</v>
      </c>
      <c r="T276" s="42">
        <f t="shared" si="49"/>
        <v>97.563071708424872</v>
      </c>
    </row>
    <row r="277" spans="1:20">
      <c r="A277">
        <v>633</v>
      </c>
      <c r="B277" s="1355">
        <v>0.58110519999999999</v>
      </c>
      <c r="C277" s="1355">
        <v>0.2353344</v>
      </c>
      <c r="D277" s="1355">
        <v>3.5719999999999997E-5</v>
      </c>
      <c r="F277" s="1355">
        <f t="shared" si="40"/>
        <v>0.57386688819876797</v>
      </c>
      <c r="G277" s="1355">
        <f t="shared" si="41"/>
        <v>0.23181536672245601</v>
      </c>
      <c r="H277" s="1355">
        <f t="shared" si="42"/>
        <v>-4.4482852805199967E-4</v>
      </c>
      <c r="J277">
        <f t="shared" si="43"/>
        <v>0.60377170052581142</v>
      </c>
      <c r="K277">
        <f t="shared" si="44"/>
        <v>0.23181536672245601</v>
      </c>
      <c r="L277">
        <f t="shared" si="45"/>
        <v>-4.0853808955667985E-4</v>
      </c>
      <c r="N277">
        <f t="shared" si="46"/>
        <v>0.84519629463986012</v>
      </c>
      <c r="O277">
        <f t="shared" si="46"/>
        <v>0.61430031845009148</v>
      </c>
      <c r="P277">
        <f t="shared" si="46"/>
        <v>0.13474974837938075</v>
      </c>
      <c r="R277" s="42">
        <f t="shared" si="47"/>
        <v>55.258836940210614</v>
      </c>
      <c r="S277" s="42">
        <f t="shared" si="48"/>
        <v>115.44798809488432</v>
      </c>
      <c r="T277" s="42">
        <f t="shared" si="49"/>
        <v>95.910114014142138</v>
      </c>
    </row>
    <row r="278" spans="1:20">
      <c r="A278">
        <v>634</v>
      </c>
      <c r="B278" s="1355">
        <v>0.5613977</v>
      </c>
      <c r="C278" s="1355">
        <v>0.2260528</v>
      </c>
      <c r="D278" s="1355">
        <v>3.2639999999999999E-5</v>
      </c>
      <c r="F278" s="1355">
        <f t="shared" si="40"/>
        <v>0.55441421119109602</v>
      </c>
      <c r="G278" s="1355">
        <f t="shared" si="41"/>
        <v>0.22263283461331199</v>
      </c>
      <c r="H278" s="1355">
        <f t="shared" si="42"/>
        <v>-4.4026242257399974E-4</v>
      </c>
      <c r="J278">
        <f t="shared" si="43"/>
        <v>0.58330532388302203</v>
      </c>
      <c r="K278">
        <f t="shared" si="44"/>
        <v>0.22263283461331199</v>
      </c>
      <c r="L278">
        <f t="shared" si="45"/>
        <v>-4.0434450058686824E-4</v>
      </c>
      <c r="N278">
        <f t="shared" si="46"/>
        <v>0.83553628230676991</v>
      </c>
      <c r="O278">
        <f t="shared" si="46"/>
        <v>0.60607970085037022</v>
      </c>
      <c r="P278">
        <f t="shared" si="46"/>
        <v>0.13478240385668869</v>
      </c>
      <c r="R278" s="42">
        <f t="shared" si="47"/>
        <v>54.305245298642944</v>
      </c>
      <c r="S278" s="42">
        <f t="shared" si="48"/>
        <v>114.72829072819984</v>
      </c>
      <c r="T278" s="42">
        <f t="shared" si="49"/>
        <v>94.259459398736297</v>
      </c>
    </row>
    <row r="279" spans="1:20">
      <c r="A279">
        <v>635</v>
      </c>
      <c r="B279" s="1355">
        <v>0.54190000000000005</v>
      </c>
      <c r="C279" s="1355">
        <v>0.217</v>
      </c>
      <c r="D279" s="1355">
        <v>3.0000000000000001E-5</v>
      </c>
      <c r="F279" s="1355">
        <f t="shared" si="40"/>
        <v>0.53516768487200006</v>
      </c>
      <c r="G279" s="1355">
        <f t="shared" si="41"/>
        <v>0.21368007387399998</v>
      </c>
      <c r="H279" s="1355">
        <f t="shared" si="42"/>
        <v>-4.34491043E-4</v>
      </c>
      <c r="J279">
        <f t="shared" si="43"/>
        <v>0.56305584065988412</v>
      </c>
      <c r="K279">
        <f t="shared" si="44"/>
        <v>0.21368007387399998</v>
      </c>
      <c r="L279">
        <f t="shared" si="45"/>
        <v>-3.990439673778276E-4</v>
      </c>
      <c r="N279">
        <f t="shared" si="46"/>
        <v>0.8257536257367748</v>
      </c>
      <c r="O279">
        <f t="shared" si="46"/>
        <v>0.59784418362370839</v>
      </c>
      <c r="P279">
        <f t="shared" si="46"/>
        <v>0.13482367910878748</v>
      </c>
      <c r="R279" s="42">
        <f t="shared" si="47"/>
        <v>53.349925300350179</v>
      </c>
      <c r="S279" s="42">
        <f t="shared" si="48"/>
        <v>113.9547210565332</v>
      </c>
      <c r="T279" s="42">
        <f t="shared" si="49"/>
        <v>92.604100902984186</v>
      </c>
    </row>
    <row r="280" spans="1:20">
      <c r="A280">
        <v>636</v>
      </c>
      <c r="B280" s="1355">
        <v>0.52259949999999999</v>
      </c>
      <c r="C280" s="1355">
        <v>0.2081616</v>
      </c>
      <c r="D280" s="1355">
        <v>2.765333E-5</v>
      </c>
      <c r="F280" s="1355">
        <f t="shared" si="40"/>
        <v>0.51611493452890012</v>
      </c>
      <c r="G280" s="1355">
        <f t="shared" si="41"/>
        <v>0.20494261624311913</v>
      </c>
      <c r="H280" s="1355">
        <f t="shared" si="42"/>
        <v>-4.2770163898252277E-4</v>
      </c>
      <c r="J280">
        <f t="shared" si="43"/>
        <v>0.54301023128441728</v>
      </c>
      <c r="K280">
        <f t="shared" si="44"/>
        <v>0.20494261624311913</v>
      </c>
      <c r="L280">
        <f t="shared" si="45"/>
        <v>-3.9280846319675501E-4</v>
      </c>
      <c r="N280">
        <f t="shared" si="46"/>
        <v>0.81583563470871312</v>
      </c>
      <c r="O280">
        <f t="shared" si="46"/>
        <v>0.58958183166295142</v>
      </c>
      <c r="P280">
        <f t="shared" si="46"/>
        <v>0.13487223497984549</v>
      </c>
      <c r="R280" s="42">
        <f t="shared" si="47"/>
        <v>52.391492472902371</v>
      </c>
      <c r="S280" s="42">
        <f t="shared" si="48"/>
        <v>113.12690152288086</v>
      </c>
      <c r="T280" s="42">
        <f t="shared" si="49"/>
        <v>90.941919336621197</v>
      </c>
    </row>
    <row r="281" spans="1:20">
      <c r="A281">
        <v>637</v>
      </c>
      <c r="B281" s="1355">
        <v>0.50354639999999995</v>
      </c>
      <c r="C281" s="1355">
        <v>0.1995488</v>
      </c>
      <c r="D281" s="1355">
        <v>2.5559999999999999E-5</v>
      </c>
      <c r="F281" s="1355">
        <f t="shared" si="40"/>
        <v>0.49730560081086389</v>
      </c>
      <c r="G281" s="1355">
        <f t="shared" si="41"/>
        <v>0.19643121546752801</v>
      </c>
      <c r="H281" s="1355">
        <f t="shared" si="42"/>
        <v>-4.2003399467599971E-4</v>
      </c>
      <c r="J281">
        <f t="shared" si="43"/>
        <v>0.52322072323257318</v>
      </c>
      <c r="K281">
        <f t="shared" si="44"/>
        <v>0.19643121546752801</v>
      </c>
      <c r="L281">
        <f t="shared" si="45"/>
        <v>-3.8576636818970795E-4</v>
      </c>
      <c r="N281">
        <f t="shared" si="46"/>
        <v>0.80580194672814398</v>
      </c>
      <c r="O281">
        <f t="shared" si="46"/>
        <v>0.5813042542323128</v>
      </c>
      <c r="P281">
        <f t="shared" si="46"/>
        <v>0.13492707177366536</v>
      </c>
      <c r="R281" s="42">
        <f t="shared" si="47"/>
        <v>51.431293490948292</v>
      </c>
      <c r="S281" s="42">
        <f t="shared" si="48"/>
        <v>112.24884624791559</v>
      </c>
      <c r="T281" s="42">
        <f t="shared" si="49"/>
        <v>89.275436491729494</v>
      </c>
    </row>
    <row r="282" spans="1:20">
      <c r="A282">
        <v>638</v>
      </c>
      <c r="B282" s="1355">
        <v>0.4847436</v>
      </c>
      <c r="C282" s="1355">
        <v>0.1911552</v>
      </c>
      <c r="D282" s="1355">
        <v>2.3640000000000001E-5</v>
      </c>
      <c r="F282" s="1355">
        <f t="shared" si="40"/>
        <v>0.47874260282241599</v>
      </c>
      <c r="G282" s="1355">
        <f t="shared" si="41"/>
        <v>0.18813933609703198</v>
      </c>
      <c r="H282" s="1355">
        <f t="shared" si="42"/>
        <v>-4.11615232044E-4</v>
      </c>
      <c r="J282">
        <f t="shared" si="43"/>
        <v>0.50369038772650998</v>
      </c>
      <c r="K282">
        <f t="shared" si="44"/>
        <v>0.18813933609703198</v>
      </c>
      <c r="L282">
        <f t="shared" si="45"/>
        <v>-3.7803443333119039E-4</v>
      </c>
      <c r="N282">
        <f t="shared" si="46"/>
        <v>0.79564844987238637</v>
      </c>
      <c r="O282">
        <f t="shared" si="46"/>
        <v>0.57300692294887634</v>
      </c>
      <c r="P282">
        <f t="shared" si="46"/>
        <v>0.13498728035040863</v>
      </c>
      <c r="R282" s="42">
        <f t="shared" si="47"/>
        <v>50.468803062069654</v>
      </c>
      <c r="S282" s="42">
        <f t="shared" si="48"/>
        <v>111.32076346175501</v>
      </c>
      <c r="T282" s="42">
        <f t="shared" si="49"/>
        <v>87.60392851969354</v>
      </c>
    </row>
    <row r="283" spans="1:20">
      <c r="A283">
        <v>639</v>
      </c>
      <c r="B283" s="1355">
        <v>0.46619389999999999</v>
      </c>
      <c r="C283" s="1355">
        <v>0.18297440000000001</v>
      </c>
      <c r="D283" s="1355">
        <v>2.1813329999999999E-5</v>
      </c>
      <c r="F283" s="1355">
        <f t="shared" si="40"/>
        <v>0.46042876062320404</v>
      </c>
      <c r="G283" s="1355">
        <f t="shared" si="41"/>
        <v>0.18006044391852713</v>
      </c>
      <c r="H283" s="1355">
        <f t="shared" si="42"/>
        <v>-4.0257210751852286E-4</v>
      </c>
      <c r="J283">
        <f t="shared" si="43"/>
        <v>0.48442219178217516</v>
      </c>
      <c r="K283">
        <f t="shared" si="44"/>
        <v>0.18006044391852713</v>
      </c>
      <c r="L283">
        <f t="shared" si="45"/>
        <v>-3.6972907388529237E-4</v>
      </c>
      <c r="N283">
        <f t="shared" si="46"/>
        <v>0.78537066719027782</v>
      </c>
      <c r="O283">
        <f t="shared" si="46"/>
        <v>0.56468481015028316</v>
      </c>
      <c r="P283">
        <f t="shared" si="46"/>
        <v>0.13505195418441385</v>
      </c>
      <c r="R283" s="42">
        <f t="shared" si="47"/>
        <v>49.503437977432853</v>
      </c>
      <c r="S283" s="42">
        <f t="shared" si="48"/>
        <v>110.34292851999733</v>
      </c>
      <c r="T283" s="42">
        <f t="shared" si="49"/>
        <v>85.926571193173856</v>
      </c>
    </row>
    <row r="284" spans="1:20">
      <c r="A284">
        <v>640</v>
      </c>
      <c r="B284" s="1355">
        <v>0.44790000000000002</v>
      </c>
      <c r="C284" s="1355">
        <v>0.17499999999999999</v>
      </c>
      <c r="D284" s="1355">
        <v>2.0000000000000002E-5</v>
      </c>
      <c r="F284" s="1355">
        <f t="shared" si="40"/>
        <v>0.44236679522799999</v>
      </c>
      <c r="G284" s="1355">
        <f t="shared" si="41"/>
        <v>0.17218800595599998</v>
      </c>
      <c r="H284" s="1355">
        <f t="shared" si="42"/>
        <v>-3.9303101200000007E-4</v>
      </c>
      <c r="J284">
        <f t="shared" si="43"/>
        <v>0.46541899820930693</v>
      </c>
      <c r="K284">
        <f t="shared" si="44"/>
        <v>0.17218800595599998</v>
      </c>
      <c r="L284">
        <f t="shared" si="45"/>
        <v>-3.6096636940569245E-4</v>
      </c>
      <c r="N284">
        <f t="shared" si="46"/>
        <v>0.77496371565639555</v>
      </c>
      <c r="O284">
        <f t="shared" si="46"/>
        <v>0.55633233021469786</v>
      </c>
      <c r="P284">
        <f t="shared" si="46"/>
        <v>0.13512018936419648</v>
      </c>
      <c r="R284" s="42">
        <f t="shared" si="47"/>
        <v>48.534550304904954</v>
      </c>
      <c r="S284" s="42">
        <f t="shared" si="48"/>
        <v>109.31569272084884</v>
      </c>
      <c r="T284" s="42">
        <f t="shared" si="49"/>
        <v>84.242428170100283</v>
      </c>
    </row>
    <row r="285" spans="1:20">
      <c r="A285">
        <v>641</v>
      </c>
      <c r="B285" s="1355">
        <v>0.4298613</v>
      </c>
      <c r="C285" s="1355">
        <v>0.1672235</v>
      </c>
      <c r="D285" s="1355">
        <v>1.813333E-5</v>
      </c>
      <c r="F285" s="1355">
        <f t="shared" si="40"/>
        <v>0.42455617407332202</v>
      </c>
      <c r="G285" s="1355">
        <f t="shared" si="41"/>
        <v>0.16451339726992312</v>
      </c>
      <c r="H285" s="1355">
        <f t="shared" si="42"/>
        <v>-3.8310857254052303E-4</v>
      </c>
      <c r="J285">
        <f t="shared" si="43"/>
        <v>0.44668024669197554</v>
      </c>
      <c r="K285">
        <f t="shared" si="44"/>
        <v>0.16451339726992312</v>
      </c>
      <c r="L285">
        <f t="shared" si="45"/>
        <v>-3.5185343216160745E-4</v>
      </c>
      <c r="N285">
        <f t="shared" si="46"/>
        <v>0.76442036585495066</v>
      </c>
      <c r="O285">
        <f t="shared" si="46"/>
        <v>0.54794094821393713</v>
      </c>
      <c r="P285">
        <f t="shared" si="46"/>
        <v>0.13519115180651617</v>
      </c>
      <c r="R285" s="42">
        <f t="shared" si="47"/>
        <v>47.561149992816709</v>
      </c>
      <c r="S285" s="42">
        <f t="shared" si="48"/>
        <v>108.23970882050676</v>
      </c>
      <c r="T285" s="42">
        <f t="shared" si="49"/>
        <v>82.549959281484192</v>
      </c>
    </row>
    <row r="286" spans="1:20">
      <c r="A286">
        <v>642</v>
      </c>
      <c r="B286" s="1355">
        <v>0.41209800000000002</v>
      </c>
      <c r="C286" s="1355">
        <v>0.15964639999999999</v>
      </c>
      <c r="D286" s="1355">
        <v>1.6200000000000001E-5</v>
      </c>
      <c r="F286" s="1355">
        <f t="shared" si="40"/>
        <v>0.40701689360295995</v>
      </c>
      <c r="G286" s="1355">
        <f t="shared" si="41"/>
        <v>0.15703789139355998</v>
      </c>
      <c r="H286" s="1355">
        <f t="shared" si="42"/>
        <v>-3.7287884714000001E-4</v>
      </c>
      <c r="J286">
        <f t="shared" si="43"/>
        <v>0.42822697570986978</v>
      </c>
      <c r="K286">
        <f t="shared" si="44"/>
        <v>0.15703789139355998</v>
      </c>
      <c r="L286">
        <f t="shared" si="45"/>
        <v>-3.4245827828035603E-4</v>
      </c>
      <c r="N286">
        <f t="shared" si="46"/>
        <v>0.75374539860461409</v>
      </c>
      <c r="O286">
        <f t="shared" si="46"/>
        <v>0.53951246736942615</v>
      </c>
      <c r="P286">
        <f t="shared" si="46"/>
        <v>0.13526431186978949</v>
      </c>
      <c r="R286" s="42">
        <f t="shared" si="47"/>
        <v>46.583446214853431</v>
      </c>
      <c r="S286" s="42">
        <f t="shared" si="48"/>
        <v>107.11646561759397</v>
      </c>
      <c r="T286" s="42">
        <f t="shared" si="49"/>
        <v>80.849631099927336</v>
      </c>
    </row>
    <row r="287" spans="1:20">
      <c r="A287">
        <v>643</v>
      </c>
      <c r="B287" s="1355">
        <v>0.39464399999999999</v>
      </c>
      <c r="C287" s="1355">
        <v>0.15227760000000001</v>
      </c>
      <c r="D287" s="1355">
        <v>1.42E-5</v>
      </c>
      <c r="F287" s="1355">
        <f t="shared" si="40"/>
        <v>0.38978246619279999</v>
      </c>
      <c r="G287" s="1355">
        <f t="shared" si="41"/>
        <v>0.14977010773876001</v>
      </c>
      <c r="H287" s="1355">
        <f t="shared" si="42"/>
        <v>-3.6240239729999982E-4</v>
      </c>
      <c r="J287">
        <f t="shared" si="43"/>
        <v>0.41009444400433465</v>
      </c>
      <c r="K287">
        <f t="shared" si="44"/>
        <v>0.14977010773876001</v>
      </c>
      <c r="L287">
        <f t="shared" si="45"/>
        <v>-3.3283652847551946E-4</v>
      </c>
      <c r="N287">
        <f t="shared" si="46"/>
        <v>0.74295292209220609</v>
      </c>
      <c r="O287">
        <f t="shared" si="46"/>
        <v>0.53105770471110403</v>
      </c>
      <c r="P287">
        <f t="shared" si="46"/>
        <v>0.13533923643551976</v>
      </c>
      <c r="R287" s="42">
        <f t="shared" si="47"/>
        <v>45.602693746488065</v>
      </c>
      <c r="S287" s="42">
        <f t="shared" si="48"/>
        <v>105.94760869055104</v>
      </c>
      <c r="T287" s="42">
        <f t="shared" si="49"/>
        <v>79.143693655116849</v>
      </c>
    </row>
    <row r="288" spans="1:20">
      <c r="A288">
        <v>644</v>
      </c>
      <c r="B288" s="1355">
        <v>0.37753330000000002</v>
      </c>
      <c r="C288" s="1355">
        <v>0.1451259</v>
      </c>
      <c r="D288" s="1355">
        <v>1.213333E-5</v>
      </c>
      <c r="F288" s="1355">
        <f t="shared" si="40"/>
        <v>0.37288650398020207</v>
      </c>
      <c r="G288" s="1355">
        <f t="shared" si="41"/>
        <v>0.14271856292072307</v>
      </c>
      <c r="H288" s="1355">
        <f t="shared" si="42"/>
        <v>-3.5174080866052311E-4</v>
      </c>
      <c r="J288">
        <f t="shared" si="43"/>
        <v>0.39231801527686516</v>
      </c>
      <c r="K288">
        <f t="shared" si="44"/>
        <v>0.14271856292072307</v>
      </c>
      <c r="L288">
        <f t="shared" si="45"/>
        <v>-3.2304474404684213E-4</v>
      </c>
      <c r="N288">
        <f t="shared" si="46"/>
        <v>0.73205899924389339</v>
      </c>
      <c r="O288">
        <f t="shared" si="46"/>
        <v>0.52258886843620478</v>
      </c>
      <c r="P288">
        <f t="shared" si="46"/>
        <v>0.13541548506086587</v>
      </c>
      <c r="R288" s="42">
        <f t="shared" si="47"/>
        <v>44.620308738599753</v>
      </c>
      <c r="S288" s="42">
        <f t="shared" si="48"/>
        <v>104.7350654038443</v>
      </c>
      <c r="T288" s="42">
        <f t="shared" si="49"/>
        <v>77.434676675067777</v>
      </c>
    </row>
    <row r="289" spans="1:20">
      <c r="A289">
        <v>645</v>
      </c>
      <c r="B289" s="1355">
        <v>0.36080000000000001</v>
      </c>
      <c r="C289" s="1355">
        <v>0.13819999999999999</v>
      </c>
      <c r="D289" s="1355">
        <v>1.0000000000000001E-5</v>
      </c>
      <c r="F289" s="1355">
        <f t="shared" si="40"/>
        <v>0.35636271886400001</v>
      </c>
      <c r="G289" s="1355">
        <f t="shared" si="41"/>
        <v>0.13589167075800002</v>
      </c>
      <c r="H289" s="1355">
        <f t="shared" si="42"/>
        <v>-3.4095669100000012E-4</v>
      </c>
      <c r="J289">
        <f t="shared" si="43"/>
        <v>0.37493315818910644</v>
      </c>
      <c r="K289">
        <f t="shared" si="44"/>
        <v>0.13589167075800002</v>
      </c>
      <c r="L289">
        <f t="shared" si="45"/>
        <v>-3.1314042688022935E-4</v>
      </c>
      <c r="N289">
        <f t="shared" si="46"/>
        <v>0.72108193701976619</v>
      </c>
      <c r="O289">
        <f t="shared" si="46"/>
        <v>0.51411974020238138</v>
      </c>
      <c r="P289">
        <f t="shared" si="46"/>
        <v>0.13549260997864226</v>
      </c>
      <c r="R289" s="42">
        <f t="shared" si="47"/>
        <v>43.637889863476239</v>
      </c>
      <c r="S289" s="42">
        <f t="shared" si="48"/>
        <v>103.4810984086924</v>
      </c>
      <c r="T289" s="42">
        <f t="shared" si="49"/>
        <v>75.72542604474782</v>
      </c>
    </row>
    <row r="290" spans="1:20">
      <c r="A290">
        <v>646</v>
      </c>
      <c r="B290" s="1355">
        <v>0.34445629999999999</v>
      </c>
      <c r="C290" s="1355">
        <v>0.13150029999999999</v>
      </c>
      <c r="D290" s="1355">
        <v>7.7333329999999996E-6</v>
      </c>
      <c r="F290" s="1355">
        <f t="shared" si="40"/>
        <v>0.34022319221208713</v>
      </c>
      <c r="G290" s="1355">
        <f t="shared" si="41"/>
        <v>0.12928968675519431</v>
      </c>
      <c r="H290" s="1355">
        <f t="shared" si="42"/>
        <v>-3.3015203108605225E-4</v>
      </c>
      <c r="J290">
        <f t="shared" si="43"/>
        <v>0.35795258368184912</v>
      </c>
      <c r="K290">
        <f t="shared" si="44"/>
        <v>0.12928968675519431</v>
      </c>
      <c r="L290">
        <f t="shared" si="45"/>
        <v>-3.0321724335851535E-4</v>
      </c>
      <c r="N290">
        <f t="shared" si="46"/>
        <v>0.71002749591449743</v>
      </c>
      <c r="O290">
        <f t="shared" si="46"/>
        <v>0.5056553746457173</v>
      </c>
      <c r="P290">
        <f t="shared" si="46"/>
        <v>0.13556988180872587</v>
      </c>
      <c r="R290" s="42">
        <f t="shared" si="47"/>
        <v>42.656023458903206</v>
      </c>
      <c r="S290" s="42">
        <f t="shared" si="48"/>
        <v>102.18606063439006</v>
      </c>
      <c r="T290" s="42">
        <f t="shared" si="49"/>
        <v>74.017098567398293</v>
      </c>
    </row>
    <row r="291" spans="1:20">
      <c r="A291">
        <v>647</v>
      </c>
      <c r="B291" s="1355">
        <v>0.3285168</v>
      </c>
      <c r="C291" s="1355">
        <v>0.12502479999999999</v>
      </c>
      <c r="D291" s="1355">
        <v>5.4E-6</v>
      </c>
      <c r="F291" s="1355">
        <f t="shared" si="40"/>
        <v>0.32448239812159996</v>
      </c>
      <c r="G291" s="1355">
        <f t="shared" si="41"/>
        <v>0.12291039890756</v>
      </c>
      <c r="H291" s="1355">
        <f t="shared" si="42"/>
        <v>-3.1933118098000009E-4</v>
      </c>
      <c r="J291">
        <f t="shared" si="43"/>
        <v>0.34139152011278623</v>
      </c>
      <c r="K291">
        <f t="shared" si="44"/>
        <v>0.12291039890756</v>
      </c>
      <c r="L291">
        <f t="shared" si="45"/>
        <v>-2.9327919048887345E-4</v>
      </c>
      <c r="N291">
        <f t="shared" si="46"/>
        <v>0.69890408112165447</v>
      </c>
      <c r="O291">
        <f t="shared" si="46"/>
        <v>0.49719819430578011</v>
      </c>
      <c r="P291">
        <f t="shared" si="46"/>
        <v>0.13564726942642177</v>
      </c>
      <c r="R291" s="42">
        <f t="shared" si="47"/>
        <v>41.674990539470492</v>
      </c>
      <c r="S291" s="42">
        <f t="shared" si="48"/>
        <v>100.85294340793719</v>
      </c>
      <c r="T291" s="42">
        <f t="shared" si="49"/>
        <v>72.310184975871678</v>
      </c>
    </row>
    <row r="292" spans="1:20">
      <c r="A292">
        <v>648</v>
      </c>
      <c r="B292" s="1355">
        <v>0.3130192</v>
      </c>
      <c r="C292" s="1355">
        <v>0.1187792</v>
      </c>
      <c r="D292" s="1355">
        <v>3.1999999999999999E-6</v>
      </c>
      <c r="F292" s="1355">
        <f t="shared" si="40"/>
        <v>0.30917763328463999</v>
      </c>
      <c r="G292" s="1355">
        <f t="shared" si="41"/>
        <v>0.11675912912672</v>
      </c>
      <c r="H292" s="1355">
        <f t="shared" si="42"/>
        <v>-3.0840626687999998E-4</v>
      </c>
      <c r="J292">
        <f t="shared" si="43"/>
        <v>0.32528920774421072</v>
      </c>
      <c r="K292">
        <f t="shared" si="44"/>
        <v>0.11675912912672</v>
      </c>
      <c r="L292">
        <f t="shared" si="45"/>
        <v>-2.8324556347639207E-4</v>
      </c>
      <c r="N292">
        <f t="shared" si="46"/>
        <v>0.68773831182534262</v>
      </c>
      <c r="O292">
        <f t="shared" si="46"/>
        <v>0.48876145502703672</v>
      </c>
      <c r="P292">
        <f t="shared" si="46"/>
        <v>0.13572540127996796</v>
      </c>
      <c r="R292" s="42">
        <f t="shared" si="47"/>
        <v>40.696328783136259</v>
      </c>
      <c r="S292" s="42">
        <f t="shared" si="48"/>
        <v>99.488428399152951</v>
      </c>
      <c r="T292" s="42">
        <f t="shared" si="49"/>
        <v>70.607210749413753</v>
      </c>
    </row>
    <row r="293" spans="1:20">
      <c r="A293">
        <v>649</v>
      </c>
      <c r="B293" s="1355">
        <v>0.29800110000000002</v>
      </c>
      <c r="C293" s="1355">
        <v>0.1127691</v>
      </c>
      <c r="D293" s="1355">
        <v>1.3333330000000001E-6</v>
      </c>
      <c r="F293" s="1355">
        <f t="shared" si="40"/>
        <v>0.29434609606536721</v>
      </c>
      <c r="G293" s="1355">
        <f t="shared" si="41"/>
        <v>0.11084109900191431</v>
      </c>
      <c r="H293" s="1355">
        <f t="shared" si="42"/>
        <v>-2.9728973468605229E-4</v>
      </c>
      <c r="J293">
        <f t="shared" si="43"/>
        <v>0.30968478338650057</v>
      </c>
      <c r="K293">
        <f t="shared" si="44"/>
        <v>0.11084109900191431</v>
      </c>
      <c r="L293">
        <f t="shared" si="45"/>
        <v>-2.7303595114577328E-4</v>
      </c>
      <c r="N293">
        <f t="shared" si="46"/>
        <v>0.6765604744753021</v>
      </c>
      <c r="O293">
        <f t="shared" si="46"/>
        <v>0.48036011604582968</v>
      </c>
      <c r="P293">
        <f t="shared" si="46"/>
        <v>0.13580490353118649</v>
      </c>
      <c r="R293" s="42">
        <f t="shared" si="47"/>
        <v>39.721773461316239</v>
      </c>
      <c r="S293" s="42">
        <f t="shared" si="48"/>
        <v>98.100179214736215</v>
      </c>
      <c r="T293" s="42">
        <f t="shared" si="49"/>
        <v>68.911042502928638</v>
      </c>
    </row>
    <row r="294" spans="1:20">
      <c r="A294">
        <v>650</v>
      </c>
      <c r="B294" s="1355">
        <v>0.28349999999999997</v>
      </c>
      <c r="C294" s="1355">
        <v>0.107</v>
      </c>
      <c r="D294" s="1355">
        <v>0</v>
      </c>
      <c r="F294" s="1355">
        <f t="shared" si="40"/>
        <v>0.28002488649999996</v>
      </c>
      <c r="G294" s="1355">
        <f t="shared" si="41"/>
        <v>0.1051614298</v>
      </c>
      <c r="H294" s="1355">
        <f t="shared" si="42"/>
        <v>-2.8589434999999976E-4</v>
      </c>
      <c r="J294">
        <f t="shared" si="43"/>
        <v>0.2946172803981188</v>
      </c>
      <c r="K294">
        <f t="shared" si="44"/>
        <v>0.1051614298</v>
      </c>
      <c r="L294">
        <f t="shared" si="45"/>
        <v>-2.6257023594133131E-4</v>
      </c>
      <c r="N294">
        <f t="shared" si="46"/>
        <v>0.66540501861550272</v>
      </c>
      <c r="O294">
        <f t="shared" si="46"/>
        <v>0.47201104452036197</v>
      </c>
      <c r="P294">
        <f t="shared" si="46"/>
        <v>0.13588640005548347</v>
      </c>
      <c r="R294" s="42">
        <f t="shared" si="47"/>
        <v>38.753281164361987</v>
      </c>
      <c r="S294" s="42">
        <f t="shared" si="48"/>
        <v>96.696987047570374</v>
      </c>
      <c r="T294" s="42">
        <f t="shared" si="49"/>
        <v>67.224928892975697</v>
      </c>
    </row>
    <row r="295" spans="1:20">
      <c r="A295">
        <v>651</v>
      </c>
      <c r="B295" s="1355">
        <v>0.26954479999999997</v>
      </c>
      <c r="C295" s="1355">
        <v>0.1014762</v>
      </c>
      <c r="D295" s="1355">
        <v>0</v>
      </c>
      <c r="F295" s="1355">
        <f t="shared" si="40"/>
        <v>0.26624258840801995</v>
      </c>
      <c r="G295" s="1355">
        <f t="shared" si="41"/>
        <v>9.9724128709239995E-2</v>
      </c>
      <c r="H295" s="1355">
        <f t="shared" si="42"/>
        <v>-2.7355946365999976E-4</v>
      </c>
      <c r="J295">
        <f t="shared" si="43"/>
        <v>0.28011677213170322</v>
      </c>
      <c r="K295">
        <f t="shared" si="44"/>
        <v>9.9724128709239995E-2</v>
      </c>
      <c r="L295">
        <f t="shared" si="45"/>
        <v>-2.5124166643093943E-4</v>
      </c>
      <c r="N295">
        <f t="shared" si="46"/>
        <v>0.65430419448986588</v>
      </c>
      <c r="O295">
        <f t="shared" si="46"/>
        <v>0.46373166322663528</v>
      </c>
      <c r="P295">
        <f t="shared" si="46"/>
        <v>0.1359746156262609</v>
      </c>
      <c r="R295" s="42">
        <f t="shared" si="47"/>
        <v>37.79287293428969</v>
      </c>
      <c r="S295" s="42">
        <f t="shared" si="48"/>
        <v>95.286265631615294</v>
      </c>
      <c r="T295" s="42">
        <f t="shared" si="49"/>
        <v>65.551409520074884</v>
      </c>
    </row>
    <row r="296" spans="1:20">
      <c r="A296">
        <v>652</v>
      </c>
      <c r="B296" s="1355">
        <v>0.25611840000000002</v>
      </c>
      <c r="C296" s="1355">
        <v>9.6188640000000006E-2</v>
      </c>
      <c r="D296" s="1355">
        <v>0</v>
      </c>
      <c r="F296" s="1355">
        <f t="shared" si="40"/>
        <v>0.25298234556772803</v>
      </c>
      <c r="G296" s="1355">
        <f t="shared" si="41"/>
        <v>9.4520209890720006E-2</v>
      </c>
      <c r="H296" s="1355">
        <f t="shared" si="42"/>
        <v>-2.6150968219199999E-4</v>
      </c>
      <c r="J296">
        <f t="shared" si="43"/>
        <v>0.26616552396996013</v>
      </c>
      <c r="K296">
        <f t="shared" si="44"/>
        <v>9.4520209890720006E-2</v>
      </c>
      <c r="L296">
        <f t="shared" si="45"/>
        <v>-2.4017494208645977E-4</v>
      </c>
      <c r="N296">
        <f t="shared" si="46"/>
        <v>0.64325613026477657</v>
      </c>
      <c r="O296">
        <f t="shared" si="46"/>
        <v>0.45552081390673349</v>
      </c>
      <c r="P296">
        <f t="shared" si="46"/>
        <v>0.13606079220873135</v>
      </c>
      <c r="R296" s="42">
        <f t="shared" si="47"/>
        <v>36.840414413181087</v>
      </c>
      <c r="S296" s="42">
        <f t="shared" si="48"/>
        <v>93.867658179021547</v>
      </c>
      <c r="T296" s="42">
        <f t="shared" si="49"/>
        <v>63.892004339600426</v>
      </c>
    </row>
    <row r="297" spans="1:20">
      <c r="A297">
        <v>653</v>
      </c>
      <c r="B297" s="1355">
        <v>0.24318960000000001</v>
      </c>
      <c r="C297" s="1355">
        <v>9.1122960000000003E-2</v>
      </c>
      <c r="D297" s="1355">
        <v>0</v>
      </c>
      <c r="F297" s="1355">
        <f t="shared" si="40"/>
        <v>0.24021335895079202</v>
      </c>
      <c r="G297" s="1355">
        <f t="shared" si="41"/>
        <v>8.953547538168001E-2</v>
      </c>
      <c r="H297" s="1355">
        <f t="shared" si="42"/>
        <v>-2.4973103728799994E-4</v>
      </c>
      <c r="J297">
        <f t="shared" si="43"/>
        <v>0.25273113191451807</v>
      </c>
      <c r="K297">
        <f t="shared" si="44"/>
        <v>8.953547538168001E-2</v>
      </c>
      <c r="L297">
        <f t="shared" si="45"/>
        <v>-2.2935723417613396E-4</v>
      </c>
      <c r="N297">
        <f t="shared" si="46"/>
        <v>0.6322462286925028</v>
      </c>
      <c r="O297">
        <f t="shared" si="46"/>
        <v>0.44736813589320579</v>
      </c>
      <c r="P297">
        <f t="shared" si="46"/>
        <v>0.13614502970022907</v>
      </c>
      <c r="R297" s="42">
        <f t="shared" si="47"/>
        <v>35.894703763611872</v>
      </c>
      <c r="S297" s="42">
        <f t="shared" si="48"/>
        <v>92.439046399648504</v>
      </c>
      <c r="T297" s="42">
        <f t="shared" si="49"/>
        <v>62.244621238595343</v>
      </c>
    </row>
    <row r="298" spans="1:20">
      <c r="A298">
        <v>654</v>
      </c>
      <c r="B298" s="1355">
        <v>0.23072719999999999</v>
      </c>
      <c r="C298" s="1355">
        <v>8.6264850000000004E-2</v>
      </c>
      <c r="D298" s="1355">
        <v>0</v>
      </c>
      <c r="F298" s="1355">
        <f t="shared" si="40"/>
        <v>0.22790482917046501</v>
      </c>
      <c r="G298" s="1355">
        <f t="shared" si="41"/>
        <v>8.4755777999110007E-2</v>
      </c>
      <c r="H298" s="1355">
        <f t="shared" si="42"/>
        <v>-2.3820922215499988E-4</v>
      </c>
      <c r="J298">
        <f t="shared" si="43"/>
        <v>0.2397811915899134</v>
      </c>
      <c r="K298">
        <f t="shared" si="44"/>
        <v>8.4755777999110007E-2</v>
      </c>
      <c r="L298">
        <f t="shared" si="45"/>
        <v>-2.187754030978205E-4</v>
      </c>
      <c r="N298">
        <f t="shared" si="46"/>
        <v>0.62125758582198087</v>
      </c>
      <c r="O298">
        <f t="shared" si="46"/>
        <v>0.43926146423490459</v>
      </c>
      <c r="P298">
        <f t="shared" si="46"/>
        <v>0.13622743041883589</v>
      </c>
      <c r="R298" s="42">
        <f t="shared" si="47"/>
        <v>34.954329851248929</v>
      </c>
      <c r="S298" s="42">
        <f t="shared" si="48"/>
        <v>90.998060793538144</v>
      </c>
      <c r="T298" s="42">
        <f t="shared" si="49"/>
        <v>60.60680676321374</v>
      </c>
    </row>
    <row r="299" spans="1:20">
      <c r="A299">
        <v>655</v>
      </c>
      <c r="B299" s="1355">
        <v>0.21870000000000001</v>
      </c>
      <c r="C299" s="1355">
        <v>8.1600000000000006E-2</v>
      </c>
      <c r="D299" s="1355">
        <v>0</v>
      </c>
      <c r="F299" s="1355">
        <f t="shared" si="40"/>
        <v>0.21602595684000001</v>
      </c>
      <c r="G299" s="1355">
        <f t="shared" si="41"/>
        <v>8.0166970559999995E-2</v>
      </c>
      <c r="H299" s="1355">
        <f t="shared" si="42"/>
        <v>-2.2692992999999992E-4</v>
      </c>
      <c r="J299">
        <f t="shared" si="43"/>
        <v>0.22728329862068239</v>
      </c>
      <c r="K299">
        <f t="shared" si="44"/>
        <v>8.0166970559999995E-2</v>
      </c>
      <c r="L299">
        <f t="shared" si="45"/>
        <v>-2.0841630924937771E-4</v>
      </c>
      <c r="N299">
        <f t="shared" si="46"/>
        <v>0.61027068397123796</v>
      </c>
      <c r="O299">
        <f t="shared" si="46"/>
        <v>0.43118650233174</v>
      </c>
      <c r="P299">
        <f t="shared" si="46"/>
        <v>0.13630809668263372</v>
      </c>
      <c r="R299" s="42">
        <f t="shared" si="47"/>
        <v>34.017634270481842</v>
      </c>
      <c r="S299" s="42">
        <f t="shared" si="48"/>
        <v>89.542090819748978</v>
      </c>
      <c r="T299" s="42">
        <f t="shared" si="49"/>
        <v>58.975681129821254</v>
      </c>
    </row>
    <row r="300" spans="1:20">
      <c r="A300">
        <v>656</v>
      </c>
      <c r="B300" s="1355">
        <v>0.20709710000000001</v>
      </c>
      <c r="C300" s="1355">
        <v>7.7120640000000004E-2</v>
      </c>
      <c r="D300" s="1355">
        <v>0</v>
      </c>
      <c r="F300" s="1355">
        <f t="shared" si="40"/>
        <v>0.20456600177824799</v>
      </c>
      <c r="G300" s="1355">
        <f t="shared" si="41"/>
        <v>7.5761296737280007E-2</v>
      </c>
      <c r="H300" s="1355">
        <f t="shared" si="42"/>
        <v>-2.1590691924199999E-4</v>
      </c>
      <c r="J300">
        <f t="shared" si="43"/>
        <v>0.21522615314344271</v>
      </c>
      <c r="K300">
        <f t="shared" si="44"/>
        <v>7.5761296737280007E-2</v>
      </c>
      <c r="L300">
        <f t="shared" si="45"/>
        <v>-1.9829258859693433E-4</v>
      </c>
      <c r="N300">
        <f t="shared" si="46"/>
        <v>0.59928261774583047</v>
      </c>
      <c r="O300">
        <f t="shared" si="46"/>
        <v>0.42313842626267956</v>
      </c>
      <c r="P300">
        <f t="shared" si="46"/>
        <v>0.1363869300953543</v>
      </c>
      <c r="R300" s="42">
        <f t="shared" si="47"/>
        <v>33.08405744647083</v>
      </c>
      <c r="S300" s="42">
        <f t="shared" si="48"/>
        <v>88.072095741575453</v>
      </c>
      <c r="T300" s="42">
        <f t="shared" si="49"/>
        <v>57.350299233465051</v>
      </c>
    </row>
    <row r="301" spans="1:20">
      <c r="A301">
        <v>657</v>
      </c>
      <c r="B301" s="1355">
        <v>0.19592319999999999</v>
      </c>
      <c r="C301" s="1355">
        <v>7.2825520000000005E-2</v>
      </c>
      <c r="D301" s="1355">
        <v>0</v>
      </c>
      <c r="F301" s="1355">
        <f t="shared" si="40"/>
        <v>0.19352962804930399</v>
      </c>
      <c r="G301" s="1355">
        <f t="shared" si="41"/>
        <v>7.1537428892560012E-2</v>
      </c>
      <c r="H301" s="1355">
        <f t="shared" si="42"/>
        <v>-2.0516540045599984E-4</v>
      </c>
      <c r="J301">
        <f t="shared" si="43"/>
        <v>0.20361466227161718</v>
      </c>
      <c r="K301">
        <f t="shared" si="44"/>
        <v>7.1537428892560012E-2</v>
      </c>
      <c r="L301">
        <f t="shared" si="45"/>
        <v>-1.884273949615641E-4</v>
      </c>
      <c r="N301">
        <f t="shared" si="46"/>
        <v>0.58830564565254506</v>
      </c>
      <c r="O301">
        <f t="shared" si="46"/>
        <v>0.41512393626014732</v>
      </c>
      <c r="P301">
        <f t="shared" si="46"/>
        <v>0.13646375035819291</v>
      </c>
      <c r="R301" s="42">
        <f t="shared" si="47"/>
        <v>32.154376606177088</v>
      </c>
      <c r="S301" s="42">
        <f t="shared" si="48"/>
        <v>86.590854696198875</v>
      </c>
      <c r="T301" s="42">
        <f t="shared" si="49"/>
        <v>55.732037180390883</v>
      </c>
    </row>
    <row r="302" spans="1:20">
      <c r="A302">
        <v>658</v>
      </c>
      <c r="B302" s="1355">
        <v>0.1851708</v>
      </c>
      <c r="C302" s="1355">
        <v>6.8710080000000007E-2</v>
      </c>
      <c r="D302" s="1355">
        <v>0</v>
      </c>
      <c r="F302" s="1355">
        <f t="shared" si="40"/>
        <v>0.182909439983616</v>
      </c>
      <c r="G302" s="1355">
        <f t="shared" si="41"/>
        <v>6.7490828696640012E-2</v>
      </c>
      <c r="H302" s="1355">
        <f t="shared" si="42"/>
        <v>-1.9470951722399995E-4</v>
      </c>
      <c r="J302">
        <f t="shared" si="43"/>
        <v>0.19244104493946784</v>
      </c>
      <c r="K302">
        <f t="shared" si="44"/>
        <v>6.7490828696640012E-2</v>
      </c>
      <c r="L302">
        <f t="shared" si="45"/>
        <v>-1.7882453387948528E-4</v>
      </c>
      <c r="N302">
        <f t="shared" si="46"/>
        <v>0.57734122425751866</v>
      </c>
      <c r="O302">
        <f t="shared" si="46"/>
        <v>0.40714420110035798</v>
      </c>
      <c r="P302">
        <f t="shared" si="46"/>
        <v>0.13653852783743906</v>
      </c>
      <c r="R302" s="42">
        <f t="shared" si="47"/>
        <v>31.228727327641529</v>
      </c>
      <c r="S302" s="42">
        <f t="shared" si="48"/>
        <v>85.098511578580343</v>
      </c>
      <c r="T302" s="42">
        <f t="shared" si="49"/>
        <v>54.121134652583791</v>
      </c>
    </row>
    <row r="303" spans="1:20">
      <c r="A303">
        <v>659</v>
      </c>
      <c r="B303" s="1355">
        <v>0.1748323</v>
      </c>
      <c r="C303" s="1355">
        <v>6.4769759999999996E-2</v>
      </c>
      <c r="D303" s="1355">
        <v>0</v>
      </c>
      <c r="F303" s="1355">
        <f t="shared" si="40"/>
        <v>0.17269794286687198</v>
      </c>
      <c r="G303" s="1355">
        <f t="shared" si="41"/>
        <v>6.3616959057439998E-2</v>
      </c>
      <c r="H303" s="1355">
        <f t="shared" si="42"/>
        <v>-1.8454305677800001E-4</v>
      </c>
      <c r="J303">
        <f t="shared" si="43"/>
        <v>0.1816974158751691</v>
      </c>
      <c r="K303">
        <f t="shared" si="44"/>
        <v>6.3616959057439998E-2</v>
      </c>
      <c r="L303">
        <f t="shared" si="45"/>
        <v>-1.6948748360901152E-4</v>
      </c>
      <c r="N303">
        <f t="shared" si="46"/>
        <v>0.56639087804964416</v>
      </c>
      <c r="O303">
        <f t="shared" si="46"/>
        <v>0.39920040070381185</v>
      </c>
      <c r="P303">
        <f t="shared" si="46"/>
        <v>0.13661123544789525</v>
      </c>
      <c r="R303" s="42">
        <f t="shared" si="47"/>
        <v>30.307246481642174</v>
      </c>
      <c r="S303" s="42">
        <f t="shared" si="48"/>
        <v>83.595238672916153</v>
      </c>
      <c r="T303" s="42">
        <f t="shared" si="49"/>
        <v>52.517833051183317</v>
      </c>
    </row>
    <row r="304" spans="1:20">
      <c r="A304">
        <v>660</v>
      </c>
      <c r="B304" s="1355">
        <v>0.16489999999999999</v>
      </c>
      <c r="C304" s="1355">
        <v>6.0999999999999999E-2</v>
      </c>
      <c r="D304" s="1355">
        <v>0</v>
      </c>
      <c r="F304" s="1355">
        <f t="shared" si="40"/>
        <v>0.16288754293999999</v>
      </c>
      <c r="G304" s="1355">
        <f t="shared" si="41"/>
        <v>5.9911284120000005E-2</v>
      </c>
      <c r="H304" s="1355">
        <f t="shared" si="42"/>
        <v>-1.746694499999999E-4</v>
      </c>
      <c r="J304">
        <f t="shared" si="43"/>
        <v>0.17137578560080802</v>
      </c>
      <c r="K304">
        <f t="shared" si="44"/>
        <v>5.9911284120000005E-2</v>
      </c>
      <c r="L304">
        <f t="shared" si="45"/>
        <v>-1.6041939513055289E-4</v>
      </c>
      <c r="N304">
        <f t="shared" si="46"/>
        <v>0.55545620105193094</v>
      </c>
      <c r="O304">
        <f t="shared" si="46"/>
        <v>0.39129371842445904</v>
      </c>
      <c r="P304">
        <f t="shared" si="46"/>
        <v>0.136681848652877</v>
      </c>
      <c r="R304" s="42">
        <f t="shared" si="47"/>
        <v>29.390071337237245</v>
      </c>
      <c r="S304" s="42">
        <f t="shared" si="48"/>
        <v>82.081241313735958</v>
      </c>
      <c r="T304" s="42">
        <f t="shared" si="49"/>
        <v>50.922373954316399</v>
      </c>
    </row>
    <row r="305" spans="1:20">
      <c r="A305">
        <v>661</v>
      </c>
      <c r="B305" s="1355">
        <v>0.1553667</v>
      </c>
      <c r="C305" s="1355">
        <v>5.7396210000000003E-2</v>
      </c>
      <c r="D305" s="1355">
        <v>0</v>
      </c>
      <c r="F305" s="1355">
        <f t="shared" si="40"/>
        <v>0.153471141882777</v>
      </c>
      <c r="G305" s="1355">
        <f t="shared" si="41"/>
        <v>5.6369231375910003E-2</v>
      </c>
      <c r="H305" s="1355">
        <f t="shared" si="42"/>
        <v>-1.6509411261299989E-4</v>
      </c>
      <c r="J305">
        <f t="shared" si="43"/>
        <v>0.1614686858951645</v>
      </c>
      <c r="K305">
        <f t="shared" si="44"/>
        <v>5.6369231375910003E-2</v>
      </c>
      <c r="L305">
        <f t="shared" si="45"/>
        <v>-1.5162524233626912E-4</v>
      </c>
      <c r="N305">
        <f t="shared" si="46"/>
        <v>0.54453956105400991</v>
      </c>
      <c r="O305">
        <f t="shared" si="46"/>
        <v>0.38342524552176865</v>
      </c>
      <c r="P305">
        <f t="shared" si="46"/>
        <v>0.1367503287206861</v>
      </c>
      <c r="R305" s="42">
        <f t="shared" si="47"/>
        <v>28.477328480525166</v>
      </c>
      <c r="S305" s="42">
        <f t="shared" si="48"/>
        <v>80.557157766120625</v>
      </c>
      <c r="T305" s="42">
        <f t="shared" si="49"/>
        <v>49.334983360216512</v>
      </c>
    </row>
    <row r="306" spans="1:20">
      <c r="A306">
        <v>662</v>
      </c>
      <c r="B306" s="1355">
        <v>0.14623</v>
      </c>
      <c r="C306" s="1355">
        <v>5.3955040000000003E-2</v>
      </c>
      <c r="D306" s="1355">
        <v>0</v>
      </c>
      <c r="F306" s="1355">
        <f t="shared" si="40"/>
        <v>0.144446386634768</v>
      </c>
      <c r="G306" s="1355">
        <f t="shared" si="41"/>
        <v>5.2987428272800001E-2</v>
      </c>
      <c r="H306" s="1355">
        <f t="shared" si="42"/>
        <v>-1.5583117071199992E-4</v>
      </c>
      <c r="J306">
        <f t="shared" si="43"/>
        <v>0.15197364107732805</v>
      </c>
      <c r="K306">
        <f t="shared" si="44"/>
        <v>5.2987428272800001E-2</v>
      </c>
      <c r="L306">
        <f t="shared" si="45"/>
        <v>-1.4311799887218384E-4</v>
      </c>
      <c r="N306">
        <f t="shared" si="46"/>
        <v>0.53364947875365765</v>
      </c>
      <c r="O306">
        <f t="shared" si="46"/>
        <v>0.37559887307362771</v>
      </c>
      <c r="P306">
        <f t="shared" si="46"/>
        <v>0.13681657462554092</v>
      </c>
      <c r="R306" s="42">
        <f t="shared" si="47"/>
        <v>27.569469276540815</v>
      </c>
      <c r="S306" s="42">
        <f t="shared" si="48"/>
        <v>79.025302840014973</v>
      </c>
      <c r="T306" s="42">
        <f t="shared" si="49"/>
        <v>47.756459689617358</v>
      </c>
    </row>
    <row r="307" spans="1:20">
      <c r="A307">
        <v>663</v>
      </c>
      <c r="B307" s="1355">
        <v>0.13749</v>
      </c>
      <c r="C307" s="1355">
        <v>5.0673759999999998E-2</v>
      </c>
      <c r="D307" s="1355">
        <v>0</v>
      </c>
      <c r="F307" s="1355">
        <f t="shared" si="40"/>
        <v>0.135813395810192</v>
      </c>
      <c r="G307" s="1355">
        <f t="shared" si="41"/>
        <v>4.9763100999199998E-2</v>
      </c>
      <c r="H307" s="1355">
        <f t="shared" si="42"/>
        <v>-1.4689946192800006E-4</v>
      </c>
      <c r="J307">
        <f t="shared" si="43"/>
        <v>0.14289077594263047</v>
      </c>
      <c r="K307">
        <f t="shared" si="44"/>
        <v>4.9763100999199998E-2</v>
      </c>
      <c r="L307">
        <f t="shared" si="45"/>
        <v>-1.3491496553915677E-4</v>
      </c>
      <c r="N307">
        <f t="shared" si="46"/>
        <v>0.52279897993622726</v>
      </c>
      <c r="O307">
        <f t="shared" si="46"/>
        <v>0.36782039961907675</v>
      </c>
      <c r="P307">
        <f t="shared" si="46"/>
        <v>0.13688045164610521</v>
      </c>
      <c r="R307" s="42">
        <f t="shared" si="47"/>
        <v>26.667166355812903</v>
      </c>
      <c r="S307" s="42">
        <f t="shared" si="48"/>
        <v>77.489290158575258</v>
      </c>
      <c r="T307" s="42">
        <f t="shared" si="49"/>
        <v>46.187989594594306</v>
      </c>
    </row>
    <row r="308" spans="1:20">
      <c r="A308">
        <v>664</v>
      </c>
      <c r="B308" s="1355">
        <v>0.1291467</v>
      </c>
      <c r="C308" s="1355">
        <v>4.7549649999999999E-2</v>
      </c>
      <c r="D308" s="1355">
        <v>0</v>
      </c>
      <c r="F308" s="1355">
        <f t="shared" si="40"/>
        <v>0.12757218890682501</v>
      </c>
      <c r="G308" s="1355">
        <f t="shared" si="41"/>
        <v>4.6693487136709996E-2</v>
      </c>
      <c r="H308" s="1355">
        <f t="shared" si="42"/>
        <v>-1.3831739984499999E-4</v>
      </c>
      <c r="J308">
        <f t="shared" si="43"/>
        <v>0.13422011100489759</v>
      </c>
      <c r="K308">
        <f t="shared" si="44"/>
        <v>4.6693487136709996E-2</v>
      </c>
      <c r="L308">
        <f t="shared" si="45"/>
        <v>-1.2703305368606669E-4</v>
      </c>
      <c r="N308">
        <f t="shared" si="46"/>
        <v>0.51200303012948933</v>
      </c>
      <c r="O308">
        <f t="shared" si="46"/>
        <v>0.36009639172104269</v>
      </c>
      <c r="P308">
        <f t="shared" si="46"/>
        <v>0.13694182809370523</v>
      </c>
      <c r="R308" s="42">
        <f t="shared" si="47"/>
        <v>25.771181439640955</v>
      </c>
      <c r="S308" s="42">
        <f t="shared" si="48"/>
        <v>75.95331920422332</v>
      </c>
      <c r="T308" s="42">
        <f t="shared" si="49"/>
        <v>44.630912725467489</v>
      </c>
    </row>
    <row r="309" spans="1:20">
      <c r="A309">
        <v>665</v>
      </c>
      <c r="B309" s="1355">
        <v>0.1212</v>
      </c>
      <c r="C309" s="1355">
        <v>4.4580000000000002E-2</v>
      </c>
      <c r="D309" s="1355">
        <v>0</v>
      </c>
      <c r="F309" s="1355">
        <f t="shared" si="40"/>
        <v>0.119722686306</v>
      </c>
      <c r="G309" s="1355">
        <f t="shared" si="41"/>
        <v>4.3775835660000005E-2</v>
      </c>
      <c r="H309" s="1355">
        <f t="shared" si="42"/>
        <v>-1.3010297399999995E-4</v>
      </c>
      <c r="J309">
        <f t="shared" si="43"/>
        <v>0.12596156249644913</v>
      </c>
      <c r="K309">
        <f t="shared" si="44"/>
        <v>4.3775835660000005E-2</v>
      </c>
      <c r="L309">
        <f t="shared" si="45"/>
        <v>-1.1948878520981232E-4</v>
      </c>
      <c r="N309">
        <f t="shared" si="46"/>
        <v>0.50127880983102091</v>
      </c>
      <c r="O309">
        <f t="shared" si="46"/>
        <v>0.35243428356940393</v>
      </c>
      <c r="P309">
        <f t="shared" si="46"/>
        <v>0.13700057531232981</v>
      </c>
      <c r="R309" s="42">
        <f t="shared" si="47"/>
        <v>24.882376894050857</v>
      </c>
      <c r="S309" s="42">
        <f t="shared" si="48"/>
        <v>74.422263130808489</v>
      </c>
      <c r="T309" s="42">
        <f t="shared" si="49"/>
        <v>43.086741651414826</v>
      </c>
    </row>
    <row r="310" spans="1:20">
      <c r="A310">
        <v>666</v>
      </c>
      <c r="B310" s="1355">
        <v>0.1136397</v>
      </c>
      <c r="C310" s="1355">
        <v>4.1758719999999999E-2</v>
      </c>
      <c r="D310" s="1355">
        <v>0</v>
      </c>
      <c r="F310" s="1355">
        <f t="shared" si="40"/>
        <v>0.112254829097144</v>
      </c>
      <c r="G310" s="1355">
        <f t="shared" si="41"/>
        <v>4.1004087781759999E-2</v>
      </c>
      <c r="H310" s="1355">
        <f t="shared" si="42"/>
        <v>-1.2226106416599996E-4</v>
      </c>
      <c r="J310">
        <f t="shared" si="43"/>
        <v>0.11810454732621124</v>
      </c>
      <c r="K310">
        <f t="shared" si="44"/>
        <v>4.1004087781759999E-2</v>
      </c>
      <c r="L310">
        <f t="shared" si="45"/>
        <v>-1.1228664177695321E-4</v>
      </c>
      <c r="N310">
        <f t="shared" si="46"/>
        <v>0.4906316265647786</v>
      </c>
      <c r="O310">
        <f t="shared" si="46"/>
        <v>0.34483318346194292</v>
      </c>
      <c r="P310">
        <f t="shared" si="46"/>
        <v>0.13705665840324149</v>
      </c>
      <c r="R310" s="42">
        <f t="shared" si="47"/>
        <v>24.000649281585382</v>
      </c>
      <c r="S310" s="42">
        <f t="shared" si="48"/>
        <v>72.899221551417838</v>
      </c>
      <c r="T310" s="42">
        <f t="shared" si="49"/>
        <v>41.555305011740288</v>
      </c>
    </row>
    <row r="311" spans="1:20">
      <c r="A311">
        <v>667</v>
      </c>
      <c r="B311" s="1355">
        <v>0.106465</v>
      </c>
      <c r="C311" s="1355">
        <v>3.9084960000000002E-2</v>
      </c>
      <c r="D311" s="1355">
        <v>0</v>
      </c>
      <c r="F311" s="1355">
        <f t="shared" si="40"/>
        <v>0.105167831015232</v>
      </c>
      <c r="G311" s="1355">
        <f t="shared" si="41"/>
        <v>3.8377390143199998E-2</v>
      </c>
      <c r="H311" s="1355">
        <f t="shared" si="42"/>
        <v>-1.1479457378799995E-4</v>
      </c>
      <c r="J311">
        <f t="shared" si="43"/>
        <v>0.11064823825605437</v>
      </c>
      <c r="K311">
        <f t="shared" si="44"/>
        <v>3.8377390143199998E-2</v>
      </c>
      <c r="L311">
        <f t="shared" si="45"/>
        <v>-1.0542928996078356E-4</v>
      </c>
      <c r="N311">
        <f t="shared" si="46"/>
        <v>0.4800813494299554</v>
      </c>
      <c r="O311">
        <f t="shared" si="46"/>
        <v>0.33730683821868124</v>
      </c>
      <c r="P311">
        <f t="shared" si="46"/>
        <v>0.13711005660183401</v>
      </c>
      <c r="R311" s="42">
        <f t="shared" si="47"/>
        <v>23.127593233367023</v>
      </c>
      <c r="S311" s="42">
        <f t="shared" si="48"/>
        <v>71.38725560563708</v>
      </c>
      <c r="T311" s="42">
        <f t="shared" si="49"/>
        <v>40.039356323369446</v>
      </c>
    </row>
    <row r="312" spans="1:20">
      <c r="A312">
        <v>668</v>
      </c>
      <c r="B312" s="1355">
        <v>9.9690440000000005E-2</v>
      </c>
      <c r="C312" s="1355">
        <v>3.656384E-2</v>
      </c>
      <c r="D312" s="1355">
        <v>0</v>
      </c>
      <c r="F312" s="1355">
        <f t="shared" si="40"/>
        <v>9.8476056466671999E-2</v>
      </c>
      <c r="G312" s="1355">
        <f t="shared" si="41"/>
        <v>3.5900762713471999E-2</v>
      </c>
      <c r="H312" s="1355">
        <f t="shared" si="42"/>
        <v>-1.0772065529200003E-4</v>
      </c>
      <c r="J312">
        <f t="shared" si="43"/>
        <v>0.10360774823684282</v>
      </c>
      <c r="K312">
        <f t="shared" si="44"/>
        <v>3.5900762713471999E-2</v>
      </c>
      <c r="L312">
        <f t="shared" si="45"/>
        <v>-9.8932482841214908E-5</v>
      </c>
      <c r="N312">
        <f t="shared" si="46"/>
        <v>0.46967496500355532</v>
      </c>
      <c r="O312">
        <f t="shared" si="46"/>
        <v>0.32988904354642418</v>
      </c>
      <c r="P312">
        <f t="shared" si="46"/>
        <v>0.13716064723887408</v>
      </c>
      <c r="R312" s="42">
        <f t="shared" si="47"/>
        <v>22.267129051385204</v>
      </c>
      <c r="S312" s="42">
        <f t="shared" si="48"/>
        <v>69.892960728565569</v>
      </c>
      <c r="T312" s="42">
        <f t="shared" si="49"/>
        <v>38.545679261510017</v>
      </c>
    </row>
    <row r="313" spans="1:20">
      <c r="A313">
        <v>669</v>
      </c>
      <c r="B313" s="1355">
        <v>9.3330609999999994E-2</v>
      </c>
      <c r="C313" s="1355">
        <v>3.4200479999999998E-2</v>
      </c>
      <c r="D313" s="1355">
        <v>0</v>
      </c>
      <c r="F313" s="1355">
        <f t="shared" si="40"/>
        <v>9.2193919380251996E-2</v>
      </c>
      <c r="G313" s="1355">
        <f t="shared" si="41"/>
        <v>3.3579224843167998E-2</v>
      </c>
      <c r="H313" s="1355">
        <f t="shared" si="42"/>
        <v>-1.0105663927899997E-4</v>
      </c>
      <c r="J313">
        <f t="shared" si="43"/>
        <v>9.6998242322484662E-2</v>
      </c>
      <c r="K313">
        <f t="shared" si="44"/>
        <v>3.3579224843167998E-2</v>
      </c>
      <c r="L313">
        <f t="shared" si="45"/>
        <v>-9.2812137137110443E-5</v>
      </c>
      <c r="N313">
        <f t="shared" si="46"/>
        <v>0.45946731394536772</v>
      </c>
      <c r="O313">
        <f t="shared" si="46"/>
        <v>0.32261920907804675</v>
      </c>
      <c r="P313">
        <f t="shared" si="46"/>
        <v>0.13720830637087195</v>
      </c>
      <c r="R313" s="42">
        <f t="shared" si="47"/>
        <v>21.423828253053422</v>
      </c>
      <c r="S313" s="42">
        <f t="shared" si="48"/>
        <v>68.424052433660478</v>
      </c>
      <c r="T313" s="42">
        <f t="shared" si="49"/>
        <v>37.082180541434958</v>
      </c>
    </row>
    <row r="314" spans="1:20">
      <c r="A314">
        <v>670</v>
      </c>
      <c r="B314" s="1355">
        <v>8.7400000000000005E-2</v>
      </c>
      <c r="C314" s="1355">
        <v>3.2000000000000001E-2</v>
      </c>
      <c r="D314" s="1355">
        <v>0</v>
      </c>
      <c r="F314" s="1355">
        <f t="shared" si="40"/>
        <v>8.6335734639999995E-2</v>
      </c>
      <c r="G314" s="1355">
        <f t="shared" si="41"/>
        <v>3.141779712E-2</v>
      </c>
      <c r="H314" s="1355">
        <f t="shared" si="42"/>
        <v>-9.4819500000000036E-5</v>
      </c>
      <c r="J314">
        <f t="shared" si="43"/>
        <v>9.0834781360800435E-2</v>
      </c>
      <c r="K314">
        <f t="shared" si="44"/>
        <v>3.141779712E-2</v>
      </c>
      <c r="L314">
        <f t="shared" si="45"/>
        <v>-8.7083842289429968E-5</v>
      </c>
      <c r="N314">
        <f t="shared" si="46"/>
        <v>0.44952176578506098</v>
      </c>
      <c r="O314">
        <f t="shared" si="46"/>
        <v>0.31554301942601204</v>
      </c>
      <c r="P314">
        <f t="shared" si="46"/>
        <v>0.13725291260285083</v>
      </c>
      <c r="R314" s="42">
        <f t="shared" si="47"/>
        <v>20.602990253417396</v>
      </c>
      <c r="S314" s="42">
        <f t="shared" si="48"/>
        <v>66.989373179524463</v>
      </c>
      <c r="T314" s="42">
        <f t="shared" si="49"/>
        <v>35.658021364632241</v>
      </c>
    </row>
    <row r="315" spans="1:20">
      <c r="A315">
        <v>671</v>
      </c>
      <c r="B315" s="1355">
        <v>8.1900959999999995E-2</v>
      </c>
      <c r="C315" s="1355">
        <v>2.9962610000000001E-2</v>
      </c>
      <c r="D315" s="1355">
        <v>0</v>
      </c>
      <c r="F315" s="1355">
        <f t="shared" si="40"/>
        <v>8.0903828292432992E-2</v>
      </c>
      <c r="G315" s="1355">
        <f t="shared" si="41"/>
        <v>2.9416663746598001E-2</v>
      </c>
      <c r="H315" s="1355">
        <f t="shared" si="42"/>
        <v>-8.9016190042999949E-5</v>
      </c>
      <c r="J315">
        <f t="shared" si="43"/>
        <v>8.5119812611058721E-2</v>
      </c>
      <c r="K315">
        <f t="shared" si="44"/>
        <v>2.9416663746598001E-2</v>
      </c>
      <c r="L315">
        <f t="shared" si="45"/>
        <v>-8.1753983673300652E-5</v>
      </c>
      <c r="N315">
        <f t="shared" si="46"/>
        <v>0.4398894567532044</v>
      </c>
      <c r="O315">
        <f t="shared" si="46"/>
        <v>0.30869609716344149</v>
      </c>
      <c r="P315">
        <f t="shared" si="46"/>
        <v>0.13729441621189462</v>
      </c>
      <c r="R315" s="42">
        <f t="shared" si="47"/>
        <v>19.808747270959209</v>
      </c>
      <c r="S315" s="42">
        <f t="shared" si="48"/>
        <v>65.596679794881453</v>
      </c>
      <c r="T315" s="42">
        <f t="shared" si="49"/>
        <v>34.280336190309377</v>
      </c>
    </row>
    <row r="316" spans="1:20">
      <c r="A316">
        <v>672</v>
      </c>
      <c r="B316" s="1355">
        <v>7.6804280000000003E-2</v>
      </c>
      <c r="C316" s="1355">
        <v>2.807664E-2</v>
      </c>
      <c r="D316" s="1355">
        <v>0</v>
      </c>
      <c r="F316" s="1355">
        <f t="shared" si="40"/>
        <v>7.5869353017216007E-2</v>
      </c>
      <c r="G316" s="1355">
        <f t="shared" si="41"/>
        <v>2.7564334092063998E-2</v>
      </c>
      <c r="H316" s="1355">
        <f t="shared" si="42"/>
        <v>-8.3621621972000004E-5</v>
      </c>
      <c r="J316">
        <f t="shared" si="43"/>
        <v>7.9822985488459397E-2</v>
      </c>
      <c r="K316">
        <f t="shared" si="44"/>
        <v>2.7564334092063998E-2</v>
      </c>
      <c r="L316">
        <f t="shared" si="45"/>
        <v>-7.6799520560601753E-5</v>
      </c>
      <c r="N316">
        <f t="shared" si="46"/>
        <v>0.43056889814702931</v>
      </c>
      <c r="O316">
        <f t="shared" si="46"/>
        <v>0.30207573094586521</v>
      </c>
      <c r="P316">
        <f t="shared" si="46"/>
        <v>0.13733299661615322</v>
      </c>
      <c r="R316" s="42">
        <f t="shared" si="47"/>
        <v>19.040784789720362</v>
      </c>
      <c r="S316" s="42">
        <f t="shared" si="48"/>
        <v>64.246583600582056</v>
      </c>
      <c r="T316" s="42">
        <f t="shared" si="49"/>
        <v>32.948546865942397</v>
      </c>
    </row>
    <row r="317" spans="1:20">
      <c r="A317">
        <v>673</v>
      </c>
      <c r="B317" s="1355">
        <v>7.2077119999999995E-2</v>
      </c>
      <c r="C317" s="1355">
        <v>2.632936E-2</v>
      </c>
      <c r="D317" s="1355">
        <v>0</v>
      </c>
      <c r="F317" s="1355">
        <f t="shared" si="40"/>
        <v>7.1199873767623989E-2</v>
      </c>
      <c r="G317" s="1355">
        <f t="shared" si="41"/>
        <v>2.5848285902256001E-2</v>
      </c>
      <c r="H317" s="1355">
        <f t="shared" si="42"/>
        <v>-7.8604948727999937E-5</v>
      </c>
      <c r="J317">
        <f t="shared" si="43"/>
        <v>7.4910174721584039E-2</v>
      </c>
      <c r="K317">
        <f t="shared" si="44"/>
        <v>2.5848285902256001E-2</v>
      </c>
      <c r="L317">
        <f t="shared" si="45"/>
        <v>-7.219212248744059E-5</v>
      </c>
      <c r="N317">
        <f t="shared" si="46"/>
        <v>0.42154790633993167</v>
      </c>
      <c r="O317">
        <f t="shared" si="46"/>
        <v>0.2956722613642051</v>
      </c>
      <c r="P317">
        <f t="shared" si="46"/>
        <v>0.13736887442494891</v>
      </c>
      <c r="R317" s="42">
        <f t="shared" si="47"/>
        <v>18.29798231824779</v>
      </c>
      <c r="S317" s="42">
        <f t="shared" si="48"/>
        <v>62.937822487863279</v>
      </c>
      <c r="T317" s="42">
        <f t="shared" si="49"/>
        <v>31.660677387851237</v>
      </c>
    </row>
    <row r="318" spans="1:20">
      <c r="A318">
        <v>674</v>
      </c>
      <c r="B318" s="1355">
        <v>6.7686640000000006E-2</v>
      </c>
      <c r="C318" s="1355">
        <v>2.4708049999999999E-2</v>
      </c>
      <c r="D318" s="1355">
        <v>0</v>
      </c>
      <c r="F318" s="1355">
        <f t="shared" si="40"/>
        <v>6.6862955425249004E-2</v>
      </c>
      <c r="G318" s="1355">
        <f t="shared" si="41"/>
        <v>2.4256007078982001E-2</v>
      </c>
      <c r="H318" s="1355">
        <f t="shared" si="42"/>
        <v>-7.3935255555000002E-5</v>
      </c>
      <c r="J318">
        <f t="shared" si="43"/>
        <v>7.0347254963595909E-2</v>
      </c>
      <c r="K318">
        <f t="shared" si="44"/>
        <v>2.4256007078982001E-2</v>
      </c>
      <c r="L318">
        <f t="shared" si="45"/>
        <v>-6.790339681584821E-5</v>
      </c>
      <c r="N318">
        <f t="shared" si="46"/>
        <v>0.41280889986498059</v>
      </c>
      <c r="O318">
        <f t="shared" si="46"/>
        <v>0.28947191679636425</v>
      </c>
      <c r="P318">
        <f t="shared" si="46"/>
        <v>0.1374022707317536</v>
      </c>
      <c r="R318" s="42">
        <f t="shared" si="47"/>
        <v>17.578742348378256</v>
      </c>
      <c r="S318" s="42">
        <f t="shared" si="48"/>
        <v>61.668491534308174</v>
      </c>
      <c r="T318" s="42">
        <f t="shared" si="49"/>
        <v>30.413929212922131</v>
      </c>
    </row>
    <row r="319" spans="1:20">
      <c r="A319">
        <v>675</v>
      </c>
      <c r="B319" s="1355">
        <v>6.3600000000000004E-2</v>
      </c>
      <c r="C319" s="1355">
        <v>2.3199999999999998E-2</v>
      </c>
      <c r="D319" s="1355">
        <v>0</v>
      </c>
      <c r="F319" s="1355">
        <f t="shared" si="40"/>
        <v>6.2826162800000002E-2</v>
      </c>
      <c r="G319" s="1355">
        <f t="shared" si="41"/>
        <v>2.277499568E-2</v>
      </c>
      <c r="H319" s="1355">
        <f t="shared" si="42"/>
        <v>-6.9581559999999995E-5</v>
      </c>
      <c r="J319">
        <f t="shared" si="43"/>
        <v>6.610010079223963E-2</v>
      </c>
      <c r="K319">
        <f t="shared" si="44"/>
        <v>2.277499568E-2</v>
      </c>
      <c r="L319">
        <f t="shared" si="45"/>
        <v>-6.3904888733778455E-5</v>
      </c>
      <c r="N319">
        <f t="shared" si="46"/>
        <v>0.4043282076102826</v>
      </c>
      <c r="O319">
        <f t="shared" si="46"/>
        <v>0.28345629163162678</v>
      </c>
      <c r="P319">
        <f t="shared" si="46"/>
        <v>0.13743340711418869</v>
      </c>
      <c r="R319" s="42">
        <f t="shared" si="47"/>
        <v>16.880929829268709</v>
      </c>
      <c r="S319" s="42">
        <f t="shared" si="48"/>
        <v>60.43595798932791</v>
      </c>
      <c r="T319" s="42">
        <f t="shared" si="49"/>
        <v>29.204576903487617</v>
      </c>
    </row>
    <row r="320" spans="1:20">
      <c r="A320">
        <v>676</v>
      </c>
      <c r="B320" s="1355">
        <v>5.9806850000000002E-2</v>
      </c>
      <c r="C320" s="1355">
        <v>2.1800770000000001E-2</v>
      </c>
      <c r="D320" s="1355">
        <v>0</v>
      </c>
      <c r="F320" s="1355">
        <f t="shared" si="40"/>
        <v>5.9079276586468998E-2</v>
      </c>
      <c r="G320" s="1355">
        <f t="shared" si="41"/>
        <v>2.1400870505429999E-2</v>
      </c>
      <c r="H320" s="1355">
        <f t="shared" si="42"/>
        <v>-6.5537037305999984E-5</v>
      </c>
      <c r="J320">
        <f t="shared" si="43"/>
        <v>6.2157960363261329E-2</v>
      </c>
      <c r="K320">
        <f t="shared" si="44"/>
        <v>2.1400870505429999E-2</v>
      </c>
      <c r="L320">
        <f t="shared" si="45"/>
        <v>-6.0190330268269599E-5</v>
      </c>
      <c r="N320">
        <f t="shared" si="46"/>
        <v>0.39612499957260988</v>
      </c>
      <c r="O320">
        <f t="shared" si="46"/>
        <v>0.27763687430709089</v>
      </c>
      <c r="P320">
        <f t="shared" si="46"/>
        <v>0.13746233238095959</v>
      </c>
      <c r="R320" s="42">
        <f t="shared" si="47"/>
        <v>16.205877419622546</v>
      </c>
      <c r="S320" s="42">
        <f t="shared" si="48"/>
        <v>59.244062632759494</v>
      </c>
      <c r="T320" s="42">
        <f t="shared" si="49"/>
        <v>28.034908385226259</v>
      </c>
    </row>
    <row r="321" spans="1:20">
      <c r="A321">
        <v>677</v>
      </c>
      <c r="B321" s="1355">
        <v>5.6282159999999998E-2</v>
      </c>
      <c r="C321" s="1355">
        <v>2.0501120000000001E-2</v>
      </c>
      <c r="D321" s="1355">
        <v>0</v>
      </c>
      <c r="F321" s="1355">
        <f t="shared" si="40"/>
        <v>5.559757211632E-2</v>
      </c>
      <c r="G321" s="1355">
        <f t="shared" si="41"/>
        <v>2.0124557108608002E-2</v>
      </c>
      <c r="H321" s="1355">
        <f t="shared" si="42"/>
        <v>-6.1775045095999984E-5</v>
      </c>
      <c r="J321">
        <f t="shared" si="43"/>
        <v>5.8494820579629021E-2</v>
      </c>
      <c r="K321">
        <f t="shared" si="44"/>
        <v>2.0124557108608002E-2</v>
      </c>
      <c r="L321">
        <f t="shared" si="45"/>
        <v>-5.6735252606926687E-5</v>
      </c>
      <c r="N321">
        <f t="shared" si="46"/>
        <v>0.3881853468882272</v>
      </c>
      <c r="O321">
        <f t="shared" si="46"/>
        <v>0.27200409590775637</v>
      </c>
      <c r="P321">
        <f t="shared" si="46"/>
        <v>0.13748923707070848</v>
      </c>
      <c r="R321" s="42">
        <f t="shared" si="47"/>
        <v>15.55247512529974</v>
      </c>
      <c r="S321" s="42">
        <f t="shared" si="48"/>
        <v>58.090625490235418</v>
      </c>
      <c r="T321" s="42">
        <f t="shared" si="49"/>
        <v>26.902971767409579</v>
      </c>
    </row>
    <row r="322" spans="1:20">
      <c r="A322">
        <v>678</v>
      </c>
      <c r="B322" s="1355">
        <v>5.2971039999999997E-2</v>
      </c>
      <c r="C322" s="1355">
        <v>1.9281079999999999E-2</v>
      </c>
      <c r="D322" s="1355">
        <v>0</v>
      </c>
      <c r="F322" s="1355">
        <f t="shared" si="40"/>
        <v>5.232682687174E-2</v>
      </c>
      <c r="G322" s="1355">
        <f t="shared" si="41"/>
        <v>1.8926453112552002E-2</v>
      </c>
      <c r="H322" s="1355">
        <f t="shared" si="42"/>
        <v>-5.8235173763999975E-5</v>
      </c>
      <c r="J322">
        <f t="shared" si="43"/>
        <v>5.5053633330604854E-2</v>
      </c>
      <c r="K322">
        <f t="shared" si="44"/>
        <v>1.8926453112552002E-2</v>
      </c>
      <c r="L322">
        <f t="shared" si="45"/>
        <v>-5.3484174539643452E-5</v>
      </c>
      <c r="N322">
        <f t="shared" si="46"/>
        <v>0.38041882107224323</v>
      </c>
      <c r="O322">
        <f t="shared" si="46"/>
        <v>0.26649541679195826</v>
      </c>
      <c r="P322">
        <f t="shared" si="46"/>
        <v>0.13751455321561842</v>
      </c>
      <c r="R322" s="42">
        <f t="shared" si="47"/>
        <v>14.913468347867159</v>
      </c>
      <c r="S322" s="42">
        <f t="shared" si="48"/>
        <v>56.961702140142485</v>
      </c>
      <c r="T322" s="42">
        <f t="shared" si="49"/>
        <v>25.796172715267968</v>
      </c>
    </row>
    <row r="323" spans="1:20">
      <c r="A323">
        <v>679</v>
      </c>
      <c r="B323" s="1355">
        <v>4.9818609999999999E-2</v>
      </c>
      <c r="C323" s="1355">
        <v>1.8120689999999998E-2</v>
      </c>
      <c r="D323" s="1355">
        <v>0</v>
      </c>
      <c r="F323" s="1355">
        <f t="shared" si="40"/>
        <v>4.9212828167709E-2</v>
      </c>
      <c r="G323" s="1355">
        <f t="shared" si="41"/>
        <v>1.7786966172518001E-2</v>
      </c>
      <c r="H323" s="1355">
        <f t="shared" si="42"/>
        <v>-5.4856981642000018E-5</v>
      </c>
      <c r="J323">
        <f t="shared" si="43"/>
        <v>5.177736085064126E-2</v>
      </c>
      <c r="K323">
        <f t="shared" si="44"/>
        <v>1.7786966172518001E-2</v>
      </c>
      <c r="L323">
        <f t="shared" si="45"/>
        <v>-5.0381585410027296E-5</v>
      </c>
      <c r="N323">
        <f t="shared" si="46"/>
        <v>0.37271765932013701</v>
      </c>
      <c r="O323">
        <f t="shared" si="46"/>
        <v>0.26103613252016328</v>
      </c>
      <c r="P323">
        <f t="shared" si="46"/>
        <v>0.13753871307717075</v>
      </c>
      <c r="R323" s="42">
        <f t="shared" si="47"/>
        <v>14.28019137233894</v>
      </c>
      <c r="S323" s="42">
        <f t="shared" si="48"/>
        <v>55.840763399986862</v>
      </c>
      <c r="T323" s="42">
        <f t="shared" si="49"/>
        <v>24.699483888598508</v>
      </c>
    </row>
    <row r="324" spans="1:20">
      <c r="A324">
        <v>680</v>
      </c>
      <c r="B324" s="1355">
        <v>4.6769999999999999E-2</v>
      </c>
      <c r="C324" s="1355">
        <v>1.7000000000000001E-2</v>
      </c>
      <c r="D324" s="1355">
        <v>0</v>
      </c>
      <c r="F324" s="1355">
        <f t="shared" si="40"/>
        <v>4.6201373151999993E-2</v>
      </c>
      <c r="G324" s="1355">
        <f t="shared" si="41"/>
        <v>1.6686513976E-2</v>
      </c>
      <c r="H324" s="1355">
        <f t="shared" si="42"/>
        <v>-5.1579994999999984E-5</v>
      </c>
      <c r="J324">
        <f t="shared" si="43"/>
        <v>4.8608975719380929E-2</v>
      </c>
      <c r="K324">
        <f t="shared" si="44"/>
        <v>1.6686513976E-2</v>
      </c>
      <c r="L324">
        <f t="shared" si="45"/>
        <v>-4.7371945115399087E-5</v>
      </c>
      <c r="N324">
        <f t="shared" si="46"/>
        <v>0.36495458425205074</v>
      </c>
      <c r="O324">
        <f t="shared" si="46"/>
        <v>0.25553783177861472</v>
      </c>
      <c r="P324">
        <f t="shared" si="46"/>
        <v>0.13756214914614501</v>
      </c>
      <c r="R324" s="42">
        <f t="shared" si="47"/>
        <v>13.642388486319309</v>
      </c>
      <c r="S324" s="42">
        <f t="shared" si="48"/>
        <v>54.70837623671801</v>
      </c>
      <c r="T324" s="42">
        <f t="shared" si="49"/>
        <v>23.595136526493942</v>
      </c>
    </row>
    <row r="325" spans="1:20">
      <c r="A325">
        <v>681</v>
      </c>
      <c r="B325" s="1355">
        <v>4.3784049999999998E-2</v>
      </c>
      <c r="C325" s="1355">
        <v>1.5903790000000001E-2</v>
      </c>
      <c r="D325" s="1355">
        <v>0</v>
      </c>
      <c r="F325" s="1355">
        <f t="shared" ref="F325:F388" si="50">$X$12*B325+$Y$12*C325+$Z$12*D325</f>
        <v>4.3251804102923001E-2</v>
      </c>
      <c r="G325" s="1355">
        <f t="shared" ref="G325:G388" si="51">$X$13*B325+$Y$13*C325+$Z$13*D325</f>
        <v>1.5610148365690003E-2</v>
      </c>
      <c r="H325" s="1355">
        <f t="shared" ref="H325:H388" si="52">$X$14*B325+$Y$14*C325+$Z$14*D325</f>
        <v>-4.8360575011999974E-5</v>
      </c>
      <c r="J325">
        <f t="shared" ref="J325:J388" si="53">F325/$X$5</f>
        <v>4.5505701498125141E-2</v>
      </c>
      <c r="K325">
        <f t="shared" ref="K325:K388" si="54">G325/$X$6</f>
        <v>1.5610148365690003E-2</v>
      </c>
      <c r="L325">
        <f t="shared" ref="L325:L388" si="55">H325/$X$7</f>
        <v>-4.441517501538346E-5</v>
      </c>
      <c r="N325">
        <f t="shared" ref="N325:P388" si="56">IF(J325&gt;0.008856,J325^(1/3),7.787*J325+16/116)</f>
        <v>0.3570167601609881</v>
      </c>
      <c r="O325">
        <f t="shared" si="56"/>
        <v>0.24992076617433648</v>
      </c>
      <c r="P325">
        <f t="shared" si="56"/>
        <v>0.13758517351491384</v>
      </c>
      <c r="R325" s="42">
        <f t="shared" ref="R325:R388" si="57" xml:space="preserve"> 116 * O325  - 16</f>
        <v>12.990808876223031</v>
      </c>
      <c r="S325" s="42">
        <f t="shared" ref="S325:S388" si="58" xml:space="preserve"> 500 * (N325 - O325 )</f>
        <v>53.54799699332581</v>
      </c>
      <c r="T325" s="42">
        <f t="shared" ref="T325:T388" si="59" xml:space="preserve"> 200 * (O325 - P325 )</f>
        <v>22.467118531884527</v>
      </c>
    </row>
    <row r="326" spans="1:20">
      <c r="A326">
        <v>682</v>
      </c>
      <c r="B326" s="1355">
        <v>4.0875359999999999E-2</v>
      </c>
      <c r="C326" s="1355">
        <v>1.483718E-2</v>
      </c>
      <c r="D326" s="1355">
        <v>0</v>
      </c>
      <c r="F326" s="1355">
        <f t="shared" si="50"/>
        <v>4.0378544853742003E-2</v>
      </c>
      <c r="G326" s="1355">
        <f t="shared" si="51"/>
        <v>1.4562888568468E-2</v>
      </c>
      <c r="H326" s="1355">
        <f t="shared" si="52"/>
        <v>-4.5216087913999982E-5</v>
      </c>
      <c r="J326">
        <f t="shared" si="53"/>
        <v>4.2482713661390684E-2</v>
      </c>
      <c r="K326">
        <f t="shared" si="54"/>
        <v>1.4562888568468E-2</v>
      </c>
      <c r="L326">
        <f t="shared" si="55"/>
        <v>-4.1527224556634169E-5</v>
      </c>
      <c r="N326">
        <f t="shared" si="56"/>
        <v>0.3489292819863497</v>
      </c>
      <c r="O326">
        <f t="shared" si="56"/>
        <v>0.2442019769468193</v>
      </c>
      <c r="P326">
        <f t="shared" si="56"/>
        <v>0.1376076619851361</v>
      </c>
      <c r="R326" s="42">
        <f t="shared" si="57"/>
        <v>12.327429325831041</v>
      </c>
      <c r="S326" s="42">
        <f t="shared" si="58"/>
        <v>52.363652519765196</v>
      </c>
      <c r="T326" s="42">
        <f t="shared" si="59"/>
        <v>21.318862992336641</v>
      </c>
    </row>
    <row r="327" spans="1:20">
      <c r="A327">
        <v>683</v>
      </c>
      <c r="B327" s="1355">
        <v>3.8072639999999998E-2</v>
      </c>
      <c r="C327" s="1355">
        <v>1.3810680000000001E-2</v>
      </c>
      <c r="D327" s="1355">
        <v>0</v>
      </c>
      <c r="F327" s="1355">
        <f t="shared" si="50"/>
        <v>3.7609955816219995E-2</v>
      </c>
      <c r="G327" s="1355">
        <f t="shared" si="51"/>
        <v>1.3555053310632E-2</v>
      </c>
      <c r="H327" s="1355">
        <f t="shared" si="52"/>
        <v>-4.2177692243999996E-5</v>
      </c>
      <c r="J327">
        <f t="shared" si="53"/>
        <v>3.956985051208349E-2</v>
      </c>
      <c r="K327">
        <f t="shared" si="54"/>
        <v>1.3555053310632E-2</v>
      </c>
      <c r="L327">
        <f t="shared" si="55"/>
        <v>-3.8736710270657491E-5</v>
      </c>
      <c r="N327">
        <f t="shared" si="56"/>
        <v>0.3407648597290065</v>
      </c>
      <c r="O327">
        <f t="shared" si="56"/>
        <v>0.23843339170827485</v>
      </c>
      <c r="P327">
        <f t="shared" si="56"/>
        <v>0.13762939171988101</v>
      </c>
      <c r="R327" s="42">
        <f t="shared" si="57"/>
        <v>11.658273438159881</v>
      </c>
      <c r="S327" s="42">
        <f t="shared" si="58"/>
        <v>51.165734010365824</v>
      </c>
      <c r="T327" s="42">
        <f t="shared" si="59"/>
        <v>20.160799997678769</v>
      </c>
    </row>
    <row r="328" spans="1:20">
      <c r="A328">
        <v>684</v>
      </c>
      <c r="B328" s="1355">
        <v>3.5404610000000003E-2</v>
      </c>
      <c r="C328" s="1355">
        <v>1.283478E-2</v>
      </c>
      <c r="D328" s="1355">
        <v>0</v>
      </c>
      <c r="F328" s="1355">
        <f t="shared" si="50"/>
        <v>3.4974407449961997E-2</v>
      </c>
      <c r="G328" s="1355">
        <f t="shared" si="51"/>
        <v>1.2596940882868E-2</v>
      </c>
      <c r="H328" s="1355">
        <f t="shared" si="52"/>
        <v>-3.9276717569000009E-5</v>
      </c>
      <c r="J328">
        <f t="shared" si="53"/>
        <v>3.6796960924555214E-2</v>
      </c>
      <c r="K328">
        <f t="shared" si="54"/>
        <v>1.2596940882868E-2</v>
      </c>
      <c r="L328">
        <f t="shared" si="55"/>
        <v>-3.607240576490362E-5</v>
      </c>
      <c r="N328">
        <f t="shared" si="56"/>
        <v>0.3326115431809325</v>
      </c>
      <c r="O328">
        <f t="shared" si="56"/>
        <v>0.23267784370567998</v>
      </c>
      <c r="P328">
        <f t="shared" si="56"/>
        <v>0.13765013865906731</v>
      </c>
      <c r="R328" s="42">
        <f t="shared" si="57"/>
        <v>10.990629869858878</v>
      </c>
      <c r="S328" s="42">
        <f t="shared" si="58"/>
        <v>49.966849737626262</v>
      </c>
      <c r="T328" s="42">
        <f t="shared" si="59"/>
        <v>19.005541009322535</v>
      </c>
    </row>
    <row r="329" spans="1:20">
      <c r="A329">
        <v>685</v>
      </c>
      <c r="B329" s="1355">
        <v>3.2899999999999999E-2</v>
      </c>
      <c r="C329" s="1355">
        <v>1.192E-2</v>
      </c>
      <c r="D329" s="1355">
        <v>0</v>
      </c>
      <c r="F329" s="1355">
        <f t="shared" si="50"/>
        <v>3.2500279904E-2</v>
      </c>
      <c r="G329" s="1355">
        <f t="shared" si="51"/>
        <v>1.169887992E-2</v>
      </c>
      <c r="H329" s="1355">
        <f t="shared" si="52"/>
        <v>-3.6544325999999993E-5</v>
      </c>
      <c r="J329">
        <f t="shared" si="53"/>
        <v>3.4193903967510812E-2</v>
      </c>
      <c r="K329">
        <f t="shared" si="54"/>
        <v>1.169887992E-2</v>
      </c>
      <c r="L329">
        <f t="shared" si="55"/>
        <v>-3.3562930852382827E-5</v>
      </c>
      <c r="N329">
        <f t="shared" si="56"/>
        <v>0.32457586952050238</v>
      </c>
      <c r="O329">
        <f t="shared" si="56"/>
        <v>0.22701162340942541</v>
      </c>
      <c r="P329">
        <f t="shared" si="56"/>
        <v>0.13766967994021112</v>
      </c>
      <c r="R329" s="42">
        <f t="shared" si="57"/>
        <v>10.333348315493346</v>
      </c>
      <c r="S329" s="42">
        <f t="shared" si="58"/>
        <v>48.782123055538484</v>
      </c>
      <c r="T329" s="42">
        <f t="shared" si="59"/>
        <v>17.868388693842856</v>
      </c>
    </row>
    <row r="330" spans="1:20">
      <c r="A330">
        <v>686</v>
      </c>
      <c r="B330" s="1355">
        <v>3.0564190000000001E-2</v>
      </c>
      <c r="C330" s="1355">
        <v>1.106831E-2</v>
      </c>
      <c r="D330" s="1355">
        <v>0</v>
      </c>
      <c r="F330" s="1355">
        <f t="shared" si="50"/>
        <v>3.0192887664871E-2</v>
      </c>
      <c r="G330" s="1355">
        <f t="shared" si="51"/>
        <v>1.0862804587122001E-2</v>
      </c>
      <c r="H330" s="1355">
        <f t="shared" si="52"/>
        <v>-3.398635285799999E-5</v>
      </c>
      <c r="J330">
        <f t="shared" si="53"/>
        <v>3.1766271071018551E-2</v>
      </c>
      <c r="K330">
        <f t="shared" si="54"/>
        <v>1.0862804587122001E-2</v>
      </c>
      <c r="L330">
        <f t="shared" si="55"/>
        <v>-3.1213644791197886E-5</v>
      </c>
      <c r="N330">
        <f t="shared" si="56"/>
        <v>0.31670535925083526</v>
      </c>
      <c r="O330">
        <f t="shared" si="56"/>
        <v>0.22146953255179508</v>
      </c>
      <c r="P330">
        <f t="shared" si="56"/>
        <v>0.13768797383076956</v>
      </c>
      <c r="R330" s="42">
        <f t="shared" si="57"/>
        <v>9.690465776008228</v>
      </c>
      <c r="S330" s="42">
        <f t="shared" si="58"/>
        <v>47.617913349520094</v>
      </c>
      <c r="T330" s="42">
        <f t="shared" si="59"/>
        <v>16.756311744205103</v>
      </c>
    </row>
    <row r="331" spans="1:20">
      <c r="A331">
        <v>687</v>
      </c>
      <c r="B331" s="1355">
        <v>2.8380559999999999E-2</v>
      </c>
      <c r="C331" s="1355">
        <v>1.027339E-2</v>
      </c>
      <c r="D331" s="1355">
        <v>0</v>
      </c>
      <c r="F331" s="1355">
        <f t="shared" si="50"/>
        <v>2.8035814797118998E-2</v>
      </c>
      <c r="G331" s="1355">
        <f t="shared" si="51"/>
        <v>1.0082501933178001E-2</v>
      </c>
      <c r="H331" s="1355">
        <f t="shared" si="52"/>
        <v>-3.1586357276999983E-5</v>
      </c>
      <c r="J331">
        <f t="shared" si="53"/>
        <v>2.949679084781108E-2</v>
      </c>
      <c r="K331">
        <f t="shared" si="54"/>
        <v>1.0082501933178001E-2</v>
      </c>
      <c r="L331">
        <f t="shared" si="55"/>
        <v>-2.9009448010249521E-5</v>
      </c>
      <c r="N331">
        <f t="shared" si="56"/>
        <v>0.30897612550993664</v>
      </c>
      <c r="O331">
        <f t="shared" si="56"/>
        <v>0.21603433048565565</v>
      </c>
      <c r="P331">
        <f t="shared" si="56"/>
        <v>0.13770513791110281</v>
      </c>
      <c r="R331" s="42">
        <f t="shared" si="57"/>
        <v>9.0599823363360557</v>
      </c>
      <c r="S331" s="42">
        <f t="shared" si="58"/>
        <v>46.470897512140496</v>
      </c>
      <c r="T331" s="42">
        <f t="shared" si="59"/>
        <v>15.665838514910568</v>
      </c>
    </row>
    <row r="332" spans="1:20">
      <c r="A332">
        <v>688</v>
      </c>
      <c r="B332" s="1355">
        <v>2.6344840000000001E-2</v>
      </c>
      <c r="C332" s="1355">
        <v>9.5333109999999992E-3</v>
      </c>
      <c r="D332" s="1355">
        <v>0</v>
      </c>
      <c r="F332" s="1355">
        <f t="shared" si="50"/>
        <v>2.60248459171427E-2</v>
      </c>
      <c r="G332" s="1355">
        <f t="shared" si="51"/>
        <v>9.3560657004369985E-3</v>
      </c>
      <c r="H332" s="1355">
        <f t="shared" si="52"/>
        <v>-2.9342181863300005E-5</v>
      </c>
      <c r="J332">
        <f t="shared" si="53"/>
        <v>2.7381028246175786E-2</v>
      </c>
      <c r="K332">
        <f t="shared" si="54"/>
        <v>9.3560657004369985E-3</v>
      </c>
      <c r="L332">
        <f t="shared" si="55"/>
        <v>-2.6948359122452547E-5</v>
      </c>
      <c r="N332">
        <f t="shared" si="56"/>
        <v>0.30140462885507252</v>
      </c>
      <c r="O332">
        <f t="shared" si="56"/>
        <v>0.21071611681422453</v>
      </c>
      <c r="P332">
        <f t="shared" si="56"/>
        <v>0.13772118761027208</v>
      </c>
      <c r="R332" s="42">
        <f t="shared" si="57"/>
        <v>8.4430695504500441</v>
      </c>
      <c r="S332" s="42">
        <f t="shared" si="58"/>
        <v>45.344256020423998</v>
      </c>
      <c r="T332" s="42">
        <f t="shared" si="59"/>
        <v>14.59898584079049</v>
      </c>
    </row>
    <row r="333" spans="1:20">
      <c r="A333">
        <v>689</v>
      </c>
      <c r="B333" s="1355">
        <v>2.4452749999999999E-2</v>
      </c>
      <c r="C333" s="1355">
        <v>8.8461570000000003E-3</v>
      </c>
      <c r="D333" s="1355">
        <v>0</v>
      </c>
      <c r="F333" s="1355">
        <f t="shared" si="50"/>
        <v>2.4155755643676897E-2</v>
      </c>
      <c r="G333" s="1355">
        <f t="shared" si="51"/>
        <v>8.6816029576150013E-3</v>
      </c>
      <c r="H333" s="1355">
        <f t="shared" si="52"/>
        <v>-2.7251545582099993E-5</v>
      </c>
      <c r="J333">
        <f t="shared" si="53"/>
        <v>2.5414537695747259E-2</v>
      </c>
      <c r="K333">
        <f t="shared" si="54"/>
        <v>8.6816029576150013E-3</v>
      </c>
      <c r="L333">
        <f t="shared" si="55"/>
        <v>-2.5028283186631515E-5</v>
      </c>
      <c r="N333">
        <f t="shared" si="56"/>
        <v>0.2940090765540746</v>
      </c>
      <c r="O333">
        <f t="shared" si="56"/>
        <v>0.20553467671370662</v>
      </c>
      <c r="P333">
        <f t="shared" si="56"/>
        <v>0.13773613924158432</v>
      </c>
      <c r="R333" s="42">
        <f t="shared" si="57"/>
        <v>7.8420224987899694</v>
      </c>
      <c r="S333" s="42">
        <f t="shared" si="58"/>
        <v>44.23719992018399</v>
      </c>
      <c r="T333" s="42">
        <f t="shared" si="59"/>
        <v>13.559707494424462</v>
      </c>
    </row>
    <row r="334" spans="1:20">
      <c r="A334">
        <v>690</v>
      </c>
      <c r="B334" s="1355">
        <v>2.2700000000000001E-2</v>
      </c>
      <c r="C334" s="1355">
        <v>8.2100000000000003E-3</v>
      </c>
      <c r="D334" s="1355">
        <v>0</v>
      </c>
      <c r="F334" s="1355">
        <f t="shared" si="50"/>
        <v>2.2424308776999999E-2</v>
      </c>
      <c r="G334" s="1355">
        <f t="shared" si="51"/>
        <v>8.0572087099999995E-3</v>
      </c>
      <c r="H334" s="1355">
        <f t="shared" si="52"/>
        <v>-2.5312213E-5</v>
      </c>
      <c r="J334">
        <f t="shared" si="53"/>
        <v>2.3592863296053531E-2</v>
      </c>
      <c r="K334">
        <f t="shared" si="54"/>
        <v>8.0572087099999995E-3</v>
      </c>
      <c r="L334">
        <f t="shared" si="55"/>
        <v>-2.324716714271282E-5</v>
      </c>
      <c r="N334">
        <f t="shared" si="56"/>
        <v>0.28680951191576531</v>
      </c>
      <c r="O334">
        <f t="shared" si="56"/>
        <v>0.20067251870752861</v>
      </c>
      <c r="P334">
        <f t="shared" si="56"/>
        <v>0.13775000879221833</v>
      </c>
      <c r="R334" s="42">
        <f t="shared" si="57"/>
        <v>7.2780121700733176</v>
      </c>
      <c r="S334" s="42">
        <f t="shared" si="58"/>
        <v>43.068496604118351</v>
      </c>
      <c r="T334" s="42">
        <f t="shared" si="59"/>
        <v>12.584501983062058</v>
      </c>
    </row>
    <row r="335" spans="1:20">
      <c r="A335">
        <v>691</v>
      </c>
      <c r="B335" s="1355">
        <v>2.1084289999999999E-2</v>
      </c>
      <c r="C335" s="1355">
        <v>7.6237809999999996E-3</v>
      </c>
      <c r="D335" s="1355">
        <v>0</v>
      </c>
      <c r="F335" s="1355">
        <f t="shared" si="50"/>
        <v>2.0828234878861696E-2</v>
      </c>
      <c r="G335" s="1355">
        <f t="shared" si="51"/>
        <v>7.4818358962470003E-3</v>
      </c>
      <c r="H335" s="1355">
        <f t="shared" si="52"/>
        <v>-2.352315717929999E-5</v>
      </c>
      <c r="J335">
        <f t="shared" si="53"/>
        <v>2.1913616293898489E-2</v>
      </c>
      <c r="K335">
        <f t="shared" si="54"/>
        <v>7.4818358962470003E-3</v>
      </c>
      <c r="L335">
        <f t="shared" si="55"/>
        <v>-2.1604067833637933E-5</v>
      </c>
      <c r="N335">
        <f t="shared" si="56"/>
        <v>0.2798367087604941</v>
      </c>
      <c r="O335">
        <f t="shared" si="56"/>
        <v>0.19619209060683401</v>
      </c>
      <c r="P335">
        <f t="shared" si="56"/>
        <v>0.13776280360653809</v>
      </c>
      <c r="R335" s="42">
        <f t="shared" si="57"/>
        <v>6.7582825103927462</v>
      </c>
      <c r="S335" s="42">
        <f t="shared" si="58"/>
        <v>41.822309076830045</v>
      </c>
      <c r="T335" s="42">
        <f t="shared" si="59"/>
        <v>11.685857400059184</v>
      </c>
    </row>
    <row r="336" spans="1:20">
      <c r="A336">
        <v>692</v>
      </c>
      <c r="B336" s="1355">
        <v>1.959988E-2</v>
      </c>
      <c r="C336" s="1355">
        <v>7.0854239999999999E-3</v>
      </c>
      <c r="D336" s="1355">
        <v>0</v>
      </c>
      <c r="F336" s="1355">
        <f t="shared" si="50"/>
        <v>1.9361863661428801E-2</v>
      </c>
      <c r="G336" s="1355">
        <f t="shared" si="51"/>
        <v>6.9534471518239993E-3</v>
      </c>
      <c r="H336" s="1355">
        <f t="shared" si="52"/>
        <v>-2.1877977527199995E-5</v>
      </c>
      <c r="J336">
        <f t="shared" si="53"/>
        <v>2.0370830916734667E-2</v>
      </c>
      <c r="K336">
        <f t="shared" si="54"/>
        <v>6.9534471518239993E-3</v>
      </c>
      <c r="L336">
        <f t="shared" si="55"/>
        <v>-2.009310684606412E-5</v>
      </c>
      <c r="N336">
        <f t="shared" si="56"/>
        <v>0.27310914837797196</v>
      </c>
      <c r="O336">
        <f t="shared" si="56"/>
        <v>0.1920775274540121</v>
      </c>
      <c r="P336">
        <f t="shared" si="56"/>
        <v>0.13777456945974831</v>
      </c>
      <c r="R336" s="42">
        <f t="shared" si="57"/>
        <v>6.2809931846654052</v>
      </c>
      <c r="S336" s="42">
        <f t="shared" si="58"/>
        <v>40.515810461979925</v>
      </c>
      <c r="T336" s="42">
        <f t="shared" si="59"/>
        <v>10.860591598852759</v>
      </c>
    </row>
    <row r="337" spans="1:20">
      <c r="A337">
        <v>693</v>
      </c>
      <c r="B337" s="1355">
        <v>1.8237320000000001E-2</v>
      </c>
      <c r="C337" s="1355">
        <v>6.5914759999999998E-3</v>
      </c>
      <c r="D337" s="1355">
        <v>0</v>
      </c>
      <c r="F337" s="1355">
        <f t="shared" si="50"/>
        <v>1.8015860147021202E-2</v>
      </c>
      <c r="G337" s="1355">
        <f t="shared" si="51"/>
        <v>6.4686525350359991E-3</v>
      </c>
      <c r="H337" s="1355">
        <f t="shared" si="52"/>
        <v>-2.0366374742799998E-5</v>
      </c>
      <c r="J337">
        <f t="shared" si="53"/>
        <v>1.8954685731292099E-2</v>
      </c>
      <c r="K337">
        <f t="shared" si="54"/>
        <v>6.4686525350359991E-3</v>
      </c>
      <c r="L337">
        <f t="shared" si="55"/>
        <v>-1.8704825126787469E-5</v>
      </c>
      <c r="N337">
        <f t="shared" si="56"/>
        <v>0.26662786149657886</v>
      </c>
      <c r="O337">
        <f t="shared" si="56"/>
        <v>0.18830243177308395</v>
      </c>
      <c r="P337">
        <f t="shared" si="56"/>
        <v>0.13778538000949633</v>
      </c>
      <c r="R337" s="42">
        <f t="shared" si="57"/>
        <v>5.8430820856777395</v>
      </c>
      <c r="S337" s="42">
        <f t="shared" si="58"/>
        <v>39.162714861747453</v>
      </c>
      <c r="T337" s="42">
        <f t="shared" si="59"/>
        <v>10.103410352717523</v>
      </c>
    </row>
    <row r="338" spans="1:20">
      <c r="A338">
        <v>694</v>
      </c>
      <c r="B338" s="1355">
        <v>1.6987169999999999E-2</v>
      </c>
      <c r="C338" s="1355">
        <v>6.1384849999999999E-3</v>
      </c>
      <c r="D338" s="1355">
        <v>0</v>
      </c>
      <c r="F338" s="1355">
        <f t="shared" si="50"/>
        <v>1.6780899255266501E-2</v>
      </c>
      <c r="G338" s="1355">
        <f t="shared" si="51"/>
        <v>6.0240629960709993E-3</v>
      </c>
      <c r="H338" s="1355">
        <f t="shared" si="52"/>
        <v>-1.897807839049999E-5</v>
      </c>
      <c r="J338">
        <f t="shared" si="53"/>
        <v>1.7655369717367725E-2</v>
      </c>
      <c r="K338">
        <f t="shared" si="54"/>
        <v>6.0240629960709993E-3</v>
      </c>
      <c r="L338">
        <f t="shared" si="55"/>
        <v>-1.7429790132986774E-5</v>
      </c>
      <c r="N338">
        <f t="shared" si="56"/>
        <v>0.26039078177309577</v>
      </c>
      <c r="O338">
        <f t="shared" si="56"/>
        <v>0.18484041303316348</v>
      </c>
      <c r="P338">
        <f t="shared" si="56"/>
        <v>0.13779530870699305</v>
      </c>
      <c r="R338" s="42">
        <f t="shared" si="57"/>
        <v>5.4414879118469628</v>
      </c>
      <c r="S338" s="42">
        <f t="shared" si="58"/>
        <v>37.775184369966148</v>
      </c>
      <c r="T338" s="42">
        <f t="shared" si="59"/>
        <v>9.4090208652340852</v>
      </c>
    </row>
    <row r="339" spans="1:20">
      <c r="A339">
        <v>695</v>
      </c>
      <c r="B339" s="1355">
        <v>1.584E-2</v>
      </c>
      <c r="C339" s="1355">
        <v>5.7229999999999998E-3</v>
      </c>
      <c r="D339" s="1355">
        <v>0</v>
      </c>
      <c r="F339" s="1355">
        <f t="shared" si="50"/>
        <v>1.5647665803099998E-2</v>
      </c>
      <c r="G339" s="1355">
        <f t="shared" si="51"/>
        <v>5.6162903770000001E-3</v>
      </c>
      <c r="H339" s="1355">
        <f t="shared" si="52"/>
        <v>-1.77028469E-5</v>
      </c>
      <c r="J339">
        <f t="shared" si="53"/>
        <v>1.6463082267825387E-2</v>
      </c>
      <c r="K339">
        <f t="shared" si="54"/>
        <v>5.6162903770000001E-3</v>
      </c>
      <c r="L339">
        <f t="shared" si="55"/>
        <v>-1.6258595832223579E-5</v>
      </c>
      <c r="N339">
        <f t="shared" si="56"/>
        <v>0.2543921560661716</v>
      </c>
      <c r="O339">
        <f t="shared" si="56"/>
        <v>0.18166508764845762</v>
      </c>
      <c r="P339">
        <f t="shared" si="56"/>
        <v>0.1378044287970131</v>
      </c>
      <c r="R339" s="42">
        <f t="shared" si="57"/>
        <v>5.0731501672210833</v>
      </c>
      <c r="S339" s="42">
        <f t="shared" si="58"/>
        <v>36.36353420885699</v>
      </c>
      <c r="T339" s="42">
        <f t="shared" si="59"/>
        <v>8.7721317702889046</v>
      </c>
    </row>
    <row r="340" spans="1:20">
      <c r="A340">
        <v>696</v>
      </c>
      <c r="B340" s="1355">
        <v>1.4790640000000001E-2</v>
      </c>
      <c r="C340" s="1355">
        <v>5.3430589999999998E-3</v>
      </c>
      <c r="D340" s="1355">
        <v>0</v>
      </c>
      <c r="F340" s="1355">
        <f t="shared" si="50"/>
        <v>1.46110532406343E-2</v>
      </c>
      <c r="G340" s="1355">
        <f t="shared" si="51"/>
        <v>5.2434060395370003E-3</v>
      </c>
      <c r="H340" s="1355">
        <f t="shared" si="52"/>
        <v>-1.65355391277E-5</v>
      </c>
      <c r="J340">
        <f t="shared" si="53"/>
        <v>1.5372450725045818E-2</v>
      </c>
      <c r="K340">
        <f t="shared" si="54"/>
        <v>5.2434060395370003E-3</v>
      </c>
      <c r="L340">
        <f t="shared" si="55"/>
        <v>-1.5186520510731703E-5</v>
      </c>
      <c r="N340">
        <f t="shared" si="56"/>
        <v>0.24864574778370191</v>
      </c>
      <c r="O340">
        <f t="shared" si="56"/>
        <v>0.17876143731263325</v>
      </c>
      <c r="P340">
        <f t="shared" si="56"/>
        <v>0.13781277704754155</v>
      </c>
      <c r="R340" s="42">
        <f t="shared" si="57"/>
        <v>4.7363267282654569</v>
      </c>
      <c r="S340" s="42">
        <f t="shared" si="58"/>
        <v>34.942155235534329</v>
      </c>
      <c r="T340" s="42">
        <f t="shared" si="59"/>
        <v>8.1897320530183393</v>
      </c>
    </row>
    <row r="341" spans="1:20">
      <c r="A341">
        <v>697</v>
      </c>
      <c r="B341" s="1355">
        <v>1.3831319999999999E-2</v>
      </c>
      <c r="C341" s="1355">
        <v>4.9957960000000003E-3</v>
      </c>
      <c r="D341" s="1355">
        <v>0</v>
      </c>
      <c r="F341" s="1355">
        <f t="shared" si="50"/>
        <v>1.3663386334365198E-2</v>
      </c>
      <c r="G341" s="1355">
        <f t="shared" si="51"/>
        <v>4.9025954126360001E-3</v>
      </c>
      <c r="H341" s="1355">
        <f t="shared" si="52"/>
        <v>-1.5467868638799994E-5</v>
      </c>
      <c r="J341">
        <f t="shared" si="53"/>
        <v>1.4375399890964678E-2</v>
      </c>
      <c r="K341">
        <f t="shared" si="54"/>
        <v>4.9025954126360001E-3</v>
      </c>
      <c r="L341">
        <f t="shared" si="55"/>
        <v>-1.4205953765785288E-5</v>
      </c>
      <c r="N341">
        <f t="shared" si="56"/>
        <v>0.24314946119748235</v>
      </c>
      <c r="O341">
        <f t="shared" si="56"/>
        <v>0.17610754496095515</v>
      </c>
      <c r="P341">
        <f t="shared" si="56"/>
        <v>0.13782041272078444</v>
      </c>
      <c r="R341" s="42">
        <f t="shared" si="57"/>
        <v>4.4284752154707974</v>
      </c>
      <c r="S341" s="42">
        <f t="shared" si="58"/>
        <v>33.5209581182636</v>
      </c>
      <c r="T341" s="42">
        <f t="shared" si="59"/>
        <v>7.6574264480341441</v>
      </c>
    </row>
    <row r="342" spans="1:20">
      <c r="A342">
        <v>698</v>
      </c>
      <c r="B342" s="1355">
        <v>1.2948680000000001E-2</v>
      </c>
      <c r="C342" s="1355">
        <v>4.6764040000000003E-3</v>
      </c>
      <c r="D342" s="1355">
        <v>0</v>
      </c>
      <c r="F342" s="1355">
        <f t="shared" si="50"/>
        <v>1.27914671623748E-2</v>
      </c>
      <c r="G342" s="1355">
        <f t="shared" si="51"/>
        <v>4.5891418103640004E-3</v>
      </c>
      <c r="H342" s="1355">
        <f t="shared" si="52"/>
        <v>-1.4484769021199997E-5</v>
      </c>
      <c r="J342">
        <f t="shared" si="53"/>
        <v>1.3458044085952003E-2</v>
      </c>
      <c r="K342">
        <f t="shared" si="54"/>
        <v>4.5891418103640004E-3</v>
      </c>
      <c r="L342">
        <f t="shared" si="55"/>
        <v>-1.3303058348135152E-5</v>
      </c>
      <c r="N342">
        <f t="shared" si="56"/>
        <v>0.23786323195622305</v>
      </c>
      <c r="O342">
        <f t="shared" si="56"/>
        <v>0.17366668176006309</v>
      </c>
      <c r="P342">
        <f t="shared" si="56"/>
        <v>0.1378274435674017</v>
      </c>
      <c r="R342" s="42">
        <f t="shared" si="57"/>
        <v>4.1453350841673178</v>
      </c>
      <c r="S342" s="42">
        <f t="shared" si="58"/>
        <v>32.098275098079981</v>
      </c>
      <c r="T342" s="42">
        <f t="shared" si="59"/>
        <v>7.167847638532276</v>
      </c>
    </row>
    <row r="343" spans="1:20">
      <c r="A343">
        <v>699</v>
      </c>
      <c r="B343" s="1355">
        <v>1.21292E-2</v>
      </c>
      <c r="C343" s="1355">
        <v>4.3800749999999998E-3</v>
      </c>
      <c r="D343" s="1355">
        <v>0</v>
      </c>
      <c r="F343" s="1355">
        <f t="shared" si="50"/>
        <v>1.19819393382975E-2</v>
      </c>
      <c r="G343" s="1355">
        <f t="shared" si="51"/>
        <v>4.2983295105850005E-3</v>
      </c>
      <c r="H343" s="1355">
        <f t="shared" si="52"/>
        <v>-1.3570610472499998E-5</v>
      </c>
      <c r="J343">
        <f t="shared" si="53"/>
        <v>1.2606330908179636E-2</v>
      </c>
      <c r="K343">
        <f t="shared" si="54"/>
        <v>4.2983295105850005E-3</v>
      </c>
      <c r="L343">
        <f t="shared" si="55"/>
        <v>-1.2463479581293681E-5</v>
      </c>
      <c r="N343">
        <f t="shared" si="56"/>
        <v>0.23273564366967947</v>
      </c>
      <c r="O343">
        <f t="shared" si="56"/>
        <v>0.17140212638168401</v>
      </c>
      <c r="P343">
        <f t="shared" si="56"/>
        <v>0.13783398136725908</v>
      </c>
      <c r="R343" s="42">
        <f t="shared" si="57"/>
        <v>3.8826466602753449</v>
      </c>
      <c r="S343" s="42">
        <f t="shared" si="58"/>
        <v>30.666758643997731</v>
      </c>
      <c r="T343" s="42">
        <f t="shared" si="59"/>
        <v>6.7136290028849857</v>
      </c>
    </row>
    <row r="344" spans="1:20">
      <c r="A344">
        <v>700</v>
      </c>
      <c r="B344" s="1355">
        <v>1.135916E-2</v>
      </c>
      <c r="C344" s="1355">
        <v>4.1019999999999997E-3</v>
      </c>
      <c r="D344" s="1355">
        <v>0</v>
      </c>
      <c r="F344" s="1355">
        <f t="shared" si="50"/>
        <v>1.1221248393415999E-2</v>
      </c>
      <c r="G344" s="1355">
        <f t="shared" si="51"/>
        <v>4.0254442498079994E-3</v>
      </c>
      <c r="H344" s="1355">
        <f t="shared" si="52"/>
        <v>-1.2709057259999998E-5</v>
      </c>
      <c r="J344">
        <f t="shared" si="53"/>
        <v>1.1805999551186254E-2</v>
      </c>
      <c r="K344">
        <f t="shared" si="54"/>
        <v>4.0254442498079994E-3</v>
      </c>
      <c r="L344">
        <f t="shared" si="55"/>
        <v>-1.1672214450373335E-5</v>
      </c>
      <c r="N344">
        <f t="shared" si="56"/>
        <v>0.22770238915918303</v>
      </c>
      <c r="O344">
        <f t="shared" si="56"/>
        <v>0.16927716885601352</v>
      </c>
      <c r="P344">
        <f t="shared" si="56"/>
        <v>0.13784014294883357</v>
      </c>
      <c r="R344" s="42">
        <f t="shared" si="57"/>
        <v>3.6361515872975687</v>
      </c>
      <c r="S344" s="42">
        <f t="shared" si="58"/>
        <v>29.212610151584759</v>
      </c>
      <c r="T344" s="42">
        <f t="shared" si="59"/>
        <v>6.2874051814359895</v>
      </c>
    </row>
    <row r="345" spans="1:20">
      <c r="A345">
        <v>701</v>
      </c>
      <c r="B345" s="1355">
        <v>1.0629349999999999E-2</v>
      </c>
      <c r="C345" s="1355">
        <v>3.8384529999999999E-3</v>
      </c>
      <c r="D345" s="1355">
        <v>0</v>
      </c>
      <c r="F345" s="1355">
        <f t="shared" si="50"/>
        <v>1.0500299014420098E-2</v>
      </c>
      <c r="G345" s="1355">
        <f t="shared" si="51"/>
        <v>3.7668158598149998E-3</v>
      </c>
      <c r="H345" s="1355">
        <f t="shared" si="52"/>
        <v>-1.1892513450899996E-5</v>
      </c>
      <c r="J345">
        <f t="shared" si="53"/>
        <v>1.1047480735236355E-2</v>
      </c>
      <c r="K345">
        <f t="shared" si="54"/>
        <v>3.7668158598149998E-3</v>
      </c>
      <c r="L345">
        <f t="shared" si="55"/>
        <v>-1.0922286721434931E-5</v>
      </c>
      <c r="N345">
        <f t="shared" si="56"/>
        <v>0.22271753826979321</v>
      </c>
      <c r="O345">
        <f t="shared" si="56"/>
        <v>0.16726322958313802</v>
      </c>
      <c r="P345">
        <f t="shared" si="56"/>
        <v>0.13784598263605879</v>
      </c>
      <c r="R345" s="42">
        <f t="shared" si="57"/>
        <v>3.4025346316440093</v>
      </c>
      <c r="S345" s="42">
        <f t="shared" si="58"/>
        <v>27.727154343327591</v>
      </c>
      <c r="T345" s="42">
        <f t="shared" si="59"/>
        <v>5.8834493894158459</v>
      </c>
    </row>
    <row r="346" spans="1:20">
      <c r="A346">
        <v>702</v>
      </c>
      <c r="B346" s="1355">
        <v>9.9388459999999994E-3</v>
      </c>
      <c r="C346" s="1355">
        <v>3.5890990000000001E-3</v>
      </c>
      <c r="D346" s="1355">
        <v>0</v>
      </c>
      <c r="F346" s="1355">
        <f t="shared" si="50"/>
        <v>9.8181784291078988E-3</v>
      </c>
      <c r="G346" s="1355">
        <f t="shared" si="51"/>
        <v>3.5221155472698004E-3</v>
      </c>
      <c r="H346" s="1355">
        <f t="shared" si="52"/>
        <v>-1.1119954220699994E-5</v>
      </c>
      <c r="J346">
        <f t="shared" si="53"/>
        <v>1.0329814122600291E-2</v>
      </c>
      <c r="K346">
        <f t="shared" si="54"/>
        <v>3.5221155472698004E-3</v>
      </c>
      <c r="L346">
        <f t="shared" si="55"/>
        <v>-1.0212755178218817E-5</v>
      </c>
      <c r="N346">
        <f t="shared" si="56"/>
        <v>0.21778643986725243</v>
      </c>
      <c r="O346">
        <f t="shared" si="56"/>
        <v>0.16535774824934857</v>
      </c>
      <c r="P346">
        <f t="shared" si="56"/>
        <v>0.13785150775818583</v>
      </c>
      <c r="R346" s="42">
        <f t="shared" si="57"/>
        <v>3.1814987969244335</v>
      </c>
      <c r="S346" s="42">
        <f t="shared" si="58"/>
        <v>26.214345808951933</v>
      </c>
      <c r="T346" s="42">
        <f t="shared" si="59"/>
        <v>5.5012480982325478</v>
      </c>
    </row>
    <row r="347" spans="1:20">
      <c r="A347">
        <v>703</v>
      </c>
      <c r="B347" s="1355">
        <v>9.2884219999999993E-3</v>
      </c>
      <c r="C347" s="1355">
        <v>3.3542189999999999E-3</v>
      </c>
      <c r="D347" s="1355">
        <v>0</v>
      </c>
      <c r="F347" s="1355">
        <f t="shared" si="50"/>
        <v>9.1756512296294994E-3</v>
      </c>
      <c r="G347" s="1355">
        <f t="shared" si="51"/>
        <v>3.2916191190586002E-3</v>
      </c>
      <c r="H347" s="1355">
        <f t="shared" si="52"/>
        <v>-1.0392235432699999E-5</v>
      </c>
      <c r="J347">
        <f t="shared" si="53"/>
        <v>9.6538041491362157E-3</v>
      </c>
      <c r="K347">
        <f t="shared" si="54"/>
        <v>3.2916191190586002E-3</v>
      </c>
      <c r="L347">
        <f t="shared" si="55"/>
        <v>-9.5444058601434553E-6</v>
      </c>
      <c r="N347">
        <f t="shared" si="56"/>
        <v>0.21292802603340102</v>
      </c>
      <c r="O347">
        <f t="shared" si="56"/>
        <v>0.16356287256286794</v>
      </c>
      <c r="P347">
        <f t="shared" si="56"/>
        <v>0.13785671219432569</v>
      </c>
      <c r="R347" s="42">
        <f t="shared" si="57"/>
        <v>2.9732932172926816</v>
      </c>
      <c r="S347" s="42">
        <f t="shared" si="58"/>
        <v>24.68257673526654</v>
      </c>
      <c r="T347" s="42">
        <f t="shared" si="59"/>
        <v>5.1412320737084514</v>
      </c>
    </row>
    <row r="348" spans="1:20">
      <c r="A348">
        <v>704</v>
      </c>
      <c r="B348" s="1355">
        <v>8.6788539999999997E-3</v>
      </c>
      <c r="C348" s="1355">
        <v>3.1340930000000001E-3</v>
      </c>
      <c r="D348" s="1355">
        <v>0</v>
      </c>
      <c r="F348" s="1355">
        <f t="shared" si="50"/>
        <v>8.5734839961985002E-3</v>
      </c>
      <c r="G348" s="1355">
        <f t="shared" si="51"/>
        <v>3.0756013417302004E-3</v>
      </c>
      <c r="H348" s="1355">
        <f t="shared" si="52"/>
        <v>-9.7102268468999987E-6</v>
      </c>
      <c r="J348">
        <f t="shared" si="53"/>
        <v>9.0202573423658824E-3</v>
      </c>
      <c r="K348">
        <f t="shared" si="54"/>
        <v>3.0756013417302004E-3</v>
      </c>
      <c r="L348">
        <f t="shared" si="55"/>
        <v>-8.9180375695930478E-6</v>
      </c>
      <c r="N348">
        <f t="shared" si="56"/>
        <v>0.20816432821422676</v>
      </c>
      <c r="O348">
        <f t="shared" si="56"/>
        <v>0.16188074213081169</v>
      </c>
      <c r="P348">
        <f t="shared" si="56"/>
        <v>0.1378615897242042</v>
      </c>
      <c r="R348" s="42">
        <f t="shared" si="57"/>
        <v>2.7781660871741565</v>
      </c>
      <c r="S348" s="42">
        <f t="shared" si="58"/>
        <v>23.141793041707533</v>
      </c>
      <c r="T348" s="42">
        <f t="shared" si="59"/>
        <v>4.8038304813214969</v>
      </c>
    </row>
    <row r="349" spans="1:20">
      <c r="A349">
        <v>705</v>
      </c>
      <c r="B349" s="1355">
        <v>8.1109159999999993E-3</v>
      </c>
      <c r="C349" s="1355">
        <v>2.9290000000000002E-3</v>
      </c>
      <c r="D349" s="1355">
        <v>0</v>
      </c>
      <c r="F349" s="1355">
        <f t="shared" si="50"/>
        <v>8.0124413353015976E-3</v>
      </c>
      <c r="G349" s="1355">
        <f t="shared" si="51"/>
        <v>2.8743359909808005E-3</v>
      </c>
      <c r="H349" s="1355">
        <f t="shared" si="52"/>
        <v>-9.074797865999992E-6</v>
      </c>
      <c r="J349">
        <f t="shared" si="53"/>
        <v>8.4299781532311355E-3</v>
      </c>
      <c r="K349">
        <f t="shared" si="54"/>
        <v>2.8743359909808005E-3</v>
      </c>
      <c r="L349">
        <f t="shared" si="55"/>
        <v>-8.3344487808014038E-6</v>
      </c>
      <c r="N349">
        <f t="shared" si="56"/>
        <v>0.20357527436196948</v>
      </c>
      <c r="O349">
        <f t="shared" si="56"/>
        <v>0.16031348884452612</v>
      </c>
      <c r="P349">
        <f t="shared" si="56"/>
        <v>0.13786613413010251</v>
      </c>
      <c r="R349" s="42">
        <f t="shared" si="57"/>
        <v>2.5963647059650299</v>
      </c>
      <c r="S349" s="42">
        <f t="shared" si="58"/>
        <v>21.630892758721682</v>
      </c>
      <c r="T349" s="42">
        <f t="shared" si="59"/>
        <v>4.4894709428847213</v>
      </c>
    </row>
    <row r="350" spans="1:20">
      <c r="A350">
        <v>706</v>
      </c>
      <c r="B350" s="1355">
        <v>7.5823879999999998E-3</v>
      </c>
      <c r="C350" s="1355">
        <v>2.7381390000000001E-3</v>
      </c>
      <c r="D350" s="1355">
        <v>0</v>
      </c>
      <c r="F350" s="1355">
        <f t="shared" si="50"/>
        <v>7.4903301950750992E-3</v>
      </c>
      <c r="G350" s="1355">
        <f t="shared" si="51"/>
        <v>2.6870370392794002E-3</v>
      </c>
      <c r="H350" s="1355">
        <f t="shared" si="52"/>
        <v>-8.4834600496999952E-6</v>
      </c>
      <c r="J350">
        <f t="shared" si="53"/>
        <v>7.8806592476091814E-3</v>
      </c>
      <c r="K350">
        <f t="shared" si="54"/>
        <v>2.6870370392794002E-3</v>
      </c>
      <c r="L350">
        <f t="shared" si="55"/>
        <v>-7.7913540678526454E-6</v>
      </c>
      <c r="N350">
        <f t="shared" si="56"/>
        <v>0.19929772804389131</v>
      </c>
      <c r="O350">
        <f t="shared" si="56"/>
        <v>0.15885499190762731</v>
      </c>
      <c r="P350">
        <f t="shared" si="56"/>
        <v>0.13787036320863225</v>
      </c>
      <c r="R350" s="42">
        <f t="shared" si="57"/>
        <v>2.4271790612847681</v>
      </c>
      <c r="S350" s="42">
        <f t="shared" si="58"/>
        <v>20.221368068132005</v>
      </c>
      <c r="T350" s="42">
        <f t="shared" si="59"/>
        <v>4.1969257397990125</v>
      </c>
    </row>
    <row r="351" spans="1:20">
      <c r="A351">
        <v>707</v>
      </c>
      <c r="B351" s="1355">
        <v>7.0887459999999999E-3</v>
      </c>
      <c r="C351" s="1355">
        <v>2.559876E-3</v>
      </c>
      <c r="D351" s="1355">
        <v>0</v>
      </c>
      <c r="F351" s="1355">
        <f t="shared" si="50"/>
        <v>7.0026815035787995E-3</v>
      </c>
      <c r="G351" s="1355">
        <f t="shared" si="51"/>
        <v>2.5121009717048001E-3</v>
      </c>
      <c r="H351" s="1355">
        <f t="shared" si="52"/>
        <v>-7.9311538138000002E-6</v>
      </c>
      <c r="J351">
        <f t="shared" si="53"/>
        <v>7.3675986654800248E-3</v>
      </c>
      <c r="K351">
        <f t="shared" si="54"/>
        <v>2.5121009717048001E-3</v>
      </c>
      <c r="L351">
        <f t="shared" si="55"/>
        <v>-7.2841066225214224E-6</v>
      </c>
      <c r="N351">
        <f t="shared" si="56"/>
        <v>0.19530252529085157</v>
      </c>
      <c r="O351">
        <f t="shared" si="56"/>
        <v>0.15749276474942389</v>
      </c>
      <c r="P351">
        <f t="shared" si="56"/>
        <v>0.13787431314448906</v>
      </c>
      <c r="R351" s="42">
        <f t="shared" si="57"/>
        <v>2.2691607109331713</v>
      </c>
      <c r="S351" s="42">
        <f t="shared" si="58"/>
        <v>18.904880270713839</v>
      </c>
      <c r="T351" s="42">
        <f t="shared" si="59"/>
        <v>3.9236903209869665</v>
      </c>
    </row>
    <row r="352" spans="1:20">
      <c r="A352">
        <v>708</v>
      </c>
      <c r="B352" s="1355">
        <v>6.6273130000000001E-3</v>
      </c>
      <c r="C352" s="1355">
        <v>2.3932440000000001E-3</v>
      </c>
      <c r="D352" s="1355">
        <v>0</v>
      </c>
      <c r="F352" s="1355">
        <f t="shared" si="50"/>
        <v>6.5468507643335998E-3</v>
      </c>
      <c r="G352" s="1355">
        <f t="shared" si="51"/>
        <v>2.3485788255944002E-3</v>
      </c>
      <c r="H352" s="1355">
        <f t="shared" si="52"/>
        <v>-7.4148859686999989E-6</v>
      </c>
      <c r="J352">
        <f t="shared" si="53"/>
        <v>6.8880141028476432E-3</v>
      </c>
      <c r="K352">
        <f t="shared" si="54"/>
        <v>2.3485788255944002E-3</v>
      </c>
      <c r="L352">
        <f t="shared" si="55"/>
        <v>-6.8099574485456856E-6</v>
      </c>
      <c r="N352">
        <f t="shared" si="56"/>
        <v>0.19156800030163321</v>
      </c>
      <c r="O352">
        <f t="shared" si="56"/>
        <v>0.15621941779766221</v>
      </c>
      <c r="P352">
        <f t="shared" si="56"/>
        <v>0.1378780053441068</v>
      </c>
      <c r="R352" s="42">
        <f t="shared" si="57"/>
        <v>2.1214524645288151</v>
      </c>
      <c r="S352" s="42">
        <f t="shared" si="58"/>
        <v>17.674291251985498</v>
      </c>
      <c r="T352" s="42">
        <f t="shared" si="59"/>
        <v>3.6682824907110834</v>
      </c>
    </row>
    <row r="353" spans="1:20">
      <c r="A353">
        <v>709</v>
      </c>
      <c r="B353" s="1355">
        <v>6.1954080000000003E-3</v>
      </c>
      <c r="C353" s="1355">
        <v>2.2372749999999999E-3</v>
      </c>
      <c r="D353" s="1355">
        <v>0</v>
      </c>
      <c r="F353" s="1355">
        <f t="shared" si="50"/>
        <v>6.1201895262383002E-3</v>
      </c>
      <c r="G353" s="1355">
        <f t="shared" si="51"/>
        <v>2.1955206721754003E-3</v>
      </c>
      <c r="H353" s="1355">
        <f t="shared" si="52"/>
        <v>-6.931655840500001E-6</v>
      </c>
      <c r="J353">
        <f t="shared" si="53"/>
        <v>6.4391190950143611E-3</v>
      </c>
      <c r="K353">
        <f t="shared" si="54"/>
        <v>2.1955206721754003E-3</v>
      </c>
      <c r="L353">
        <f t="shared" si="55"/>
        <v>-6.3661506759549255E-6</v>
      </c>
      <c r="N353">
        <f t="shared" si="56"/>
        <v>0.18807245487563545</v>
      </c>
      <c r="O353">
        <f t="shared" si="56"/>
        <v>0.15502755395698847</v>
      </c>
      <c r="P353">
        <f t="shared" si="56"/>
        <v>0.13788146126744497</v>
      </c>
      <c r="R353" s="42">
        <f t="shared" si="57"/>
        <v>1.9831962590106613</v>
      </c>
      <c r="S353" s="42">
        <f t="shared" si="58"/>
        <v>16.52245045932349</v>
      </c>
      <c r="T353" s="42">
        <f t="shared" si="59"/>
        <v>3.4292185379087012</v>
      </c>
    </row>
    <row r="354" spans="1:20">
      <c r="A354">
        <v>710</v>
      </c>
      <c r="B354" s="1355">
        <v>5.790346E-3</v>
      </c>
      <c r="C354" s="1355">
        <v>2.091E-3</v>
      </c>
      <c r="D354" s="1355">
        <v>0</v>
      </c>
      <c r="F354" s="1355">
        <f t="shared" si="50"/>
        <v>5.7200453835695997E-3</v>
      </c>
      <c r="G354" s="1355">
        <f t="shared" si="51"/>
        <v>2.0519756165648002E-3</v>
      </c>
      <c r="H354" s="1355">
        <f t="shared" si="52"/>
        <v>-6.4784552709999983E-6</v>
      </c>
      <c r="J354">
        <f t="shared" si="53"/>
        <v>6.0181230165808489E-3</v>
      </c>
      <c r="K354">
        <f t="shared" si="54"/>
        <v>2.0519756165648002E-3</v>
      </c>
      <c r="L354">
        <f t="shared" si="55"/>
        <v>-5.9499235610701384E-6</v>
      </c>
      <c r="N354">
        <f t="shared" si="56"/>
        <v>0.18479415841287369</v>
      </c>
      <c r="O354">
        <f t="shared" si="56"/>
        <v>0.15390976860894873</v>
      </c>
      <c r="P354">
        <f t="shared" si="56"/>
        <v>0.13788470242798856</v>
      </c>
      <c r="R354" s="42">
        <f t="shared" si="57"/>
        <v>1.8535331586380508</v>
      </c>
      <c r="S354" s="42">
        <f t="shared" si="58"/>
        <v>15.442194901962484</v>
      </c>
      <c r="T354" s="42">
        <f t="shared" si="59"/>
        <v>3.2050132361920336</v>
      </c>
    </row>
    <row r="355" spans="1:20">
      <c r="A355">
        <v>711</v>
      </c>
      <c r="B355" s="1355">
        <v>5.4098260000000004E-3</v>
      </c>
      <c r="C355" s="1355">
        <v>1.9535870000000001E-3</v>
      </c>
      <c r="D355" s="1355">
        <v>0</v>
      </c>
      <c r="F355" s="1355">
        <f t="shared" si="50"/>
        <v>5.3441452804255003E-3</v>
      </c>
      <c r="G355" s="1355">
        <f t="shared" si="51"/>
        <v>1.9171271498538004E-3</v>
      </c>
      <c r="H355" s="1355">
        <f t="shared" si="52"/>
        <v>-6.0527170370999994E-6</v>
      </c>
      <c r="J355">
        <f t="shared" si="53"/>
        <v>5.6226343602906988E-3</v>
      </c>
      <c r="K355">
        <f t="shared" si="54"/>
        <v>1.9171271498538004E-3</v>
      </c>
      <c r="L355">
        <f t="shared" si="55"/>
        <v>-5.5589183225113195E-6</v>
      </c>
      <c r="N355">
        <f t="shared" si="56"/>
        <v>0.18171448824634229</v>
      </c>
      <c r="O355">
        <f t="shared" si="56"/>
        <v>0.15285970359867015</v>
      </c>
      <c r="P355">
        <f t="shared" si="56"/>
        <v>0.13788774718578123</v>
      </c>
      <c r="R355" s="42">
        <f t="shared" si="57"/>
        <v>1.7317256174457363</v>
      </c>
      <c r="S355" s="42">
        <f t="shared" si="58"/>
        <v>14.427392323836067</v>
      </c>
      <c r="T355" s="42">
        <f t="shared" si="59"/>
        <v>2.9943912825777854</v>
      </c>
    </row>
    <row r="356" spans="1:20">
      <c r="A356">
        <v>712</v>
      </c>
      <c r="B356" s="1355">
        <v>5.0525830000000002E-3</v>
      </c>
      <c r="C356" s="1355">
        <v>1.8245799999999999E-3</v>
      </c>
      <c r="D356" s="1355">
        <v>0</v>
      </c>
      <c r="F356" s="1355">
        <f t="shared" si="50"/>
        <v>4.9912395693367997E-3</v>
      </c>
      <c r="G356" s="1355">
        <f t="shared" si="51"/>
        <v>1.7905278102904E-3</v>
      </c>
      <c r="H356" s="1355">
        <f t="shared" si="52"/>
        <v>-5.6530202945000028E-6</v>
      </c>
      <c r="J356">
        <f t="shared" si="53"/>
        <v>5.2513383582194068E-3</v>
      </c>
      <c r="K356">
        <f t="shared" si="54"/>
        <v>1.7905278102904E-3</v>
      </c>
      <c r="L356">
        <f t="shared" si="55"/>
        <v>-5.1918300326956483E-6</v>
      </c>
      <c r="N356">
        <f t="shared" si="56"/>
        <v>0.17882320627821313</v>
      </c>
      <c r="O356">
        <f t="shared" si="56"/>
        <v>0.15187387454148996</v>
      </c>
      <c r="P356">
        <f t="shared" si="56"/>
        <v>0.13789060570229403</v>
      </c>
      <c r="R356" s="42">
        <f t="shared" si="57"/>
        <v>1.6173694468128339</v>
      </c>
      <c r="S356" s="42">
        <f t="shared" si="58"/>
        <v>13.474665868361587</v>
      </c>
      <c r="T356" s="42">
        <f t="shared" si="59"/>
        <v>2.7966537678391856</v>
      </c>
    </row>
    <row r="357" spans="1:20">
      <c r="A357">
        <v>713</v>
      </c>
      <c r="B357" s="1355">
        <v>4.7175120000000001E-3</v>
      </c>
      <c r="C357" s="1355">
        <v>1.7035799999999999E-3</v>
      </c>
      <c r="D357" s="1355">
        <v>0</v>
      </c>
      <c r="F357" s="1355">
        <f t="shared" si="50"/>
        <v>4.6602366658572E-3</v>
      </c>
      <c r="G357" s="1355">
        <f t="shared" si="51"/>
        <v>1.6717860456455999E-3</v>
      </c>
      <c r="H357" s="1355">
        <f t="shared" si="52"/>
        <v>-5.2781284860000014E-6</v>
      </c>
      <c r="J357">
        <f t="shared" si="53"/>
        <v>4.9030865422971795E-3</v>
      </c>
      <c r="K357">
        <f t="shared" si="54"/>
        <v>1.6717860456455999E-3</v>
      </c>
      <c r="L357">
        <f t="shared" si="55"/>
        <v>-4.8475230164488506E-6</v>
      </c>
      <c r="N357">
        <f t="shared" si="56"/>
        <v>0.17611136938762675</v>
      </c>
      <c r="O357">
        <f t="shared" si="56"/>
        <v>0.15094923242020092</v>
      </c>
      <c r="P357">
        <f t="shared" si="56"/>
        <v>0.13789328682102953</v>
      </c>
      <c r="R357" s="42">
        <f t="shared" si="57"/>
        <v>1.5101109607433081</v>
      </c>
      <c r="S357" s="42">
        <f t="shared" si="58"/>
        <v>12.581068483712917</v>
      </c>
      <c r="T357" s="42">
        <f t="shared" si="59"/>
        <v>2.6111891198342785</v>
      </c>
    </row>
    <row r="358" spans="1:20">
      <c r="A358">
        <v>714</v>
      </c>
      <c r="B358" s="1355">
        <v>4.4035070000000001E-3</v>
      </c>
      <c r="C358" s="1355">
        <v>1.5901870000000001E-3</v>
      </c>
      <c r="D358" s="1355">
        <v>0</v>
      </c>
      <c r="F358" s="1355">
        <f t="shared" si="50"/>
        <v>4.3500440022611001E-3</v>
      </c>
      <c r="G358" s="1355">
        <f t="shared" si="51"/>
        <v>1.5605093004666E-3</v>
      </c>
      <c r="H358" s="1355">
        <f t="shared" si="52"/>
        <v>-4.9268082605999982E-6</v>
      </c>
      <c r="J358">
        <f t="shared" si="53"/>
        <v>4.5767294099351898E-3</v>
      </c>
      <c r="K358">
        <f t="shared" si="54"/>
        <v>1.5605093004666E-3</v>
      </c>
      <c r="L358">
        <f t="shared" si="55"/>
        <v>-4.524864543225295E-6</v>
      </c>
      <c r="N358">
        <f t="shared" si="56"/>
        <v>0.17357002639792393</v>
      </c>
      <c r="O358">
        <f t="shared" si="56"/>
        <v>0.15008272040549203</v>
      </c>
      <c r="P358">
        <f t="shared" si="56"/>
        <v>0.13789579936256052</v>
      </c>
      <c r="R358" s="42">
        <f t="shared" si="57"/>
        <v>1.4095955670370763</v>
      </c>
      <c r="S358" s="42">
        <f t="shared" si="58"/>
        <v>11.74365299621595</v>
      </c>
      <c r="T358" s="42">
        <f t="shared" si="59"/>
        <v>2.4373842085863018</v>
      </c>
    </row>
    <row r="359" spans="1:20">
      <c r="A359">
        <v>715</v>
      </c>
      <c r="B359" s="1355">
        <v>4.1094570000000004E-3</v>
      </c>
      <c r="C359" s="1355">
        <v>1.4840000000000001E-3</v>
      </c>
      <c r="D359" s="1355">
        <v>0</v>
      </c>
      <c r="F359" s="1355">
        <f t="shared" si="50"/>
        <v>4.0595640657532005E-3</v>
      </c>
      <c r="G359" s="1355">
        <f t="shared" si="51"/>
        <v>1.4563040655616E-3</v>
      </c>
      <c r="H359" s="1355">
        <f t="shared" si="52"/>
        <v>-4.597815219499999E-6</v>
      </c>
      <c r="J359">
        <f t="shared" si="53"/>
        <v>4.271112255782087E-3</v>
      </c>
      <c r="K359">
        <f t="shared" si="54"/>
        <v>1.4563040655616E-3</v>
      </c>
      <c r="L359">
        <f t="shared" si="55"/>
        <v>-4.2227117359918435E-6</v>
      </c>
      <c r="N359">
        <f t="shared" si="56"/>
        <v>0.17119018561853372</v>
      </c>
      <c r="O359">
        <f t="shared" si="56"/>
        <v>0.14927127424128681</v>
      </c>
      <c r="P359">
        <f t="shared" si="56"/>
        <v>0.13789815222647045</v>
      </c>
      <c r="R359" s="42">
        <f t="shared" si="57"/>
        <v>1.3154678119892687</v>
      </c>
      <c r="S359" s="42">
        <f t="shared" si="58"/>
        <v>10.959455688623457</v>
      </c>
      <c r="T359" s="42">
        <f t="shared" si="59"/>
        <v>2.274624402963271</v>
      </c>
    </row>
    <row r="360" spans="1:20">
      <c r="A360">
        <v>716</v>
      </c>
      <c r="B360" s="1355">
        <v>3.833913E-3</v>
      </c>
      <c r="C360" s="1355">
        <v>1.384496E-3</v>
      </c>
      <c r="D360" s="1355">
        <v>0</v>
      </c>
      <c r="F360" s="1355">
        <f t="shared" si="50"/>
        <v>3.7873654467819999E-3</v>
      </c>
      <c r="G360" s="1355">
        <f t="shared" si="51"/>
        <v>1.3586571106144001E-3</v>
      </c>
      <c r="H360" s="1355">
        <f t="shared" si="52"/>
        <v>-4.2895264042999977E-6</v>
      </c>
      <c r="J360">
        <f t="shared" si="53"/>
        <v>3.9847290780161389E-3</v>
      </c>
      <c r="K360">
        <f t="shared" si="54"/>
        <v>1.3586571106144001E-3</v>
      </c>
      <c r="L360">
        <f t="shared" si="55"/>
        <v>-3.9395740421369712E-6</v>
      </c>
      <c r="N360">
        <f t="shared" si="56"/>
        <v>0.1689601198132703</v>
      </c>
      <c r="O360">
        <f t="shared" si="56"/>
        <v>0.14851089740311296</v>
      </c>
      <c r="P360">
        <f t="shared" si="56"/>
        <v>0.1379003570196925</v>
      </c>
      <c r="R360" s="42">
        <f t="shared" si="57"/>
        <v>1.2272640987611041</v>
      </c>
      <c r="S360" s="42">
        <f t="shared" si="58"/>
        <v>10.22461120507867</v>
      </c>
      <c r="T360" s="42">
        <f t="shared" si="59"/>
        <v>2.1221080766840927</v>
      </c>
    </row>
    <row r="361" spans="1:20">
      <c r="A361">
        <v>717</v>
      </c>
      <c r="B361" s="1355">
        <v>3.5757480000000001E-3</v>
      </c>
      <c r="C361" s="1355">
        <v>1.2912679999999999E-3</v>
      </c>
      <c r="D361" s="1355">
        <v>0</v>
      </c>
      <c r="F361" s="1355">
        <f t="shared" si="50"/>
        <v>3.5323348284003997E-3</v>
      </c>
      <c r="G361" s="1355">
        <f t="shared" si="51"/>
        <v>1.2671690308024E-3</v>
      </c>
      <c r="H361" s="1355">
        <f t="shared" si="52"/>
        <v>-4.0006810184000003E-6</v>
      </c>
      <c r="J361">
        <f t="shared" si="53"/>
        <v>3.7164085435630787E-3</v>
      </c>
      <c r="K361">
        <f t="shared" si="54"/>
        <v>1.2671690308024E-3</v>
      </c>
      <c r="L361">
        <f t="shared" si="55"/>
        <v>-3.6742935246089844E-6</v>
      </c>
      <c r="N361">
        <f t="shared" si="56"/>
        <v>0.1668707078114843</v>
      </c>
      <c r="O361">
        <f t="shared" si="56"/>
        <v>0.14779847972561691</v>
      </c>
      <c r="P361">
        <f t="shared" si="56"/>
        <v>0.13790242275908249</v>
      </c>
      <c r="R361" s="42">
        <f t="shared" si="57"/>
        <v>1.1446236481715601</v>
      </c>
      <c r="S361" s="42">
        <f t="shared" si="58"/>
        <v>9.536114042933697</v>
      </c>
      <c r="T361" s="42">
        <f t="shared" si="59"/>
        <v>1.9792113933068844</v>
      </c>
    </row>
    <row r="362" spans="1:20">
      <c r="A362">
        <v>718</v>
      </c>
      <c r="B362" s="1355">
        <v>3.3343420000000001E-3</v>
      </c>
      <c r="C362" s="1355">
        <v>1.2040919999999999E-3</v>
      </c>
      <c r="D362" s="1355">
        <v>0</v>
      </c>
      <c r="F362" s="1355">
        <f t="shared" si="50"/>
        <v>3.2938597387956003E-3</v>
      </c>
      <c r="G362" s="1355">
        <f t="shared" si="51"/>
        <v>1.1816200029896001E-3</v>
      </c>
      <c r="H362" s="1355">
        <f t="shared" si="52"/>
        <v>-3.7305861045999999E-6</v>
      </c>
      <c r="J362">
        <f t="shared" si="53"/>
        <v>3.4655062640542049E-3</v>
      </c>
      <c r="K362">
        <f t="shared" si="54"/>
        <v>1.1816200029896001E-3</v>
      </c>
      <c r="L362">
        <f t="shared" si="55"/>
        <v>-3.4262337597237402E-6</v>
      </c>
      <c r="N362">
        <f t="shared" si="56"/>
        <v>0.16491693176094871</v>
      </c>
      <c r="O362">
        <f t="shared" si="56"/>
        <v>0.14713230944603864</v>
      </c>
      <c r="P362">
        <f t="shared" si="56"/>
        <v>0.13790435440047166</v>
      </c>
      <c r="R362" s="42">
        <f t="shared" si="57"/>
        <v>1.0673478957404825</v>
      </c>
      <c r="S362" s="42">
        <f t="shared" si="58"/>
        <v>8.8923111574550351</v>
      </c>
      <c r="T362" s="42">
        <f t="shared" si="59"/>
        <v>1.8455910091133954</v>
      </c>
    </row>
    <row r="363" spans="1:20">
      <c r="A363">
        <v>719</v>
      </c>
      <c r="B363" s="1355">
        <v>3.1090750000000002E-3</v>
      </c>
      <c r="C363" s="1355">
        <v>1.122744E-3</v>
      </c>
      <c r="D363" s="1355">
        <v>0</v>
      </c>
      <c r="F363" s="1355">
        <f t="shared" si="50"/>
        <v>3.0713277061548E-3</v>
      </c>
      <c r="G363" s="1355">
        <f t="shared" si="51"/>
        <v>1.10179020404E-3</v>
      </c>
      <c r="H363" s="1355">
        <f t="shared" si="52"/>
        <v>-3.4785487057000005E-6</v>
      </c>
      <c r="J363">
        <f t="shared" si="53"/>
        <v>3.2313778511208137E-3</v>
      </c>
      <c r="K363">
        <f t="shared" si="54"/>
        <v>1.10179020404E-3</v>
      </c>
      <c r="L363">
        <f t="shared" si="55"/>
        <v>-3.1947583237971037E-6</v>
      </c>
      <c r="N363">
        <f t="shared" si="56"/>
        <v>0.1630937738094364</v>
      </c>
      <c r="O363">
        <f t="shared" si="56"/>
        <v>0.14651067480161811</v>
      </c>
      <c r="P363">
        <f t="shared" si="56"/>
        <v>0.13790615689969121</v>
      </c>
      <c r="R363" s="42">
        <f t="shared" si="57"/>
        <v>0.99523827698770262</v>
      </c>
      <c r="S363" s="42">
        <f t="shared" si="58"/>
        <v>8.2915495039091454</v>
      </c>
      <c r="T363" s="42">
        <f t="shared" si="59"/>
        <v>1.72090358038538</v>
      </c>
    </row>
    <row r="364" spans="1:20">
      <c r="A364">
        <v>720</v>
      </c>
      <c r="B364" s="1355">
        <v>2.8993270000000002E-3</v>
      </c>
      <c r="C364" s="1355">
        <v>1.047E-3</v>
      </c>
      <c r="D364" s="1355">
        <v>0</v>
      </c>
      <c r="F364" s="1355">
        <f t="shared" si="50"/>
        <v>2.8641262586652002E-3</v>
      </c>
      <c r="G364" s="1355">
        <f t="shared" si="51"/>
        <v>1.0274598108176E-3</v>
      </c>
      <c r="H364" s="1355">
        <f t="shared" si="52"/>
        <v>-3.2438758645000011E-6</v>
      </c>
      <c r="J364">
        <f t="shared" si="53"/>
        <v>3.013378916394205E-3</v>
      </c>
      <c r="K364">
        <f t="shared" si="54"/>
        <v>1.0274598108176E-3</v>
      </c>
      <c r="L364">
        <f t="shared" si="55"/>
        <v>-2.9792307931449366E-6</v>
      </c>
      <c r="N364">
        <f t="shared" si="56"/>
        <v>0.1613962161047203</v>
      </c>
      <c r="O364">
        <f t="shared" si="56"/>
        <v>0.14593186402959527</v>
      </c>
      <c r="P364">
        <f t="shared" si="56"/>
        <v>0.13790783521257241</v>
      </c>
      <c r="R364" s="42">
        <f t="shared" si="57"/>
        <v>0.92809622743305198</v>
      </c>
      <c r="S364" s="42">
        <f t="shared" si="58"/>
        <v>7.7321760375625157</v>
      </c>
      <c r="T364" s="42">
        <f t="shared" si="59"/>
        <v>1.6048057634045709</v>
      </c>
    </row>
    <row r="365" spans="1:20">
      <c r="A365">
        <v>721</v>
      </c>
      <c r="B365" s="1355">
        <v>2.7043480000000001E-3</v>
      </c>
      <c r="C365" s="1355">
        <v>9.7658959999999992E-4</v>
      </c>
      <c r="D365" s="1355">
        <v>0</v>
      </c>
      <c r="F365" s="1355">
        <f t="shared" si="50"/>
        <v>2.67151449893512E-3</v>
      </c>
      <c r="G365" s="1355">
        <f t="shared" si="51"/>
        <v>9.583634848344E-4</v>
      </c>
      <c r="H365" s="1355">
        <f t="shared" si="52"/>
        <v>-3.0257254828800007E-6</v>
      </c>
      <c r="J365">
        <f t="shared" si="53"/>
        <v>2.810729953533641E-3</v>
      </c>
      <c r="K365">
        <f t="shared" si="54"/>
        <v>9.583634848344E-4</v>
      </c>
      <c r="L365">
        <f t="shared" si="55"/>
        <v>-2.7788777705243251E-6</v>
      </c>
      <c r="N365">
        <f t="shared" si="56"/>
        <v>0.15981818863092509</v>
      </c>
      <c r="O365">
        <f t="shared" si="56"/>
        <v>0.14539381093916409</v>
      </c>
      <c r="P365">
        <f t="shared" si="56"/>
        <v>0.13790939536155955</v>
      </c>
      <c r="R365" s="42">
        <f t="shared" si="57"/>
        <v>0.86568206894303401</v>
      </c>
      <c r="S365" s="42">
        <f t="shared" si="58"/>
        <v>7.2121888458804992</v>
      </c>
      <c r="T365" s="42">
        <f t="shared" si="59"/>
        <v>1.4968831155209084</v>
      </c>
    </row>
    <row r="366" spans="1:20">
      <c r="A366">
        <v>722</v>
      </c>
      <c r="B366" s="1355">
        <v>2.52302E-3</v>
      </c>
      <c r="C366" s="1355">
        <v>9.1110880000000005E-4</v>
      </c>
      <c r="D366" s="1355">
        <v>0</v>
      </c>
      <c r="F366" s="1355">
        <f t="shared" si="50"/>
        <v>2.49238800254096E-3</v>
      </c>
      <c r="G366" s="1355">
        <f t="shared" si="51"/>
        <v>8.9410475671200008E-4</v>
      </c>
      <c r="H366" s="1355">
        <f t="shared" si="52"/>
        <v>-2.8228485266399998E-6</v>
      </c>
      <c r="J366">
        <f t="shared" si="53"/>
        <v>2.6222689853871873E-3</v>
      </c>
      <c r="K366">
        <f t="shared" si="54"/>
        <v>8.9410475671200008E-4</v>
      </c>
      <c r="L366">
        <f t="shared" si="55"/>
        <v>-2.5925521216718863E-6</v>
      </c>
      <c r="N366">
        <f t="shared" si="56"/>
        <v>0.15835064307196864</v>
      </c>
      <c r="O366">
        <f t="shared" si="56"/>
        <v>0.14489342822327497</v>
      </c>
      <c r="P366">
        <f t="shared" si="56"/>
        <v>0.13791084627938716</v>
      </c>
      <c r="R366" s="42">
        <f t="shared" si="57"/>
        <v>0.80763767389989738</v>
      </c>
      <c r="S366" s="42">
        <f t="shared" si="58"/>
        <v>6.7286074243468335</v>
      </c>
      <c r="T366" s="42">
        <f t="shared" si="59"/>
        <v>1.3965163887775633</v>
      </c>
    </row>
    <row r="367" spans="1:20">
      <c r="A367">
        <v>723</v>
      </c>
      <c r="B367" s="1355">
        <v>2.3541679999999998E-3</v>
      </c>
      <c r="C367" s="1355">
        <v>8.5013319999999995E-4</v>
      </c>
      <c r="D367" s="1355">
        <v>0</v>
      </c>
      <c r="F367" s="1355">
        <f t="shared" si="50"/>
        <v>2.32558603577924E-3</v>
      </c>
      <c r="G367" s="1355">
        <f t="shared" si="51"/>
        <v>8.3426714409239999E-4</v>
      </c>
      <c r="H367" s="1355">
        <f t="shared" si="52"/>
        <v>-2.6339309439599996E-6</v>
      </c>
      <c r="J367">
        <f t="shared" si="53"/>
        <v>2.4467747911867182E-3</v>
      </c>
      <c r="K367">
        <f t="shared" si="54"/>
        <v>8.3426714409239999E-4</v>
      </c>
      <c r="L367">
        <f t="shared" si="55"/>
        <v>-2.4190469990356617E-6</v>
      </c>
      <c r="N367">
        <f t="shared" si="56"/>
        <v>0.1569840697817296</v>
      </c>
      <c r="O367">
        <f t="shared" si="56"/>
        <v>0.14442747273380613</v>
      </c>
      <c r="P367">
        <f t="shared" si="56"/>
        <v>0.13791219736377713</v>
      </c>
      <c r="R367" s="42">
        <f t="shared" si="57"/>
        <v>0.7535868371215102</v>
      </c>
      <c r="S367" s="42">
        <f t="shared" si="58"/>
        <v>6.2782985239617366</v>
      </c>
      <c r="T367" s="42">
        <f t="shared" si="59"/>
        <v>1.3030550740057989</v>
      </c>
    </row>
    <row r="368" spans="1:20">
      <c r="A368">
        <v>724</v>
      </c>
      <c r="B368" s="1355">
        <v>2.1966160000000002E-3</v>
      </c>
      <c r="C368" s="1355">
        <v>7.9323839999999996E-4</v>
      </c>
      <c r="D368" s="1355">
        <v>0</v>
      </c>
      <c r="F368" s="1355">
        <f t="shared" si="50"/>
        <v>2.1699468744988798E-3</v>
      </c>
      <c r="G368" s="1355">
        <f t="shared" si="51"/>
        <v>7.7843417698879997E-4</v>
      </c>
      <c r="H368" s="1355">
        <f t="shared" si="52"/>
        <v>-2.45765511952E-6</v>
      </c>
      <c r="J368">
        <f t="shared" si="53"/>
        <v>2.2830251081032327E-3</v>
      </c>
      <c r="K368">
        <f t="shared" si="54"/>
        <v>7.7843417698879997E-4</v>
      </c>
      <c r="L368">
        <f t="shared" si="55"/>
        <v>-2.2571522822846544E-6</v>
      </c>
      <c r="N368">
        <f t="shared" si="56"/>
        <v>0.1557089509995585</v>
      </c>
      <c r="O368">
        <f t="shared" si="56"/>
        <v>0.14399270141897041</v>
      </c>
      <c r="P368">
        <f t="shared" si="56"/>
        <v>0.13791345803793648</v>
      </c>
      <c r="R368" s="42">
        <f t="shared" si="57"/>
        <v>0.70315336460056699</v>
      </c>
      <c r="S368" s="42">
        <f t="shared" si="58"/>
        <v>5.8581247902940445</v>
      </c>
      <c r="T368" s="42">
        <f t="shared" si="59"/>
        <v>1.2158486762067877</v>
      </c>
    </row>
    <row r="369" spans="1:20">
      <c r="A369">
        <v>725</v>
      </c>
      <c r="B369" s="1355">
        <v>2.0491900000000002E-3</v>
      </c>
      <c r="C369" s="1355">
        <v>7.3999999999999999E-4</v>
      </c>
      <c r="D369" s="1355">
        <v>0</v>
      </c>
      <c r="F369" s="1355">
        <f t="shared" si="50"/>
        <v>2.0243107754440003E-3</v>
      </c>
      <c r="G369" s="1355">
        <f t="shared" si="51"/>
        <v>7.2618936067199999E-4</v>
      </c>
      <c r="H369" s="1355">
        <f t="shared" si="52"/>
        <v>-2.2927105650000002E-6</v>
      </c>
      <c r="J369">
        <f t="shared" si="53"/>
        <v>2.1297997574294823E-3</v>
      </c>
      <c r="K369">
        <f t="shared" si="54"/>
        <v>7.2618936067199999E-4</v>
      </c>
      <c r="L369">
        <f t="shared" si="55"/>
        <v>-2.1056643966459414E-6</v>
      </c>
      <c r="N369">
        <f t="shared" si="56"/>
        <v>0.154515785193862</v>
      </c>
      <c r="O369">
        <f t="shared" si="56"/>
        <v>0.14358587103431147</v>
      </c>
      <c r="P369">
        <f t="shared" si="56"/>
        <v>0.13791463767410195</v>
      </c>
      <c r="R369" s="42">
        <f t="shared" si="57"/>
        <v>0.65596103998013078</v>
      </c>
      <c r="S369" s="42">
        <f t="shared" si="58"/>
        <v>5.464957079775262</v>
      </c>
      <c r="T369" s="42">
        <f t="shared" si="59"/>
        <v>1.1342466720419053</v>
      </c>
    </row>
    <row r="370" spans="1:20">
      <c r="A370">
        <v>726</v>
      </c>
      <c r="B370" s="1355">
        <v>1.91096E-3</v>
      </c>
      <c r="C370" s="1355">
        <v>6.9008269999999998E-4</v>
      </c>
      <c r="D370" s="1355">
        <v>0</v>
      </c>
      <c r="F370" s="1355">
        <f t="shared" si="50"/>
        <v>1.8877590258775899E-3</v>
      </c>
      <c r="G370" s="1355">
        <f t="shared" si="51"/>
        <v>6.7720367135450002E-4</v>
      </c>
      <c r="H370" s="1355">
        <f t="shared" si="52"/>
        <v>-2.1380531058100002E-6</v>
      </c>
      <c r="J370">
        <f t="shared" si="53"/>
        <v>1.986132151333119E-3</v>
      </c>
      <c r="K370">
        <f t="shared" si="54"/>
        <v>6.7720367135450002E-4</v>
      </c>
      <c r="L370">
        <f t="shared" si="55"/>
        <v>-1.9636243544079427E-6</v>
      </c>
      <c r="N370">
        <f t="shared" si="56"/>
        <v>0.15339704554518963</v>
      </c>
      <c r="O370">
        <f t="shared" si="56"/>
        <v>0.14320441947159612</v>
      </c>
      <c r="P370">
        <f t="shared" si="56"/>
        <v>0.13791574373991083</v>
      </c>
      <c r="R370" s="42">
        <f t="shared" si="57"/>
        <v>0.61171265870515157</v>
      </c>
      <c r="S370" s="42">
        <f t="shared" si="58"/>
        <v>5.0963130367967509</v>
      </c>
      <c r="T370" s="42">
        <f t="shared" si="59"/>
        <v>1.0577351463370577</v>
      </c>
    </row>
    <row r="371" spans="1:20">
      <c r="A371">
        <v>727</v>
      </c>
      <c r="B371" s="1355">
        <v>1.781438E-3</v>
      </c>
      <c r="C371" s="1355">
        <v>6.4331000000000002E-4</v>
      </c>
      <c r="D371" s="1355">
        <v>0</v>
      </c>
      <c r="F371" s="1355">
        <f t="shared" si="50"/>
        <v>1.7598095525758E-3</v>
      </c>
      <c r="G371" s="1355">
        <f t="shared" si="51"/>
        <v>6.3130389366440002E-4</v>
      </c>
      <c r="H371" s="1355">
        <f t="shared" si="52"/>
        <v>-1.9931386059999993E-6</v>
      </c>
      <c r="J371">
        <f t="shared" si="53"/>
        <v>1.8515150952431955E-3</v>
      </c>
      <c r="K371">
        <f t="shared" si="54"/>
        <v>6.3130389366440002E-4</v>
      </c>
      <c r="L371">
        <f t="shared" si="55"/>
        <v>-1.8305324118549263E-6</v>
      </c>
      <c r="N371">
        <f t="shared" si="56"/>
        <v>0.15234878252941739</v>
      </c>
      <c r="O371">
        <f t="shared" si="56"/>
        <v>0.14284699790272329</v>
      </c>
      <c r="P371">
        <f t="shared" si="56"/>
        <v>0.13791678012686751</v>
      </c>
      <c r="R371" s="42">
        <f t="shared" si="57"/>
        <v>0.57025175671590134</v>
      </c>
      <c r="S371" s="42">
        <f t="shared" si="58"/>
        <v>4.7508923133470491</v>
      </c>
      <c r="T371" s="42">
        <f t="shared" si="59"/>
        <v>0.9860435551711566</v>
      </c>
    </row>
    <row r="372" spans="1:20">
      <c r="A372">
        <v>728</v>
      </c>
      <c r="B372" s="1355">
        <v>1.66011E-3</v>
      </c>
      <c r="C372" s="1355">
        <v>5.9949600000000003E-4</v>
      </c>
      <c r="D372" s="1355">
        <v>0</v>
      </c>
      <c r="F372" s="1355">
        <f t="shared" si="50"/>
        <v>1.6399545980592001E-3</v>
      </c>
      <c r="G372" s="1355">
        <f t="shared" si="51"/>
        <v>5.8830758728800007E-4</v>
      </c>
      <c r="H372" s="1355">
        <f t="shared" si="52"/>
        <v>-1.8573939138000002E-6</v>
      </c>
      <c r="J372">
        <f t="shared" si="53"/>
        <v>1.7254143718993761E-3</v>
      </c>
      <c r="K372">
        <f t="shared" si="54"/>
        <v>5.8830758728800007E-4</v>
      </c>
      <c r="L372">
        <f t="shared" si="55"/>
        <v>-1.7058621766483292E-6</v>
      </c>
      <c r="N372">
        <f t="shared" si="56"/>
        <v>0.15136683619673907</v>
      </c>
      <c r="O372">
        <f t="shared" si="56"/>
        <v>0.14251218566497029</v>
      </c>
      <c r="P372">
        <f t="shared" si="56"/>
        <v>0.13791775093398906</v>
      </c>
      <c r="R372" s="42">
        <f t="shared" si="57"/>
        <v>0.53141353713655448</v>
      </c>
      <c r="S372" s="42">
        <f t="shared" si="58"/>
        <v>4.4273252658843933</v>
      </c>
      <c r="T372" s="42">
        <f t="shared" si="59"/>
        <v>0.91888694619624567</v>
      </c>
    </row>
    <row r="373" spans="1:20">
      <c r="A373">
        <v>729</v>
      </c>
      <c r="B373" s="1355">
        <v>1.546459E-3</v>
      </c>
      <c r="C373" s="1355">
        <v>5.5845470000000003E-4</v>
      </c>
      <c r="D373" s="1355">
        <v>0</v>
      </c>
      <c r="F373" s="1355">
        <f t="shared" si="50"/>
        <v>1.52768343422239E-3</v>
      </c>
      <c r="G373" s="1355">
        <f t="shared" si="51"/>
        <v>5.480322474657E-4</v>
      </c>
      <c r="H373" s="1355">
        <f t="shared" si="52"/>
        <v>-1.7302358639099994E-6</v>
      </c>
      <c r="J373">
        <f t="shared" si="53"/>
        <v>1.6072926386128863E-3</v>
      </c>
      <c r="K373">
        <f t="shared" si="54"/>
        <v>5.480322474657E-4</v>
      </c>
      <c r="L373">
        <f t="shared" si="55"/>
        <v>-1.5890780598532365E-6</v>
      </c>
      <c r="N373">
        <f t="shared" si="56"/>
        <v>0.15044702225963716</v>
      </c>
      <c r="O373">
        <f t="shared" si="56"/>
        <v>0.14219856159377403</v>
      </c>
      <c r="P373">
        <f t="shared" si="56"/>
        <v>0.13791866033190653</v>
      </c>
      <c r="R373" s="42">
        <f t="shared" si="57"/>
        <v>0.49503314487778738</v>
      </c>
      <c r="S373" s="42">
        <f t="shared" si="58"/>
        <v>4.1242303329315639</v>
      </c>
      <c r="T373" s="42">
        <f t="shared" si="59"/>
        <v>0.85598025237350051</v>
      </c>
    </row>
    <row r="374" spans="1:20">
      <c r="A374">
        <v>730</v>
      </c>
      <c r="B374" s="1355">
        <v>1.439971E-3</v>
      </c>
      <c r="C374" s="1355">
        <v>5.1999999999999995E-4</v>
      </c>
      <c r="D374" s="1355">
        <v>0</v>
      </c>
      <c r="F374" s="1355">
        <f t="shared" si="50"/>
        <v>1.4224883050196E-3</v>
      </c>
      <c r="G374" s="1355">
        <f t="shared" si="51"/>
        <v>5.1029523076479997E-4</v>
      </c>
      <c r="H374" s="1355">
        <f t="shared" si="52"/>
        <v>-1.6110926584999997E-6</v>
      </c>
      <c r="J374">
        <f t="shared" si="53"/>
        <v>1.4966156796317612E-3</v>
      </c>
      <c r="K374">
        <f t="shared" si="54"/>
        <v>5.1029523076479997E-4</v>
      </c>
      <c r="L374">
        <f t="shared" si="55"/>
        <v>-1.4796549126126207E-6</v>
      </c>
      <c r="N374">
        <f t="shared" si="56"/>
        <v>0.14958518078005115</v>
      </c>
      <c r="O374">
        <f t="shared" si="56"/>
        <v>0.14190470344472411</v>
      </c>
      <c r="P374">
        <f t="shared" si="56"/>
        <v>0.13791951240995409</v>
      </c>
      <c r="R374" s="42">
        <f t="shared" si="57"/>
        <v>0.46094559958799763</v>
      </c>
      <c r="S374" s="42">
        <f t="shared" si="58"/>
        <v>3.8402386676635176</v>
      </c>
      <c r="T374" s="42">
        <f t="shared" si="59"/>
        <v>0.79703820695400385</v>
      </c>
    </row>
    <row r="375" spans="1:20">
      <c r="A375">
        <v>731</v>
      </c>
      <c r="B375" s="1355">
        <v>1.3400420000000001E-3</v>
      </c>
      <c r="C375" s="1355">
        <v>4.8391359999999997E-4</v>
      </c>
      <c r="D375" s="1355">
        <v>0</v>
      </c>
      <c r="F375" s="1355">
        <f t="shared" si="50"/>
        <v>1.3237725449403201E-3</v>
      </c>
      <c r="G375" s="1355">
        <f t="shared" si="51"/>
        <v>4.7488230500160002E-4</v>
      </c>
      <c r="H375" s="1355">
        <f t="shared" si="52"/>
        <v>-1.49928976908E-6</v>
      </c>
      <c r="J375">
        <f t="shared" si="53"/>
        <v>1.3927557365727692E-3</v>
      </c>
      <c r="K375">
        <f t="shared" si="54"/>
        <v>4.7488230500160002E-4</v>
      </c>
      <c r="L375">
        <f t="shared" si="55"/>
        <v>-1.3769732364831976E-6</v>
      </c>
      <c r="N375">
        <f t="shared" si="56"/>
        <v>0.14877642340345076</v>
      </c>
      <c r="O375">
        <f t="shared" si="56"/>
        <v>0.14162894299180609</v>
      </c>
      <c r="P375">
        <f t="shared" si="56"/>
        <v>0.13792031199216612</v>
      </c>
      <c r="R375" s="42">
        <f t="shared" si="57"/>
        <v>0.42895738704950759</v>
      </c>
      <c r="S375" s="42">
        <f t="shared" si="58"/>
        <v>3.5737402058223373</v>
      </c>
      <c r="T375" s="42">
        <f t="shared" si="59"/>
        <v>0.74172619992799449</v>
      </c>
    </row>
    <row r="376" spans="1:20">
      <c r="A376">
        <v>732</v>
      </c>
      <c r="B376" s="1355">
        <v>1.246275E-3</v>
      </c>
      <c r="C376" s="1355">
        <v>4.500528E-4</v>
      </c>
      <c r="D376" s="1355">
        <v>0</v>
      </c>
      <c r="F376" s="1355">
        <f t="shared" si="50"/>
        <v>1.2311439692037601E-3</v>
      </c>
      <c r="G376" s="1355">
        <f t="shared" si="51"/>
        <v>4.4165345613600003E-4</v>
      </c>
      <c r="H376" s="1355">
        <f t="shared" si="52"/>
        <v>-1.3943785223399998E-6</v>
      </c>
      <c r="J376">
        <f t="shared" si="53"/>
        <v>1.295300187490147E-3</v>
      </c>
      <c r="K376">
        <f t="shared" si="54"/>
        <v>4.4165345613600003E-4</v>
      </c>
      <c r="L376">
        <f t="shared" si="55"/>
        <v>-1.2806209622622447E-6</v>
      </c>
      <c r="N376">
        <f t="shared" si="56"/>
        <v>0.1480175370427444</v>
      </c>
      <c r="O376">
        <f t="shared" si="56"/>
        <v>0.14137018994568964</v>
      </c>
      <c r="P376">
        <f t="shared" si="56"/>
        <v>0.13792106228732548</v>
      </c>
      <c r="R376" s="42">
        <f t="shared" si="57"/>
        <v>0.39894203369999914</v>
      </c>
      <c r="S376" s="42">
        <f t="shared" si="58"/>
        <v>3.3236735485273754</v>
      </c>
      <c r="T376" s="42">
        <f t="shared" si="59"/>
        <v>0.689825531672833</v>
      </c>
    </row>
    <row r="377" spans="1:20">
      <c r="A377">
        <v>733</v>
      </c>
      <c r="B377" s="1355">
        <v>1.1584709999999999E-3</v>
      </c>
      <c r="C377" s="1355">
        <v>4.1834519999999999E-4</v>
      </c>
      <c r="D377" s="1355">
        <v>0</v>
      </c>
      <c r="F377" s="1355">
        <f t="shared" si="50"/>
        <v>1.1444059977224399E-3</v>
      </c>
      <c r="G377" s="1355">
        <f t="shared" si="51"/>
        <v>4.1053761695880001E-4</v>
      </c>
      <c r="H377" s="1355">
        <f t="shared" si="52"/>
        <v>-1.2961399080599997E-6</v>
      </c>
      <c r="J377">
        <f t="shared" si="53"/>
        <v>1.2040422082995148E-3</v>
      </c>
      <c r="K377">
        <f t="shared" si="54"/>
        <v>4.1053761695880001E-4</v>
      </c>
      <c r="L377">
        <f t="shared" si="55"/>
        <v>-1.1903969472369421E-6</v>
      </c>
      <c r="N377">
        <f t="shared" si="56"/>
        <v>0.14730691115878694</v>
      </c>
      <c r="O377">
        <f t="shared" si="56"/>
        <v>0.1411278909060168</v>
      </c>
      <c r="P377">
        <f t="shared" si="56"/>
        <v>0.13792176486173049</v>
      </c>
      <c r="R377" s="42">
        <f t="shared" si="57"/>
        <v>0.37083534509794802</v>
      </c>
      <c r="S377" s="42">
        <f t="shared" si="58"/>
        <v>3.0895101263850728</v>
      </c>
      <c r="T377" s="42">
        <f t="shared" si="59"/>
        <v>0.64122520885726009</v>
      </c>
    </row>
    <row r="378" spans="1:20">
      <c r="A378">
        <v>734</v>
      </c>
      <c r="B378" s="1355">
        <v>1.07643E-3</v>
      </c>
      <c r="C378" s="1355">
        <v>3.887184E-4</v>
      </c>
      <c r="D378" s="1355">
        <v>0</v>
      </c>
      <c r="F378" s="1355">
        <f t="shared" si="50"/>
        <v>1.0633610599612799E-3</v>
      </c>
      <c r="G378" s="1355">
        <f t="shared" si="51"/>
        <v>3.8146373263200001E-4</v>
      </c>
      <c r="H378" s="1355">
        <f t="shared" si="52"/>
        <v>-1.2043513525199999E-6</v>
      </c>
      <c r="J378">
        <f t="shared" si="53"/>
        <v>1.1187739328556187E-3</v>
      </c>
      <c r="K378">
        <f t="shared" si="54"/>
        <v>3.8146373263200001E-4</v>
      </c>
      <c r="L378">
        <f t="shared" si="55"/>
        <v>-1.1060967759154321E-6</v>
      </c>
      <c r="N378">
        <f t="shared" si="56"/>
        <v>0.14664292709790533</v>
      </c>
      <c r="O378">
        <f t="shared" si="56"/>
        <v>0.140901492568764</v>
      </c>
      <c r="P378">
        <f t="shared" si="56"/>
        <v>0.13792242130716456</v>
      </c>
      <c r="R378" s="42">
        <f t="shared" si="57"/>
        <v>0.34457313797662437</v>
      </c>
      <c r="S378" s="42">
        <f t="shared" si="58"/>
        <v>2.8707172645706658</v>
      </c>
      <c r="T378" s="42">
        <f t="shared" si="59"/>
        <v>0.59581425231988727</v>
      </c>
    </row>
    <row r="379" spans="1:20">
      <c r="A379">
        <v>735</v>
      </c>
      <c r="B379" s="1355">
        <v>9.9994930000000008E-4</v>
      </c>
      <c r="C379" s="1355">
        <v>3.611E-4</v>
      </c>
      <c r="D379" s="1355">
        <v>0</v>
      </c>
      <c r="F379" s="1355">
        <f t="shared" si="50"/>
        <v>9.8780891117668007E-4</v>
      </c>
      <c r="G379" s="1355">
        <f t="shared" si="51"/>
        <v>3.5436078171984003E-4</v>
      </c>
      <c r="H379" s="1355">
        <f t="shared" si="52"/>
        <v>-1.11878066055E-6</v>
      </c>
      <c r="J379">
        <f t="shared" si="53"/>
        <v>1.0392846814488411E-3</v>
      </c>
      <c r="K379">
        <f t="shared" si="54"/>
        <v>3.5436078171984003E-4</v>
      </c>
      <c r="L379">
        <f t="shared" si="55"/>
        <v>-1.0275071963024532E-6</v>
      </c>
      <c r="N379">
        <f t="shared" si="56"/>
        <v>0.14602394429720075</v>
      </c>
      <c r="O379">
        <f t="shared" si="56"/>
        <v>0.14069044189001101</v>
      </c>
      <c r="P379">
        <f t="shared" si="56"/>
        <v>0.13792303328422101</v>
      </c>
      <c r="R379" s="42">
        <f t="shared" si="57"/>
        <v>0.32009125924127702</v>
      </c>
      <c r="S379" s="42">
        <f t="shared" si="58"/>
        <v>2.6667512035948722</v>
      </c>
      <c r="T379" s="42">
        <f t="shared" si="59"/>
        <v>0.5534817211580001</v>
      </c>
    </row>
    <row r="380" spans="1:20">
      <c r="A380">
        <v>736</v>
      </c>
      <c r="B380" s="1355">
        <v>9.2873580000000003E-4</v>
      </c>
      <c r="C380" s="1355">
        <v>3.3538349999999998E-4</v>
      </c>
      <c r="D380" s="1355">
        <v>0</v>
      </c>
      <c r="F380" s="1355">
        <f t="shared" si="50"/>
        <v>9.1746001460102995E-4</v>
      </c>
      <c r="G380" s="1355">
        <f t="shared" si="51"/>
        <v>3.2912422935353999E-4</v>
      </c>
      <c r="H380" s="1355">
        <f t="shared" si="52"/>
        <v>-1.0391043433500005E-6</v>
      </c>
      <c r="J380">
        <f t="shared" si="53"/>
        <v>9.6526982924345845E-4</v>
      </c>
      <c r="K380">
        <f t="shared" si="54"/>
        <v>3.2912422935353999E-4</v>
      </c>
      <c r="L380">
        <f t="shared" si="55"/>
        <v>-9.54331110779461E-7</v>
      </c>
      <c r="N380">
        <f t="shared" si="56"/>
        <v>0.14544759064307744</v>
      </c>
      <c r="O380">
        <f t="shared" si="56"/>
        <v>0.14049392485673465</v>
      </c>
      <c r="P380">
        <f t="shared" si="56"/>
        <v>0.13792360310639898</v>
      </c>
      <c r="R380" s="42">
        <f t="shared" si="57"/>
        <v>0.2972952833812208</v>
      </c>
      <c r="S380" s="42">
        <f t="shared" si="58"/>
        <v>2.4768328931713963</v>
      </c>
      <c r="T380" s="42">
        <f t="shared" si="59"/>
        <v>0.5140643500671338</v>
      </c>
    </row>
    <row r="381" spans="1:20">
      <c r="A381">
        <v>737</v>
      </c>
      <c r="B381" s="1355">
        <v>8.6243319999999997E-4</v>
      </c>
      <c r="C381" s="1355">
        <v>3.1144039999999999E-4</v>
      </c>
      <c r="D381" s="1355">
        <v>0</v>
      </c>
      <c r="F381" s="1355">
        <f t="shared" si="50"/>
        <v>8.5196239488100002E-4</v>
      </c>
      <c r="G381" s="1355">
        <f t="shared" si="51"/>
        <v>3.0562797943415996E-4</v>
      </c>
      <c r="H381" s="1355">
        <f t="shared" si="52"/>
        <v>-9.6492263231999995E-7</v>
      </c>
      <c r="J381">
        <f t="shared" si="53"/>
        <v>8.9635905907708817E-4</v>
      </c>
      <c r="K381">
        <f t="shared" si="54"/>
        <v>3.0562797943415996E-4</v>
      </c>
      <c r="L381">
        <f t="shared" si="55"/>
        <v>-8.8620136506157989E-7</v>
      </c>
      <c r="N381">
        <f t="shared" si="56"/>
        <v>0.1449109824757919</v>
      </c>
      <c r="O381">
        <f t="shared" si="56"/>
        <v>0.14031095955861242</v>
      </c>
      <c r="P381">
        <f t="shared" si="56"/>
        <v>0.13792413363272887</v>
      </c>
      <c r="R381" s="42">
        <f t="shared" si="57"/>
        <v>0.27607130879903963</v>
      </c>
      <c r="S381" s="42">
        <f t="shared" si="58"/>
        <v>2.30001145858974</v>
      </c>
      <c r="T381" s="42">
        <f t="shared" si="59"/>
        <v>0.47736518517670912</v>
      </c>
    </row>
    <row r="382" spans="1:20">
      <c r="A382">
        <v>738</v>
      </c>
      <c r="B382" s="1355">
        <v>8.0075030000000002E-4</v>
      </c>
      <c r="C382" s="1355">
        <v>2.8916560000000002E-4</v>
      </c>
      <c r="D382" s="1355">
        <v>0</v>
      </c>
      <c r="F382" s="1355">
        <f t="shared" si="50"/>
        <v>7.910283870638E-4</v>
      </c>
      <c r="G382" s="1355">
        <f t="shared" si="51"/>
        <v>2.8376889542064003E-4</v>
      </c>
      <c r="H382" s="1355">
        <f t="shared" si="52"/>
        <v>-8.9590933172999993E-7</v>
      </c>
      <c r="J382">
        <f t="shared" si="53"/>
        <v>8.3224971547108274E-4</v>
      </c>
      <c r="K382">
        <f t="shared" si="54"/>
        <v>2.8376889542064003E-4</v>
      </c>
      <c r="L382">
        <f t="shared" si="55"/>
        <v>-8.2281837543969209E-7</v>
      </c>
      <c r="N382">
        <f t="shared" si="56"/>
        <v>0.14441176301713193</v>
      </c>
      <c r="O382">
        <f t="shared" si="56"/>
        <v>0.14014074287139913</v>
      </c>
      <c r="P382">
        <f t="shared" si="56"/>
        <v>0.13792462719606907</v>
      </c>
      <c r="R382" s="42">
        <f t="shared" si="57"/>
        <v>0.2563261730823001</v>
      </c>
      <c r="S382" s="42">
        <f t="shared" si="58"/>
        <v>2.1355100728664005</v>
      </c>
      <c r="T382" s="42">
        <f t="shared" si="59"/>
        <v>0.44322313506601208</v>
      </c>
    </row>
    <row r="383" spans="1:20">
      <c r="A383">
        <v>739</v>
      </c>
      <c r="B383" s="1355">
        <v>7.4339600000000001E-4</v>
      </c>
      <c r="C383" s="1355">
        <v>2.6845390000000002E-4</v>
      </c>
      <c r="D383" s="1355">
        <v>0</v>
      </c>
      <c r="F383" s="1355">
        <f t="shared" si="50"/>
        <v>7.3437042595822998E-4</v>
      </c>
      <c r="G383" s="1355">
        <f t="shared" si="51"/>
        <v>2.6344373797529999E-4</v>
      </c>
      <c r="H383" s="1355">
        <f t="shared" si="52"/>
        <v>-8.3173927916999961E-7</v>
      </c>
      <c r="J383">
        <f t="shared" si="53"/>
        <v>7.7263924790706693E-4</v>
      </c>
      <c r="K383">
        <f t="shared" si="54"/>
        <v>2.6344373797529999E-4</v>
      </c>
      <c r="L383">
        <f t="shared" si="55"/>
        <v>-7.6388350722334946E-7</v>
      </c>
      <c r="N383">
        <f t="shared" si="56"/>
        <v>0.14394757630621094</v>
      </c>
      <c r="O383">
        <f t="shared" si="56"/>
        <v>0.13998247087037227</v>
      </c>
      <c r="P383">
        <f t="shared" si="56"/>
        <v>0.13792508612188786</v>
      </c>
      <c r="R383" s="42">
        <f t="shared" si="57"/>
        <v>0.23796662096318499</v>
      </c>
      <c r="S383" s="42">
        <f t="shared" si="58"/>
        <v>1.9825527179193336</v>
      </c>
      <c r="T383" s="42">
        <f t="shared" si="59"/>
        <v>0.41147694969688176</v>
      </c>
    </row>
    <row r="384" spans="1:20">
      <c r="A384">
        <v>740</v>
      </c>
      <c r="B384" s="1355">
        <v>6.9007859999999999E-4</v>
      </c>
      <c r="C384" s="1355">
        <v>2.4919999999999999E-4</v>
      </c>
      <c r="D384" s="1355">
        <v>0</v>
      </c>
      <c r="F384" s="1355">
        <f t="shared" si="50"/>
        <v>6.8170035282135995E-4</v>
      </c>
      <c r="G384" s="1355">
        <f t="shared" si="51"/>
        <v>2.4454917362367999E-4</v>
      </c>
      <c r="H384" s="1355">
        <f t="shared" si="52"/>
        <v>-7.7208585109999987E-7</v>
      </c>
      <c r="J384">
        <f t="shared" si="53"/>
        <v>7.1722448138432555E-4</v>
      </c>
      <c r="K384">
        <f t="shared" si="54"/>
        <v>2.4454917362367999E-4</v>
      </c>
      <c r="L384">
        <f t="shared" si="55"/>
        <v>-7.0909678379545012E-7</v>
      </c>
      <c r="N384">
        <f t="shared" si="56"/>
        <v>0.14351606151929835</v>
      </c>
      <c r="O384">
        <f t="shared" si="56"/>
        <v>0.13983533889776623</v>
      </c>
      <c r="P384">
        <f t="shared" si="56"/>
        <v>0.13792551274610321</v>
      </c>
      <c r="R384" s="42">
        <f t="shared" si="57"/>
        <v>0.2208993121408831</v>
      </c>
      <c r="S384" s="42">
        <f t="shared" si="58"/>
        <v>1.8403613107660644</v>
      </c>
      <c r="T384" s="42">
        <f t="shared" si="59"/>
        <v>0.38196523033260377</v>
      </c>
    </row>
    <row r="385" spans="1:20">
      <c r="A385">
        <v>741</v>
      </c>
      <c r="B385" s="1355">
        <v>6.4051560000000002E-4</v>
      </c>
      <c r="C385" s="1355">
        <v>2.3130190000000001E-4</v>
      </c>
      <c r="D385" s="1355">
        <v>0</v>
      </c>
      <c r="F385" s="1355">
        <f t="shared" si="50"/>
        <v>6.3273909737278995E-4</v>
      </c>
      <c r="G385" s="1355">
        <f t="shared" si="51"/>
        <v>2.2698510653978003E-4</v>
      </c>
      <c r="H385" s="1355">
        <f t="shared" si="52"/>
        <v>-7.1663286817E-7</v>
      </c>
      <c r="J385">
        <f t="shared" si="53"/>
        <v>6.6571180297409697E-4</v>
      </c>
      <c r="K385">
        <f t="shared" si="54"/>
        <v>2.2698510653978003E-4</v>
      </c>
      <c r="L385">
        <f t="shared" si="55"/>
        <v>-6.5816782066070926E-7</v>
      </c>
      <c r="N385">
        <f t="shared" si="56"/>
        <v>0.1431149322925179</v>
      </c>
      <c r="O385">
        <f t="shared" si="56"/>
        <v>0.13969856750738388</v>
      </c>
      <c r="P385">
        <f t="shared" si="56"/>
        <v>0.13792590932993914</v>
      </c>
      <c r="R385" s="42">
        <f t="shared" si="57"/>
        <v>0.20503383085652871</v>
      </c>
      <c r="S385" s="42">
        <f t="shared" si="58"/>
        <v>1.7081823925670092</v>
      </c>
      <c r="T385" s="42">
        <f t="shared" si="59"/>
        <v>0.35453163548894717</v>
      </c>
    </row>
    <row r="386" spans="1:20">
      <c r="A386">
        <v>742</v>
      </c>
      <c r="B386" s="1355">
        <v>5.9450210000000004E-4</v>
      </c>
      <c r="C386" s="1355">
        <v>2.1468560000000001E-4</v>
      </c>
      <c r="D386" s="1355">
        <v>0</v>
      </c>
      <c r="F386" s="1355">
        <f t="shared" si="50"/>
        <v>5.8728424735348002E-4</v>
      </c>
      <c r="G386" s="1355">
        <f t="shared" si="51"/>
        <v>2.1067891755247999E-4</v>
      </c>
      <c r="H386" s="1355">
        <f t="shared" si="52"/>
        <v>-6.6515112703000006E-7</v>
      </c>
      <c r="J386">
        <f t="shared" si="53"/>
        <v>6.1788825249979487E-4</v>
      </c>
      <c r="K386">
        <f t="shared" si="54"/>
        <v>2.1067891755247999E-4</v>
      </c>
      <c r="L386">
        <f t="shared" si="55"/>
        <v>-6.1088611356226414E-7</v>
      </c>
      <c r="N386">
        <f t="shared" si="56"/>
        <v>0.14274253030497452</v>
      </c>
      <c r="O386">
        <f t="shared" si="56"/>
        <v>0.13957159121373977</v>
      </c>
      <c r="P386">
        <f t="shared" si="56"/>
        <v>0.13792627751259232</v>
      </c>
      <c r="R386" s="42">
        <f t="shared" si="57"/>
        <v>0.19030458079381418</v>
      </c>
      <c r="S386" s="42">
        <f t="shared" si="58"/>
        <v>1.5854695456173769</v>
      </c>
      <c r="T386" s="42">
        <f t="shared" si="59"/>
        <v>0.329062740229491</v>
      </c>
    </row>
    <row r="387" spans="1:20">
      <c r="A387">
        <v>743</v>
      </c>
      <c r="B387" s="1355">
        <v>5.5186459999999999E-4</v>
      </c>
      <c r="C387" s="1355">
        <v>1.9928839999999999E-4</v>
      </c>
      <c r="D387" s="1355">
        <v>0</v>
      </c>
      <c r="F387" s="1355">
        <f t="shared" si="50"/>
        <v>5.4516440955724001E-4</v>
      </c>
      <c r="G387" s="1355">
        <f t="shared" si="51"/>
        <v>1.9556907525847999E-4</v>
      </c>
      <c r="H387" s="1355">
        <f t="shared" si="52"/>
        <v>-6.1744682061999997E-7</v>
      </c>
      <c r="J387">
        <f t="shared" si="53"/>
        <v>5.7357350527343308E-4</v>
      </c>
      <c r="K387">
        <f t="shared" si="54"/>
        <v>1.9556907525847999E-4</v>
      </c>
      <c r="L387">
        <f t="shared" si="55"/>
        <v>-5.6707366679830644E-7</v>
      </c>
      <c r="N387">
        <f t="shared" si="56"/>
        <v>0.14239745136832285</v>
      </c>
      <c r="O387">
        <f t="shared" si="56"/>
        <v>0.13945393087179639</v>
      </c>
      <c r="P387">
        <f t="shared" si="56"/>
        <v>0.13792661868011527</v>
      </c>
      <c r="R387" s="42">
        <f t="shared" si="57"/>
        <v>0.17665598112838055</v>
      </c>
      <c r="S387" s="42">
        <f t="shared" si="58"/>
        <v>1.4717602482632319</v>
      </c>
      <c r="T387" s="42">
        <f t="shared" si="59"/>
        <v>0.30546243833622366</v>
      </c>
    </row>
    <row r="388" spans="1:20">
      <c r="A388">
        <v>744</v>
      </c>
      <c r="B388" s="1355">
        <v>5.1242900000000001E-4</v>
      </c>
      <c r="C388" s="1355">
        <v>1.8504750000000001E-4</v>
      </c>
      <c r="D388" s="1355">
        <v>0</v>
      </c>
      <c r="F388" s="1355">
        <f t="shared" si="50"/>
        <v>5.0620759722614999E-4</v>
      </c>
      <c r="G388" s="1355">
        <f t="shared" si="51"/>
        <v>1.8159395411770002E-4</v>
      </c>
      <c r="H388" s="1355">
        <f t="shared" si="52"/>
        <v>-5.7332468074999985E-7</v>
      </c>
      <c r="J388">
        <f t="shared" si="53"/>
        <v>5.3258661212468562E-4</v>
      </c>
      <c r="K388">
        <f t="shared" si="54"/>
        <v>1.8159395411770002E-4</v>
      </c>
      <c r="L388">
        <f t="shared" si="55"/>
        <v>-5.2655114274037263E-7</v>
      </c>
      <c r="N388">
        <f t="shared" si="56"/>
        <v>0.14207828643137355</v>
      </c>
      <c r="O388">
        <f t="shared" si="56"/>
        <v>0.13934510660347316</v>
      </c>
      <c r="P388">
        <f t="shared" si="56"/>
        <v>0.13792693422901009</v>
      </c>
      <c r="R388" s="42">
        <f t="shared" si="57"/>
        <v>0.16403236600288551</v>
      </c>
      <c r="S388" s="42">
        <f t="shared" si="58"/>
        <v>1.3665899139501947</v>
      </c>
      <c r="T388" s="42">
        <f t="shared" si="59"/>
        <v>0.2836344748926134</v>
      </c>
    </row>
    <row r="389" spans="1:20">
      <c r="A389">
        <v>745</v>
      </c>
      <c r="B389" s="1355">
        <v>4.7602130000000002E-4</v>
      </c>
      <c r="C389" s="1355">
        <v>1.719E-4</v>
      </c>
      <c r="D389" s="1355">
        <v>0</v>
      </c>
      <c r="F389" s="1355">
        <f t="shared" ref="F389:F452" si="60">$X$12*B389+$Y$12*C389+$Z$12*D389</f>
        <v>4.7024192336388003E-4</v>
      </c>
      <c r="G389" s="1355">
        <f t="shared" ref="G389:G452" si="61">$X$13*B389+$Y$13*C389+$Z$13*D389</f>
        <v>1.6869182579344001E-4</v>
      </c>
      <c r="H389" s="1355">
        <f t="shared" ref="H389:H452" si="62">$X$14*B389+$Y$14*C389+$Z$14*D389</f>
        <v>-5.3259047255000004E-7</v>
      </c>
      <c r="J389">
        <f t="shared" ref="J389:J452" si="63">F389/$X$5</f>
        <v>4.9474672884349848E-4</v>
      </c>
      <c r="K389">
        <f t="shared" ref="K389:K452" si="64">G389/$X$6</f>
        <v>1.6869182579344001E-4</v>
      </c>
      <c r="L389">
        <f t="shared" ref="L389:L452" si="65">H389/$X$7</f>
        <v>-4.8914015277867068E-7</v>
      </c>
      <c r="N389">
        <f t="shared" ref="N389:P452" si="66">IF(J389&gt;0.008856,J389^(1/3),7.787*J389+16/116)</f>
        <v>0.14178362726026295</v>
      </c>
      <c r="O389">
        <f t="shared" si="66"/>
        <v>0.13924463773021215</v>
      </c>
      <c r="P389">
        <f t="shared" si="66"/>
        <v>0.13792722554838893</v>
      </c>
      <c r="R389" s="42">
        <f t="shared" ref="R389:R452" si="67" xml:space="preserve"> 116 * O389  - 16</f>
        <v>0.15237797670461006</v>
      </c>
      <c r="S389" s="42">
        <f t="shared" ref="S389:S452" si="68" xml:space="preserve"> 500 * (N389 - O389 )</f>
        <v>1.2694947650254003</v>
      </c>
      <c r="T389" s="42">
        <f t="shared" ref="T389:T452" si="69" xml:space="preserve"> 200 * (O389 - P389 )</f>
        <v>0.26348243636464264</v>
      </c>
    </row>
    <row r="390" spans="1:20">
      <c r="A390">
        <v>746</v>
      </c>
      <c r="B390" s="1355">
        <v>4.4245359999999997E-4</v>
      </c>
      <c r="C390" s="1355">
        <v>1.5977809999999999E-4</v>
      </c>
      <c r="D390" s="1355">
        <v>0</v>
      </c>
      <c r="F390" s="1355">
        <f t="shared" si="60"/>
        <v>4.3708176887713001E-4</v>
      </c>
      <c r="G390" s="1355">
        <f t="shared" si="61"/>
        <v>1.5679615749318002E-4</v>
      </c>
      <c r="H390" s="1355">
        <f t="shared" si="62"/>
        <v>-4.9503360003000004E-7</v>
      </c>
      <c r="J390">
        <f t="shared" si="63"/>
        <v>4.5985856352870683E-4</v>
      </c>
      <c r="K390">
        <f t="shared" si="64"/>
        <v>1.5679615749318002E-4</v>
      </c>
      <c r="L390">
        <f t="shared" si="65"/>
        <v>-4.5464728197239244E-7</v>
      </c>
      <c r="N390">
        <f t="shared" si="66"/>
        <v>0.14151195311695666</v>
      </c>
      <c r="O390">
        <f t="shared" si="66"/>
        <v>0.139152006161158</v>
      </c>
      <c r="P390">
        <f t="shared" si="66"/>
        <v>0.13792749414437391</v>
      </c>
      <c r="R390" s="42">
        <f t="shared" si="67"/>
        <v>0.14163271469432814</v>
      </c>
      <c r="S390" s="42">
        <f t="shared" si="68"/>
        <v>1.179973477899332</v>
      </c>
      <c r="T390" s="42">
        <f t="shared" si="69"/>
        <v>0.24490240335681701</v>
      </c>
    </row>
    <row r="391" spans="1:20">
      <c r="A391">
        <v>747</v>
      </c>
      <c r="B391" s="1355">
        <v>4.1151170000000001E-4</v>
      </c>
      <c r="C391" s="1355">
        <v>1.4860439999999999E-4</v>
      </c>
      <c r="D391" s="1355">
        <v>0</v>
      </c>
      <c r="F391" s="1355">
        <f t="shared" si="60"/>
        <v>4.0651553471639999E-4</v>
      </c>
      <c r="G391" s="1355">
        <f t="shared" si="61"/>
        <v>1.4583099207495997E-4</v>
      </c>
      <c r="H391" s="1355">
        <f t="shared" si="62"/>
        <v>-4.6041473626999996E-7</v>
      </c>
      <c r="J391">
        <f t="shared" si="63"/>
        <v>4.2769949047986785E-4</v>
      </c>
      <c r="K391">
        <f t="shared" si="64"/>
        <v>1.4583099207495997E-4</v>
      </c>
      <c r="L391">
        <f t="shared" si="65"/>
        <v>-4.2285272840571989E-7</v>
      </c>
      <c r="N391">
        <f t="shared" si="66"/>
        <v>0.14126153041512535</v>
      </c>
      <c r="O391">
        <f t="shared" si="66"/>
        <v>0.13906662041804632</v>
      </c>
      <c r="P391">
        <f t="shared" si="66"/>
        <v>0.13792774172856254</v>
      </c>
      <c r="R391" s="42">
        <f t="shared" si="67"/>
        <v>0.13172796849337232</v>
      </c>
      <c r="S391" s="42">
        <f t="shared" si="68"/>
        <v>1.0974549985395128</v>
      </c>
      <c r="T391" s="42">
        <f t="shared" si="69"/>
        <v>0.22777573789675709</v>
      </c>
    </row>
    <row r="392" spans="1:20">
      <c r="A392">
        <v>748</v>
      </c>
      <c r="B392" s="1355">
        <v>3.8298139999999999E-4</v>
      </c>
      <c r="C392" s="1355">
        <v>1.383016E-4</v>
      </c>
      <c r="D392" s="1355">
        <v>0</v>
      </c>
      <c r="F392" s="1355">
        <f t="shared" si="60"/>
        <v>3.7833162111535997E-4</v>
      </c>
      <c r="G392" s="1355">
        <f t="shared" si="61"/>
        <v>1.3572047395632E-4</v>
      </c>
      <c r="H392" s="1355">
        <f t="shared" si="62"/>
        <v>-4.2849387737999976E-7</v>
      </c>
      <c r="J392">
        <f t="shared" si="63"/>
        <v>3.9804688324235376E-4</v>
      </c>
      <c r="K392">
        <f t="shared" si="64"/>
        <v>1.3572047395632E-4</v>
      </c>
      <c r="L392">
        <f t="shared" si="65"/>
        <v>-3.9353606842206751E-7</v>
      </c>
      <c r="N392">
        <f t="shared" si="66"/>
        <v>0.14103062556256682</v>
      </c>
      <c r="O392">
        <f t="shared" si="66"/>
        <v>0.13898788981345647</v>
      </c>
      <c r="P392">
        <f t="shared" si="66"/>
        <v>0.13792797001739382</v>
      </c>
      <c r="R392" s="42">
        <f t="shared" si="67"/>
        <v>0.12259521836094933</v>
      </c>
      <c r="S392" s="42">
        <f t="shared" si="68"/>
        <v>1.0213678745551735</v>
      </c>
      <c r="T392" s="42">
        <f t="shared" si="69"/>
        <v>0.21198395921253055</v>
      </c>
    </row>
    <row r="393" spans="1:20">
      <c r="A393">
        <v>749</v>
      </c>
      <c r="B393" s="1355">
        <v>3.5664909999999999E-4</v>
      </c>
      <c r="C393" s="1355">
        <v>1.287925E-4</v>
      </c>
      <c r="D393" s="1355">
        <v>0</v>
      </c>
      <c r="F393" s="1355">
        <f t="shared" si="60"/>
        <v>3.5231902185940998E-4</v>
      </c>
      <c r="G393" s="1355">
        <f t="shared" si="61"/>
        <v>1.2638884169158E-4</v>
      </c>
      <c r="H393" s="1355">
        <f t="shared" si="62"/>
        <v>-3.9903248059999991E-7</v>
      </c>
      <c r="J393">
        <f t="shared" si="63"/>
        <v>3.7067873984387718E-4</v>
      </c>
      <c r="K393">
        <f t="shared" si="64"/>
        <v>1.2638884169158E-4</v>
      </c>
      <c r="L393">
        <f t="shared" si="65"/>
        <v>-3.6647822029150547E-7</v>
      </c>
      <c r="N393">
        <f t="shared" si="66"/>
        <v>0.14081750982992289</v>
      </c>
      <c r="O393">
        <f t="shared" si="66"/>
        <v>0.13891522439301096</v>
      </c>
      <c r="P393">
        <f t="shared" si="66"/>
        <v>0.1379281807168572</v>
      </c>
      <c r="R393" s="42">
        <f t="shared" si="67"/>
        <v>0.11416602958927058</v>
      </c>
      <c r="S393" s="42">
        <f t="shared" si="68"/>
        <v>0.95114271845596343</v>
      </c>
      <c r="T393" s="42">
        <f t="shared" si="69"/>
        <v>0.19740873523075297</v>
      </c>
    </row>
    <row r="394" spans="1:20">
      <c r="A394">
        <v>750</v>
      </c>
      <c r="B394" s="1355">
        <v>3.323011E-4</v>
      </c>
      <c r="C394" s="1355">
        <v>1.2E-4</v>
      </c>
      <c r="D394" s="1355">
        <v>0</v>
      </c>
      <c r="F394" s="1355">
        <f t="shared" si="60"/>
        <v>3.2826663097235999E-4</v>
      </c>
      <c r="G394" s="1355">
        <f t="shared" si="61"/>
        <v>1.1776043663168E-4</v>
      </c>
      <c r="H394" s="1355">
        <f t="shared" si="62"/>
        <v>-3.7179096984999994E-7</v>
      </c>
      <c r="J394">
        <f t="shared" si="63"/>
        <v>3.4537295335187855E-4</v>
      </c>
      <c r="K394">
        <f t="shared" si="64"/>
        <v>1.1776043663168E-4</v>
      </c>
      <c r="L394">
        <f t="shared" si="65"/>
        <v>-3.4145915326543163E-7</v>
      </c>
      <c r="N394">
        <f t="shared" si="66"/>
        <v>0.14062045367050971</v>
      </c>
      <c r="O394">
        <f t="shared" si="66"/>
        <v>0.13884803500280951</v>
      </c>
      <c r="P394">
        <f t="shared" si="66"/>
        <v>0.13792837554033213</v>
      </c>
      <c r="R394" s="42">
        <f t="shared" si="67"/>
        <v>0.10637206032590285</v>
      </c>
      <c r="S394" s="42">
        <f t="shared" si="68"/>
        <v>0.88620933385009926</v>
      </c>
      <c r="T394" s="42">
        <f t="shared" si="69"/>
        <v>0.18393189249547581</v>
      </c>
    </row>
    <row r="395" spans="1:20">
      <c r="A395">
        <v>751</v>
      </c>
      <c r="B395" s="1355">
        <v>3.0975860000000003E-4</v>
      </c>
      <c r="C395" s="1355">
        <v>1.118595E-4</v>
      </c>
      <c r="D395" s="1355">
        <v>0</v>
      </c>
      <c r="F395" s="1355">
        <f t="shared" si="60"/>
        <v>3.0599781949551004E-4</v>
      </c>
      <c r="G395" s="1355">
        <f t="shared" si="61"/>
        <v>1.0977186331017999E-4</v>
      </c>
      <c r="H395" s="1355">
        <f t="shared" si="62"/>
        <v>-3.4656951395000001E-7</v>
      </c>
      <c r="J395">
        <f t="shared" si="63"/>
        <v>3.2194369048524417E-4</v>
      </c>
      <c r="K395">
        <f t="shared" si="64"/>
        <v>1.0977186331017999E-4</v>
      </c>
      <c r="L395">
        <f t="shared" si="65"/>
        <v>-3.1829533898772079E-7</v>
      </c>
      <c r="N395">
        <f t="shared" si="66"/>
        <v>0.14043801000056721</v>
      </c>
      <c r="O395">
        <f t="shared" si="66"/>
        <v>0.138785827982355</v>
      </c>
      <c r="P395">
        <f t="shared" si="66"/>
        <v>0.13792855591695391</v>
      </c>
      <c r="R395" s="42">
        <f t="shared" si="67"/>
        <v>9.9156045953179728E-2</v>
      </c>
      <c r="S395" s="42">
        <f t="shared" si="68"/>
        <v>0.82609100910610578</v>
      </c>
      <c r="T395" s="42">
        <f t="shared" si="69"/>
        <v>0.17145441308021869</v>
      </c>
    </row>
    <row r="396" spans="1:20">
      <c r="A396">
        <v>752</v>
      </c>
      <c r="B396" s="1355">
        <v>2.8888710000000002E-4</v>
      </c>
      <c r="C396" s="1355">
        <v>1.043224E-4</v>
      </c>
      <c r="D396" s="1355">
        <v>0</v>
      </c>
      <c r="F396" s="1355">
        <f t="shared" si="60"/>
        <v>2.8537972060604E-4</v>
      </c>
      <c r="G396" s="1355">
        <f t="shared" si="61"/>
        <v>1.0237542773648001E-4</v>
      </c>
      <c r="H396" s="1355">
        <f t="shared" si="62"/>
        <v>-3.2321782957000004E-7</v>
      </c>
      <c r="J396">
        <f t="shared" si="63"/>
        <v>3.0025116059006595E-4</v>
      </c>
      <c r="K396">
        <f t="shared" si="64"/>
        <v>1.0237542773648001E-4</v>
      </c>
      <c r="L396">
        <f t="shared" si="65"/>
        <v>-2.9684875469081497E-7</v>
      </c>
      <c r="N396">
        <f t="shared" si="66"/>
        <v>0.14026909027027346</v>
      </c>
      <c r="O396">
        <f t="shared" si="66"/>
        <v>0.13872823193854258</v>
      </c>
      <c r="P396">
        <f t="shared" si="66"/>
        <v>0.13792872292150585</v>
      </c>
      <c r="R396" s="42">
        <f t="shared" si="67"/>
        <v>9.2474904870940122E-2</v>
      </c>
      <c r="S396" s="42">
        <f t="shared" si="68"/>
        <v>0.77042916586543553</v>
      </c>
      <c r="T396" s="42">
        <f t="shared" si="69"/>
        <v>0.15990180340734739</v>
      </c>
    </row>
    <row r="397" spans="1:20">
      <c r="A397">
        <v>753</v>
      </c>
      <c r="B397" s="1355">
        <v>2.6953939999999998E-4</v>
      </c>
      <c r="C397" s="1355">
        <v>9.7335600000000004E-5</v>
      </c>
      <c r="D397" s="1355">
        <v>0</v>
      </c>
      <c r="F397" s="1355">
        <f t="shared" si="60"/>
        <v>2.6626692105395996E-4</v>
      </c>
      <c r="G397" s="1355">
        <f t="shared" si="61"/>
        <v>9.5519022856720007E-5</v>
      </c>
      <c r="H397" s="1355">
        <f t="shared" si="62"/>
        <v>-3.0157084057999998E-7</v>
      </c>
      <c r="J397">
        <f t="shared" si="63"/>
        <v>2.8014237277763628E-4</v>
      </c>
      <c r="K397">
        <f t="shared" si="64"/>
        <v>9.5519022856720007E-5</v>
      </c>
      <c r="L397">
        <f t="shared" si="65"/>
        <v>-2.7696779164791562E-7</v>
      </c>
      <c r="N397">
        <f t="shared" si="66"/>
        <v>0.14011250313957807</v>
      </c>
      <c r="O397">
        <f t="shared" si="66"/>
        <v>0.1386748411137439</v>
      </c>
      <c r="P397">
        <f t="shared" si="66"/>
        <v>0.13792887773456505</v>
      </c>
      <c r="R397" s="42">
        <f t="shared" si="67"/>
        <v>8.6281569194291308E-2</v>
      </c>
      <c r="S397" s="42">
        <f t="shared" si="68"/>
        <v>0.71883101291708718</v>
      </c>
      <c r="T397" s="42">
        <f t="shared" si="69"/>
        <v>0.14919267583576867</v>
      </c>
    </row>
    <row r="398" spans="1:20">
      <c r="A398">
        <v>754</v>
      </c>
      <c r="B398" s="1355">
        <v>2.5156819999999999E-4</v>
      </c>
      <c r="C398" s="1355">
        <v>9.0845869999999995E-5</v>
      </c>
      <c r="D398" s="1355">
        <v>0</v>
      </c>
      <c r="F398" s="1355">
        <f t="shared" si="60"/>
        <v>2.4851390947639899E-4</v>
      </c>
      <c r="G398" s="1355">
        <f t="shared" si="61"/>
        <v>8.9150410826810002E-5</v>
      </c>
      <c r="H398" s="1355">
        <f t="shared" si="62"/>
        <v>-2.8146399456099989E-7</v>
      </c>
      <c r="J398">
        <f t="shared" si="63"/>
        <v>2.6146423293360019E-4</v>
      </c>
      <c r="K398">
        <f t="shared" si="64"/>
        <v>8.9150410826810002E-5</v>
      </c>
      <c r="L398">
        <f t="shared" si="65"/>
        <v>-2.5850132211731848E-7</v>
      </c>
      <c r="N398">
        <f t="shared" si="66"/>
        <v>0.13996705646461258</v>
      </c>
      <c r="O398">
        <f t="shared" si="66"/>
        <v>0.13862524873186699</v>
      </c>
      <c r="P398">
        <f t="shared" si="66"/>
        <v>0.1379290215329633</v>
      </c>
      <c r="R398" s="42">
        <f t="shared" si="67"/>
        <v>8.0528852896570413E-2</v>
      </c>
      <c r="S398" s="42">
        <f t="shared" si="68"/>
        <v>0.67090386637279342</v>
      </c>
      <c r="T398" s="42">
        <f t="shared" si="69"/>
        <v>0.13924543978073856</v>
      </c>
    </row>
    <row r="399" spans="1:20">
      <c r="A399">
        <v>755</v>
      </c>
      <c r="B399" s="1355">
        <v>2.348261E-4</v>
      </c>
      <c r="C399" s="1355">
        <v>8.4800000000000001E-5</v>
      </c>
      <c r="D399" s="1355">
        <v>0</v>
      </c>
      <c r="F399" s="1355">
        <f t="shared" si="60"/>
        <v>2.3197507532235999E-4</v>
      </c>
      <c r="G399" s="1355">
        <f t="shared" si="61"/>
        <v>8.3217375351680008E-5</v>
      </c>
      <c r="H399" s="1355">
        <f t="shared" si="62"/>
        <v>-2.6273224734999997E-7</v>
      </c>
      <c r="J399">
        <f t="shared" si="63"/>
        <v>2.4406354258667815E-4</v>
      </c>
      <c r="K399">
        <f t="shared" si="64"/>
        <v>8.3217375351680008E-5</v>
      </c>
      <c r="L399">
        <f t="shared" si="65"/>
        <v>-2.4129776673126199E-7</v>
      </c>
      <c r="N399">
        <f t="shared" si="66"/>
        <v>0.13983155728888108</v>
      </c>
      <c r="O399">
        <f t="shared" si="66"/>
        <v>0.13857904818462216</v>
      </c>
      <c r="P399">
        <f t="shared" si="66"/>
        <v>0.13792915549704909</v>
      </c>
      <c r="R399" s="42">
        <f t="shared" si="67"/>
        <v>7.5169589416169913E-2</v>
      </c>
      <c r="S399" s="42">
        <f t="shared" si="68"/>
        <v>0.62625455212945991</v>
      </c>
      <c r="T399" s="42">
        <f t="shared" si="69"/>
        <v>0.12997853751461341</v>
      </c>
    </row>
    <row r="400" spans="1:20">
      <c r="A400">
        <v>756</v>
      </c>
      <c r="B400" s="1355">
        <v>2.1917099999999999E-4</v>
      </c>
      <c r="C400" s="1355">
        <v>7.9146669999999997E-5</v>
      </c>
      <c r="D400" s="1355">
        <v>0</v>
      </c>
      <c r="F400" s="1355">
        <f t="shared" si="60"/>
        <v>2.1651004386503899E-4</v>
      </c>
      <c r="G400" s="1355">
        <f t="shared" si="61"/>
        <v>7.7669554043449998E-5</v>
      </c>
      <c r="H400" s="1355">
        <f t="shared" si="62"/>
        <v>-2.4521664660099987E-7</v>
      </c>
      <c r="J400">
        <f t="shared" si="63"/>
        <v>2.2779261193413676E-4</v>
      </c>
      <c r="K400">
        <f t="shared" si="64"/>
        <v>7.7669554043449998E-5</v>
      </c>
      <c r="L400">
        <f t="shared" si="65"/>
        <v>-2.2521114095037782E-7</v>
      </c>
      <c r="N400">
        <f t="shared" si="66"/>
        <v>0.13970485555188975</v>
      </c>
      <c r="O400">
        <f t="shared" si="66"/>
        <v>0.13853584730009497</v>
      </c>
      <c r="P400">
        <f t="shared" si="66"/>
        <v>0.13792928076360403</v>
      </c>
      <c r="R400" s="42">
        <f t="shared" si="67"/>
        <v>7.0158286811015103E-2</v>
      </c>
      <c r="S400" s="42">
        <f t="shared" si="68"/>
        <v>0.58450412589738932</v>
      </c>
      <c r="T400" s="42">
        <f t="shared" si="69"/>
        <v>0.12131330729818757</v>
      </c>
    </row>
    <row r="401" spans="1:20">
      <c r="A401">
        <v>757</v>
      </c>
      <c r="B401" s="1355">
        <v>2.045258E-4</v>
      </c>
      <c r="C401" s="1355">
        <v>7.3857999999999997E-5</v>
      </c>
      <c r="D401" s="1355">
        <v>0</v>
      </c>
      <c r="F401" s="1355">
        <f t="shared" si="60"/>
        <v>2.0204265144668001E-4</v>
      </c>
      <c r="G401" s="1355">
        <f t="shared" si="61"/>
        <v>7.2479585933039997E-5</v>
      </c>
      <c r="H401" s="1355">
        <f t="shared" si="62"/>
        <v>-2.2883118569999997E-7</v>
      </c>
      <c r="J401">
        <f t="shared" si="63"/>
        <v>2.1257130834921671E-4</v>
      </c>
      <c r="K401">
        <f t="shared" si="64"/>
        <v>7.2479585933039997E-5</v>
      </c>
      <c r="L401">
        <f t="shared" si="65"/>
        <v>-2.101624548368432E-7</v>
      </c>
      <c r="N401">
        <f t="shared" si="66"/>
        <v>0.13958632726087397</v>
      </c>
      <c r="O401">
        <f t="shared" si="66"/>
        <v>0.13849543301841921</v>
      </c>
      <c r="P401">
        <f t="shared" si="66"/>
        <v>0.1379293979477228</v>
      </c>
      <c r="R401" s="42">
        <f t="shared" si="67"/>
        <v>6.5470230136629226E-2</v>
      </c>
      <c r="S401" s="42">
        <f t="shared" si="68"/>
        <v>0.54544712122737982</v>
      </c>
      <c r="T401" s="42">
        <f t="shared" si="69"/>
        <v>0.11320701413928269</v>
      </c>
    </row>
    <row r="402" spans="1:20">
      <c r="A402">
        <v>758</v>
      </c>
      <c r="B402" s="1355">
        <v>1.9084049999999999E-4</v>
      </c>
      <c r="C402" s="1355">
        <v>6.8916000000000002E-5</v>
      </c>
      <c r="D402" s="1355">
        <v>0</v>
      </c>
      <c r="F402" s="1355">
        <f t="shared" si="60"/>
        <v>1.8852350464499998E-4</v>
      </c>
      <c r="G402" s="1355">
        <f t="shared" si="61"/>
        <v>6.7629819026400004E-5</v>
      </c>
      <c r="H402" s="1355">
        <f t="shared" si="62"/>
        <v>-2.1351947654999996E-7</v>
      </c>
      <c r="J402">
        <f t="shared" si="63"/>
        <v>1.98347664466001E-4</v>
      </c>
      <c r="K402">
        <f t="shared" si="64"/>
        <v>6.7629819026400004E-5</v>
      </c>
      <c r="L402">
        <f t="shared" si="65"/>
        <v>-1.960999206028489E-7</v>
      </c>
      <c r="N402">
        <f t="shared" si="66"/>
        <v>0.13947556774595538</v>
      </c>
      <c r="O402">
        <f t="shared" si="66"/>
        <v>0.13845766788351718</v>
      </c>
      <c r="P402">
        <f t="shared" si="66"/>
        <v>0.13792950745267687</v>
      </c>
      <c r="R402" s="42">
        <f t="shared" si="67"/>
        <v>6.1089474487992845E-2</v>
      </c>
      <c r="S402" s="42">
        <f t="shared" si="68"/>
        <v>0.50894993121909649</v>
      </c>
      <c r="T402" s="42">
        <f t="shared" si="69"/>
        <v>0.10563208616806152</v>
      </c>
    </row>
    <row r="403" spans="1:20">
      <c r="A403">
        <v>759</v>
      </c>
      <c r="B403" s="1355">
        <v>1.7806540000000001E-4</v>
      </c>
      <c r="C403" s="1355">
        <v>6.4302670000000001E-5</v>
      </c>
      <c r="D403" s="1355">
        <v>0</v>
      </c>
      <c r="F403" s="1355">
        <f t="shared" si="60"/>
        <v>1.7590350724367898E-4</v>
      </c>
      <c r="G403" s="1355">
        <f t="shared" si="61"/>
        <v>6.3102587462169994E-5</v>
      </c>
      <c r="H403" s="1355">
        <f t="shared" si="62"/>
        <v>-1.9922626780099996E-7</v>
      </c>
      <c r="J403">
        <f t="shared" si="63"/>
        <v>1.8507002561225392E-4</v>
      </c>
      <c r="K403">
        <f t="shared" si="64"/>
        <v>6.3102587462169994E-5</v>
      </c>
      <c r="L403">
        <f t="shared" si="65"/>
        <v>-1.8297279446837428E-7</v>
      </c>
      <c r="N403">
        <f t="shared" si="66"/>
        <v>0.13937217477220123</v>
      </c>
      <c r="O403">
        <f t="shared" si="66"/>
        <v>0.13842241433132654</v>
      </c>
      <c r="P403">
        <f t="shared" si="66"/>
        <v>0.13792960967360809</v>
      </c>
      <c r="R403" s="42">
        <f t="shared" si="67"/>
        <v>5.7000062433878895E-2</v>
      </c>
      <c r="S403" s="42">
        <f t="shared" si="68"/>
        <v>0.4748802204373459</v>
      </c>
      <c r="T403" s="42">
        <f t="shared" si="69"/>
        <v>9.8560931543689723E-2</v>
      </c>
    </row>
    <row r="404" spans="1:20">
      <c r="A404">
        <v>760</v>
      </c>
      <c r="B404" s="1355">
        <v>1.6615050000000001E-4</v>
      </c>
      <c r="C404" s="1355">
        <v>6.0000000000000002E-5</v>
      </c>
      <c r="D404" s="1355">
        <v>0</v>
      </c>
      <c r="F404" s="1355">
        <f t="shared" si="60"/>
        <v>1.6413326596379998E-4</v>
      </c>
      <c r="G404" s="1355">
        <f t="shared" si="61"/>
        <v>5.88802189344E-5</v>
      </c>
      <c r="H404" s="1355">
        <f t="shared" si="62"/>
        <v>-1.8589530674999999E-7</v>
      </c>
      <c r="J404">
        <f t="shared" si="63"/>
        <v>1.726864245728955E-4</v>
      </c>
      <c r="K404">
        <f t="shared" si="64"/>
        <v>5.88802189344E-5</v>
      </c>
      <c r="L404">
        <f t="shared" si="65"/>
        <v>-1.7072941299376394E-7</v>
      </c>
      <c r="N404">
        <f t="shared" si="66"/>
        <v>0.13927574367090775</v>
      </c>
      <c r="O404">
        <f t="shared" si="66"/>
        <v>0.1383895347476008</v>
      </c>
      <c r="P404">
        <f t="shared" si="66"/>
        <v>0.13792970501281965</v>
      </c>
      <c r="R404" s="42">
        <f t="shared" si="67"/>
        <v>5.3186030721693811E-2</v>
      </c>
      <c r="S404" s="42">
        <f t="shared" si="68"/>
        <v>0.44310446165347905</v>
      </c>
      <c r="T404" s="42">
        <f t="shared" si="69"/>
        <v>9.1965946956229505E-2</v>
      </c>
    </row>
    <row r="405" spans="1:20">
      <c r="A405">
        <v>761</v>
      </c>
      <c r="B405" s="1355">
        <v>1.550236E-4</v>
      </c>
      <c r="C405" s="1355">
        <v>5.5981869999999998E-5</v>
      </c>
      <c r="D405" s="1355">
        <v>0</v>
      </c>
      <c r="F405" s="1355">
        <f t="shared" si="60"/>
        <v>1.5314145772463898E-4</v>
      </c>
      <c r="G405" s="1355">
        <f t="shared" si="61"/>
        <v>5.4937079302329995E-5</v>
      </c>
      <c r="H405" s="1355">
        <f t="shared" si="62"/>
        <v>-1.7344613326099998E-7</v>
      </c>
      <c r="J405">
        <f t="shared" si="63"/>
        <v>1.6112182154580257E-4</v>
      </c>
      <c r="K405">
        <f t="shared" si="64"/>
        <v>5.4937079302329995E-5</v>
      </c>
      <c r="L405">
        <f t="shared" si="65"/>
        <v>-1.5929588022097111E-7</v>
      </c>
      <c r="N405">
        <f t="shared" si="66"/>
        <v>0.13918569010713577</v>
      </c>
      <c r="O405">
        <f t="shared" si="66"/>
        <v>0.13835882951928585</v>
      </c>
      <c r="P405">
        <f t="shared" si="66"/>
        <v>0.13792979404573935</v>
      </c>
      <c r="R405" s="42">
        <f t="shared" si="67"/>
        <v>4.9624224237160064E-2</v>
      </c>
      <c r="S405" s="42">
        <f t="shared" si="68"/>
        <v>0.41343029392496011</v>
      </c>
      <c r="T405" s="42">
        <f t="shared" si="69"/>
        <v>8.5807094709300369E-2</v>
      </c>
    </row>
    <row r="406" spans="1:20">
      <c r="A406">
        <v>762</v>
      </c>
      <c r="B406" s="1355">
        <v>1.4462190000000001E-4</v>
      </c>
      <c r="C406" s="1355">
        <v>5.2225599999999997E-5</v>
      </c>
      <c r="D406" s="1355">
        <v>0</v>
      </c>
      <c r="F406" s="1355">
        <f t="shared" si="60"/>
        <v>1.4286604499395998E-4</v>
      </c>
      <c r="G406" s="1355">
        <f t="shared" si="61"/>
        <v>5.1250911782719996E-5</v>
      </c>
      <c r="H406" s="1355">
        <f t="shared" si="62"/>
        <v>-1.6180849633E-7</v>
      </c>
      <c r="J406">
        <f t="shared" si="63"/>
        <v>1.5031094615712226E-4</v>
      </c>
      <c r="K406">
        <f t="shared" si="64"/>
        <v>5.1250911782719996E-5</v>
      </c>
      <c r="L406">
        <f t="shared" si="65"/>
        <v>-1.4860767643250094E-7</v>
      </c>
      <c r="N406">
        <f t="shared" si="66"/>
        <v>0.13910150582048414</v>
      </c>
      <c r="O406">
        <f t="shared" si="66"/>
        <v>0.13833012533281067</v>
      </c>
      <c r="P406">
        <f t="shared" si="66"/>
        <v>0.13792987727478223</v>
      </c>
      <c r="R406" s="42">
        <f t="shared" si="67"/>
        <v>4.6294538606037605E-2</v>
      </c>
      <c r="S406" s="42">
        <f t="shared" si="68"/>
        <v>0.38569024383673656</v>
      </c>
      <c r="T406" s="42">
        <f t="shared" si="69"/>
        <v>8.0049611605687021E-2</v>
      </c>
    </row>
    <row r="407" spans="1:20">
      <c r="A407">
        <v>763</v>
      </c>
      <c r="B407" s="1355">
        <v>1.3490980000000001E-4</v>
      </c>
      <c r="C407" s="1355">
        <v>4.8718399999999998E-5</v>
      </c>
      <c r="D407" s="1355">
        <v>0</v>
      </c>
      <c r="F407" s="1355">
        <f t="shared" si="60"/>
        <v>1.3327185951975999E-4</v>
      </c>
      <c r="G407" s="1355">
        <f t="shared" si="61"/>
        <v>4.7809167330239999E-5</v>
      </c>
      <c r="H407" s="1355">
        <f t="shared" si="62"/>
        <v>-1.5094211982000001E-7</v>
      </c>
      <c r="J407">
        <f t="shared" si="63"/>
        <v>1.402167974999316E-4</v>
      </c>
      <c r="K407">
        <f t="shared" si="64"/>
        <v>4.7809167330239999E-5</v>
      </c>
      <c r="L407">
        <f t="shared" si="65"/>
        <v>-1.3862781133877648E-7</v>
      </c>
      <c r="N407">
        <f t="shared" si="66"/>
        <v>0.13902290268489059</v>
      </c>
      <c r="O407">
        <f t="shared" si="66"/>
        <v>0.1383033244687592</v>
      </c>
      <c r="P407">
        <f t="shared" si="66"/>
        <v>0.13792995498799174</v>
      </c>
      <c r="R407" s="42">
        <f t="shared" si="67"/>
        <v>4.3185638376066038E-2</v>
      </c>
      <c r="S407" s="42">
        <f t="shared" si="68"/>
        <v>0.35978910806569453</v>
      </c>
      <c r="T407" s="42">
        <f t="shared" si="69"/>
        <v>7.467389615349318E-2</v>
      </c>
    </row>
    <row r="408" spans="1:20">
      <c r="A408">
        <v>764</v>
      </c>
      <c r="B408" s="1355">
        <v>1.25852E-4</v>
      </c>
      <c r="C408" s="1355">
        <v>4.5447469999999999E-5</v>
      </c>
      <c r="D408" s="1355">
        <v>0</v>
      </c>
      <c r="F408" s="1355">
        <f t="shared" si="60"/>
        <v>1.24324030255999E-4</v>
      </c>
      <c r="G408" s="1355">
        <f t="shared" si="61"/>
        <v>4.4599283032249999E-5</v>
      </c>
      <c r="H408" s="1355">
        <f t="shared" si="62"/>
        <v>-1.4080786434099999E-7</v>
      </c>
      <c r="J408">
        <f t="shared" si="63"/>
        <v>1.3080268736098878E-4</v>
      </c>
      <c r="K408">
        <f t="shared" si="64"/>
        <v>4.4599283032249999E-5</v>
      </c>
      <c r="L408">
        <f t="shared" si="65"/>
        <v>-1.2932033865800905E-7</v>
      </c>
      <c r="N408">
        <f t="shared" si="66"/>
        <v>0.13894959500923865</v>
      </c>
      <c r="O408">
        <f t="shared" si="66"/>
        <v>0.13827832909973076</v>
      </c>
      <c r="P408">
        <f t="shared" si="66"/>
        <v>0.13793002746528149</v>
      </c>
      <c r="R408" s="42">
        <f t="shared" si="67"/>
        <v>4.028617556876668E-2</v>
      </c>
      <c r="S408" s="42">
        <f t="shared" si="68"/>
        <v>0.33563295475394495</v>
      </c>
      <c r="T408" s="42">
        <f t="shared" si="69"/>
        <v>6.9660326889853241E-2</v>
      </c>
    </row>
    <row r="409" spans="1:20">
      <c r="A409">
        <v>765</v>
      </c>
      <c r="B409" s="1355">
        <v>1.17413E-4</v>
      </c>
      <c r="C409" s="1355">
        <v>4.2400000000000001E-5</v>
      </c>
      <c r="D409" s="1355">
        <v>0</v>
      </c>
      <c r="F409" s="1355">
        <f t="shared" si="60"/>
        <v>1.159874881388E-4</v>
      </c>
      <c r="G409" s="1355">
        <f t="shared" si="61"/>
        <v>4.1608688294400003E-5</v>
      </c>
      <c r="H409" s="1355">
        <f t="shared" si="62"/>
        <v>-1.313659455E-7</v>
      </c>
      <c r="J409">
        <f t="shared" si="63"/>
        <v>1.2203171919029531E-4</v>
      </c>
      <c r="K409">
        <f t="shared" si="64"/>
        <v>4.1608688294400003E-5</v>
      </c>
      <c r="L409">
        <f t="shared" si="65"/>
        <v>-1.2064871972667909E-7</v>
      </c>
      <c r="N409">
        <f t="shared" si="66"/>
        <v>0.13888129548009345</v>
      </c>
      <c r="O409">
        <f t="shared" si="66"/>
        <v>0.13825504133850711</v>
      </c>
      <c r="P409">
        <f t="shared" si="66"/>
        <v>0.13793009499117811</v>
      </c>
      <c r="R409" s="42">
        <f t="shared" si="67"/>
        <v>3.7584795266823789E-2</v>
      </c>
      <c r="S409" s="42">
        <f t="shared" si="68"/>
        <v>0.31312707079317326</v>
      </c>
      <c r="T409" s="42">
        <f t="shared" si="69"/>
        <v>6.4989269465798305E-2</v>
      </c>
    </row>
    <row r="410" spans="1:20">
      <c r="A410">
        <v>766</v>
      </c>
      <c r="B410" s="1355">
        <v>1.095515E-4</v>
      </c>
      <c r="C410" s="1355">
        <v>3.9561039999999999E-5</v>
      </c>
      <c r="D410" s="1355">
        <v>0</v>
      </c>
      <c r="F410" s="1355">
        <f t="shared" si="60"/>
        <v>1.08221434848368E-4</v>
      </c>
      <c r="G410" s="1355">
        <f t="shared" si="61"/>
        <v>3.8822710902000003E-5</v>
      </c>
      <c r="H410" s="1355">
        <f t="shared" si="62"/>
        <v>-1.2257039776200003E-7</v>
      </c>
      <c r="J410">
        <f t="shared" si="63"/>
        <v>1.1386096862433112E-4</v>
      </c>
      <c r="K410">
        <f t="shared" si="64"/>
        <v>3.8822710902000003E-5</v>
      </c>
      <c r="L410">
        <f t="shared" si="65"/>
        <v>-1.125707390152733E-7</v>
      </c>
      <c r="N410">
        <f t="shared" si="66"/>
        <v>0.13881766984543628</v>
      </c>
      <c r="O410">
        <f t="shared" si="66"/>
        <v>0.13823334693255249</v>
      </c>
      <c r="P410">
        <f t="shared" si="66"/>
        <v>0.1379301578944139</v>
      </c>
      <c r="R410" s="42">
        <f t="shared" si="67"/>
        <v>3.5068244176088115E-2</v>
      </c>
      <c r="S410" s="42">
        <f t="shared" si="68"/>
        <v>0.29216145644189728</v>
      </c>
      <c r="T410" s="42">
        <f t="shared" si="69"/>
        <v>6.0637807627716978E-2</v>
      </c>
    </row>
    <row r="411" spans="1:20">
      <c r="A411">
        <v>767</v>
      </c>
      <c r="B411" s="1355">
        <v>1.022245E-4</v>
      </c>
      <c r="C411" s="1355">
        <v>3.6915120000000003E-5</v>
      </c>
      <c r="D411" s="1355">
        <v>0</v>
      </c>
      <c r="F411" s="1355">
        <f t="shared" si="60"/>
        <v>1.0098339203150399E-4</v>
      </c>
      <c r="G411" s="1355">
        <f t="shared" si="61"/>
        <v>3.6226171562000001E-5</v>
      </c>
      <c r="H411" s="1355">
        <f t="shared" si="62"/>
        <v>-1.1437271788599995E-7</v>
      </c>
      <c r="J411">
        <f t="shared" si="63"/>
        <v>1.0624574371784905E-4</v>
      </c>
      <c r="K411">
        <f t="shared" si="64"/>
        <v>3.6226171562000001E-5</v>
      </c>
      <c r="L411">
        <f t="shared" si="65"/>
        <v>-1.0504185032190512E-7</v>
      </c>
      <c r="N411">
        <f t="shared" si="66"/>
        <v>0.13875837008908951</v>
      </c>
      <c r="O411">
        <f t="shared" si="66"/>
        <v>0.13821312768071192</v>
      </c>
      <c r="P411">
        <f t="shared" si="66"/>
        <v>0.13793021652187015</v>
      </c>
      <c r="R411" s="42">
        <f t="shared" si="67"/>
        <v>3.2722810962582116E-2</v>
      </c>
      <c r="S411" s="42">
        <f t="shared" si="68"/>
        <v>0.27262120418879154</v>
      </c>
      <c r="T411" s="42">
        <f t="shared" si="69"/>
        <v>5.6582231768353974E-2</v>
      </c>
    </row>
    <row r="412" spans="1:20">
      <c r="A412">
        <v>768</v>
      </c>
      <c r="B412" s="1355">
        <v>9.5394450000000006E-5</v>
      </c>
      <c r="C412" s="1355">
        <v>3.444868E-5</v>
      </c>
      <c r="D412" s="1355">
        <v>0</v>
      </c>
      <c r="F412" s="1355">
        <f t="shared" si="60"/>
        <v>9.4236265582976005E-5</v>
      </c>
      <c r="G412" s="1355">
        <f t="shared" si="61"/>
        <v>3.380576334476E-5</v>
      </c>
      <c r="H412" s="1355">
        <f t="shared" si="62"/>
        <v>-1.0673089357899997E-7</v>
      </c>
      <c r="J412">
        <f t="shared" si="63"/>
        <v>9.9147017352442472E-5</v>
      </c>
      <c r="K412">
        <f t="shared" si="64"/>
        <v>3.380576334476E-5</v>
      </c>
      <c r="L412">
        <f t="shared" si="65"/>
        <v>-9.8023468841784275E-8</v>
      </c>
      <c r="N412">
        <f t="shared" si="66"/>
        <v>0.13870309230688208</v>
      </c>
      <c r="O412">
        <f t="shared" si="66"/>
        <v>0.13819427996192427</v>
      </c>
      <c r="P412">
        <f t="shared" si="66"/>
        <v>0.13793027117400675</v>
      </c>
      <c r="R412" s="42">
        <f t="shared" si="67"/>
        <v>3.053647558321515E-2</v>
      </c>
      <c r="S412" s="42">
        <f t="shared" si="68"/>
        <v>0.25440617247890485</v>
      </c>
      <c r="T412" s="42">
        <f t="shared" si="69"/>
        <v>5.2801757583503806E-2</v>
      </c>
    </row>
    <row r="413" spans="1:20">
      <c r="A413">
        <v>769</v>
      </c>
      <c r="B413" s="1355">
        <v>8.90239E-5</v>
      </c>
      <c r="C413" s="1355">
        <v>3.2148160000000002E-5</v>
      </c>
      <c r="D413" s="1355">
        <v>0</v>
      </c>
      <c r="F413" s="1355">
        <f t="shared" si="60"/>
        <v>8.7943060442311998E-5</v>
      </c>
      <c r="G413" s="1355">
        <f t="shared" si="61"/>
        <v>3.1548178083520007E-5</v>
      </c>
      <c r="H413" s="1355">
        <f t="shared" si="62"/>
        <v>-9.9603268897999967E-8</v>
      </c>
      <c r="J413">
        <f t="shared" si="63"/>
        <v>9.2525866615792175E-5</v>
      </c>
      <c r="K413">
        <f t="shared" si="64"/>
        <v>3.1548178083520007E-5</v>
      </c>
      <c r="L413">
        <f t="shared" si="65"/>
        <v>-9.1477337048023999E-8</v>
      </c>
      <c r="N413">
        <f t="shared" si="66"/>
        <v>0.13865153340609579</v>
      </c>
      <c r="O413">
        <f t="shared" si="66"/>
        <v>0.13817670014549499</v>
      </c>
      <c r="P413">
        <f t="shared" si="66"/>
        <v>0.13793032214873502</v>
      </c>
      <c r="R413" s="42">
        <f t="shared" si="67"/>
        <v>2.8497216877418907E-2</v>
      </c>
      <c r="S413" s="42">
        <f t="shared" si="68"/>
        <v>0.23741663030039939</v>
      </c>
      <c r="T413" s="42">
        <f t="shared" si="69"/>
        <v>4.9275599351994437E-2</v>
      </c>
    </row>
    <row r="414" spans="1:20">
      <c r="A414">
        <v>770</v>
      </c>
      <c r="B414" s="1355">
        <v>8.3075270000000005E-5</v>
      </c>
      <c r="C414" s="1355">
        <v>3.0000000000000001E-5</v>
      </c>
      <c r="D414" s="1355">
        <v>0</v>
      </c>
      <c r="F414" s="1355">
        <f t="shared" si="60"/>
        <v>8.2066652790851996E-5</v>
      </c>
      <c r="G414" s="1355">
        <f t="shared" si="61"/>
        <v>2.9440109219776001E-5</v>
      </c>
      <c r="H414" s="1355">
        <f t="shared" si="62"/>
        <v>-9.2947724644999996E-8</v>
      </c>
      <c r="J414">
        <f t="shared" si="63"/>
        <v>8.6343233127665254E-5</v>
      </c>
      <c r="K414">
        <f t="shared" si="64"/>
        <v>2.9440109219776001E-5</v>
      </c>
      <c r="L414">
        <f t="shared" si="65"/>
        <v>-8.5364771952462728E-8</v>
      </c>
      <c r="N414">
        <f t="shared" si="66"/>
        <v>0.13860338923912374</v>
      </c>
      <c r="O414">
        <f t="shared" si="66"/>
        <v>0.13816028461325303</v>
      </c>
      <c r="P414">
        <f t="shared" si="66"/>
        <v>0.13793036974727943</v>
      </c>
      <c r="R414" s="42">
        <f t="shared" si="67"/>
        <v>2.6593015137351017E-2</v>
      </c>
      <c r="S414" s="42">
        <f t="shared" si="68"/>
        <v>0.22155231293535804</v>
      </c>
      <c r="T414" s="42">
        <f t="shared" si="69"/>
        <v>4.5982973194719223E-2</v>
      </c>
    </row>
    <row r="415" spans="1:20">
      <c r="A415">
        <v>771</v>
      </c>
      <c r="B415" s="1355">
        <v>7.7512689999999993E-5</v>
      </c>
      <c r="C415" s="1355">
        <v>2.7991250000000001E-5</v>
      </c>
      <c r="D415" s="1355">
        <v>0</v>
      </c>
      <c r="F415" s="1355">
        <f t="shared" si="60"/>
        <v>7.6571608102668991E-5</v>
      </c>
      <c r="G415" s="1355">
        <f t="shared" si="61"/>
        <v>2.7468848553222E-5</v>
      </c>
      <c r="H415" s="1355">
        <f t="shared" si="62"/>
        <v>-8.6724105689999987E-8</v>
      </c>
      <c r="J415">
        <f t="shared" si="63"/>
        <v>8.0561835831398143E-5</v>
      </c>
      <c r="K415">
        <f t="shared" si="64"/>
        <v>2.7468848553222E-5</v>
      </c>
      <c r="L415">
        <f t="shared" si="65"/>
        <v>-7.964889440041144E-8</v>
      </c>
      <c r="N415">
        <f t="shared" si="66"/>
        <v>0.13855836949837771</v>
      </c>
      <c r="O415">
        <f t="shared" si="66"/>
        <v>0.13814493440644257</v>
      </c>
      <c r="P415">
        <f t="shared" si="66"/>
        <v>0.13793041425681793</v>
      </c>
      <c r="R415" s="42">
        <f t="shared" si="67"/>
        <v>2.4812391147339241E-2</v>
      </c>
      <c r="S415" s="42">
        <f t="shared" si="68"/>
        <v>0.20671754596757186</v>
      </c>
      <c r="T415" s="42">
        <f t="shared" si="69"/>
        <v>4.2904029924928366E-2</v>
      </c>
    </row>
    <row r="416" spans="1:20">
      <c r="A416">
        <v>772</v>
      </c>
      <c r="B416" s="1355">
        <v>7.231304E-5</v>
      </c>
      <c r="C416" s="1355">
        <v>2.6113560000000001E-5</v>
      </c>
      <c r="D416" s="1355">
        <v>0</v>
      </c>
      <c r="F416" s="1355">
        <f t="shared" si="60"/>
        <v>7.1435087084556007E-5</v>
      </c>
      <c r="G416" s="1355">
        <f t="shared" si="61"/>
        <v>2.5626201887752001E-5</v>
      </c>
      <c r="H416" s="1355">
        <f t="shared" si="62"/>
        <v>-8.0906550907999977E-8</v>
      </c>
      <c r="J416">
        <f t="shared" si="63"/>
        <v>7.5157645253985929E-5</v>
      </c>
      <c r="K416">
        <f t="shared" si="64"/>
        <v>2.5626201887752001E-5</v>
      </c>
      <c r="L416">
        <f t="shared" si="65"/>
        <v>-7.4305953094606121E-8</v>
      </c>
      <c r="N416">
        <f t="shared" si="66"/>
        <v>0.13851628706635141</v>
      </c>
      <c r="O416">
        <f t="shared" si="66"/>
        <v>0.13813058571685854</v>
      </c>
      <c r="P416">
        <f t="shared" si="66"/>
        <v>0.13793045586230188</v>
      </c>
      <c r="R416" s="42">
        <f t="shared" si="67"/>
        <v>2.3147943155592543E-2</v>
      </c>
      <c r="S416" s="42">
        <f t="shared" si="68"/>
        <v>0.19285067474643369</v>
      </c>
      <c r="T416" s="42">
        <f t="shared" si="69"/>
        <v>4.0025970911333753E-2</v>
      </c>
    </row>
    <row r="417" spans="1:20">
      <c r="A417">
        <v>773</v>
      </c>
      <c r="B417" s="1355">
        <v>6.7457780000000002E-5</v>
      </c>
      <c r="C417" s="1355">
        <v>2.436024E-5</v>
      </c>
      <c r="D417" s="1355">
        <v>0</v>
      </c>
      <c r="F417" s="1355">
        <f t="shared" si="60"/>
        <v>6.6638774793936008E-5</v>
      </c>
      <c r="G417" s="1355">
        <f t="shared" si="61"/>
        <v>2.3905604254864002E-5</v>
      </c>
      <c r="H417" s="1355">
        <f t="shared" si="62"/>
        <v>-7.5474282302000011E-8</v>
      </c>
      <c r="J417">
        <f t="shared" si="63"/>
        <v>7.0111392041764605E-5</v>
      </c>
      <c r="K417">
        <f t="shared" si="64"/>
        <v>2.3905604254864002E-5</v>
      </c>
      <c r="L417">
        <f t="shared" si="65"/>
        <v>-6.931686516903466E-8</v>
      </c>
      <c r="N417">
        <f t="shared" si="66"/>
        <v>0.13847699189258783</v>
      </c>
      <c r="O417">
        <f t="shared" si="66"/>
        <v>0.13811718742309123</v>
      </c>
      <c r="P417">
        <f t="shared" si="66"/>
        <v>0.13793049471232954</v>
      </c>
      <c r="R417" s="42">
        <f t="shared" si="67"/>
        <v>2.1593741078582696E-2</v>
      </c>
      <c r="S417" s="42">
        <f t="shared" si="68"/>
        <v>0.17990223474829981</v>
      </c>
      <c r="T417" s="42">
        <f t="shared" si="69"/>
        <v>3.7338542152337562E-2</v>
      </c>
    </row>
    <row r="418" spans="1:20">
      <c r="A418">
        <v>774</v>
      </c>
      <c r="B418" s="1355">
        <v>6.2928439999999995E-5</v>
      </c>
      <c r="C418" s="1355">
        <v>2.272461E-5</v>
      </c>
      <c r="D418" s="1355">
        <v>0</v>
      </c>
      <c r="F418" s="1355">
        <f t="shared" si="60"/>
        <v>6.2164425547880987E-5</v>
      </c>
      <c r="G418" s="1355">
        <f t="shared" si="61"/>
        <v>2.2300499976022003E-5</v>
      </c>
      <c r="H418" s="1355">
        <f t="shared" si="62"/>
        <v>-7.040670362299997E-8</v>
      </c>
      <c r="J418">
        <f t="shared" si="63"/>
        <v>6.5403879709912972E-5</v>
      </c>
      <c r="K418">
        <f t="shared" si="64"/>
        <v>2.2300499976022003E-5</v>
      </c>
      <c r="L418">
        <f t="shared" si="65"/>
        <v>-6.4662714678140728E-8</v>
      </c>
      <c r="N418">
        <f t="shared" si="66"/>
        <v>0.13844033449405971</v>
      </c>
      <c r="O418">
        <f t="shared" si="66"/>
        <v>0.13810468847607191</v>
      </c>
      <c r="P418">
        <f t="shared" si="66"/>
        <v>0.13793053095419941</v>
      </c>
      <c r="R418" s="42">
        <f t="shared" si="67"/>
        <v>2.0143863224340919E-2</v>
      </c>
      <c r="S418" s="42">
        <f t="shared" si="68"/>
        <v>0.16782300899390035</v>
      </c>
      <c r="T418" s="42">
        <f t="shared" si="69"/>
        <v>3.4831504374499556E-2</v>
      </c>
    </row>
    <row r="419" spans="1:20">
      <c r="A419">
        <v>775</v>
      </c>
      <c r="B419" s="1355">
        <v>5.8706519999999999E-5</v>
      </c>
      <c r="C419" s="1355">
        <v>2.12E-5</v>
      </c>
      <c r="D419" s="1355">
        <v>0</v>
      </c>
      <c r="F419" s="1355">
        <f t="shared" si="60"/>
        <v>5.7993763878351996E-5</v>
      </c>
      <c r="G419" s="1355">
        <f t="shared" si="61"/>
        <v>2.0804343899776003E-5</v>
      </c>
      <c r="H419" s="1355">
        <f t="shared" si="62"/>
        <v>-6.5683044020000004E-8</v>
      </c>
      <c r="J419">
        <f t="shared" si="63"/>
        <v>6.1015880436365162E-5</v>
      </c>
      <c r="K419">
        <f t="shared" si="64"/>
        <v>2.0804343899776003E-5</v>
      </c>
      <c r="L419">
        <f t="shared" si="65"/>
        <v>-6.0324425318920317E-8</v>
      </c>
      <c r="N419">
        <f t="shared" si="66"/>
        <v>0.13840616514371659</v>
      </c>
      <c r="O419">
        <f t="shared" si="66"/>
        <v>0.13809303790870617</v>
      </c>
      <c r="P419">
        <f t="shared" si="66"/>
        <v>0.13793056473645865</v>
      </c>
      <c r="R419" s="42">
        <f t="shared" si="67"/>
        <v>1.879239740991423E-2</v>
      </c>
      <c r="S419" s="42">
        <f t="shared" si="68"/>
        <v>0.15656361750521208</v>
      </c>
      <c r="T419" s="42">
        <f t="shared" si="69"/>
        <v>3.2494634449503623E-2</v>
      </c>
    </row>
    <row r="420" spans="1:20">
      <c r="A420">
        <v>776</v>
      </c>
      <c r="B420" s="1355">
        <v>5.4770279999999998E-5</v>
      </c>
      <c r="C420" s="1355">
        <v>1.9778550000000001E-5</v>
      </c>
      <c r="D420" s="1355">
        <v>0</v>
      </c>
      <c r="F420" s="1355">
        <f t="shared" si="60"/>
        <v>5.4105313797362997E-5</v>
      </c>
      <c r="G420" s="1355">
        <f t="shared" si="61"/>
        <v>1.9409422399314002E-5</v>
      </c>
      <c r="H420" s="1355">
        <f t="shared" si="62"/>
        <v>-6.1279042844999985E-8</v>
      </c>
      <c r="J420">
        <f t="shared" si="63"/>
        <v>5.6924799096618512E-5</v>
      </c>
      <c r="K420">
        <f t="shared" si="64"/>
        <v>1.9409422399314002E-5</v>
      </c>
      <c r="L420">
        <f t="shared" si="65"/>
        <v>-5.6279715699420466E-8</v>
      </c>
      <c r="N420">
        <f t="shared" si="66"/>
        <v>0.138374307893324</v>
      </c>
      <c r="O420">
        <f t="shared" si="66"/>
        <v>0.13808217565498207</v>
      </c>
      <c r="P420">
        <f t="shared" si="66"/>
        <v>0.13793059623261247</v>
      </c>
      <c r="R420" s="42">
        <f t="shared" si="67"/>
        <v>1.7532375977921788E-2</v>
      </c>
      <c r="S420" s="42">
        <f t="shared" si="68"/>
        <v>0.14606611917096501</v>
      </c>
      <c r="T420" s="42">
        <f t="shared" si="69"/>
        <v>3.0315884473919308E-2</v>
      </c>
    </row>
    <row r="421" spans="1:20">
      <c r="A421">
        <v>777</v>
      </c>
      <c r="B421" s="1355">
        <v>5.1099179999999999E-5</v>
      </c>
      <c r="C421" s="1355">
        <v>1.8452850000000001E-5</v>
      </c>
      <c r="D421" s="1355">
        <v>0</v>
      </c>
      <c r="F421" s="1355">
        <f t="shared" si="60"/>
        <v>5.0478784628312999E-5</v>
      </c>
      <c r="G421" s="1355">
        <f t="shared" si="61"/>
        <v>1.8108464020134E-5</v>
      </c>
      <c r="H421" s="1355">
        <f t="shared" si="62"/>
        <v>-5.7171669284999979E-8</v>
      </c>
      <c r="J421">
        <f t="shared" si="63"/>
        <v>5.3109287645389118E-5</v>
      </c>
      <c r="K421">
        <f t="shared" si="64"/>
        <v>1.8108464020134E-5</v>
      </c>
      <c r="L421">
        <f t="shared" si="65"/>
        <v>-5.2507433929079818E-8</v>
      </c>
      <c r="N421">
        <f t="shared" si="66"/>
        <v>0.13834459650565326</v>
      </c>
      <c r="O421">
        <f t="shared" si="66"/>
        <v>0.1380720450920834</v>
      </c>
      <c r="P421">
        <f t="shared" si="66"/>
        <v>0.1379306256073706</v>
      </c>
      <c r="R421" s="42">
        <f t="shared" si="67"/>
        <v>1.635723068167394E-2</v>
      </c>
      <c r="S421" s="42">
        <f t="shared" si="68"/>
        <v>0.1362757067849274</v>
      </c>
      <c r="T421" s="42">
        <f t="shared" si="69"/>
        <v>2.8283896942560283E-2</v>
      </c>
    </row>
    <row r="422" spans="1:20">
      <c r="A422">
        <v>778</v>
      </c>
      <c r="B422" s="1355">
        <v>4.7676539999999999E-5</v>
      </c>
      <c r="C422" s="1355">
        <v>1.7216869999999999E-5</v>
      </c>
      <c r="D422" s="1355">
        <v>0</v>
      </c>
      <c r="F422" s="1355">
        <f t="shared" si="60"/>
        <v>4.7097698930082999E-5</v>
      </c>
      <c r="G422" s="1355">
        <f t="shared" si="61"/>
        <v>1.6895551076002E-5</v>
      </c>
      <c r="H422" s="1355">
        <f t="shared" si="62"/>
        <v>-5.3342305451000003E-8</v>
      </c>
      <c r="J422">
        <f t="shared" si="63"/>
        <v>4.9552009984621287E-5</v>
      </c>
      <c r="K422">
        <f t="shared" si="64"/>
        <v>1.6895551076002E-5</v>
      </c>
      <c r="L422">
        <f t="shared" si="65"/>
        <v>-4.8990481021830774E-8</v>
      </c>
      <c r="N422">
        <f t="shared" si="66"/>
        <v>0.13831689598450886</v>
      </c>
      <c r="O422">
        <f t="shared" si="66"/>
        <v>0.13806260013898744</v>
      </c>
      <c r="P422">
        <f t="shared" si="66"/>
        <v>0.13793065299388291</v>
      </c>
      <c r="R422" s="42">
        <f t="shared" si="67"/>
        <v>1.5261616122543842E-2</v>
      </c>
      <c r="S422" s="42">
        <f t="shared" si="68"/>
        <v>0.12714792276070919</v>
      </c>
      <c r="T422" s="42">
        <f t="shared" si="69"/>
        <v>2.6389429020906574E-2</v>
      </c>
    </row>
    <row r="423" spans="1:20">
      <c r="A423">
        <v>779</v>
      </c>
      <c r="B423" s="1355">
        <v>4.4485669999999998E-5</v>
      </c>
      <c r="C423" s="1355">
        <v>1.6064590000000001E-5</v>
      </c>
      <c r="D423" s="1355">
        <v>0</v>
      </c>
      <c r="F423" s="1355">
        <f t="shared" si="60"/>
        <v>4.3945569285394995E-5</v>
      </c>
      <c r="G423" s="1355">
        <f t="shared" si="61"/>
        <v>1.5764776160346003E-5</v>
      </c>
      <c r="H423" s="1355">
        <f t="shared" si="62"/>
        <v>-4.9772230121999986E-8</v>
      </c>
      <c r="J423">
        <f t="shared" si="63"/>
        <v>4.6235619520232092E-5</v>
      </c>
      <c r="K423">
        <f t="shared" si="64"/>
        <v>1.5764776160346003E-5</v>
      </c>
      <c r="L423">
        <f t="shared" si="65"/>
        <v>-4.5711663089738516E-8</v>
      </c>
      <c r="N423">
        <f t="shared" si="66"/>
        <v>0.13829107125196266</v>
      </c>
      <c r="O423">
        <f t="shared" si="66"/>
        <v>0.13805379479471924</v>
      </c>
      <c r="P423">
        <f t="shared" si="66"/>
        <v>0.13793067852603813</v>
      </c>
      <c r="R423" s="42">
        <f t="shared" si="67"/>
        <v>1.424019618743344E-2</v>
      </c>
      <c r="S423" s="42">
        <f t="shared" si="68"/>
        <v>0.11863822862170914</v>
      </c>
      <c r="T423" s="42">
        <f t="shared" si="69"/>
        <v>2.4623253736222317E-2</v>
      </c>
    </row>
    <row r="424" spans="1:20">
      <c r="A424">
        <v>780</v>
      </c>
      <c r="B424" s="1355">
        <v>4.1509940000000003E-5</v>
      </c>
      <c r="C424" s="1355">
        <v>1.499E-5</v>
      </c>
      <c r="D424" s="1355">
        <v>0</v>
      </c>
      <c r="F424" s="1355">
        <f t="shared" si="60"/>
        <v>4.1005967632144005E-5</v>
      </c>
      <c r="G424" s="1355">
        <f t="shared" si="61"/>
        <v>1.4710241280272E-5</v>
      </c>
      <c r="H424" s="1355">
        <f t="shared" si="62"/>
        <v>-4.644286819000001E-8</v>
      </c>
      <c r="J424">
        <f t="shared" si="63"/>
        <v>4.3142832106372638E-5</v>
      </c>
      <c r="K424">
        <f t="shared" si="64"/>
        <v>1.4710241280272E-5</v>
      </c>
      <c r="L424">
        <f t="shared" si="65"/>
        <v>-4.2653920437533877E-8</v>
      </c>
      <c r="N424">
        <f t="shared" si="66"/>
        <v>0.13826698771637094</v>
      </c>
      <c r="O424">
        <f t="shared" si="66"/>
        <v>0.13804558313160809</v>
      </c>
      <c r="P424">
        <f t="shared" si="66"/>
        <v>0.13793070233668017</v>
      </c>
      <c r="R424" s="42">
        <f t="shared" si="67"/>
        <v>1.3287643266536975E-2</v>
      </c>
      <c r="S424" s="42">
        <f t="shared" si="68"/>
        <v>0.11070229238142881</v>
      </c>
      <c r="T424" s="42">
        <f t="shared" si="69"/>
        <v>2.2976158985582584E-2</v>
      </c>
    </row>
    <row r="425" spans="1:20">
      <c r="A425">
        <v>781</v>
      </c>
      <c r="B425" s="1355">
        <v>3.873324E-5</v>
      </c>
      <c r="C425" s="1355">
        <v>1.3987279999999999E-5</v>
      </c>
      <c r="D425" s="1355">
        <v>0</v>
      </c>
      <c r="F425" s="1355">
        <f t="shared" si="60"/>
        <v>3.8262979578999995E-5</v>
      </c>
      <c r="G425" s="1355">
        <f t="shared" si="61"/>
        <v>1.3726234972912E-5</v>
      </c>
      <c r="H425" s="1355">
        <f t="shared" si="62"/>
        <v>-4.3336211323999985E-8</v>
      </c>
      <c r="J425">
        <f t="shared" si="63"/>
        <v>4.0256904035898024E-5</v>
      </c>
      <c r="K425">
        <f t="shared" si="64"/>
        <v>1.3726234972912E-5</v>
      </c>
      <c r="L425">
        <f t="shared" si="65"/>
        <v>-3.9800713907588866E-8</v>
      </c>
      <c r="N425">
        <f t="shared" si="66"/>
        <v>0.13824451499448615</v>
      </c>
      <c r="O425">
        <f t="shared" si="66"/>
        <v>0.13803792067449269</v>
      </c>
      <c r="P425">
        <f t="shared" si="66"/>
        <v>0.13793072455459943</v>
      </c>
      <c r="R425" s="42">
        <f t="shared" si="67"/>
        <v>1.2398798241150644E-2</v>
      </c>
      <c r="S425" s="42">
        <f t="shared" si="68"/>
        <v>0.1032971599967264</v>
      </c>
      <c r="T425" s="42">
        <f t="shared" si="69"/>
        <v>2.1439223978653166E-2</v>
      </c>
    </row>
    <row r="426" spans="1:20">
      <c r="A426">
        <v>782</v>
      </c>
      <c r="B426" s="1355">
        <v>3.6142030000000003E-5</v>
      </c>
      <c r="C426" s="1355">
        <v>1.305155E-5</v>
      </c>
      <c r="D426" s="1355">
        <v>0</v>
      </c>
      <c r="F426" s="1355">
        <f t="shared" si="60"/>
        <v>3.5703229446763001E-5</v>
      </c>
      <c r="G426" s="1355">
        <f t="shared" si="61"/>
        <v>1.2807968640714001E-5</v>
      </c>
      <c r="H426" s="1355">
        <f t="shared" si="62"/>
        <v>-4.0437045869999992E-8</v>
      </c>
      <c r="J426">
        <f t="shared" si="63"/>
        <v>3.7563762608775661E-5</v>
      </c>
      <c r="K426">
        <f t="shared" si="64"/>
        <v>1.2807968640714001E-5</v>
      </c>
      <c r="L426">
        <f t="shared" si="65"/>
        <v>-3.7138071021187872E-8</v>
      </c>
      <c r="N426">
        <f t="shared" si="66"/>
        <v>0.13822354350219315</v>
      </c>
      <c r="O426">
        <f t="shared" si="66"/>
        <v>0.13803077013456386</v>
      </c>
      <c r="P426">
        <f t="shared" si="66"/>
        <v>0.13793074528859958</v>
      </c>
      <c r="R426" s="42">
        <f t="shared" si="67"/>
        <v>1.1569335609408427E-2</v>
      </c>
      <c r="S426" s="42">
        <f t="shared" si="68"/>
        <v>9.6386683814647656E-2</v>
      </c>
      <c r="T426" s="42">
        <f t="shared" si="69"/>
        <v>2.0004969192854993E-2</v>
      </c>
    </row>
    <row r="427" spans="1:20">
      <c r="A427">
        <v>783</v>
      </c>
      <c r="B427" s="1355">
        <v>3.3723519999999998E-5</v>
      </c>
      <c r="C427" s="1355">
        <v>1.217818E-5</v>
      </c>
      <c r="D427" s="1355">
        <v>0</v>
      </c>
      <c r="F427" s="1355">
        <f t="shared" si="60"/>
        <v>3.3314082599857997E-5</v>
      </c>
      <c r="G427" s="1355">
        <f t="shared" si="61"/>
        <v>1.1950898306475999E-5</v>
      </c>
      <c r="H427" s="1355">
        <f t="shared" si="62"/>
        <v>-3.7731138374000006E-8</v>
      </c>
      <c r="J427">
        <f t="shared" si="63"/>
        <v>3.5050114785167331E-5</v>
      </c>
      <c r="K427">
        <f t="shared" si="64"/>
        <v>1.1950898306475999E-5</v>
      </c>
      <c r="L427">
        <f t="shared" si="65"/>
        <v>-3.4652919531974698E-8</v>
      </c>
      <c r="N427">
        <f t="shared" si="66"/>
        <v>0.13820396972659071</v>
      </c>
      <c r="O427">
        <f t="shared" si="66"/>
        <v>0.13802409612787114</v>
      </c>
      <c r="P427">
        <f t="shared" si="66"/>
        <v>0.13793076464047421</v>
      </c>
      <c r="R427" s="42">
        <f t="shared" si="67"/>
        <v>1.0795150833054379E-2</v>
      </c>
      <c r="S427" s="42">
        <f t="shared" si="68"/>
        <v>8.9936799359785491E-2</v>
      </c>
      <c r="T427" s="42">
        <f t="shared" si="69"/>
        <v>1.8666297479386085E-2</v>
      </c>
    </row>
    <row r="428" spans="1:20">
      <c r="A428">
        <v>784</v>
      </c>
      <c r="B428" s="1355">
        <v>3.1464870000000002E-5</v>
      </c>
      <c r="C428" s="1355">
        <v>1.1362539999999999E-5</v>
      </c>
      <c r="D428" s="1355">
        <v>0</v>
      </c>
      <c r="F428" s="1355">
        <f t="shared" si="60"/>
        <v>3.1082854880330003E-5</v>
      </c>
      <c r="G428" s="1355">
        <f t="shared" si="61"/>
        <v>1.1150480611556E-5</v>
      </c>
      <c r="H428" s="1355">
        <f t="shared" si="62"/>
        <v>-3.5204077207000006E-8</v>
      </c>
      <c r="J428">
        <f t="shared" si="63"/>
        <v>3.2702615422191127E-5</v>
      </c>
      <c r="K428">
        <f t="shared" si="64"/>
        <v>1.1150480611556E-5</v>
      </c>
      <c r="L428">
        <f t="shared" si="65"/>
        <v>-3.2332023554641229E-8</v>
      </c>
      <c r="N428">
        <f t="shared" si="66"/>
        <v>0.13818568974905121</v>
      </c>
      <c r="O428">
        <f t="shared" si="66"/>
        <v>0.13801786327528082</v>
      </c>
      <c r="P428">
        <f t="shared" si="66"/>
        <v>0.13793078271329121</v>
      </c>
      <c r="R428" s="42">
        <f t="shared" si="67"/>
        <v>1.0072139932574942E-2</v>
      </c>
      <c r="S428" s="42">
        <f t="shared" si="68"/>
        <v>8.3913236885196918E-2</v>
      </c>
      <c r="T428" s="42">
        <f t="shared" si="69"/>
        <v>1.7416112397922179E-2</v>
      </c>
    </row>
    <row r="429" spans="1:20">
      <c r="A429">
        <v>785</v>
      </c>
      <c r="B429" s="1355">
        <v>2.935326E-5</v>
      </c>
      <c r="C429" s="1355">
        <v>1.06E-5</v>
      </c>
      <c r="D429" s="1355">
        <v>0</v>
      </c>
      <c r="F429" s="1355">
        <f t="shared" si="60"/>
        <v>2.8996881939175998E-5</v>
      </c>
      <c r="G429" s="1355">
        <f t="shared" si="61"/>
        <v>1.0402171949888001E-5</v>
      </c>
      <c r="H429" s="1355">
        <f t="shared" si="62"/>
        <v>-3.2841522010000002E-8</v>
      </c>
      <c r="J429">
        <f t="shared" si="63"/>
        <v>3.0507940218182581E-5</v>
      </c>
      <c r="K429">
        <f t="shared" si="64"/>
        <v>1.0402171949888001E-5</v>
      </c>
      <c r="L429">
        <f t="shared" si="65"/>
        <v>-3.0162212659460158E-8</v>
      </c>
      <c r="N429">
        <f t="shared" si="66"/>
        <v>0.13816859981323762</v>
      </c>
      <c r="O429">
        <f t="shared" si="66"/>
        <v>0.13801203619573241</v>
      </c>
      <c r="P429">
        <f t="shared" si="66"/>
        <v>0.13793079960960863</v>
      </c>
      <c r="R429" s="42">
        <f t="shared" si="67"/>
        <v>9.3961987049588913E-3</v>
      </c>
      <c r="S429" s="42">
        <f t="shared" si="68"/>
        <v>7.8281808752606041E-2</v>
      </c>
      <c r="T429" s="42">
        <f t="shared" si="69"/>
        <v>1.6247317224754587E-2</v>
      </c>
    </row>
    <row r="430" spans="1:20">
      <c r="A430">
        <v>786</v>
      </c>
      <c r="B430" s="1355">
        <v>2.7375730000000002E-5</v>
      </c>
      <c r="C430" s="1355">
        <v>9.8858770000000001E-6</v>
      </c>
      <c r="D430" s="1355">
        <v>0</v>
      </c>
      <c r="F430" s="1355">
        <f t="shared" si="60"/>
        <v>2.7043361144648903E-5</v>
      </c>
      <c r="G430" s="1355">
        <f t="shared" si="61"/>
        <v>9.701376620839E-6</v>
      </c>
      <c r="H430" s="1355">
        <f t="shared" si="62"/>
        <v>-3.0628992328099999E-8</v>
      </c>
      <c r="J430">
        <f t="shared" si="63"/>
        <v>2.8452619382672682E-5</v>
      </c>
      <c r="K430">
        <f t="shared" si="64"/>
        <v>9.701376620839E-6</v>
      </c>
      <c r="L430">
        <f t="shared" si="65"/>
        <v>-2.8130187750245677E-8</v>
      </c>
      <c r="N430">
        <f t="shared" si="66"/>
        <v>0.1381525950298915</v>
      </c>
      <c r="O430">
        <f t="shared" si="66"/>
        <v>0.13800657910250511</v>
      </c>
      <c r="P430">
        <f t="shared" si="66"/>
        <v>0.1379308154329866</v>
      </c>
      <c r="R430" s="42">
        <f t="shared" si="67"/>
        <v>8.7631758905928336E-3</v>
      </c>
      <c r="S430" s="42">
        <f t="shared" si="68"/>
        <v>7.3007963693194622E-2</v>
      </c>
      <c r="T430" s="42">
        <f t="shared" si="69"/>
        <v>1.5152733903700533E-2</v>
      </c>
    </row>
    <row r="431" spans="1:20">
      <c r="A431">
        <v>787</v>
      </c>
      <c r="B431" s="1355">
        <v>2.5524330000000001E-5</v>
      </c>
      <c r="C431" s="1355">
        <v>9.2173039999999999E-6</v>
      </c>
      <c r="D431" s="1355">
        <v>0</v>
      </c>
      <c r="F431" s="1355">
        <f t="shared" si="60"/>
        <v>2.52144389898448E-5</v>
      </c>
      <c r="G431" s="1355">
        <f t="shared" si="61"/>
        <v>9.0452812645839998E-6</v>
      </c>
      <c r="H431" s="1355">
        <f t="shared" si="62"/>
        <v>-2.8557567066199993E-8</v>
      </c>
      <c r="J431">
        <f t="shared" si="63"/>
        <v>2.6528390154181404E-5</v>
      </c>
      <c r="K431">
        <f t="shared" si="64"/>
        <v>9.0452812645839998E-6</v>
      </c>
      <c r="L431">
        <f t="shared" si="65"/>
        <v>-2.6227755541452748E-8</v>
      </c>
      <c r="N431">
        <f t="shared" si="66"/>
        <v>0.13813761105688924</v>
      </c>
      <c r="O431">
        <f t="shared" si="66"/>
        <v>0.13800147008796593</v>
      </c>
      <c r="P431">
        <f t="shared" si="66"/>
        <v>0.13793083024722622</v>
      </c>
      <c r="R431" s="42">
        <f t="shared" si="67"/>
        <v>8.1705302040475658E-3</v>
      </c>
      <c r="S431" s="42">
        <f t="shared" si="68"/>
        <v>6.8070484461654757E-2</v>
      </c>
      <c r="T431" s="42">
        <f t="shared" si="69"/>
        <v>1.412796814794226E-2</v>
      </c>
    </row>
    <row r="432" spans="1:20">
      <c r="A432">
        <v>788</v>
      </c>
      <c r="B432" s="1355">
        <v>2.379376E-5</v>
      </c>
      <c r="C432" s="1355">
        <v>8.5923620000000003E-6</v>
      </c>
      <c r="D432" s="1355">
        <v>0</v>
      </c>
      <c r="F432" s="1355">
        <f t="shared" si="60"/>
        <v>2.3504879858451397E-5</v>
      </c>
      <c r="G432" s="1355">
        <f t="shared" si="61"/>
        <v>8.4320025216780008E-6</v>
      </c>
      <c r="H432" s="1355">
        <f t="shared" si="62"/>
        <v>-2.662135072859999E-8</v>
      </c>
      <c r="J432">
        <f t="shared" si="63"/>
        <v>2.4729744082876257E-5</v>
      </c>
      <c r="K432">
        <f t="shared" si="64"/>
        <v>8.4320025216780008E-6</v>
      </c>
      <c r="L432">
        <f t="shared" si="65"/>
        <v>-2.44495015095102E-8</v>
      </c>
      <c r="N432">
        <f t="shared" si="66"/>
        <v>0.13812360499993198</v>
      </c>
      <c r="O432">
        <f t="shared" si="66"/>
        <v>0.13799669448639493</v>
      </c>
      <c r="P432">
        <f t="shared" si="66"/>
        <v>0.13793084409449036</v>
      </c>
      <c r="R432" s="42">
        <f t="shared" si="67"/>
        <v>7.6165604218125793E-3</v>
      </c>
      <c r="S432" s="42">
        <f t="shared" si="68"/>
        <v>6.3455256768527035E-2</v>
      </c>
      <c r="T432" s="42">
        <f t="shared" si="69"/>
        <v>1.3170078380914108E-2</v>
      </c>
    </row>
    <row r="433" spans="1:20">
      <c r="A433">
        <v>789</v>
      </c>
      <c r="B433" s="1355">
        <v>2.2178700000000002E-5</v>
      </c>
      <c r="C433" s="1355">
        <v>8.0091329999999995E-6</v>
      </c>
      <c r="D433" s="1355">
        <v>0</v>
      </c>
      <c r="F433" s="1355">
        <f t="shared" si="60"/>
        <v>2.1909428318036102E-5</v>
      </c>
      <c r="G433" s="1355">
        <f t="shared" si="61"/>
        <v>7.8596582956949993E-6</v>
      </c>
      <c r="H433" s="1355">
        <f t="shared" si="62"/>
        <v>-2.4814369779900003E-8</v>
      </c>
      <c r="J433">
        <f t="shared" si="63"/>
        <v>2.3051151870165393E-5</v>
      </c>
      <c r="K433">
        <f t="shared" si="64"/>
        <v>7.8596582956949993E-6</v>
      </c>
      <c r="L433">
        <f t="shared" si="65"/>
        <v>-2.278993945785844E-8</v>
      </c>
      <c r="N433">
        <f t="shared" si="66"/>
        <v>0.13811053380237159</v>
      </c>
      <c r="O433">
        <f t="shared" si="66"/>
        <v>0.13799223764190718</v>
      </c>
      <c r="P433">
        <f t="shared" si="66"/>
        <v>0.13793085701750005</v>
      </c>
      <c r="R433" s="42">
        <f t="shared" si="67"/>
        <v>7.0995664612318876E-3</v>
      </c>
      <c r="S433" s="42">
        <f t="shared" si="68"/>
        <v>5.9148080232204747E-2</v>
      </c>
      <c r="T433" s="42">
        <f t="shared" si="69"/>
        <v>1.2276124881427375E-2</v>
      </c>
    </row>
    <row r="434" spans="1:20">
      <c r="A434">
        <v>790</v>
      </c>
      <c r="B434" s="1355">
        <v>2.0673830000000001E-5</v>
      </c>
      <c r="C434" s="1355">
        <v>7.4657000000000004E-6</v>
      </c>
      <c r="D434" s="1355">
        <v>0</v>
      </c>
      <c r="F434" s="1355">
        <f t="shared" si="60"/>
        <v>2.0422828928998002E-5</v>
      </c>
      <c r="G434" s="1355">
        <f t="shared" si="61"/>
        <v>7.3263675058040003E-6</v>
      </c>
      <c r="H434" s="1355">
        <f t="shared" si="62"/>
        <v>-2.3130643914999995E-8</v>
      </c>
      <c r="J434">
        <f t="shared" si="63"/>
        <v>2.1487084209915096E-5</v>
      </c>
      <c r="K434">
        <f t="shared" si="64"/>
        <v>7.3263675058040003E-6</v>
      </c>
      <c r="L434">
        <f t="shared" si="65"/>
        <v>-2.1243576972530145E-8</v>
      </c>
      <c r="N434">
        <f t="shared" si="66"/>
        <v>0.13809835440750123</v>
      </c>
      <c r="O434">
        <f t="shared" si="66"/>
        <v>0.13798808490652631</v>
      </c>
      <c r="P434">
        <f t="shared" si="66"/>
        <v>0.13793086905902474</v>
      </c>
      <c r="R434" s="42">
        <f t="shared" si="67"/>
        <v>6.6178491570525466E-3</v>
      </c>
      <c r="S434" s="42">
        <f t="shared" si="68"/>
        <v>5.5134750487462192E-2</v>
      </c>
      <c r="T434" s="42">
        <f t="shared" si="69"/>
        <v>1.1443169500313655E-2</v>
      </c>
    </row>
    <row r="435" spans="1:20">
      <c r="A435">
        <v>791</v>
      </c>
      <c r="B435" s="1355">
        <v>1.9272259999999999E-5</v>
      </c>
      <c r="C435" s="1355">
        <v>6.959567E-6</v>
      </c>
      <c r="D435" s="1355">
        <v>0</v>
      </c>
      <c r="F435" s="1355">
        <f t="shared" si="60"/>
        <v>1.9038275399449898E-5</v>
      </c>
      <c r="G435" s="1355">
        <f t="shared" si="61"/>
        <v>6.8296804644530003E-6</v>
      </c>
      <c r="H435" s="1355">
        <f t="shared" si="62"/>
        <v>-2.1562517790099999E-8</v>
      </c>
      <c r="J435">
        <f t="shared" si="63"/>
        <v>2.0030380127147515E-5</v>
      </c>
      <c r="K435">
        <f t="shared" si="64"/>
        <v>6.8296804644530003E-6</v>
      </c>
      <c r="L435">
        <f t="shared" si="65"/>
        <v>-1.9803383255512797E-8</v>
      </c>
      <c r="N435">
        <f t="shared" si="66"/>
        <v>0.13808701105280871</v>
      </c>
      <c r="O435">
        <f t="shared" si="66"/>
        <v>0.13798421720453533</v>
      </c>
      <c r="P435">
        <f t="shared" si="66"/>
        <v>0.1379308802738132</v>
      </c>
      <c r="R435" s="42">
        <f t="shared" si="67"/>
        <v>6.1691957260983088E-3</v>
      </c>
      <c r="S435" s="42">
        <f t="shared" si="68"/>
        <v>5.1396924136692945E-2</v>
      </c>
      <c r="T435" s="42">
        <f t="shared" si="69"/>
        <v>1.0667386144425084E-2</v>
      </c>
    </row>
    <row r="436" spans="1:20">
      <c r="A436">
        <v>792</v>
      </c>
      <c r="B436" s="1355">
        <v>1.7966400000000001E-5</v>
      </c>
      <c r="C436" s="1355">
        <v>6.487995E-6</v>
      </c>
      <c r="D436" s="1355">
        <v>0</v>
      </c>
      <c r="F436" s="1355">
        <f t="shared" si="60"/>
        <v>1.7748269866081501E-5</v>
      </c>
      <c r="G436" s="1355">
        <f t="shared" si="61"/>
        <v>6.3669093543450006E-6</v>
      </c>
      <c r="H436" s="1355">
        <f t="shared" si="62"/>
        <v>-2.0101486648499997E-8</v>
      </c>
      <c r="J436">
        <f t="shared" si="63"/>
        <v>1.8673151036941199E-5</v>
      </c>
      <c r="K436">
        <f t="shared" si="64"/>
        <v>6.3669093543450006E-6</v>
      </c>
      <c r="L436">
        <f t="shared" si="65"/>
        <v>-1.8461547393532505E-8</v>
      </c>
      <c r="N436">
        <f t="shared" si="66"/>
        <v>0.13807644230988328</v>
      </c>
      <c r="O436">
        <f t="shared" si="66"/>
        <v>0.13798061360590091</v>
      </c>
      <c r="P436">
        <f t="shared" si="66"/>
        <v>0.13793089072268908</v>
      </c>
      <c r="R436" s="42">
        <f t="shared" si="67"/>
        <v>5.7511782845054427E-3</v>
      </c>
      <c r="S436" s="42">
        <f t="shared" si="68"/>
        <v>4.7914351991182325E-2</v>
      </c>
      <c r="T436" s="42">
        <f t="shared" si="69"/>
        <v>9.9445766423678084E-3</v>
      </c>
    </row>
    <row r="437" spans="1:20">
      <c r="A437">
        <v>793</v>
      </c>
      <c r="B437" s="1355">
        <v>1.6749910000000001E-5</v>
      </c>
      <c r="C437" s="1355">
        <v>6.048699E-6</v>
      </c>
      <c r="D437" s="1355">
        <v>0</v>
      </c>
      <c r="F437" s="1355">
        <f t="shared" si="60"/>
        <v>1.65465492706743E-5</v>
      </c>
      <c r="G437" s="1355">
        <f t="shared" si="61"/>
        <v>5.9358119743130003E-6</v>
      </c>
      <c r="H437" s="1355">
        <f t="shared" si="62"/>
        <v>-1.8740426664699998E-8</v>
      </c>
      <c r="J437">
        <f t="shared" si="63"/>
        <v>1.7408807506469745E-5</v>
      </c>
      <c r="K437">
        <f t="shared" si="64"/>
        <v>5.9358119743130003E-6</v>
      </c>
      <c r="L437">
        <f t="shared" si="65"/>
        <v>-1.721152674402799E-8</v>
      </c>
      <c r="N437">
        <f t="shared" si="66"/>
        <v>0.1380665968668115</v>
      </c>
      <c r="O437">
        <f t="shared" si="66"/>
        <v>0.13797725665060259</v>
      </c>
      <c r="P437">
        <f t="shared" si="66"/>
        <v>0.13793090045659986</v>
      </c>
      <c r="R437" s="42">
        <f t="shared" si="67"/>
        <v>5.361771469900134E-3</v>
      </c>
      <c r="S437" s="42">
        <f t="shared" si="68"/>
        <v>4.4670108104452599E-2</v>
      </c>
      <c r="T437" s="42">
        <f t="shared" si="69"/>
        <v>9.2712388005455892E-3</v>
      </c>
    </row>
    <row r="438" spans="1:20">
      <c r="A438">
        <v>794</v>
      </c>
      <c r="B438" s="1355">
        <v>1.5616480000000001E-5</v>
      </c>
      <c r="C438" s="1355">
        <v>5.6393959999999996E-6</v>
      </c>
      <c r="D438" s="1355">
        <v>0</v>
      </c>
      <c r="F438" s="1355">
        <f t="shared" si="60"/>
        <v>1.5426880254101199E-5</v>
      </c>
      <c r="G438" s="1355">
        <f t="shared" si="61"/>
        <v>5.5341477832439992E-6</v>
      </c>
      <c r="H438" s="1355">
        <f t="shared" si="62"/>
        <v>-1.7472307378800004E-8</v>
      </c>
      <c r="J438">
        <f t="shared" si="63"/>
        <v>1.6230791349649328E-5</v>
      </c>
      <c r="K438">
        <f t="shared" si="64"/>
        <v>5.5341477832439992E-6</v>
      </c>
      <c r="L438">
        <f t="shared" si="65"/>
        <v>-1.6046864412993768E-8</v>
      </c>
      <c r="N438">
        <f t="shared" si="66"/>
        <v>0.13805742365499835</v>
      </c>
      <c r="O438">
        <f t="shared" si="66"/>
        <v>0.13797412889154673</v>
      </c>
      <c r="P438">
        <f t="shared" si="66"/>
        <v>0.13793090952582543</v>
      </c>
      <c r="R438" s="42">
        <f t="shared" si="67"/>
        <v>4.9989514194201945E-3</v>
      </c>
      <c r="S438" s="42">
        <f t="shared" si="68"/>
        <v>4.1647381725809507E-2</v>
      </c>
      <c r="T438" s="42">
        <f t="shared" si="69"/>
        <v>8.6438731442595174E-3</v>
      </c>
    </row>
    <row r="439" spans="1:20">
      <c r="A439">
        <v>795</v>
      </c>
      <c r="B439" s="1355">
        <v>1.455977E-5</v>
      </c>
      <c r="C439" s="1355">
        <v>5.2577999999999999E-6</v>
      </c>
      <c r="D439" s="1355">
        <v>0</v>
      </c>
      <c r="F439" s="1355">
        <f t="shared" si="60"/>
        <v>1.4382999765312E-5</v>
      </c>
      <c r="G439" s="1355">
        <f t="shared" si="61"/>
        <v>5.1596735643759998E-6</v>
      </c>
      <c r="H439" s="1355">
        <f t="shared" si="62"/>
        <v>-1.6290011734999998E-8</v>
      </c>
      <c r="J439">
        <f t="shared" si="63"/>
        <v>1.5132513141195407E-5</v>
      </c>
      <c r="K439">
        <f t="shared" si="64"/>
        <v>5.1596735643759998E-6</v>
      </c>
      <c r="L439">
        <f t="shared" si="65"/>
        <v>-1.4961023975276212E-8</v>
      </c>
      <c r="N439">
        <f t="shared" si="66"/>
        <v>0.13804887136258912</v>
      </c>
      <c r="O439">
        <f t="shared" si="66"/>
        <v>0.13797121286080441</v>
      </c>
      <c r="P439">
        <f t="shared" si="66"/>
        <v>0.13793091798126492</v>
      </c>
      <c r="R439" s="42">
        <f t="shared" si="67"/>
        <v>4.6606918533100838E-3</v>
      </c>
      <c r="S439" s="42">
        <f t="shared" si="68"/>
        <v>3.8829250892352674E-2</v>
      </c>
      <c r="T439" s="42">
        <f t="shared" si="69"/>
        <v>8.0589759078986134E-3</v>
      </c>
    </row>
    <row r="440" spans="1:20">
      <c r="A440">
        <v>796</v>
      </c>
      <c r="B440" s="1355">
        <v>1.357387E-5</v>
      </c>
      <c r="C440" s="1355">
        <v>4.9017710000000001E-6</v>
      </c>
      <c r="D440" s="1355">
        <v>0</v>
      </c>
      <c r="F440" s="1355">
        <f t="shared" si="60"/>
        <v>1.3409069599152701E-5</v>
      </c>
      <c r="G440" s="1355">
        <f t="shared" si="61"/>
        <v>4.8102890582010003E-6</v>
      </c>
      <c r="H440" s="1355">
        <f t="shared" si="62"/>
        <v>-1.5186966606299994E-8</v>
      </c>
      <c r="J440">
        <f t="shared" si="63"/>
        <v>1.4107830440889981E-5</v>
      </c>
      <c r="K440">
        <f t="shared" si="64"/>
        <v>4.8102890582010003E-6</v>
      </c>
      <c r="L440">
        <f t="shared" si="65"/>
        <v>-1.394796855918738E-8</v>
      </c>
      <c r="N440">
        <f t="shared" si="66"/>
        <v>0.13804089215840182</v>
      </c>
      <c r="O440">
        <f t="shared" si="66"/>
        <v>0.13796849220365484</v>
      </c>
      <c r="P440">
        <f t="shared" si="66"/>
        <v>0.13793092586992745</v>
      </c>
      <c r="R440" s="42">
        <f t="shared" si="67"/>
        <v>4.345095623961015E-3</v>
      </c>
      <c r="S440" s="42">
        <f t="shared" si="68"/>
        <v>3.6199977373488346E-2</v>
      </c>
      <c r="T440" s="42">
        <f t="shared" si="69"/>
        <v>7.5132667454791413E-3</v>
      </c>
    </row>
    <row r="441" spans="1:20">
      <c r="A441">
        <v>797</v>
      </c>
      <c r="B441" s="1355">
        <v>1.2654359999999999E-5</v>
      </c>
      <c r="C441" s="1355">
        <v>4.5697200000000002E-6</v>
      </c>
      <c r="D441" s="1355">
        <v>0</v>
      </c>
      <c r="F441" s="1355">
        <f t="shared" si="60"/>
        <v>1.2500723367659999E-5</v>
      </c>
      <c r="G441" s="1355">
        <f t="shared" si="61"/>
        <v>4.4844351649680001E-6</v>
      </c>
      <c r="H441" s="1355">
        <f t="shared" si="62"/>
        <v>-1.4158178375999994E-8</v>
      </c>
      <c r="J441">
        <f t="shared" si="63"/>
        <v>1.3152149323660925E-5</v>
      </c>
      <c r="K441">
        <f t="shared" si="64"/>
        <v>4.4844351649680001E-6</v>
      </c>
      <c r="L441">
        <f t="shared" si="65"/>
        <v>-1.3003111942176459E-8</v>
      </c>
      <c r="N441">
        <f t="shared" si="66"/>
        <v>0.13803345026954197</v>
      </c>
      <c r="O441">
        <f t="shared" si="66"/>
        <v>0.13796595477938822</v>
      </c>
      <c r="P441">
        <f t="shared" si="66"/>
        <v>0.13793093322752592</v>
      </c>
      <c r="R441" s="42">
        <f t="shared" si="67"/>
        <v>4.0507544090324643E-3</v>
      </c>
      <c r="S441" s="42">
        <f t="shared" si="68"/>
        <v>3.3747745076875835E-2</v>
      </c>
      <c r="T441" s="42">
        <f t="shared" si="69"/>
        <v>7.0043103724604094E-3</v>
      </c>
    </row>
    <row r="442" spans="1:20">
      <c r="A442">
        <v>798</v>
      </c>
      <c r="B442" s="1355">
        <v>1.179723E-5</v>
      </c>
      <c r="C442" s="1355">
        <v>4.2601939999999997E-6</v>
      </c>
      <c r="D442" s="1355">
        <v>0</v>
      </c>
      <c r="F442" s="1355">
        <f t="shared" si="60"/>
        <v>1.1653999791497801E-5</v>
      </c>
      <c r="G442" s="1355">
        <f t="shared" si="61"/>
        <v>4.1806858336539994E-6</v>
      </c>
      <c r="H442" s="1355">
        <f t="shared" si="62"/>
        <v>-1.3199193783199998E-8</v>
      </c>
      <c r="J442">
        <f t="shared" si="63"/>
        <v>1.2261302083703641E-5</v>
      </c>
      <c r="K442">
        <f t="shared" si="64"/>
        <v>4.1806858336539994E-6</v>
      </c>
      <c r="L442">
        <f t="shared" si="65"/>
        <v>-1.2122364173654289E-8</v>
      </c>
      <c r="N442">
        <f t="shared" si="66"/>
        <v>0.13802651324208443</v>
      </c>
      <c r="O442">
        <f t="shared" si="66"/>
        <v>0.13796358948334528</v>
      </c>
      <c r="P442">
        <f t="shared" si="66"/>
        <v>0.13793094008590881</v>
      </c>
      <c r="R442" s="42">
        <f t="shared" si="67"/>
        <v>3.7763800680536974E-3</v>
      </c>
      <c r="S442" s="42">
        <f t="shared" si="68"/>
        <v>3.1461879369573675E-2</v>
      </c>
      <c r="T442" s="42">
        <f t="shared" si="69"/>
        <v>6.5298794872936661E-3</v>
      </c>
    </row>
    <row r="443" spans="1:20">
      <c r="A443">
        <v>799</v>
      </c>
      <c r="B443" s="1355">
        <v>1.0998440000000001E-5</v>
      </c>
      <c r="C443" s="1355">
        <v>3.9717389999999996E-6</v>
      </c>
      <c r="D443" s="1355">
        <v>0</v>
      </c>
      <c r="F443" s="1355">
        <f t="shared" si="60"/>
        <v>1.0864907885070301E-5</v>
      </c>
      <c r="G443" s="1355">
        <f t="shared" si="61"/>
        <v>3.8976143687769996E-6</v>
      </c>
      <c r="H443" s="1355">
        <f t="shared" si="62"/>
        <v>-1.2305459431700004E-8</v>
      </c>
      <c r="J443">
        <f t="shared" si="63"/>
        <v>1.143108976092912E-5</v>
      </c>
      <c r="K443">
        <f t="shared" si="64"/>
        <v>3.8976143687769996E-6</v>
      </c>
      <c r="L443">
        <f t="shared" si="65"/>
        <v>-1.1301543337068232E-8</v>
      </c>
      <c r="N443">
        <f t="shared" si="66"/>
        <v>0.13802004837872697</v>
      </c>
      <c r="O443">
        <f t="shared" si="66"/>
        <v>0.13796138520584827</v>
      </c>
      <c r="P443">
        <f t="shared" si="66"/>
        <v>0.13793094647764065</v>
      </c>
      <c r="R443" s="42">
        <f t="shared" si="67"/>
        <v>3.5206838783992112E-3</v>
      </c>
      <c r="S443" s="42">
        <f t="shared" si="68"/>
        <v>2.9331586439348967E-2</v>
      </c>
      <c r="T443" s="42">
        <f t="shared" si="69"/>
        <v>6.0877456415253661E-3</v>
      </c>
    </row>
    <row r="444" spans="1:20">
      <c r="A444">
        <v>800</v>
      </c>
      <c r="B444" s="1355">
        <v>1.0253980000000001E-5</v>
      </c>
      <c r="C444" s="1355">
        <v>3.7029000000000002E-6</v>
      </c>
      <c r="D444" s="1355">
        <v>0</v>
      </c>
      <c r="F444" s="1355">
        <f t="shared" si="60"/>
        <v>1.0129486383378002E-5</v>
      </c>
      <c r="G444" s="1355">
        <f t="shared" si="61"/>
        <v>3.6337926881240001E-6</v>
      </c>
      <c r="H444" s="1355">
        <f t="shared" si="62"/>
        <v>-1.14725356E-8</v>
      </c>
      <c r="J444">
        <f t="shared" si="63"/>
        <v>1.0657344664616454E-5</v>
      </c>
      <c r="K444">
        <f t="shared" si="64"/>
        <v>3.6337926881240001E-6</v>
      </c>
      <c r="L444">
        <f t="shared" si="65"/>
        <v>-1.0536571916644472E-8</v>
      </c>
      <c r="N444">
        <f t="shared" si="66"/>
        <v>0.13801402322566197</v>
      </c>
      <c r="O444">
        <f t="shared" si="66"/>
        <v>0.13795933082642103</v>
      </c>
      <c r="P444">
        <f t="shared" si="66"/>
        <v>0.13793095243447309</v>
      </c>
      <c r="R444" s="42">
        <f t="shared" si="67"/>
        <v>3.2823758648383716E-3</v>
      </c>
      <c r="S444" s="42">
        <f t="shared" si="68"/>
        <v>2.7346199620470468E-2</v>
      </c>
      <c r="T444" s="42">
        <f t="shared" si="69"/>
        <v>5.6756783895883789E-3</v>
      </c>
    </row>
    <row r="445" spans="1:20">
      <c r="A445">
        <v>801</v>
      </c>
      <c r="B445" s="1355">
        <v>9.5596459999999999E-6</v>
      </c>
      <c r="C445" s="1355">
        <v>3.4521630000000002E-6</v>
      </c>
      <c r="D445" s="1355">
        <v>0</v>
      </c>
      <c r="F445" s="1355">
        <f t="shared" si="60"/>
        <v>9.4435822975166987E-6</v>
      </c>
      <c r="G445" s="1355">
        <f t="shared" si="61"/>
        <v>3.3877351893898002E-6</v>
      </c>
      <c r="H445" s="1355">
        <f t="shared" si="62"/>
        <v>-1.0695690659899995E-8</v>
      </c>
      <c r="J445">
        <f t="shared" si="63"/>
        <v>9.9356973892039708E-6</v>
      </c>
      <c r="K445">
        <f t="shared" si="64"/>
        <v>3.3877351893898002E-6</v>
      </c>
      <c r="L445">
        <f t="shared" si="65"/>
        <v>-9.8231043045287111E-9</v>
      </c>
      <c r="N445">
        <f t="shared" si="66"/>
        <v>0.13800840375832835</v>
      </c>
      <c r="O445">
        <f t="shared" si="66"/>
        <v>0.13795741477667839</v>
      </c>
      <c r="P445">
        <f t="shared" si="66"/>
        <v>0.13793095799024541</v>
      </c>
      <c r="R445" s="42">
        <f t="shared" si="67"/>
        <v>3.0601140946941996E-3</v>
      </c>
      <c r="S445" s="42">
        <f t="shared" si="68"/>
        <v>2.5494490824978788E-2</v>
      </c>
      <c r="T445" s="42">
        <f t="shared" si="69"/>
        <v>5.2913572865964653E-3</v>
      </c>
    </row>
    <row r="446" spans="1:20">
      <c r="A446">
        <v>802</v>
      </c>
      <c r="B446" s="1355">
        <v>8.9120440000000008E-6</v>
      </c>
      <c r="C446" s="1355">
        <v>3.2183019999999998E-6</v>
      </c>
      <c r="D446" s="1355">
        <v>0</v>
      </c>
      <c r="F446" s="1355">
        <f t="shared" si="60"/>
        <v>8.8038428366678002E-6</v>
      </c>
      <c r="G446" s="1355">
        <f t="shared" si="61"/>
        <v>3.1582387409571998E-6</v>
      </c>
      <c r="H446" s="1355">
        <f t="shared" si="62"/>
        <v>-9.9711297446000041E-9</v>
      </c>
      <c r="J446">
        <f t="shared" si="63"/>
        <v>9.2626204263867343E-6</v>
      </c>
      <c r="K446">
        <f t="shared" si="64"/>
        <v>3.1582387409571998E-6</v>
      </c>
      <c r="L446">
        <f t="shared" si="65"/>
        <v>-9.1576552304767543E-9</v>
      </c>
      <c r="N446">
        <f t="shared" si="66"/>
        <v>0.13800316250801889</v>
      </c>
      <c r="O446">
        <f t="shared" si="66"/>
        <v>0.13795562768783445</v>
      </c>
      <c r="P446">
        <f t="shared" si="66"/>
        <v>0.13793096317209733</v>
      </c>
      <c r="R446" s="42">
        <f t="shared" si="67"/>
        <v>2.852811788795151E-3</v>
      </c>
      <c r="S446" s="42">
        <f t="shared" si="68"/>
        <v>2.3767410092218055E-2</v>
      </c>
      <c r="T446" s="42">
        <f t="shared" si="69"/>
        <v>4.9329031474254492E-3</v>
      </c>
    </row>
    <row r="447" spans="1:20">
      <c r="A447">
        <v>803</v>
      </c>
      <c r="B447" s="1355">
        <v>8.308358E-6</v>
      </c>
      <c r="C447" s="1355">
        <v>3.0002999999999999E-6</v>
      </c>
      <c r="D447" s="1355">
        <v>0</v>
      </c>
      <c r="F447" s="1355">
        <f t="shared" si="60"/>
        <v>8.2074861905508008E-6</v>
      </c>
      <c r="G447" s="1355">
        <f t="shared" si="61"/>
        <v>2.9443053200103996E-6</v>
      </c>
      <c r="H447" s="1355">
        <f t="shared" si="62"/>
        <v>-9.295702822999999E-9</v>
      </c>
      <c r="J447">
        <f t="shared" si="63"/>
        <v>8.6351870027994568E-6</v>
      </c>
      <c r="K447">
        <f t="shared" si="64"/>
        <v>2.9443053200103996E-6</v>
      </c>
      <c r="L447">
        <f t="shared" si="65"/>
        <v>-8.5373316523240529E-9</v>
      </c>
      <c r="N447">
        <f t="shared" si="66"/>
        <v>0.13799827668394943</v>
      </c>
      <c r="O447">
        <f t="shared" si="66"/>
        <v>0.13795396178828553</v>
      </c>
      <c r="P447">
        <f t="shared" si="66"/>
        <v>0.13793096800255705</v>
      </c>
      <c r="R447" s="42">
        <f t="shared" si="67"/>
        <v>2.6595674411211689E-3</v>
      </c>
      <c r="S447" s="42">
        <f t="shared" si="68"/>
        <v>2.2157447831946953E-2</v>
      </c>
      <c r="T447" s="42">
        <f t="shared" si="69"/>
        <v>4.5987571456962417E-3</v>
      </c>
    </row>
    <row r="448" spans="1:20">
      <c r="A448">
        <v>804</v>
      </c>
      <c r="B448" s="1355">
        <v>7.7457689999999998E-6</v>
      </c>
      <c r="C448" s="1355">
        <v>2.7971389999999999E-6</v>
      </c>
      <c r="D448" s="1355">
        <v>0</v>
      </c>
      <c r="F448" s="1355">
        <f t="shared" si="60"/>
        <v>7.6517275847106997E-6</v>
      </c>
      <c r="G448" s="1355">
        <f t="shared" si="61"/>
        <v>2.7449359252521998E-6</v>
      </c>
      <c r="H448" s="1355">
        <f t="shared" si="62"/>
        <v>-8.6662559431999973E-9</v>
      </c>
      <c r="J448">
        <f t="shared" si="63"/>
        <v>8.0504672264360777E-6</v>
      </c>
      <c r="K448">
        <f t="shared" si="64"/>
        <v>2.7449359252521998E-6</v>
      </c>
      <c r="L448">
        <f t="shared" si="65"/>
        <v>-7.9592369269766607E-9</v>
      </c>
      <c r="N448">
        <f t="shared" si="66"/>
        <v>0.13799372347105088</v>
      </c>
      <c r="O448">
        <f t="shared" si="66"/>
        <v>0.13795240929880856</v>
      </c>
      <c r="P448">
        <f t="shared" si="66"/>
        <v>0.13793097250418068</v>
      </c>
      <c r="R448" s="42">
        <f t="shared" si="67"/>
        <v>2.4794786617938769E-3</v>
      </c>
      <c r="S448" s="42">
        <f t="shared" si="68"/>
        <v>2.0657086121159129E-2</v>
      </c>
      <c r="T448" s="42">
        <f t="shared" si="69"/>
        <v>4.287358925575413E-3</v>
      </c>
    </row>
    <row r="449" spans="1:20">
      <c r="A449">
        <v>805</v>
      </c>
      <c r="B449" s="1355">
        <v>7.2214559999999999E-6</v>
      </c>
      <c r="C449" s="1355">
        <v>2.6077999999999998E-6</v>
      </c>
      <c r="D449" s="1355">
        <v>0</v>
      </c>
      <c r="F449" s="1355">
        <f t="shared" si="60"/>
        <v>7.1337802709655998E-6</v>
      </c>
      <c r="G449" s="1355">
        <f t="shared" si="61"/>
        <v>2.5591305645327999E-6</v>
      </c>
      <c r="H449" s="1355">
        <f t="shared" si="62"/>
        <v>-8.079634795999999E-9</v>
      </c>
      <c r="J449">
        <f t="shared" si="63"/>
        <v>7.5055291287106371E-6</v>
      </c>
      <c r="K449">
        <f t="shared" si="64"/>
        <v>2.5591305645327999E-6</v>
      </c>
      <c r="L449">
        <f t="shared" si="65"/>
        <v>-7.4204740831902128E-9</v>
      </c>
      <c r="N449">
        <f t="shared" si="66"/>
        <v>0.13798948003808389</v>
      </c>
      <c r="O449">
        <f t="shared" si="66"/>
        <v>0.13795096243246463</v>
      </c>
      <c r="P449">
        <f t="shared" si="66"/>
        <v>0.13793097669952692</v>
      </c>
      <c r="R449" s="42">
        <f t="shared" si="67"/>
        <v>2.3116421658961883E-3</v>
      </c>
      <c r="S449" s="42">
        <f t="shared" si="68"/>
        <v>1.9258802809632436E-2</v>
      </c>
      <c r="T449" s="42">
        <f t="shared" si="69"/>
        <v>3.997146587542133E-3</v>
      </c>
    </row>
    <row r="450" spans="1:20">
      <c r="A450">
        <v>806</v>
      </c>
      <c r="B450" s="1355">
        <v>6.7324750000000003E-6</v>
      </c>
      <c r="C450" s="1355">
        <v>2.4312199999999998E-6</v>
      </c>
      <c r="D450" s="1355">
        <v>0</v>
      </c>
      <c r="F450" s="1355">
        <f t="shared" si="60"/>
        <v>6.6507359914840009E-6</v>
      </c>
      <c r="G450" s="1355">
        <f t="shared" si="61"/>
        <v>2.3858460811799999E-6</v>
      </c>
      <c r="H450" s="1355">
        <f t="shared" si="62"/>
        <v>-7.5325446285000009E-9</v>
      </c>
      <c r="J450">
        <f t="shared" si="63"/>
        <v>6.997312899390828E-6</v>
      </c>
      <c r="K450">
        <f t="shared" si="64"/>
        <v>2.3858460811799999E-6</v>
      </c>
      <c r="L450">
        <f t="shared" si="65"/>
        <v>-6.9180171638364122E-9</v>
      </c>
      <c r="N450">
        <f t="shared" si="66"/>
        <v>0.13798552255830618</v>
      </c>
      <c r="O450">
        <f t="shared" si="66"/>
        <v>0.13794961306619277</v>
      </c>
      <c r="P450">
        <f t="shared" si="66"/>
        <v>0.13793098061215897</v>
      </c>
      <c r="R450" s="42">
        <f t="shared" si="67"/>
        <v>2.1551156783630177E-3</v>
      </c>
      <c r="S450" s="42">
        <f t="shared" si="68"/>
        <v>1.7954746056703108E-2</v>
      </c>
      <c r="T450" s="42">
        <f t="shared" si="69"/>
        <v>3.7264908067602409E-3</v>
      </c>
    </row>
    <row r="451" spans="1:20">
      <c r="A451">
        <v>807</v>
      </c>
      <c r="B451" s="1355">
        <v>6.2764230000000002E-6</v>
      </c>
      <c r="C451" s="1355">
        <v>2.266531E-6</v>
      </c>
      <c r="D451" s="1355">
        <v>0</v>
      </c>
      <c r="F451" s="1355">
        <f t="shared" si="60"/>
        <v>6.2002209227674998E-6</v>
      </c>
      <c r="G451" s="1355">
        <f t="shared" si="61"/>
        <v>2.2242306667274E-6</v>
      </c>
      <c r="H451" s="1355">
        <f t="shared" si="62"/>
        <v>-7.0222984497999993E-9</v>
      </c>
      <c r="J451">
        <f t="shared" si="63"/>
        <v>6.5233210125174908E-6</v>
      </c>
      <c r="K451">
        <f t="shared" si="64"/>
        <v>2.2242306667274E-6</v>
      </c>
      <c r="L451">
        <f t="shared" si="65"/>
        <v>-6.4493983907497037E-9</v>
      </c>
      <c r="N451">
        <f t="shared" si="66"/>
        <v>0.13798183158348309</v>
      </c>
      <c r="O451">
        <f t="shared" si="66"/>
        <v>0.13794835456696042</v>
      </c>
      <c r="P451">
        <f t="shared" si="66"/>
        <v>0.13793098426129335</v>
      </c>
      <c r="R451" s="42">
        <f t="shared" si="67"/>
        <v>2.009129767408524E-3</v>
      </c>
      <c r="S451" s="42">
        <f t="shared" si="68"/>
        <v>1.6738508261338048E-2</v>
      </c>
      <c r="T451" s="42">
        <f t="shared" si="69"/>
        <v>3.4740611334127536E-3</v>
      </c>
    </row>
    <row r="452" spans="1:20">
      <c r="A452">
        <v>808</v>
      </c>
      <c r="B452" s="1355">
        <v>5.8513040000000003E-6</v>
      </c>
      <c r="C452" s="1355">
        <v>2.1130130000000001E-6</v>
      </c>
      <c r="D452" s="1355">
        <v>0</v>
      </c>
      <c r="F452" s="1355">
        <f t="shared" si="60"/>
        <v>5.7802632925825001E-6</v>
      </c>
      <c r="G452" s="1355">
        <f t="shared" si="61"/>
        <v>2.0735777856902003E-6</v>
      </c>
      <c r="H452" s="1355">
        <f t="shared" si="62"/>
        <v>-6.5466576978999976E-9</v>
      </c>
      <c r="J452">
        <f t="shared" si="63"/>
        <v>6.0814789447141936E-6</v>
      </c>
      <c r="K452">
        <f t="shared" si="64"/>
        <v>2.0735777856902003E-6</v>
      </c>
      <c r="L452">
        <f t="shared" si="65"/>
        <v>-6.0125618304969538E-9</v>
      </c>
      <c r="N452">
        <f t="shared" si="66"/>
        <v>0.13797839095930112</v>
      </c>
      <c r="O452">
        <f t="shared" si="66"/>
        <v>0.1379471814329758</v>
      </c>
      <c r="P452">
        <f t="shared" si="66"/>
        <v>0.13793098766293965</v>
      </c>
      <c r="R452" s="42">
        <f t="shared" si="67"/>
        <v>1.8730462251923541E-3</v>
      </c>
      <c r="S452" s="42">
        <f t="shared" si="68"/>
        <v>1.5604763162660462E-2</v>
      </c>
      <c r="T452" s="42">
        <f t="shared" si="69"/>
        <v>3.238754007228728E-3</v>
      </c>
    </row>
    <row r="453" spans="1:20">
      <c r="A453">
        <v>809</v>
      </c>
      <c r="B453" s="1355">
        <v>5.4551179999999997E-6</v>
      </c>
      <c r="C453" s="1355">
        <v>1.9699430000000001E-6</v>
      </c>
      <c r="D453" s="1355">
        <v>0</v>
      </c>
      <c r="F453" s="1355">
        <f t="shared" ref="F453:F474" si="70">$X$12*B453+$Y$12*C453+$Z$12*D453</f>
        <v>5.3888873884099002E-6</v>
      </c>
      <c r="G453" s="1355">
        <f t="shared" ref="G453:G474" si="71">$X$13*B453+$Y$13*C453+$Z$13*D453</f>
        <v>1.9331779052834E-6</v>
      </c>
      <c r="H453" s="1355">
        <f t="shared" ref="H453:H474" si="72">$X$14*B453+$Y$14*C453+$Z$14*D453</f>
        <v>-6.1033898658999974E-9</v>
      </c>
      <c r="J453">
        <f t="shared" ref="J453:J474" si="73">F453/$X$5</f>
        <v>5.6697080269865437E-6</v>
      </c>
      <c r="K453">
        <f t="shared" ref="K453:K474" si="74">G453/$X$6</f>
        <v>1.9331779052834E-6</v>
      </c>
      <c r="L453">
        <f t="shared" ref="L453:L474" si="75">H453/$X$7</f>
        <v>-5.6054571107519059E-9</v>
      </c>
      <c r="N453">
        <f t="shared" ref="N453:P474" si="76">IF(J453&gt;0.008856,J453^(1/3),7.787*J453+16/116)</f>
        <v>0.13797518449916477</v>
      </c>
      <c r="O453">
        <f t="shared" si="76"/>
        <v>0.13794608813910705</v>
      </c>
      <c r="P453">
        <f t="shared" si="76"/>
        <v>0.13793099083306409</v>
      </c>
      <c r="R453" s="42">
        <f t="shared" ref="R453:R474" si="77" xml:space="preserve"> 116 * O453  - 16</f>
        <v>1.7462241364185616E-3</v>
      </c>
      <c r="S453" s="42">
        <f t="shared" ref="S453:S474" si="78" xml:space="preserve"> 500 * (N453 - O453 )</f>
        <v>1.454818002885605E-2</v>
      </c>
      <c r="T453" s="42">
        <f t="shared" ref="T453:T474" si="79" xml:space="preserve"> 200 * (O453 - P453 )</f>
        <v>3.0194612085920891E-3</v>
      </c>
    </row>
    <row r="454" spans="1:20">
      <c r="A454">
        <v>810</v>
      </c>
      <c r="B454" s="1355">
        <v>5.0858679999999998E-6</v>
      </c>
      <c r="C454" s="1355">
        <v>1.8365999999999999E-6</v>
      </c>
      <c r="D454" s="1355">
        <v>0</v>
      </c>
      <c r="F454" s="1355">
        <f t="shared" si="70"/>
        <v>5.0241204547367998E-6</v>
      </c>
      <c r="G454" s="1355">
        <f t="shared" si="71"/>
        <v>1.8023234867984001E-6</v>
      </c>
      <c r="H454" s="1355">
        <f t="shared" si="72"/>
        <v>-5.6902595979999997E-9</v>
      </c>
      <c r="J454">
        <f t="shared" si="73"/>
        <v>5.2859327014390769E-6</v>
      </c>
      <c r="K454">
        <f t="shared" si="74"/>
        <v>1.8023234867984001E-6</v>
      </c>
      <c r="L454">
        <f t="shared" si="75"/>
        <v>-5.2260312427100647E-9</v>
      </c>
      <c r="N454">
        <f t="shared" si="76"/>
        <v>0.13797219604070474</v>
      </c>
      <c r="O454">
        <f t="shared" si="76"/>
        <v>0.13794506917575031</v>
      </c>
      <c r="P454">
        <f t="shared" si="76"/>
        <v>0.13793099378765333</v>
      </c>
      <c r="R454" s="42">
        <f t="shared" si="77"/>
        <v>1.6280243870347988E-3</v>
      </c>
      <c r="S454" s="42">
        <f t="shared" si="78"/>
        <v>1.3563432477214921E-2</v>
      </c>
      <c r="T454" s="42">
        <f t="shared" si="79"/>
        <v>2.8150776193947014E-3</v>
      </c>
    </row>
    <row r="455" spans="1:20">
      <c r="A455">
        <v>811</v>
      </c>
      <c r="B455" s="1355">
        <v>4.7414659999999997E-6</v>
      </c>
      <c r="C455" s="1355">
        <v>1.7122300000000001E-6</v>
      </c>
      <c r="D455" s="1355">
        <v>0</v>
      </c>
      <c r="F455" s="1355">
        <f t="shared" si="70"/>
        <v>4.6838998418725988E-6</v>
      </c>
      <c r="G455" s="1355">
        <f t="shared" si="71"/>
        <v>1.6802746026708001E-6</v>
      </c>
      <c r="H455" s="1355">
        <f t="shared" si="72"/>
        <v>-5.3049306599999986E-9</v>
      </c>
      <c r="J455">
        <f t="shared" si="73"/>
        <v>4.9279828315176686E-6</v>
      </c>
      <c r="K455">
        <f t="shared" si="74"/>
        <v>1.6802746026708001E-6</v>
      </c>
      <c r="L455">
        <f t="shared" si="75"/>
        <v>-4.872138589127778E-9</v>
      </c>
      <c r="N455">
        <f t="shared" si="76"/>
        <v>0.13796940868506766</v>
      </c>
      <c r="O455">
        <f t="shared" si="76"/>
        <v>0.13794411878108961</v>
      </c>
      <c r="P455">
        <f t="shared" si="76"/>
        <v>0.13793099654341542</v>
      </c>
      <c r="R455" s="42">
        <f t="shared" si="77"/>
        <v>1.517778606395126E-3</v>
      </c>
      <c r="S455" s="42">
        <f t="shared" si="78"/>
        <v>1.2644951989021491E-2</v>
      </c>
      <c r="T455" s="42">
        <f t="shared" si="79"/>
        <v>2.6244475348380369E-3</v>
      </c>
    </row>
    <row r="456" spans="1:20">
      <c r="A456">
        <v>812</v>
      </c>
      <c r="B456" s="1355">
        <v>4.4202359999999998E-6</v>
      </c>
      <c r="C456" s="1355">
        <v>1.596228E-6</v>
      </c>
      <c r="D456" s="1355">
        <v>0</v>
      </c>
      <c r="F456" s="1355">
        <f t="shared" si="70"/>
        <v>4.3665698964612E-6</v>
      </c>
      <c r="G456" s="1355">
        <f t="shared" si="71"/>
        <v>1.5664375520568001E-6</v>
      </c>
      <c r="H456" s="1355">
        <f t="shared" si="72"/>
        <v>-4.9455262943999985E-9</v>
      </c>
      <c r="J456">
        <f t="shared" si="73"/>
        <v>4.5941164860134454E-6</v>
      </c>
      <c r="K456">
        <f t="shared" si="74"/>
        <v>1.5664375520568001E-6</v>
      </c>
      <c r="L456">
        <f t="shared" si="75"/>
        <v>-4.5420555039813367E-9</v>
      </c>
      <c r="N456">
        <f t="shared" si="76"/>
        <v>0.13796680886783522</v>
      </c>
      <c r="O456">
        <f t="shared" si="76"/>
        <v>0.13794323233197647</v>
      </c>
      <c r="P456">
        <f t="shared" si="76"/>
        <v>0.13793099911377241</v>
      </c>
      <c r="R456" s="42">
        <f t="shared" si="77"/>
        <v>1.4149505092717618E-3</v>
      </c>
      <c r="S456" s="42">
        <f t="shared" si="78"/>
        <v>1.1788267929371821E-2</v>
      </c>
      <c r="T456" s="42">
        <f t="shared" si="79"/>
        <v>2.4466436408132619E-3</v>
      </c>
    </row>
    <row r="457" spans="1:20">
      <c r="A457">
        <v>813</v>
      </c>
      <c r="B457" s="1355">
        <v>4.1207829999999997E-6</v>
      </c>
      <c r="C457" s="1355">
        <v>1.4880899999999999E-6</v>
      </c>
      <c r="D457" s="1355">
        <v>0</v>
      </c>
      <c r="F457" s="1355">
        <f t="shared" si="70"/>
        <v>4.0707525569237999E-6</v>
      </c>
      <c r="G457" s="1355">
        <f t="shared" si="71"/>
        <v>1.4603177329004E-6</v>
      </c>
      <c r="H457" s="1355">
        <f t="shared" si="72"/>
        <v>-4.6104873474999991E-9</v>
      </c>
      <c r="J457">
        <f t="shared" si="73"/>
        <v>4.2828837910968255E-6</v>
      </c>
      <c r="K457">
        <f t="shared" si="74"/>
        <v>1.4603177329004E-6</v>
      </c>
      <c r="L457">
        <f t="shared" si="75"/>
        <v>-4.234350033981429E-9</v>
      </c>
      <c r="N457">
        <f t="shared" si="76"/>
        <v>0.13796438529883989</v>
      </c>
      <c r="O457">
        <f t="shared" si="76"/>
        <v>0.13794240597694471</v>
      </c>
      <c r="P457">
        <f t="shared" si="76"/>
        <v>0.13793100150987492</v>
      </c>
      <c r="R457" s="42">
        <f t="shared" si="77"/>
        <v>1.3190933255877724E-3</v>
      </c>
      <c r="S457" s="42">
        <f t="shared" si="78"/>
        <v>1.098966094759124E-2</v>
      </c>
      <c r="T457" s="42">
        <f t="shared" si="79"/>
        <v>2.2808934139584292E-3</v>
      </c>
    </row>
    <row r="458" spans="1:20">
      <c r="A458">
        <v>814</v>
      </c>
      <c r="B458" s="1355">
        <v>3.8417159999999996E-6</v>
      </c>
      <c r="C458" s="1355">
        <v>1.387314E-6</v>
      </c>
      <c r="D458" s="1355">
        <v>0</v>
      </c>
      <c r="F458" s="1355">
        <f t="shared" si="70"/>
        <v>3.7950737091353996E-6</v>
      </c>
      <c r="G458" s="1355">
        <f t="shared" si="71"/>
        <v>1.3614225248508001E-6</v>
      </c>
      <c r="H458" s="1355">
        <f t="shared" si="72"/>
        <v>-4.2982553801999979E-9</v>
      </c>
      <c r="J458">
        <f t="shared" si="73"/>
        <v>3.9928390260980348E-6</v>
      </c>
      <c r="K458">
        <f t="shared" si="74"/>
        <v>1.3614225248508001E-6</v>
      </c>
      <c r="L458">
        <f t="shared" si="75"/>
        <v>-3.9475908821395422E-9</v>
      </c>
      <c r="N458">
        <f t="shared" si="76"/>
        <v>0.13796212672025485</v>
      </c>
      <c r="O458">
        <f t="shared" si="76"/>
        <v>0.13794163587995964</v>
      </c>
      <c r="P458">
        <f t="shared" si="76"/>
        <v>0.13793100374286843</v>
      </c>
      <c r="R458" s="42">
        <f t="shared" si="77"/>
        <v>1.2297620753187744E-3</v>
      </c>
      <c r="S458" s="42">
        <f t="shared" si="78"/>
        <v>1.0245420147603213E-2</v>
      </c>
      <c r="T458" s="42">
        <f t="shared" si="79"/>
        <v>2.1264274182419829E-3</v>
      </c>
    </row>
    <row r="459" spans="1:20">
      <c r="A459">
        <v>815</v>
      </c>
      <c r="B459" s="1355">
        <v>3.5816519999999999E-6</v>
      </c>
      <c r="C459" s="1355">
        <v>1.2934E-6</v>
      </c>
      <c r="D459" s="1355">
        <v>0</v>
      </c>
      <c r="F459" s="1355">
        <f t="shared" si="70"/>
        <v>3.5381671482151998E-6</v>
      </c>
      <c r="G459" s="1355">
        <f t="shared" si="71"/>
        <v>1.2692612397776001E-6</v>
      </c>
      <c r="H459" s="1355">
        <f t="shared" si="72"/>
        <v>-4.0072869219999979E-9</v>
      </c>
      <c r="J459">
        <f t="shared" si="73"/>
        <v>3.7225447917506075E-6</v>
      </c>
      <c r="K459">
        <f t="shared" si="74"/>
        <v>1.2692612397776001E-6</v>
      </c>
      <c r="L459">
        <f t="shared" si="75"/>
        <v>-3.6803604988841214E-9</v>
      </c>
      <c r="N459">
        <f t="shared" si="76"/>
        <v>0.13796002193905199</v>
      </c>
      <c r="O459">
        <f t="shared" si="76"/>
        <v>0.13794091822003277</v>
      </c>
      <c r="P459">
        <f t="shared" si="76"/>
        <v>0.13793100582379142</v>
      </c>
      <c r="R459" s="42">
        <f t="shared" si="77"/>
        <v>1.146513523799797E-3</v>
      </c>
      <c r="S459" s="42">
        <f t="shared" si="78"/>
        <v>9.5518595096127923E-3</v>
      </c>
      <c r="T459" s="42">
        <f t="shared" si="79"/>
        <v>1.98247924826922E-3</v>
      </c>
    </row>
    <row r="460" spans="1:20">
      <c r="A460">
        <v>816</v>
      </c>
      <c r="B460" s="1355">
        <v>3.339127E-6</v>
      </c>
      <c r="C460" s="1355">
        <v>1.2058200000000001E-6</v>
      </c>
      <c r="D460" s="1355">
        <v>0</v>
      </c>
      <c r="F460" s="1355">
        <f t="shared" si="70"/>
        <v>3.2985866437391997E-6</v>
      </c>
      <c r="G460" s="1355">
        <f t="shared" si="71"/>
        <v>1.1833157549576001E-6</v>
      </c>
      <c r="H460" s="1355">
        <f t="shared" si="72"/>
        <v>-3.7359394104999991E-9</v>
      </c>
      <c r="J460">
        <f t="shared" si="73"/>
        <v>3.470479493028922E-6</v>
      </c>
      <c r="K460">
        <f t="shared" si="74"/>
        <v>1.1833157549576001E-6</v>
      </c>
      <c r="L460">
        <f t="shared" si="75"/>
        <v>-3.4311503269564573E-9</v>
      </c>
      <c r="N460">
        <f t="shared" si="76"/>
        <v>0.13795805910657083</v>
      </c>
      <c r="O460">
        <f t="shared" si="76"/>
        <v>0.13794024896254248</v>
      </c>
      <c r="P460">
        <f t="shared" si="76"/>
        <v>0.13793100776439102</v>
      </c>
      <c r="R460" s="42">
        <f t="shared" si="77"/>
        <v>1.0688796549267465E-3</v>
      </c>
      <c r="S460" s="42">
        <f t="shared" si="78"/>
        <v>8.9050720141758966E-3</v>
      </c>
      <c r="T460" s="42">
        <f t="shared" si="79"/>
        <v>1.8482396302921256E-3</v>
      </c>
    </row>
    <row r="461" spans="1:20">
      <c r="A461">
        <v>817</v>
      </c>
      <c r="B461" s="1355">
        <v>3.1129490000000002E-6</v>
      </c>
      <c r="C461" s="1355">
        <v>1.1241430000000001E-6</v>
      </c>
      <c r="D461" s="1355">
        <v>0</v>
      </c>
      <c r="F461" s="1355">
        <f t="shared" si="70"/>
        <v>3.0751546717055003E-6</v>
      </c>
      <c r="G461" s="1355">
        <f t="shared" si="71"/>
        <v>1.1031630954162002E-6</v>
      </c>
      <c r="H461" s="1355">
        <f t="shared" si="72"/>
        <v>-3.4828828944E-9</v>
      </c>
      <c r="J461">
        <f t="shared" si="73"/>
        <v>3.235404243906173E-6</v>
      </c>
      <c r="K461">
        <f t="shared" si="74"/>
        <v>1.1031630954162002E-6</v>
      </c>
      <c r="L461">
        <f t="shared" si="75"/>
        <v>-3.1987389164516042E-9</v>
      </c>
      <c r="N461">
        <f t="shared" si="76"/>
        <v>0.13795622857560591</v>
      </c>
      <c r="O461">
        <f t="shared" si="76"/>
        <v>0.13793962481378264</v>
      </c>
      <c r="P461">
        <f t="shared" si="76"/>
        <v>0.13793100957417867</v>
      </c>
      <c r="R461" s="42">
        <f t="shared" si="77"/>
        <v>9.9647839878613809E-4</v>
      </c>
      <c r="S461" s="42">
        <f t="shared" si="78"/>
        <v>8.3018809116375269E-3</v>
      </c>
      <c r="T461" s="42">
        <f t="shared" si="79"/>
        <v>1.7230479207930305E-3</v>
      </c>
    </row>
    <row r="462" spans="1:20">
      <c r="A462">
        <v>818</v>
      </c>
      <c r="B462" s="1355">
        <v>2.9021210000000001E-6</v>
      </c>
      <c r="C462" s="1355">
        <v>1.048009E-6</v>
      </c>
      <c r="D462" s="1355">
        <v>0</v>
      </c>
      <c r="F462" s="1355">
        <f t="shared" si="70"/>
        <v>2.8668863364449003E-6</v>
      </c>
      <c r="G462" s="1355">
        <f t="shared" si="71"/>
        <v>1.0284499810398001E-6</v>
      </c>
      <c r="H462" s="1355">
        <f t="shared" si="72"/>
        <v>-3.2470016562000005E-9</v>
      </c>
      <c r="J462">
        <f t="shared" si="73"/>
        <v>3.0162828247550161E-6</v>
      </c>
      <c r="K462">
        <f t="shared" si="74"/>
        <v>1.0284499810398001E-6</v>
      </c>
      <c r="L462">
        <f t="shared" si="75"/>
        <v>-2.9821015734320332E-9</v>
      </c>
      <c r="N462">
        <f t="shared" si="76"/>
        <v>0.13795452227711499</v>
      </c>
      <c r="O462">
        <f t="shared" si="76"/>
        <v>0.13793904302276097</v>
      </c>
      <c r="P462">
        <f t="shared" si="76"/>
        <v>0.13793101126113366</v>
      </c>
      <c r="R462" s="42">
        <f t="shared" si="77"/>
        <v>9.2899064027207601E-4</v>
      </c>
      <c r="S462" s="42">
        <f t="shared" si="78"/>
        <v>7.7396271770113767E-3</v>
      </c>
      <c r="T462" s="42">
        <f t="shared" si="79"/>
        <v>1.6063523254616907E-3</v>
      </c>
    </row>
    <row r="463" spans="1:20">
      <c r="A463">
        <v>819</v>
      </c>
      <c r="B463" s="1355">
        <v>2.7056450000000002E-6</v>
      </c>
      <c r="C463" s="1355">
        <v>9.7705800000000004E-7</v>
      </c>
      <c r="D463" s="1355">
        <v>0</v>
      </c>
      <c r="F463" s="1355">
        <f t="shared" si="70"/>
        <v>2.6727957518406002E-6</v>
      </c>
      <c r="G463" s="1355">
        <f t="shared" si="71"/>
        <v>9.5882314408600024E-7</v>
      </c>
      <c r="H463" s="1355">
        <f t="shared" si="72"/>
        <v>-3.027176414899999E-9</v>
      </c>
      <c r="J463">
        <f t="shared" si="73"/>
        <v>2.8120779738872346E-6</v>
      </c>
      <c r="K463">
        <f t="shared" si="74"/>
        <v>9.5882314408600024E-7</v>
      </c>
      <c r="L463">
        <f t="shared" si="75"/>
        <v>-2.7802103311811753E-9</v>
      </c>
      <c r="N463">
        <f t="shared" si="76"/>
        <v>0.13795293213394128</v>
      </c>
      <c r="O463">
        <f t="shared" si="76"/>
        <v>0.13793850083858161</v>
      </c>
      <c r="P463">
        <f t="shared" si="76"/>
        <v>0.13793101283326076</v>
      </c>
      <c r="R463" s="42">
        <f t="shared" si="77"/>
        <v>8.6609727546616E-4</v>
      </c>
      <c r="S463" s="42">
        <f t="shared" si="78"/>
        <v>7.2156476798312941E-3</v>
      </c>
      <c r="T463" s="42">
        <f t="shared" si="79"/>
        <v>1.4976010641709614E-3</v>
      </c>
    </row>
    <row r="464" spans="1:20">
      <c r="A464">
        <v>820</v>
      </c>
      <c r="B464" s="1355">
        <v>2.522525E-6</v>
      </c>
      <c r="C464" s="1355">
        <v>9.1093000000000002E-7</v>
      </c>
      <c r="D464" s="1355">
        <v>0</v>
      </c>
      <c r="F464" s="1355">
        <f t="shared" si="70"/>
        <v>2.4918990126710001E-6</v>
      </c>
      <c r="G464" s="1355">
        <f t="shared" si="71"/>
        <v>8.9392929207000006E-7</v>
      </c>
      <c r="H464" s="1355">
        <f t="shared" si="72"/>
        <v>-2.8222950164999993E-9</v>
      </c>
      <c r="J464">
        <f t="shared" si="73"/>
        <v>2.6217545137363618E-6</v>
      </c>
      <c r="K464">
        <f t="shared" si="74"/>
        <v>8.9392929207000006E-7</v>
      </c>
      <c r="L464">
        <f t="shared" si="75"/>
        <v>-2.5920437685405429E-9</v>
      </c>
      <c r="N464">
        <f t="shared" si="76"/>
        <v>0.13795145008515708</v>
      </c>
      <c r="O464">
        <f t="shared" si="76"/>
        <v>0.13793799551015598</v>
      </c>
      <c r="P464">
        <f t="shared" si="76"/>
        <v>0.13793101429851379</v>
      </c>
      <c r="R464" s="42">
        <f t="shared" si="77"/>
        <v>8.074791780927626E-4</v>
      </c>
      <c r="S464" s="42">
        <f t="shared" si="78"/>
        <v>6.7272875005491839E-3</v>
      </c>
      <c r="T464" s="42">
        <f t="shared" si="79"/>
        <v>1.3962423284386016E-3</v>
      </c>
    </row>
    <row r="465" spans="1:20">
      <c r="A465">
        <v>821</v>
      </c>
      <c r="B465" s="1355">
        <v>2.3517260000000002E-6</v>
      </c>
      <c r="C465" s="1355">
        <v>8.4925099999999999E-7</v>
      </c>
      <c r="D465" s="1355">
        <v>0</v>
      </c>
      <c r="F465" s="1355">
        <f t="shared" si="70"/>
        <v>2.3231736866143002E-6</v>
      </c>
      <c r="G465" s="1355">
        <f t="shared" si="71"/>
        <v>8.3340139665379998E-7</v>
      </c>
      <c r="H465" s="1355">
        <f t="shared" si="72"/>
        <v>-2.6312011063000004E-9</v>
      </c>
      <c r="J465">
        <f t="shared" si="73"/>
        <v>2.4442367319476683E-6</v>
      </c>
      <c r="K465">
        <f t="shared" si="74"/>
        <v>8.3340139665379998E-7</v>
      </c>
      <c r="L465">
        <f t="shared" si="75"/>
        <v>-2.4165398696766258E-9</v>
      </c>
      <c r="N465">
        <f t="shared" si="76"/>
        <v>0.1379500677541903</v>
      </c>
      <c r="O465">
        <f t="shared" si="76"/>
        <v>0.13793752417943436</v>
      </c>
      <c r="P465">
        <f t="shared" si="76"/>
        <v>0.13793101566516267</v>
      </c>
      <c r="R465" s="42">
        <f t="shared" si="77"/>
        <v>7.5280481438610991E-4</v>
      </c>
      <c r="S465" s="42">
        <f t="shared" si="78"/>
        <v>6.2717873779705169E-3</v>
      </c>
      <c r="T465" s="42">
        <f t="shared" si="79"/>
        <v>1.3017028543393927E-3</v>
      </c>
    </row>
    <row r="466" spans="1:20">
      <c r="A466">
        <v>822</v>
      </c>
      <c r="B466" s="1355">
        <v>2.1924150000000002E-6</v>
      </c>
      <c r="C466" s="1355">
        <v>7.9172100000000003E-7</v>
      </c>
      <c r="D466" s="1355">
        <v>0</v>
      </c>
      <c r="F466" s="1355">
        <f t="shared" si="70"/>
        <v>2.1657968813096999E-6</v>
      </c>
      <c r="G466" s="1355">
        <f t="shared" si="71"/>
        <v>7.7694508454699999E-7</v>
      </c>
      <c r="H466" s="1355">
        <f t="shared" si="72"/>
        <v>-2.4529571988000001E-9</v>
      </c>
      <c r="J466">
        <f t="shared" si="73"/>
        <v>2.2786588543664713E-6</v>
      </c>
      <c r="K466">
        <f t="shared" si="74"/>
        <v>7.7694508454699999E-7</v>
      </c>
      <c r="L466">
        <f t="shared" si="75"/>
        <v>-2.2528376319535651E-9</v>
      </c>
      <c r="N466">
        <f t="shared" si="76"/>
        <v>0.13794877839925757</v>
      </c>
      <c r="O466">
        <f t="shared" si="76"/>
        <v>0.13793708455413198</v>
      </c>
      <c r="P466">
        <f t="shared" si="76"/>
        <v>0.13793101693991197</v>
      </c>
      <c r="R466" s="42">
        <f t="shared" si="77"/>
        <v>7.0180827930954592E-4</v>
      </c>
      <c r="S466" s="42">
        <f t="shared" si="78"/>
        <v>5.8469225627938437E-3</v>
      </c>
      <c r="T466" s="42">
        <f t="shared" si="79"/>
        <v>1.2135228440013357E-3</v>
      </c>
    </row>
    <row r="467" spans="1:20">
      <c r="A467">
        <v>823</v>
      </c>
      <c r="B467" s="1355">
        <v>2.0439020000000001E-6</v>
      </c>
      <c r="C467" s="1355">
        <v>7.3809000000000001E-7</v>
      </c>
      <c r="D467" s="1355">
        <v>0</v>
      </c>
      <c r="F467" s="1355">
        <f t="shared" si="70"/>
        <v>2.0190869799882001E-6</v>
      </c>
      <c r="G467" s="1355">
        <f t="shared" si="71"/>
        <v>7.2431499312760007E-7</v>
      </c>
      <c r="H467" s="1355">
        <f t="shared" si="72"/>
        <v>-2.2867969039999996E-9</v>
      </c>
      <c r="J467">
        <f t="shared" si="73"/>
        <v>2.1243037444508504E-6</v>
      </c>
      <c r="K467">
        <f t="shared" si="74"/>
        <v>7.2431499312760007E-7</v>
      </c>
      <c r="L467">
        <f t="shared" si="75"/>
        <v>-2.1002331897541394E-9</v>
      </c>
      <c r="N467">
        <f t="shared" si="76"/>
        <v>0.13794757643601666</v>
      </c>
      <c r="O467">
        <f t="shared" si="76"/>
        <v>0.1379366747236101</v>
      </c>
      <c r="P467">
        <f t="shared" si="76"/>
        <v>0.13793101812824277</v>
      </c>
      <c r="R467" s="42">
        <f t="shared" si="77"/>
        <v>6.5426793877065847E-4</v>
      </c>
      <c r="S467" s="42">
        <f t="shared" si="78"/>
        <v>5.4508562032790087E-3</v>
      </c>
      <c r="T467" s="42">
        <f t="shared" si="79"/>
        <v>1.1313190734663081E-3</v>
      </c>
    </row>
    <row r="468" spans="1:20">
      <c r="A468">
        <v>824</v>
      </c>
      <c r="B468" s="1355">
        <v>1.9054969999999999E-6</v>
      </c>
      <c r="C468" s="1355">
        <v>6.8810999999999999E-7</v>
      </c>
      <c r="D468" s="1355">
        <v>0</v>
      </c>
      <c r="F468" s="1355">
        <f t="shared" si="70"/>
        <v>1.8823623515441999E-6</v>
      </c>
      <c r="G468" s="1355">
        <f t="shared" si="71"/>
        <v>6.7526779096359999E-7</v>
      </c>
      <c r="H468" s="1355">
        <f t="shared" si="72"/>
        <v>-2.1319402924999994E-9</v>
      </c>
      <c r="J468">
        <f t="shared" si="73"/>
        <v>1.9804542505751889E-6</v>
      </c>
      <c r="K468">
        <f t="shared" si="74"/>
        <v>6.7526779096359999E-7</v>
      </c>
      <c r="L468">
        <f t="shared" si="75"/>
        <v>-1.9580102426457754E-9</v>
      </c>
      <c r="N468">
        <f t="shared" si="76"/>
        <v>0.13794645628000785</v>
      </c>
      <c r="O468">
        <f t="shared" si="76"/>
        <v>0.13793629279304684</v>
      </c>
      <c r="P468">
        <f t="shared" si="76"/>
        <v>0.13793101923573287</v>
      </c>
      <c r="R468" s="42">
        <f t="shared" si="77"/>
        <v>6.0996399343338226E-4</v>
      </c>
      <c r="S468" s="42">
        <f t="shared" si="78"/>
        <v>5.0817434805033868E-3</v>
      </c>
      <c r="T468" s="42">
        <f t="shared" si="79"/>
        <v>1.0547114627945664E-3</v>
      </c>
    </row>
    <row r="469" spans="1:20">
      <c r="A469">
        <v>825</v>
      </c>
      <c r="B469" s="1355">
        <v>1.7765090000000001E-6</v>
      </c>
      <c r="C469" s="1355">
        <v>6.4153E-7</v>
      </c>
      <c r="D469" s="1355">
        <v>0</v>
      </c>
      <c r="F469" s="1355">
        <f t="shared" si="70"/>
        <v>1.7549403959294001E-6</v>
      </c>
      <c r="G469" s="1355">
        <f t="shared" si="71"/>
        <v>6.2955711220920003E-7</v>
      </c>
      <c r="H469" s="1355">
        <f t="shared" si="72"/>
        <v>-1.9876241805000007E-9</v>
      </c>
      <c r="J469">
        <f t="shared" si="73"/>
        <v>1.846392201678538E-6</v>
      </c>
      <c r="K469">
        <f t="shared" si="74"/>
        <v>6.2955711220920003E-7</v>
      </c>
      <c r="L469">
        <f t="shared" si="75"/>
        <v>-1.8254678696398893E-9</v>
      </c>
      <c r="N469">
        <f t="shared" si="76"/>
        <v>0.13794541233883309</v>
      </c>
      <c r="O469">
        <f t="shared" si="76"/>
        <v>0.13793593684399139</v>
      </c>
      <c r="P469">
        <f t="shared" si="76"/>
        <v>0.13793102026784032</v>
      </c>
      <c r="R469" s="42">
        <f t="shared" si="77"/>
        <v>5.686739030004162E-4</v>
      </c>
      <c r="S469" s="42">
        <f t="shared" si="78"/>
        <v>4.7377474208520898E-3</v>
      </c>
      <c r="T469" s="42">
        <f t="shared" si="79"/>
        <v>9.8331523021299994E-4</v>
      </c>
    </row>
    <row r="470" spans="1:20">
      <c r="A470">
        <v>826</v>
      </c>
      <c r="B470" s="1355">
        <v>1.6562149999999999E-6</v>
      </c>
      <c r="C470" s="1355">
        <v>5.9808999999999998E-7</v>
      </c>
      <c r="D470" s="1355">
        <v>0</v>
      </c>
      <c r="F470" s="1355">
        <f t="shared" si="70"/>
        <v>1.6361068832869997E-6</v>
      </c>
      <c r="G470" s="1355">
        <f t="shared" si="71"/>
        <v>5.8692784654199992E-7</v>
      </c>
      <c r="H470" s="1355">
        <f t="shared" si="72"/>
        <v>-1.8530322794999991E-9</v>
      </c>
      <c r="J470">
        <f t="shared" si="73"/>
        <v>1.721366148628573E-6</v>
      </c>
      <c r="K470">
        <f t="shared" si="74"/>
        <v>5.8692784654199992E-7</v>
      </c>
      <c r="L470">
        <f t="shared" si="75"/>
        <v>-1.7018563774877612E-9</v>
      </c>
      <c r="N470">
        <f t="shared" si="76"/>
        <v>0.13794443876095799</v>
      </c>
      <c r="O470">
        <f t="shared" si="76"/>
        <v>0.13793560488989964</v>
      </c>
      <c r="P470">
        <f t="shared" si="76"/>
        <v>0.13793102123040302</v>
      </c>
      <c r="R470" s="42">
        <f t="shared" si="77"/>
        <v>5.3016722835863561E-4</v>
      </c>
      <c r="S470" s="42">
        <f t="shared" si="78"/>
        <v>4.4169355291751033E-3</v>
      </c>
      <c r="T470" s="42">
        <f t="shared" si="79"/>
        <v>9.1673189932528487E-4</v>
      </c>
    </row>
    <row r="471" spans="1:20">
      <c r="A471">
        <v>827</v>
      </c>
      <c r="B471" s="1355">
        <v>1.5440219999999999E-6</v>
      </c>
      <c r="C471" s="1355">
        <v>5.5757500000000001E-7</v>
      </c>
      <c r="D471" s="1355">
        <v>0</v>
      </c>
      <c r="F471" s="1355">
        <f t="shared" si="70"/>
        <v>1.5252760193746998E-6</v>
      </c>
      <c r="G471" s="1355">
        <f t="shared" si="71"/>
        <v>5.4716897715860008E-7</v>
      </c>
      <c r="H471" s="1355">
        <f t="shared" si="72"/>
        <v>-1.7275069194999986E-9</v>
      </c>
      <c r="J471">
        <f t="shared" si="73"/>
        <v>1.6047597708235922E-6</v>
      </c>
      <c r="K471">
        <f t="shared" si="74"/>
        <v>5.4716897715860008E-7</v>
      </c>
      <c r="L471">
        <f t="shared" si="75"/>
        <v>-1.5865717508701989E-9</v>
      </c>
      <c r="N471">
        <f t="shared" si="76"/>
        <v>0.13794353074709403</v>
      </c>
      <c r="O471">
        <f t="shared" si="76"/>
        <v>0.13793529528758375</v>
      </c>
      <c r="P471">
        <f t="shared" si="76"/>
        <v>0.13793102212812439</v>
      </c>
      <c r="R471" s="42">
        <f t="shared" si="77"/>
        <v>4.9425335971520212E-4</v>
      </c>
      <c r="S471" s="42">
        <f t="shared" si="78"/>
        <v>4.1177297551431291E-3</v>
      </c>
      <c r="T471" s="42">
        <f t="shared" si="79"/>
        <v>8.5463189187229283E-4</v>
      </c>
    </row>
    <row r="472" spans="1:20">
      <c r="A472">
        <v>828</v>
      </c>
      <c r="B472" s="1355">
        <v>1.43944E-6</v>
      </c>
      <c r="C472" s="1355">
        <v>5.1980799999999999E-7</v>
      </c>
      <c r="D472" s="1355">
        <v>0</v>
      </c>
      <c r="F472" s="1355">
        <f t="shared" si="70"/>
        <v>1.4219637536576E-6</v>
      </c>
      <c r="G472" s="1355">
        <f t="shared" si="71"/>
        <v>5.1010680563199999E-7</v>
      </c>
      <c r="H472" s="1355">
        <f t="shared" si="72"/>
        <v>-1.6105002223999995E-9</v>
      </c>
      <c r="J472">
        <f t="shared" si="73"/>
        <v>1.4960637933418204E-6</v>
      </c>
      <c r="K472">
        <f t="shared" si="74"/>
        <v>5.1010680563199999E-7</v>
      </c>
      <c r="L472">
        <f t="shared" si="75"/>
        <v>-1.4791108092172327E-9</v>
      </c>
      <c r="N472">
        <f t="shared" si="76"/>
        <v>0.13794268433151738</v>
      </c>
      <c r="O472">
        <f t="shared" si="76"/>
        <v>0.13793500668445408</v>
      </c>
      <c r="P472">
        <f t="shared" si="76"/>
        <v>0.13793102296492274</v>
      </c>
      <c r="R472" s="42">
        <f t="shared" si="77"/>
        <v>4.6077539667166434E-4</v>
      </c>
      <c r="S472" s="42">
        <f t="shared" si="78"/>
        <v>3.8388235316516583E-3</v>
      </c>
      <c r="T472" s="42">
        <f t="shared" si="79"/>
        <v>7.967439062672721E-4</v>
      </c>
    </row>
    <row r="473" spans="1:20">
      <c r="A473">
        <v>829</v>
      </c>
      <c r="B473" s="1355">
        <v>1.341977E-6</v>
      </c>
      <c r="C473" s="1355">
        <v>4.84612E-7</v>
      </c>
      <c r="D473" s="1355">
        <v>0</v>
      </c>
      <c r="F473" s="1355">
        <f t="shared" si="70"/>
        <v>1.3256840547056001E-6</v>
      </c>
      <c r="G473" s="1355">
        <f t="shared" si="71"/>
        <v>4.7556765827760006E-7</v>
      </c>
      <c r="H473" s="1355">
        <f t="shared" si="72"/>
        <v>-1.5014571830999997E-9</v>
      </c>
      <c r="J473">
        <f t="shared" si="73"/>
        <v>1.3947668571397309E-6</v>
      </c>
      <c r="K473">
        <f t="shared" si="74"/>
        <v>4.7556765827760006E-7</v>
      </c>
      <c r="L473">
        <f t="shared" si="75"/>
        <v>-1.3789638264008154E-9</v>
      </c>
      <c r="N473">
        <f t="shared" si="76"/>
        <v>0.13794189553227518</v>
      </c>
      <c r="O473">
        <f t="shared" si="76"/>
        <v>0.13793473772811363</v>
      </c>
      <c r="P473">
        <f t="shared" si="76"/>
        <v>0.13793102374476729</v>
      </c>
      <c r="R473" s="42">
        <f t="shared" si="77"/>
        <v>4.2957646117969261E-4</v>
      </c>
      <c r="S473" s="42">
        <f t="shared" si="78"/>
        <v>3.5789020807752703E-3</v>
      </c>
      <c r="T473" s="42">
        <f t="shared" si="79"/>
        <v>7.4279666926746479E-4</v>
      </c>
    </row>
    <row r="474" spans="1:20">
      <c r="A474">
        <v>830</v>
      </c>
      <c r="B474" s="1355">
        <v>1.251141E-6</v>
      </c>
      <c r="C474" s="1355">
        <v>4.5181000000000002E-7</v>
      </c>
      <c r="D474" s="1355">
        <v>0</v>
      </c>
      <c r="F474" s="1355">
        <f t="shared" si="70"/>
        <v>1.2359508910886E-6</v>
      </c>
      <c r="G474" s="1355">
        <f t="shared" si="71"/>
        <v>4.4337786141080003E-7</v>
      </c>
      <c r="H474" s="1355">
        <f t="shared" si="72"/>
        <v>-1.3998227964999998E-9</v>
      </c>
      <c r="J474">
        <f t="shared" si="73"/>
        <v>1.3003576031737982E-6</v>
      </c>
      <c r="K474">
        <f t="shared" si="74"/>
        <v>4.4337786141080003E-7</v>
      </c>
      <c r="L474">
        <f t="shared" si="75"/>
        <v>-1.2856210762929014E-9</v>
      </c>
      <c r="N474">
        <f t="shared" si="76"/>
        <v>0.13794116036741452</v>
      </c>
      <c r="O474">
        <f t="shared" si="76"/>
        <v>0.13793448706616543</v>
      </c>
      <c r="P474">
        <f t="shared" si="76"/>
        <v>0.13793102447162731</v>
      </c>
      <c r="R474" s="42">
        <f t="shared" si="77"/>
        <v>4.004996751909573E-4</v>
      </c>
      <c r="S474" s="42">
        <f t="shared" si="78"/>
        <v>3.3366506245469107E-3</v>
      </c>
      <c r="T474" s="42">
        <f t="shared" si="79"/>
        <v>6.9251890762456192E-4</v>
      </c>
    </row>
  </sheetData>
  <mergeCells count="3">
    <mergeCell ref="V1:Z1"/>
    <mergeCell ref="V3:Z3"/>
    <mergeCell ref="V9:Z9"/>
  </mergeCells>
  <hyperlinks>
    <hyperlink ref="V16" r:id="rId1" xr:uid="{7DBB5988-0238-4832-88D4-3956708E6D55}"/>
  </hyperlinks>
  <pageMargins left="0.7" right="0.7" top="0.75" bottom="0.75" header="0.3" footer="0.3"/>
  <pageSetup paperSize="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5B0C-EC87-438E-8D02-73E4CAC9C2E0}">
  <dimension ref="A2:AD42"/>
  <sheetViews>
    <sheetView workbookViewId="0">
      <selection activeCell="A10" sqref="A10"/>
    </sheetView>
  </sheetViews>
  <sheetFormatPr defaultRowHeight="15"/>
  <cols>
    <col min="1" max="7" width="10.85546875" customWidth="1"/>
    <col min="21" max="21" width="12.7109375" bestFit="1" customWidth="1"/>
  </cols>
  <sheetData>
    <row r="2" spans="1:14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</row>
    <row r="3" spans="1:14">
      <c r="A3" s="104"/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</row>
    <row r="4" spans="1:14">
      <c r="A4" s="104"/>
      <c r="B4" s="104"/>
      <c r="C4" s="104"/>
      <c r="D4" s="104"/>
      <c r="E4" s="104"/>
      <c r="F4" s="104"/>
      <c r="G4" s="104"/>
      <c r="H4" s="104"/>
      <c r="I4" s="104"/>
      <c r="J4" s="104"/>
      <c r="K4" s="104"/>
      <c r="L4" s="104"/>
      <c r="M4" s="104"/>
      <c r="N4" s="104"/>
    </row>
    <row r="5" spans="1:14">
      <c r="A5" s="104"/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</row>
    <row r="6" spans="1:14">
      <c r="A6" s="104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</row>
    <row r="7" spans="1:14">
      <c r="A7" s="104"/>
      <c r="B7" s="104"/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</row>
    <row r="8" spans="1:14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</row>
    <row r="9" spans="1:14">
      <c r="A9" s="104"/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</row>
    <row r="10" spans="1:14">
      <c r="A10" s="104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</row>
    <row r="11" spans="1:14">
      <c r="A11" s="104"/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</row>
    <row r="12" spans="1:14">
      <c r="A12" s="104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</row>
    <row r="13" spans="1:14">
      <c r="A13" s="104"/>
      <c r="B13" s="104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</row>
    <row r="14" spans="1:14">
      <c r="A14" s="104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</row>
    <row r="15" spans="1:14">
      <c r="A15" s="104"/>
      <c r="B15" s="104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</row>
    <row r="16" spans="1:14">
      <c r="A16" s="104"/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</row>
    <row r="17" spans="1:14">
      <c r="A17" s="104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</row>
    <row r="18" spans="1:14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</row>
    <row r="19" spans="1:14">
      <c r="A19" s="104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</row>
    <row r="20" spans="1:14">
      <c r="A20" s="104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</row>
    <row r="21" spans="1:14">
      <c r="A21" s="104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</row>
    <row r="22" spans="1:14">
      <c r="A22" s="104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</row>
    <row r="23" spans="1:14">
      <c r="A23" s="104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</row>
    <row r="24" spans="1:14">
      <c r="A24" s="104"/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</row>
    <row r="29" spans="1:14">
      <c r="A29" t="s">
        <v>236</v>
      </c>
    </row>
    <row r="30" spans="1:14">
      <c r="A30" t="s">
        <v>224</v>
      </c>
    </row>
    <row r="31" spans="1:14">
      <c r="A31" t="s">
        <v>225</v>
      </c>
    </row>
    <row r="32" spans="1:14">
      <c r="A32" t="s">
        <v>226</v>
      </c>
    </row>
    <row r="33" spans="1:30">
      <c r="T33" t="s">
        <v>253</v>
      </c>
      <c r="U33" t="s">
        <v>254</v>
      </c>
      <c r="V33" t="s">
        <v>241</v>
      </c>
      <c r="W33" t="s">
        <v>251</v>
      </c>
      <c r="X33" t="s">
        <v>252</v>
      </c>
      <c r="Y33" t="s">
        <v>2</v>
      </c>
      <c r="Z33" t="s">
        <v>4</v>
      </c>
      <c r="AA33" t="s">
        <v>6</v>
      </c>
      <c r="AB33" t="s">
        <v>74</v>
      </c>
      <c r="AC33" t="s">
        <v>73</v>
      </c>
      <c r="AD33" t="s">
        <v>75</v>
      </c>
    </row>
    <row r="34" spans="1:30">
      <c r="A34" t="s">
        <v>227</v>
      </c>
      <c r="B34" t="s">
        <v>228</v>
      </c>
      <c r="C34" t="s">
        <v>229</v>
      </c>
      <c r="D34" t="s">
        <v>230</v>
      </c>
      <c r="E34" t="s">
        <v>231</v>
      </c>
      <c r="F34" t="s">
        <v>232</v>
      </c>
      <c r="G34" t="s">
        <v>233</v>
      </c>
      <c r="H34" s="1371" t="s">
        <v>249</v>
      </c>
      <c r="I34" s="1371"/>
      <c r="T34">
        <v>5298</v>
      </c>
      <c r="W34">
        <v>700</v>
      </c>
      <c r="X34">
        <v>4</v>
      </c>
      <c r="Y34">
        <v>21983</v>
      </c>
      <c r="Z34">
        <v>12010</v>
      </c>
      <c r="AA34">
        <v>8845</v>
      </c>
      <c r="AC34">
        <v>41160</v>
      </c>
      <c r="AD34">
        <f>(AB35-AC34)/2</f>
        <v>22</v>
      </c>
    </row>
    <row r="35" spans="1:30">
      <c r="A35" t="s">
        <v>234</v>
      </c>
      <c r="B35">
        <v>310</v>
      </c>
      <c r="C35">
        <v>0.13600000000000001</v>
      </c>
      <c r="D35">
        <v>1</v>
      </c>
      <c r="E35">
        <v>-0.44400000000000001</v>
      </c>
      <c r="F35">
        <v>3810</v>
      </c>
      <c r="G35">
        <v>1391</v>
      </c>
      <c r="H35" s="1371" t="s">
        <v>248</v>
      </c>
      <c r="I35" s="1371"/>
      <c r="AB35">
        <v>41204</v>
      </c>
    </row>
    <row r="36" spans="1:30">
      <c r="T36">
        <f>U36/V36</f>
        <v>1224.1992999999998</v>
      </c>
      <c r="U36">
        <f>C35*Y36+D35*Z36+E35*AA36</f>
        <v>11057.284</v>
      </c>
      <c r="V36">
        <f>(W34*X34)/B35</f>
        <v>9.0322580645161299</v>
      </c>
      <c r="Y36">
        <f>Y34-AD34</f>
        <v>21961</v>
      </c>
      <c r="Z36">
        <f>Z34-AD34</f>
        <v>11988</v>
      </c>
      <c r="AA36">
        <f>AA34-AD34</f>
        <v>8823</v>
      </c>
    </row>
    <row r="37" spans="1:30">
      <c r="A37" s="1341" t="s">
        <v>235</v>
      </c>
      <c r="B37" s="1341" t="s">
        <v>242</v>
      </c>
      <c r="C37" s="1341" t="s">
        <v>229</v>
      </c>
      <c r="D37" s="1341" t="s">
        <v>39</v>
      </c>
      <c r="E37" s="1341" t="s">
        <v>237</v>
      </c>
      <c r="F37" s="1341" t="s">
        <v>238</v>
      </c>
      <c r="G37" s="1341" t="s">
        <v>230</v>
      </c>
      <c r="H37" s="1341" t="s">
        <v>39</v>
      </c>
      <c r="I37" s="1341" t="s">
        <v>239</v>
      </c>
      <c r="J37" s="1341" t="s">
        <v>238</v>
      </c>
      <c r="K37" s="1341" t="s">
        <v>231</v>
      </c>
      <c r="L37" s="1341" t="s">
        <v>39</v>
      </c>
      <c r="M37" s="1341" t="s">
        <v>243</v>
      </c>
      <c r="N37" s="1341" t="s">
        <v>244</v>
      </c>
      <c r="O37" s="1341" t="s">
        <v>240</v>
      </c>
      <c r="P37" s="1341" t="s">
        <v>241</v>
      </c>
    </row>
    <row r="38" spans="1:30">
      <c r="E38" t="s">
        <v>245</v>
      </c>
      <c r="I38" t="s">
        <v>246</v>
      </c>
      <c r="M38" t="s">
        <v>247</v>
      </c>
    </row>
    <row r="39" spans="1:30">
      <c r="B39" s="1352" t="s">
        <v>242</v>
      </c>
      <c r="C39">
        <v>136</v>
      </c>
      <c r="D39" t="s">
        <v>39</v>
      </c>
      <c r="E39" t="s">
        <v>245</v>
      </c>
      <c r="F39" s="1352" t="s">
        <v>238</v>
      </c>
      <c r="G39">
        <v>1000</v>
      </c>
      <c r="H39" s="1352" t="s">
        <v>39</v>
      </c>
      <c r="I39" t="s">
        <v>246</v>
      </c>
      <c r="J39" t="s">
        <v>238</v>
      </c>
      <c r="K39">
        <v>-444</v>
      </c>
      <c r="L39" s="1352" t="s">
        <v>39</v>
      </c>
      <c r="M39" t="s">
        <v>247</v>
      </c>
      <c r="N39" s="1352" t="s">
        <v>244</v>
      </c>
      <c r="O39" s="1352" t="s">
        <v>240</v>
      </c>
    </row>
    <row r="42" spans="1:30">
      <c r="A42" t="s">
        <v>51</v>
      </c>
      <c r="B42" t="s">
        <v>1</v>
      </c>
      <c r="C42" t="s">
        <v>232</v>
      </c>
      <c r="D42" t="s">
        <v>39</v>
      </c>
      <c r="E42" t="s">
        <v>250</v>
      </c>
      <c r="F42" t="s">
        <v>238</v>
      </c>
      <c r="G42" t="s">
        <v>233</v>
      </c>
    </row>
  </sheetData>
  <mergeCells count="2">
    <mergeCell ref="H34:I34"/>
    <mergeCell ref="H35:I35"/>
  </mergeCells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0AB0C-374F-4CF0-A7CA-0993D700489F}">
  <dimension ref="A2:D26"/>
  <sheetViews>
    <sheetView workbookViewId="0">
      <selection activeCell="H8" sqref="H8"/>
    </sheetView>
  </sheetViews>
  <sheetFormatPr defaultRowHeight="15"/>
  <cols>
    <col min="1" max="1" width="30.140625" bestFit="1" customWidth="1"/>
  </cols>
  <sheetData>
    <row r="2" spans="1:4">
      <c r="A2" t="s">
        <v>279</v>
      </c>
      <c r="B2" t="s">
        <v>280</v>
      </c>
      <c r="C2" t="s">
        <v>281</v>
      </c>
      <c r="D2" t="s">
        <v>282</v>
      </c>
    </row>
    <row r="3" spans="1:4">
      <c r="A3" t="s">
        <v>257</v>
      </c>
      <c r="B3">
        <v>37.773205820821701</v>
      </c>
      <c r="C3">
        <v>12.591281979949132</v>
      </c>
      <c r="D3">
        <v>13.737695613236978</v>
      </c>
    </row>
    <row r="4" spans="1:4">
      <c r="A4" t="s">
        <v>256</v>
      </c>
      <c r="B4">
        <v>65.431919053115664</v>
      </c>
      <c r="C4">
        <v>16.847161810232826</v>
      </c>
      <c r="D4">
        <v>17.382413455752577</v>
      </c>
    </row>
    <row r="5" spans="1:4">
      <c r="A5" t="s">
        <v>255</v>
      </c>
      <c r="B5">
        <v>50.221743009310785</v>
      </c>
      <c r="C5">
        <v>-2.3011140195283164</v>
      </c>
      <c r="D5">
        <v>-21.549113590395507</v>
      </c>
    </row>
    <row r="6" spans="1:4">
      <c r="A6" t="s">
        <v>258</v>
      </c>
      <c r="B6">
        <v>43.041203809731833</v>
      </c>
      <c r="C6">
        <v>-14.943530200948047</v>
      </c>
      <c r="D6">
        <v>22.050798013401241</v>
      </c>
    </row>
    <row r="7" spans="1:4">
      <c r="A7" t="s">
        <v>259</v>
      </c>
      <c r="B7">
        <v>55.36543670524037</v>
      </c>
      <c r="C7">
        <v>11.462773484805677</v>
      </c>
      <c r="D7">
        <v>-25.157631389523296</v>
      </c>
    </row>
    <row r="8" spans="1:4">
      <c r="A8" t="s">
        <v>260</v>
      </c>
      <c r="B8">
        <v>70.913594826070963</v>
      </c>
      <c r="C8">
        <v>-33.081270982641243</v>
      </c>
      <c r="D8">
        <v>0.26756966520085079</v>
      </c>
    </row>
    <row r="9" spans="1:4">
      <c r="A9" t="s">
        <v>261</v>
      </c>
      <c r="B9">
        <v>62.036354240270256</v>
      </c>
      <c r="C9">
        <v>33.60758733892866</v>
      </c>
      <c r="D9">
        <v>56.361037113658554</v>
      </c>
    </row>
    <row r="10" spans="1:4">
      <c r="A10" t="s">
        <v>262</v>
      </c>
      <c r="B10">
        <v>40.660860500389582</v>
      </c>
      <c r="C10">
        <v>16.043865508175685</v>
      </c>
      <c r="D10">
        <v>-45.139557171884611</v>
      </c>
    </row>
    <row r="11" spans="1:4">
      <c r="A11" t="s">
        <v>263</v>
      </c>
      <c r="B11">
        <v>50.619717045587052</v>
      </c>
      <c r="C11">
        <v>47.698240321655149</v>
      </c>
      <c r="D11">
        <v>15.195308122498341</v>
      </c>
    </row>
    <row r="12" spans="1:4">
      <c r="A12" t="s">
        <v>264</v>
      </c>
      <c r="B12">
        <v>30.442928764338248</v>
      </c>
      <c r="C12">
        <v>24.889781191480775</v>
      </c>
      <c r="D12">
        <v>-21.589889567653874</v>
      </c>
    </row>
    <row r="13" spans="1:4">
      <c r="A13" t="s">
        <v>265</v>
      </c>
      <c r="B13">
        <v>72.285478736290671</v>
      </c>
      <c r="C13">
        <v>-27.945059608786515</v>
      </c>
      <c r="D13">
        <v>57.869874063597884</v>
      </c>
    </row>
    <row r="14" spans="1:4">
      <c r="A14" t="s">
        <v>266</v>
      </c>
      <c r="B14">
        <v>71.386119196075384</v>
      </c>
      <c r="C14">
        <v>15.890284830222978</v>
      </c>
      <c r="D14">
        <v>67.707854682628337</v>
      </c>
    </row>
    <row r="15" spans="1:4">
      <c r="A15" t="s">
        <v>267</v>
      </c>
      <c r="B15">
        <v>29.574027478661378</v>
      </c>
      <c r="C15">
        <v>20.596725494702898</v>
      </c>
      <c r="D15">
        <v>-49.210162817483884</v>
      </c>
    </row>
    <row r="16" spans="1:4">
      <c r="A16" t="s">
        <v>268</v>
      </c>
      <c r="B16">
        <v>55.23286542210424</v>
      </c>
      <c r="C16">
        <v>-41.208751698389889</v>
      </c>
      <c r="D16">
        <v>31.934174788618108</v>
      </c>
    </row>
    <row r="17" spans="1:4">
      <c r="A17" t="s">
        <v>269</v>
      </c>
      <c r="B17">
        <v>41.468062941473491</v>
      </c>
      <c r="C17">
        <v>52.749665611382945</v>
      </c>
      <c r="D17">
        <v>26.868509698183686</v>
      </c>
    </row>
    <row r="18" spans="1:4">
      <c r="A18" t="s">
        <v>270</v>
      </c>
      <c r="B18">
        <v>81.222107529224289</v>
      </c>
      <c r="C18">
        <v>-0.43926969522561921</v>
      </c>
      <c r="D18">
        <v>80.265820090698895</v>
      </c>
    </row>
    <row r="19" spans="1:4">
      <c r="A19" t="s">
        <v>271</v>
      </c>
      <c r="B19">
        <v>51.726490324936563</v>
      </c>
      <c r="C19">
        <v>51.213860058432424</v>
      </c>
      <c r="D19">
        <v>-15.239231409067312</v>
      </c>
    </row>
    <row r="20" spans="1:4">
      <c r="A20" t="s">
        <v>272</v>
      </c>
      <c r="B20">
        <v>51.562892750533919</v>
      </c>
      <c r="C20">
        <v>-23.968450559968659</v>
      </c>
      <c r="D20">
        <v>-27.845275939683912</v>
      </c>
    </row>
    <row r="21" spans="1:4">
      <c r="A21" t="s">
        <v>273</v>
      </c>
      <c r="B21">
        <v>96.529836597564341</v>
      </c>
      <c r="C21">
        <v>-0.5344221367800106</v>
      </c>
      <c r="D21">
        <v>1.1815245961379839</v>
      </c>
    </row>
    <row r="22" spans="1:4">
      <c r="A22" t="s">
        <v>274</v>
      </c>
      <c r="B22">
        <v>81.264407867823977</v>
      </c>
      <c r="C22">
        <v>-0.60422774153634506</v>
      </c>
      <c r="D22">
        <v>-0.32211396547114912</v>
      </c>
    </row>
    <row r="23" spans="1:4">
      <c r="A23" t="s">
        <v>275</v>
      </c>
      <c r="B23">
        <v>66.775721536939102</v>
      </c>
      <c r="C23">
        <v>-0.68379193137241279</v>
      </c>
      <c r="D23">
        <v>-0.48805004172720601</v>
      </c>
    </row>
    <row r="24" spans="1:4">
      <c r="A24" t="s">
        <v>276</v>
      </c>
      <c r="B24">
        <v>50.870690052543708</v>
      </c>
      <c r="C24">
        <v>-0.127084092250207</v>
      </c>
      <c r="D24">
        <v>-0.26510978920712969</v>
      </c>
    </row>
    <row r="25" spans="1:4">
      <c r="A25" t="s">
        <v>277</v>
      </c>
      <c r="B25">
        <v>35.671205048177505</v>
      </c>
      <c r="C25">
        <v>-0.30202443234328413</v>
      </c>
      <c r="D25">
        <v>-1.2126224142011477</v>
      </c>
    </row>
    <row r="26" spans="1:4">
      <c r="A26" t="s">
        <v>278</v>
      </c>
      <c r="B26">
        <v>20.471432931123296</v>
      </c>
      <c r="C26">
        <v>1.3936712908363402E-2</v>
      </c>
      <c r="D26">
        <v>-0.96226894663382634</v>
      </c>
    </row>
  </sheetData>
  <autoFilter ref="A2:D2" xr:uid="{F616882B-DEBE-4AB1-A0BF-6175B5227C40}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9FA3-BF71-452F-B2EA-044838398A2E}">
  <dimension ref="A2:O48"/>
  <sheetViews>
    <sheetView topLeftCell="O1" workbookViewId="0">
      <selection activeCell="M57" sqref="M57"/>
    </sheetView>
  </sheetViews>
  <sheetFormatPr defaultRowHeight="15"/>
  <cols>
    <col min="9" max="9" width="11.42578125" bestFit="1" customWidth="1"/>
  </cols>
  <sheetData>
    <row r="2" spans="1:10" ht="15.75" thickBot="1">
      <c r="A2" s="75"/>
      <c r="B2" s="75"/>
      <c r="C2" s="355" t="s">
        <v>34</v>
      </c>
      <c r="D2" s="75"/>
      <c r="E2" s="75"/>
      <c r="F2" s="75"/>
    </row>
    <row r="3" spans="1:10" ht="15.75" thickBot="1">
      <c r="A3" s="75"/>
      <c r="B3" s="75"/>
      <c r="C3" s="353" t="s">
        <v>124</v>
      </c>
      <c r="D3" s="353" t="s">
        <v>123</v>
      </c>
      <c r="E3" s="353" t="s">
        <v>122</v>
      </c>
      <c r="F3" s="42"/>
      <c r="I3" t="s">
        <v>33</v>
      </c>
    </row>
    <row r="4" spans="1:10" ht="18">
      <c r="A4" s="75"/>
      <c r="B4" s="354" t="s">
        <v>177</v>
      </c>
      <c r="C4" s="360">
        <v>0.64</v>
      </c>
      <c r="D4" s="360">
        <v>0.3</v>
      </c>
      <c r="E4" s="360">
        <v>0.15</v>
      </c>
      <c r="F4" s="359"/>
      <c r="H4" s="357" t="s">
        <v>142</v>
      </c>
      <c r="I4" s="356">
        <v>0.95047000000000004</v>
      </c>
    </row>
    <row r="5" spans="1:10" ht="18.75" thickBot="1">
      <c r="A5" s="75"/>
      <c r="B5" s="352" t="s">
        <v>5</v>
      </c>
      <c r="C5" s="361">
        <v>0.33</v>
      </c>
      <c r="D5" s="361">
        <v>0.6</v>
      </c>
      <c r="E5" s="361">
        <v>0.06</v>
      </c>
      <c r="F5" s="359"/>
      <c r="H5" s="357" t="s">
        <v>3</v>
      </c>
      <c r="I5" s="356">
        <v>1</v>
      </c>
    </row>
    <row r="6" spans="1:10" ht="18">
      <c r="B6" s="355"/>
      <c r="C6" s="359"/>
      <c r="D6" s="359"/>
      <c r="E6" s="359"/>
      <c r="F6" s="359"/>
      <c r="H6" s="357" t="s">
        <v>143</v>
      </c>
      <c r="I6" s="356">
        <v>1.08883</v>
      </c>
    </row>
    <row r="7" spans="1:10" ht="15.75" thickBot="1">
      <c r="A7" s="75"/>
      <c r="B7" s="355"/>
      <c r="C7" s="75"/>
      <c r="D7" s="75"/>
      <c r="E7" s="75"/>
      <c r="F7" s="42"/>
    </row>
    <row r="8" spans="1:10" ht="15.75" thickBot="1">
      <c r="B8" s="358"/>
      <c r="C8" s="353" t="s">
        <v>124</v>
      </c>
      <c r="D8" s="353" t="s">
        <v>123</v>
      </c>
      <c r="E8" s="353" t="s">
        <v>122</v>
      </c>
    </row>
    <row r="9" spans="1:10">
      <c r="B9" s="358" t="s">
        <v>142</v>
      </c>
      <c r="C9">
        <f>C4/C5</f>
        <v>1.9393939393939394</v>
      </c>
      <c r="D9">
        <f>D4/D5</f>
        <v>0.5</v>
      </c>
      <c r="E9">
        <f>E4/E5</f>
        <v>2.5</v>
      </c>
      <c r="G9" s="52">
        <v>1.0478111999999999</v>
      </c>
      <c r="H9">
        <v>2.28866E-2</v>
      </c>
      <c r="I9">
        <v>-5.0126999999999998E-2</v>
      </c>
    </row>
    <row r="10" spans="1:10">
      <c r="B10" s="358" t="s">
        <v>3</v>
      </c>
      <c r="C10">
        <v>1</v>
      </c>
      <c r="D10">
        <v>1</v>
      </c>
      <c r="E10">
        <v>1</v>
      </c>
      <c r="G10">
        <v>2.95424E-2</v>
      </c>
      <c r="H10">
        <v>0.99048440000000004</v>
      </c>
      <c r="I10">
        <v>-1.7049100000000001E-2</v>
      </c>
    </row>
    <row r="11" spans="1:10">
      <c r="B11" s="358" t="s">
        <v>143</v>
      </c>
      <c r="C11" s="42">
        <f>(1-C4-C5)/C5</f>
        <v>9.0909090909090814E-2</v>
      </c>
      <c r="D11">
        <f>(1-D4-D5)/D5</f>
        <v>0.16666666666666663</v>
      </c>
      <c r="E11">
        <f>(1-E4-E5)/E5</f>
        <v>13.166666666666668</v>
      </c>
      <c r="G11" s="52">
        <v>-9.2344999999999997E-3</v>
      </c>
      <c r="H11">
        <v>1.5043600000000001E-2</v>
      </c>
      <c r="I11">
        <v>0.75213160000000001</v>
      </c>
    </row>
    <row r="12" spans="1:10">
      <c r="B12" s="358"/>
    </row>
    <row r="13" spans="1:10">
      <c r="B13" s="358" t="s">
        <v>142</v>
      </c>
      <c r="C13">
        <f t="array" ref="C13:E15">MINVERSE(C9:E11)</f>
        <v>0.68915662650602416</v>
      </c>
      <c r="D13">
        <v>-0.32690763052208832</v>
      </c>
      <c r="E13">
        <v>-0.10602409638554215</v>
      </c>
    </row>
    <row r="14" spans="1:10">
      <c r="B14" s="358" t="s">
        <v>3</v>
      </c>
      <c r="C14">
        <v>-0.69317269076305221</v>
      </c>
      <c r="D14">
        <v>1.3416331994645248</v>
      </c>
      <c r="E14">
        <v>2.9718875502008028E-2</v>
      </c>
    </row>
    <row r="15" spans="1:10">
      <c r="B15" s="358" t="s">
        <v>143</v>
      </c>
      <c r="C15">
        <v>4.0160642570281156E-3</v>
      </c>
      <c r="D15">
        <v>-1.472556894243641E-2</v>
      </c>
      <c r="E15">
        <v>7.6305220883534128E-2</v>
      </c>
      <c r="H15" s="76"/>
      <c r="I15" s="73"/>
      <c r="J15" s="73"/>
    </row>
    <row r="16" spans="1:10">
      <c r="B16" s="358"/>
      <c r="H16" s="320"/>
      <c r="I16" s="320"/>
      <c r="J16" s="73"/>
    </row>
    <row r="17" spans="2:12">
      <c r="B17" s="358" t="s">
        <v>36</v>
      </c>
      <c r="C17">
        <f t="array" ref="C17:C19">MMULT(C13:E15,I4:I6)</f>
        <v>0.21267285140562264</v>
      </c>
      <c r="H17" s="322"/>
      <c r="I17" s="320"/>
      <c r="J17" s="73"/>
    </row>
    <row r="18" spans="2:12">
      <c r="B18" s="358" t="s">
        <v>37</v>
      </c>
      <c r="C18">
        <v>0.71515215528781795</v>
      </c>
      <c r="H18" s="322"/>
      <c r="I18" s="320"/>
      <c r="J18" s="73"/>
    </row>
    <row r="19" spans="2:12">
      <c r="B19" s="358" t="s">
        <v>38</v>
      </c>
      <c r="C19">
        <v>7.2174993306559576E-2</v>
      </c>
      <c r="J19" s="73"/>
    </row>
    <row r="20" spans="2:12">
      <c r="J20" s="73"/>
    </row>
    <row r="21" spans="2:12">
      <c r="C21">
        <f>C17*C9</f>
        <v>0.41245643908969243</v>
      </c>
      <c r="D21">
        <f>C18*D9</f>
        <v>0.35757607764390897</v>
      </c>
      <c r="E21">
        <f>C19*E9</f>
        <v>0.18043748326639894</v>
      </c>
      <c r="G21">
        <f t="array" ref="G21:I23">MMULT(G9:I11,C21:E23)</f>
        <v>0.436074684687422</v>
      </c>
      <c r="H21">
        <v>0.38506488164321551</v>
      </c>
      <c r="I21">
        <v>0.14308036352336279</v>
      </c>
    </row>
    <row r="22" spans="2:12">
      <c r="B22" s="358" t="s">
        <v>178</v>
      </c>
      <c r="C22">
        <f>C17*C10</f>
        <v>0.21267285140562264</v>
      </c>
      <c r="D22">
        <f>C18*D10</f>
        <v>0.71515215528781795</v>
      </c>
      <c r="E22">
        <f>C19*E10</f>
        <v>7.2174993306559576E-2</v>
      </c>
      <c r="F22" s="358" t="s">
        <v>178</v>
      </c>
      <c r="G22">
        <v>0.22250446920777797</v>
      </c>
      <c r="H22">
        <v>0.7168785921866957</v>
      </c>
      <c r="I22">
        <v>6.0616931980526562E-2</v>
      </c>
    </row>
    <row r="23" spans="2:12">
      <c r="B23" s="358" t="s">
        <v>33</v>
      </c>
      <c r="C23">
        <f>C17*C11</f>
        <v>1.933389558232931E-2</v>
      </c>
      <c r="D23">
        <f>C18*D11</f>
        <v>0.11919202588130297</v>
      </c>
      <c r="E23">
        <f>C19*E11</f>
        <v>0.95030407853636789</v>
      </c>
      <c r="F23" s="358" t="s">
        <v>146</v>
      </c>
      <c r="G23">
        <v>1.3932170139202137E-2</v>
      </c>
      <c r="H23">
        <v>9.7104515807630951E-2</v>
      </c>
      <c r="I23">
        <v>0.71417324886616707</v>
      </c>
    </row>
    <row r="27" spans="2:12" ht="15.75" thickBot="1">
      <c r="B27" s="75"/>
      <c r="C27" s="355" t="s">
        <v>53</v>
      </c>
      <c r="D27" s="75"/>
      <c r="E27" s="75"/>
      <c r="F27" s="75"/>
    </row>
    <row r="28" spans="2:12" ht="15.75" thickBot="1">
      <c r="B28" s="75"/>
      <c r="C28" s="353" t="s">
        <v>124</v>
      </c>
      <c r="D28" s="353" t="s">
        <v>123</v>
      </c>
      <c r="E28" s="353" t="s">
        <v>122</v>
      </c>
      <c r="F28" s="42"/>
      <c r="I28" t="s">
        <v>33</v>
      </c>
      <c r="K28" s="320"/>
      <c r="L28" s="320"/>
    </row>
    <row r="29" spans="2:12" ht="18">
      <c r="B29" s="354" t="s">
        <v>177</v>
      </c>
      <c r="C29" s="674">
        <v>0.58269199999999999</v>
      </c>
      <c r="D29" s="674">
        <v>0.28323300000000001</v>
      </c>
      <c r="E29" s="674">
        <v>0.14455999999999999</v>
      </c>
      <c r="F29" s="359"/>
      <c r="H29" s="357" t="s">
        <v>142</v>
      </c>
      <c r="I29" s="356">
        <v>0.95047000000000004</v>
      </c>
      <c r="K29" s="322"/>
      <c r="L29" s="320"/>
    </row>
    <row r="30" spans="2:12" ht="18.75" thickBot="1">
      <c r="B30" s="352" t="s">
        <v>5</v>
      </c>
      <c r="C30" s="678">
        <v>0.38291900000000001</v>
      </c>
      <c r="D30" s="678">
        <v>0.52566999999999997</v>
      </c>
      <c r="E30" s="678">
        <v>0.13417499999999999</v>
      </c>
      <c r="F30" s="359"/>
      <c r="H30" s="357" t="s">
        <v>3</v>
      </c>
      <c r="I30" s="356">
        <v>1</v>
      </c>
      <c r="K30" s="322"/>
      <c r="L30" s="320"/>
    </row>
    <row r="31" spans="2:12" ht="18">
      <c r="B31" s="355"/>
      <c r="C31" s="359"/>
      <c r="D31" s="359"/>
      <c r="E31" s="359"/>
      <c r="F31" s="359"/>
      <c r="H31" s="357" t="s">
        <v>143</v>
      </c>
      <c r="I31" s="356">
        <v>1.08883</v>
      </c>
      <c r="K31" s="323"/>
      <c r="L31" s="321"/>
    </row>
    <row r="32" spans="2:12" ht="15.75" thickBot="1">
      <c r="B32" s="355"/>
      <c r="C32" s="75"/>
      <c r="D32" s="75"/>
      <c r="E32" s="75"/>
      <c r="F32" s="42"/>
      <c r="K32" s="320"/>
      <c r="L32" s="320"/>
    </row>
    <row r="33" spans="2:15" ht="15.75" thickBot="1">
      <c r="B33" s="358"/>
      <c r="C33" s="353" t="s">
        <v>124</v>
      </c>
      <c r="D33" s="353" t="s">
        <v>123</v>
      </c>
      <c r="E33" s="353" t="s">
        <v>122</v>
      </c>
      <c r="K33" s="322"/>
      <c r="L33" s="320"/>
    </row>
    <row r="34" spans="2:15">
      <c r="B34" s="358" t="s">
        <v>142</v>
      </c>
      <c r="C34" s="674">
        <f>C29/C30</f>
        <v>1.5217108579098972</v>
      </c>
      <c r="D34" s="674">
        <f>D29/D30</f>
        <v>0.53880381227766472</v>
      </c>
      <c r="E34" s="674">
        <f>E29/E30</f>
        <v>1.0773989193217812</v>
      </c>
      <c r="G34" s="674">
        <v>1.0478111999999999</v>
      </c>
      <c r="H34" s="674">
        <v>2.28866E-2</v>
      </c>
      <c r="I34" s="674">
        <v>-5.0126999999999998E-2</v>
      </c>
      <c r="K34" s="322"/>
      <c r="L34" s="320"/>
    </row>
    <row r="35" spans="2:15">
      <c r="B35" s="358" t="s">
        <v>3</v>
      </c>
      <c r="C35" s="677">
        <v>1</v>
      </c>
      <c r="D35" s="677">
        <v>1</v>
      </c>
      <c r="E35" s="677">
        <v>1</v>
      </c>
      <c r="G35" s="677">
        <v>2.95424E-2</v>
      </c>
      <c r="H35" s="677">
        <v>0.99048440000000004</v>
      </c>
      <c r="I35" s="677">
        <v>-1.7049100000000001E-2</v>
      </c>
    </row>
    <row r="36" spans="2:15" ht="15.75" thickBot="1">
      <c r="B36" s="358" t="s">
        <v>143</v>
      </c>
      <c r="C36" s="678">
        <f>(1-C29-C30)/C30</f>
        <v>8.9807504981471289E-2</v>
      </c>
      <c r="D36" s="678">
        <f>(1-D29-D30)/D30</f>
        <v>0.36353035174158688</v>
      </c>
      <c r="E36" s="678">
        <f>(1-E29-E30)/E30</f>
        <v>5.3755543133966839</v>
      </c>
      <c r="G36" s="678">
        <v>-9.2344999999999997E-3</v>
      </c>
      <c r="H36" s="678">
        <v>1.5043600000000001E-2</v>
      </c>
      <c r="I36" s="678">
        <v>0.75213160000000001</v>
      </c>
    </row>
    <row r="37" spans="2:15" ht="15.75" thickBot="1">
      <c r="B37" s="358"/>
    </row>
    <row r="38" spans="2:15">
      <c r="B38" s="358" t="s">
        <v>142</v>
      </c>
      <c r="C38" s="674">
        <f t="array" ref="C38:E40">MINVERSE(C34:E36)</f>
        <v>0.98782850344914874</v>
      </c>
      <c r="D38" s="674">
        <v>-0.49365605528865458</v>
      </c>
      <c r="E38" s="674">
        <v>-0.10615264464552375</v>
      </c>
    </row>
    <row r="39" spans="2:15">
      <c r="B39" s="358" t="s">
        <v>3</v>
      </c>
      <c r="C39" s="677">
        <v>-1.0417770144984844</v>
      </c>
      <c r="D39" s="677">
        <v>1.5931478566708048</v>
      </c>
      <c r="E39" s="677">
        <v>-8.757021129945905E-2</v>
      </c>
      <c r="M39" s="350"/>
      <c r="N39" s="350"/>
      <c r="O39" s="350"/>
    </row>
    <row r="40" spans="2:15" ht="15.75" thickBot="1">
      <c r="B40" s="358" t="s">
        <v>143</v>
      </c>
      <c r="C40" s="678">
        <v>5.3948511049335769E-2</v>
      </c>
      <c r="D40" s="678">
        <v>-9.9491801382150191E-2</v>
      </c>
      <c r="E40" s="678">
        <v>0.19372285594498279</v>
      </c>
      <c r="M40" s="350"/>
      <c r="N40" s="350"/>
      <c r="O40" s="350"/>
    </row>
    <row r="41" spans="2:15" ht="15.75" thickBot="1">
      <c r="B41" s="358"/>
      <c r="K41" s="73"/>
      <c r="L41" s="76"/>
      <c r="M41" s="76"/>
      <c r="N41" s="76"/>
    </row>
    <row r="42" spans="2:15">
      <c r="B42" s="358" t="s">
        <v>36</v>
      </c>
      <c r="C42" s="674">
        <f t="array" ref="C42:C44">MMULT(C38:E40,I29:I31)</f>
        <v>0.32966311831527217</v>
      </c>
      <c r="K42" s="351"/>
      <c r="L42" s="350"/>
      <c r="M42" s="350"/>
      <c r="N42" s="350"/>
    </row>
    <row r="43" spans="2:15">
      <c r="B43" s="358" t="s">
        <v>37</v>
      </c>
      <c r="C43" s="677">
        <v>0.50762098453124038</v>
      </c>
      <c r="K43" s="351"/>
      <c r="L43" s="350"/>
      <c r="M43" s="350"/>
      <c r="N43" s="350"/>
    </row>
    <row r="44" spans="2:15" ht="15.75" thickBot="1">
      <c r="B44" s="358" t="s">
        <v>38</v>
      </c>
      <c r="C44" s="678">
        <v>0.16271589715348755</v>
      </c>
    </row>
    <row r="45" spans="2:15" ht="15.75" thickBot="1"/>
    <row r="46" spans="2:15">
      <c r="C46" s="674">
        <f>C42*C34</f>
        <v>0.50165194659278478</v>
      </c>
      <c r="D46" s="674">
        <f>C43*D34</f>
        <v>0.27350812165757377</v>
      </c>
      <c r="E46" s="674">
        <f>C44*E34</f>
        <v>0.1753099317496416</v>
      </c>
      <c r="G46" s="674">
        <f t="array" ref="G46:I48">MMULT(G34:I36,C46:E48)</f>
        <v>0.53169732496812883</v>
      </c>
      <c r="H46" s="674">
        <v>0.28895237380978606</v>
      </c>
      <c r="I46" s="674">
        <v>0.14357023107608519</v>
      </c>
    </row>
    <row r="47" spans="2:15">
      <c r="B47" s="358" t="s">
        <v>178</v>
      </c>
      <c r="C47" s="677">
        <f>C42*C35</f>
        <v>0.32966311831527217</v>
      </c>
      <c r="D47" s="677">
        <f>C43*D35</f>
        <v>0.50762098453124038</v>
      </c>
      <c r="E47" s="677">
        <f>C44*E35</f>
        <v>0.16271589715348755</v>
      </c>
      <c r="F47" s="358" t="s">
        <v>178</v>
      </c>
      <c r="G47" s="677">
        <v>0.34084141897176179</v>
      </c>
      <c r="H47" s="677">
        <v>0.50772458612842342</v>
      </c>
      <c r="I47" s="677">
        <v>0.151433988274815</v>
      </c>
    </row>
    <row r="48" spans="2:15" ht="15.75" thickBot="1">
      <c r="B48" s="358" t="s">
        <v>33</v>
      </c>
      <c r="C48" s="678">
        <f>C42*C36</f>
        <v>2.9606222140306164E-2</v>
      </c>
      <c r="D48" s="678">
        <f>C43*D36</f>
        <v>0.18453563505805246</v>
      </c>
      <c r="E48" s="678">
        <f>C44*E36</f>
        <v>0.8746881428016412</v>
      </c>
      <c r="F48" s="358" t="s">
        <v>146</v>
      </c>
      <c r="G48" s="678">
        <v>2.2594590414220458E-2</v>
      </c>
      <c r="H48" s="678">
        <v>0.14390581874667638</v>
      </c>
      <c r="I48" s="678">
        <v>0.65870952565210306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283F-5052-454F-8EA0-1148BD86C471}">
  <dimension ref="B1:K105"/>
  <sheetViews>
    <sheetView tabSelected="1" workbookViewId="0">
      <selection activeCell="I82" sqref="I82"/>
    </sheetView>
  </sheetViews>
  <sheetFormatPr defaultRowHeight="15"/>
  <cols>
    <col min="2" max="2" width="10" style="1160" customWidth="1"/>
    <col min="3" max="3" width="10" style="653" customWidth="1"/>
    <col min="4" max="4" width="10" style="347" customWidth="1"/>
    <col min="5" max="5" width="10" customWidth="1"/>
    <col min="6" max="7" width="10" style="342" customWidth="1" collapsed="1"/>
    <col min="8" max="9" width="10" style="347" customWidth="1"/>
    <col min="10" max="10" width="10" customWidth="1"/>
    <col min="11" max="11" width="10" style="385" customWidth="1"/>
  </cols>
  <sheetData>
    <row r="1" spans="2:11" ht="15.75" thickBot="1"/>
    <row r="2" spans="2:11" ht="57" thickBot="1">
      <c r="B2" s="1161" t="s">
        <v>189</v>
      </c>
      <c r="C2" s="418" t="s">
        <v>189</v>
      </c>
      <c r="D2" s="348" t="s">
        <v>190</v>
      </c>
      <c r="E2" s="325" t="s">
        <v>191</v>
      </c>
      <c r="F2" s="348" t="s">
        <v>201</v>
      </c>
      <c r="G2" s="348" t="s">
        <v>192</v>
      </c>
      <c r="H2" s="1103" t="s">
        <v>193</v>
      </c>
      <c r="I2" s="1103" t="s">
        <v>207</v>
      </c>
      <c r="K2" s="1161" t="s">
        <v>198</v>
      </c>
    </row>
    <row r="3" spans="2:11" ht="15.75" thickBot="1">
      <c r="B3" s="1162"/>
      <c r="C3" s="419"/>
      <c r="D3" s="349"/>
      <c r="E3" s="419"/>
      <c r="F3" s="349"/>
      <c r="G3" s="349"/>
      <c r="H3" s="343"/>
      <c r="I3" s="349"/>
      <c r="K3" s="1040"/>
    </row>
    <row r="4" spans="2:11">
      <c r="B4" s="1163">
        <v>592.6</v>
      </c>
      <c r="C4" s="704">
        <v>109.34370477568741</v>
      </c>
      <c r="D4" s="1074">
        <v>2.7753941761000616</v>
      </c>
      <c r="E4" s="420">
        <v>115.49937887293277</v>
      </c>
      <c r="F4" s="785">
        <v>3.0222699993179409</v>
      </c>
      <c r="G4" s="948">
        <v>23.671589525885562</v>
      </c>
      <c r="H4" s="1105">
        <v>20.170331855771121</v>
      </c>
      <c r="I4" s="1104">
        <v>24.658566881019759</v>
      </c>
      <c r="K4" s="1167">
        <v>15.97165580552106</v>
      </c>
    </row>
    <row r="5" spans="2:11">
      <c r="B5" s="1164">
        <v>424.6</v>
      </c>
      <c r="C5" s="705">
        <v>78.345151953690319</v>
      </c>
      <c r="D5" s="1075"/>
      <c r="E5" s="421">
        <v>80.924531967466507</v>
      </c>
      <c r="F5" s="736"/>
      <c r="G5" s="951"/>
      <c r="H5" s="1107"/>
      <c r="I5" s="1106"/>
      <c r="K5" s="1168"/>
    </row>
    <row r="6" spans="2:11" ht="15.75" thickBot="1">
      <c r="B6" s="1165">
        <v>364.8</v>
      </c>
      <c r="C6" s="705">
        <v>67.311143270622296</v>
      </c>
      <c r="D6" s="1075"/>
      <c r="E6" s="421">
        <v>67.355100176800789</v>
      </c>
      <c r="F6" s="736"/>
      <c r="G6" s="951"/>
      <c r="H6" s="1107"/>
      <c r="I6" s="1106"/>
      <c r="K6" s="1168"/>
    </row>
    <row r="7" spans="2:11">
      <c r="B7" s="1163">
        <v>1977</v>
      </c>
      <c r="C7" s="706">
        <v>110.73562359970126</v>
      </c>
      <c r="D7" s="1076">
        <v>29.701942108114636</v>
      </c>
      <c r="E7" s="422">
        <v>198.5664405575157</v>
      </c>
      <c r="F7" s="737">
        <v>4.7626938940156558</v>
      </c>
      <c r="G7" s="954">
        <v>6.7899303043739367</v>
      </c>
      <c r="H7" s="1109">
        <v>12.250024930012344</v>
      </c>
      <c r="I7" s="1108">
        <v>16.373713192689685</v>
      </c>
      <c r="K7" s="1169">
        <v>13.445984431833317</v>
      </c>
    </row>
    <row r="8" spans="2:11">
      <c r="B8" s="1164">
        <v>1402.2</v>
      </c>
      <c r="C8" s="706">
        <v>78.539955190440622</v>
      </c>
      <c r="D8" s="1076"/>
      <c r="E8" s="422">
        <v>147.22394537812542</v>
      </c>
      <c r="F8" s="737"/>
      <c r="G8" s="954"/>
      <c r="H8" s="1109"/>
      <c r="I8" s="1108"/>
      <c r="K8" s="1169"/>
    </row>
    <row r="9" spans="2:11" ht="15.75" thickBot="1">
      <c r="B9" s="1165">
        <v>1173.4000000000001</v>
      </c>
      <c r="C9" s="706">
        <v>65.724421209858107</v>
      </c>
      <c r="D9" s="1076"/>
      <c r="E9" s="422">
        <v>128.67442122465755</v>
      </c>
      <c r="F9" s="737"/>
      <c r="G9" s="954"/>
      <c r="H9" s="1109"/>
      <c r="I9" s="1108"/>
      <c r="K9" s="1169"/>
    </row>
    <row r="10" spans="2:11">
      <c r="B10" s="1163">
        <v>521.20000000000005</v>
      </c>
      <c r="C10" s="707">
        <v>49.919621394230774</v>
      </c>
      <c r="D10" s="1077">
        <v>14.991226630077433</v>
      </c>
      <c r="E10" s="423">
        <v>90.590111987322274</v>
      </c>
      <c r="F10" s="738">
        <v>4.8399679211510316</v>
      </c>
      <c r="G10" s="957">
        <v>7.4929058783629952</v>
      </c>
      <c r="H10" s="1111">
        <v>2.593762170181062</v>
      </c>
      <c r="I10" s="1110">
        <v>23.373588617854864</v>
      </c>
      <c r="K10" s="1170">
        <v>28.626512499292367</v>
      </c>
    </row>
    <row r="11" spans="2:11">
      <c r="B11" s="1164">
        <v>952</v>
      </c>
      <c r="C11" s="707">
        <v>91.18088942307692</v>
      </c>
      <c r="D11" s="1077"/>
      <c r="E11" s="423">
        <v>122.36943007700241</v>
      </c>
      <c r="F11" s="738"/>
      <c r="G11" s="957"/>
      <c r="H11" s="1111"/>
      <c r="I11" s="1110"/>
      <c r="K11" s="1170"/>
    </row>
    <row r="12" spans="2:11" ht="15.75" thickBot="1">
      <c r="B12" s="1165">
        <v>1189.2</v>
      </c>
      <c r="C12" s="707">
        <v>113.89948918269231</v>
      </c>
      <c r="D12" s="1077"/>
      <c r="E12" s="423">
        <v>155.7634429623528</v>
      </c>
      <c r="F12" s="738"/>
      <c r="G12" s="957"/>
      <c r="H12" s="1111"/>
      <c r="I12" s="1110"/>
      <c r="K12" s="1170"/>
    </row>
    <row r="13" spans="2:11">
      <c r="B13" s="1163">
        <v>460.8</v>
      </c>
      <c r="C13" s="708">
        <v>79.448275862068968</v>
      </c>
      <c r="D13" s="1078">
        <v>4.9607736698632277</v>
      </c>
      <c r="E13" s="424">
        <v>89.727149578766344</v>
      </c>
      <c r="F13" s="739">
        <v>5.2455252901516092</v>
      </c>
      <c r="G13" s="960">
        <v>24.878098419431538</v>
      </c>
      <c r="H13" s="1113">
        <v>25.095926544028124</v>
      </c>
      <c r="I13" s="1112">
        <v>29.074259538424961</v>
      </c>
      <c r="K13" s="1171">
        <v>29.823979590865495</v>
      </c>
    </row>
    <row r="14" spans="2:11">
      <c r="B14" s="1164">
        <v>620</v>
      </c>
      <c r="C14" s="708">
        <v>106.89655172413794</v>
      </c>
      <c r="D14" s="1078"/>
      <c r="E14" s="424">
        <v>107.64968923603281</v>
      </c>
      <c r="F14" s="739"/>
      <c r="G14" s="960"/>
      <c r="H14" s="1113"/>
      <c r="I14" s="1112"/>
      <c r="K14" s="1171"/>
    </row>
    <row r="15" spans="2:11" ht="15.75" thickBot="1">
      <c r="B15" s="1165">
        <v>398.2</v>
      </c>
      <c r="C15" s="708">
        <v>68.65517241379311</v>
      </c>
      <c r="D15" s="1078"/>
      <c r="E15" s="424">
        <v>64.383828506381079</v>
      </c>
      <c r="F15" s="739"/>
      <c r="G15" s="960"/>
      <c r="H15" s="1113"/>
      <c r="I15" s="1112"/>
      <c r="K15" s="1171"/>
    </row>
    <row r="16" spans="2:11">
      <c r="B16" s="1163">
        <v>883</v>
      </c>
      <c r="C16" s="709">
        <v>62.49375520399667</v>
      </c>
      <c r="D16" s="1079">
        <v>24.395308443686805</v>
      </c>
      <c r="E16" s="425">
        <v>129.55778390505861</v>
      </c>
      <c r="F16" s="740">
        <v>5.3914076893425751</v>
      </c>
      <c r="G16" s="963">
        <v>9.786301454091392</v>
      </c>
      <c r="H16" s="1115">
        <v>10.840318768618205</v>
      </c>
      <c r="I16" s="1114">
        <v>18.984661776051443</v>
      </c>
      <c r="K16" s="1172">
        <v>23.484598765301786</v>
      </c>
    </row>
    <row r="17" spans="2:11">
      <c r="B17" s="1164">
        <v>1157.8</v>
      </c>
      <c r="C17" s="709">
        <v>81.942547876769353</v>
      </c>
      <c r="D17" s="1079"/>
      <c r="E17" s="425">
        <v>128.00022677459134</v>
      </c>
      <c r="F17" s="740"/>
      <c r="G17" s="963"/>
      <c r="H17" s="1115"/>
      <c r="I17" s="1114"/>
      <c r="K17" s="1172"/>
    </row>
    <row r="18" spans="2:11" ht="15.75" thickBot="1">
      <c r="B18" s="1165">
        <v>1562.2</v>
      </c>
      <c r="C18" s="709">
        <v>110.56369691923398</v>
      </c>
      <c r="D18" s="1079"/>
      <c r="E18" s="425">
        <v>176.06897196090145</v>
      </c>
      <c r="F18" s="740"/>
      <c r="G18" s="963"/>
      <c r="H18" s="1115"/>
      <c r="I18" s="1114"/>
      <c r="K18" s="1172"/>
    </row>
    <row r="19" spans="2:11">
      <c r="B19" s="1163">
        <v>894.6</v>
      </c>
      <c r="C19" s="710">
        <v>46.618506559856137</v>
      </c>
      <c r="D19" s="1080">
        <v>28.498175778644768</v>
      </c>
      <c r="E19" s="426">
        <v>92.422098428867557</v>
      </c>
      <c r="F19" s="741">
        <v>4.9299960648722863</v>
      </c>
      <c r="G19" s="966">
        <v>12.074179342236155</v>
      </c>
      <c r="H19" s="1117">
        <v>14.51781566328671</v>
      </c>
      <c r="I19" s="1116">
        <v>18.758838269618561</v>
      </c>
      <c r="K19" s="1173">
        <v>25.564489732736018</v>
      </c>
    </row>
    <row r="20" spans="2:11">
      <c r="B20" s="1164">
        <v>2193</v>
      </c>
      <c r="C20" s="710">
        <v>114.27943760984184</v>
      </c>
      <c r="D20" s="1080"/>
      <c r="E20" s="426">
        <v>189.90953390734151</v>
      </c>
      <c r="F20" s="741"/>
      <c r="G20" s="966"/>
      <c r="H20" s="1117"/>
      <c r="I20" s="1116"/>
      <c r="K20" s="1173"/>
    </row>
    <row r="21" spans="2:11" ht="15.75" thickBot="1">
      <c r="B21" s="1165">
        <v>1805.8</v>
      </c>
      <c r="C21" s="711">
        <v>94.102055830302035</v>
      </c>
      <c r="D21" s="1080"/>
      <c r="E21" s="427">
        <v>172.00470214339384</v>
      </c>
      <c r="F21" s="741"/>
      <c r="G21" s="969"/>
      <c r="H21" s="1117"/>
      <c r="I21" s="1116"/>
      <c r="K21" s="1174"/>
    </row>
    <row r="22" spans="2:11" ht="15.75" thickBot="1">
      <c r="B22" s="1162"/>
      <c r="C22" s="419"/>
      <c r="D22" s="349"/>
      <c r="E22" s="419"/>
      <c r="F22" s="349"/>
      <c r="G22" s="349"/>
      <c r="H22" s="343"/>
      <c r="I22" s="349"/>
      <c r="K22" s="1040"/>
    </row>
    <row r="23" spans="2:11">
      <c r="B23" s="1163">
        <v>2657.6001000000001</v>
      </c>
      <c r="C23" s="712">
        <v>150.08371583727433</v>
      </c>
      <c r="D23" s="1081">
        <v>33.379545325024395</v>
      </c>
      <c r="E23" s="428">
        <v>224.26557253285961</v>
      </c>
      <c r="F23" s="742">
        <v>2.5306726139093847</v>
      </c>
      <c r="G23" s="972">
        <v>11.526856047026458</v>
      </c>
      <c r="H23" s="1119">
        <v>8.4108903402364685</v>
      </c>
      <c r="I23" s="1118">
        <v>14.243557084189739</v>
      </c>
      <c r="K23" s="1175">
        <v>25.957198041672857</v>
      </c>
    </row>
    <row r="24" spans="2:11">
      <c r="B24" s="1164">
        <v>1157.8</v>
      </c>
      <c r="C24" s="713">
        <v>65.384903543763485</v>
      </c>
      <c r="D24" s="1081"/>
      <c r="E24" s="429">
        <v>123.75545165140458</v>
      </c>
      <c r="F24" s="742"/>
      <c r="G24" s="975"/>
      <c r="H24" s="1119"/>
      <c r="I24" s="1118"/>
      <c r="K24" s="1176"/>
    </row>
    <row r="25" spans="2:11" ht="15.75" thickBot="1">
      <c r="B25" s="1165">
        <v>700</v>
      </c>
      <c r="C25" s="713">
        <v>39.531380618962203</v>
      </c>
      <c r="D25" s="1081"/>
      <c r="E25" s="429">
        <v>46.703112372096498</v>
      </c>
      <c r="F25" s="742"/>
      <c r="G25" s="975"/>
      <c r="H25" s="1119"/>
      <c r="I25" s="1118"/>
      <c r="K25" s="1176"/>
    </row>
    <row r="26" spans="2:11">
      <c r="B26" s="1163">
        <v>413.8</v>
      </c>
      <c r="C26" s="714">
        <v>35.23877905423457</v>
      </c>
      <c r="D26" s="1082">
        <v>9.7207445250117388</v>
      </c>
      <c r="E26" s="430">
        <v>67.856400699023411</v>
      </c>
      <c r="F26" s="743">
        <v>1.7639160202534496</v>
      </c>
      <c r="G26" s="978">
        <v>7.1524920212875092</v>
      </c>
      <c r="H26" s="1121">
        <v>15.79601974240796</v>
      </c>
      <c r="I26" s="1120">
        <v>18.243637203982857</v>
      </c>
      <c r="K26" s="1177">
        <v>24.929825488062946</v>
      </c>
    </row>
    <row r="27" spans="2:11">
      <c r="B27" s="1164">
        <v>887.6</v>
      </c>
      <c r="C27" s="714">
        <v>75.587095912369747</v>
      </c>
      <c r="D27" s="1082"/>
      <c r="E27" s="430">
        <v>91.231366881754894</v>
      </c>
      <c r="F27" s="743"/>
      <c r="G27" s="978"/>
      <c r="H27" s="1121"/>
      <c r="I27" s="1120"/>
      <c r="K27" s="1177"/>
    </row>
    <row r="28" spans="2:11" ht="15.75" thickBot="1">
      <c r="B28" s="1165">
        <v>1693</v>
      </c>
      <c r="C28" s="714">
        <v>144.17412503339568</v>
      </c>
      <c r="D28" s="1082"/>
      <c r="E28" s="430">
        <v>170.17236470319924</v>
      </c>
      <c r="F28" s="743"/>
      <c r="G28" s="978"/>
      <c r="H28" s="1121"/>
      <c r="I28" s="1120"/>
      <c r="K28" s="1177"/>
    </row>
    <row r="29" spans="2:11">
      <c r="B29" s="1163">
        <v>2100.1999999999998</v>
      </c>
      <c r="C29" s="715">
        <v>146.00627044711013</v>
      </c>
      <c r="D29" s="1083">
        <v>16.955808998163207</v>
      </c>
      <c r="E29" s="431">
        <v>198.324194853623</v>
      </c>
      <c r="F29" s="744">
        <v>3.3114033839470358</v>
      </c>
      <c r="G29" s="981">
        <v>10.331178736448505</v>
      </c>
      <c r="H29" s="1123">
        <v>14.170118941081633</v>
      </c>
      <c r="I29" s="1122">
        <v>11.072836929467197</v>
      </c>
      <c r="K29" s="1178">
        <v>24.979624384569462</v>
      </c>
    </row>
    <row r="30" spans="2:11">
      <c r="B30" s="1164">
        <v>742.6</v>
      </c>
      <c r="C30" s="715">
        <v>51.62568157033806</v>
      </c>
      <c r="D30" s="1083"/>
      <c r="E30" s="431">
        <v>81.965589373165727</v>
      </c>
      <c r="F30" s="744"/>
      <c r="G30" s="981"/>
      <c r="H30" s="1123"/>
      <c r="I30" s="1122"/>
      <c r="K30" s="1178"/>
    </row>
    <row r="31" spans="2:11" ht="15.75" thickBot="1">
      <c r="B31" s="1165">
        <v>825.2</v>
      </c>
      <c r="C31" s="715">
        <v>57.368047982551801</v>
      </c>
      <c r="D31" s="1083"/>
      <c r="E31" s="431">
        <v>97.056852604465689</v>
      </c>
      <c r="F31" s="744"/>
      <c r="G31" s="981"/>
      <c r="H31" s="1123"/>
      <c r="I31" s="1122"/>
      <c r="K31" s="1178"/>
    </row>
    <row r="32" spans="2:11">
      <c r="B32" s="1163">
        <v>468</v>
      </c>
      <c r="C32" s="716">
        <v>75.646551724137936</v>
      </c>
      <c r="D32" s="1084">
        <v>11.769271614282834</v>
      </c>
      <c r="E32" s="432">
        <v>93.621713838781943</v>
      </c>
      <c r="F32" s="745">
        <v>4.4962168189965857</v>
      </c>
      <c r="G32" s="984">
        <v>16.886826115291409</v>
      </c>
      <c r="H32" s="1125">
        <v>13.722787073632041</v>
      </c>
      <c r="I32" s="1124">
        <v>19.285978049039741</v>
      </c>
      <c r="K32" s="1179">
        <v>31.4659916495104</v>
      </c>
    </row>
    <row r="33" spans="2:11">
      <c r="B33" s="1164">
        <v>426</v>
      </c>
      <c r="C33" s="716">
        <v>68.857758620689665</v>
      </c>
      <c r="D33" s="1084"/>
      <c r="E33" s="432">
        <v>58.004664131651644</v>
      </c>
      <c r="F33" s="745"/>
      <c r="G33" s="984"/>
      <c r="H33" s="1125"/>
      <c r="I33" s="1124"/>
      <c r="K33" s="1179"/>
    </row>
    <row r="34" spans="2:11" ht="15.75" thickBot="1">
      <c r="B34" s="1165">
        <v>683.6</v>
      </c>
      <c r="C34" s="716">
        <v>110.49568965517243</v>
      </c>
      <c r="D34" s="1084"/>
      <c r="E34" s="432">
        <v>105.57259954157003</v>
      </c>
      <c r="F34" s="745"/>
      <c r="G34" s="984"/>
      <c r="H34" s="1125"/>
      <c r="I34" s="1124"/>
      <c r="K34" s="1179"/>
    </row>
    <row r="35" spans="2:11">
      <c r="B35" s="1163">
        <v>1845.6</v>
      </c>
      <c r="C35" s="717">
        <v>87.001885606536774</v>
      </c>
      <c r="D35" s="1085">
        <v>38.311061595509948</v>
      </c>
      <c r="E35" s="433">
        <v>158.74592602769013</v>
      </c>
      <c r="F35" s="746">
        <v>1.9535793662377821</v>
      </c>
      <c r="G35" s="987">
        <v>21.056516664360323</v>
      </c>
      <c r="H35" s="1127">
        <v>7.1936626036080566</v>
      </c>
      <c r="I35" s="1126">
        <v>13.819668735981061</v>
      </c>
      <c r="K35" s="1180">
        <v>35.077512127339872</v>
      </c>
    </row>
    <row r="36" spans="2:11">
      <c r="B36" s="1164">
        <v>2455.1999999999998</v>
      </c>
      <c r="C36" s="717">
        <v>115.73852922690132</v>
      </c>
      <c r="D36" s="1085"/>
      <c r="E36" s="433">
        <v>188.97701415884313</v>
      </c>
      <c r="F36" s="746"/>
      <c r="G36" s="987"/>
      <c r="H36" s="1127"/>
      <c r="I36" s="1126"/>
      <c r="K36" s="1180"/>
    </row>
    <row r="37" spans="2:11" ht="15.75" thickBot="1">
      <c r="B37" s="1165">
        <v>1108.5999999999999</v>
      </c>
      <c r="C37" s="717">
        <v>52.259585166561905</v>
      </c>
      <c r="D37" s="1085"/>
      <c r="E37" s="433">
        <v>62.832253035292226</v>
      </c>
      <c r="F37" s="746"/>
      <c r="G37" s="987"/>
      <c r="H37" s="1127"/>
      <c r="I37" s="1126"/>
      <c r="K37" s="1180"/>
    </row>
    <row r="38" spans="2:11">
      <c r="B38" s="1163">
        <v>2903.6001000000001</v>
      </c>
      <c r="C38" s="718">
        <v>133.37500669425719</v>
      </c>
      <c r="D38" s="1086">
        <v>47.016839905106949</v>
      </c>
      <c r="E38" s="434">
        <v>230.43061395257749</v>
      </c>
      <c r="F38" s="747">
        <v>2.6836609739598933</v>
      </c>
      <c r="G38" s="990">
        <v>20.772243503049015</v>
      </c>
      <c r="H38" s="1129">
        <v>18.051298967421079</v>
      </c>
      <c r="I38" s="1128">
        <v>14.057293313096134</v>
      </c>
      <c r="K38" s="1181">
        <v>26.688060563580812</v>
      </c>
    </row>
    <row r="39" spans="2:11">
      <c r="B39" s="1164">
        <v>1777.8</v>
      </c>
      <c r="C39" s="718">
        <v>81.662101782215274</v>
      </c>
      <c r="D39" s="1086"/>
      <c r="E39" s="434">
        <v>161.63210798319847</v>
      </c>
      <c r="F39" s="747"/>
      <c r="G39" s="990"/>
      <c r="H39" s="1129"/>
      <c r="I39" s="1128"/>
      <c r="K39" s="1181"/>
    </row>
    <row r="40" spans="2:11" ht="15.75" thickBot="1">
      <c r="B40" s="1165">
        <v>870</v>
      </c>
      <c r="C40" s="719">
        <v>39.962891523527553</v>
      </c>
      <c r="D40" s="1086"/>
      <c r="E40" s="435">
        <v>39.272644590202006</v>
      </c>
      <c r="F40" s="747"/>
      <c r="G40" s="993"/>
      <c r="H40" s="1129"/>
      <c r="I40" s="1128"/>
      <c r="K40" s="1182"/>
    </row>
    <row r="41" spans="2:11" ht="15.75" thickBot="1">
      <c r="B41" s="1162"/>
      <c r="C41" s="419"/>
      <c r="D41" s="349"/>
      <c r="E41" s="419"/>
      <c r="F41" s="349"/>
      <c r="G41" s="349"/>
      <c r="H41" s="343"/>
      <c r="I41" s="349"/>
      <c r="K41" s="1040"/>
    </row>
    <row r="42" spans="2:11">
      <c r="B42" s="1163">
        <v>181</v>
      </c>
      <c r="C42" s="720">
        <v>26.636080332409971</v>
      </c>
      <c r="D42" s="1087">
        <v>5.7304434572766709</v>
      </c>
      <c r="E42" s="436">
        <v>35.342853388950573</v>
      </c>
      <c r="F42" s="748">
        <v>6.3050956024862481</v>
      </c>
      <c r="G42" s="996">
        <v>16.79211986702725</v>
      </c>
      <c r="H42" s="1131">
        <v>24.459601177296793</v>
      </c>
      <c r="I42" s="1130">
        <v>15.410316633448286</v>
      </c>
      <c r="K42" s="1183">
        <v>37.228528449353419</v>
      </c>
    </row>
    <row r="43" spans="2:11">
      <c r="B43" s="1164">
        <v>499</v>
      </c>
      <c r="C43" s="721">
        <v>73.43317174515235</v>
      </c>
      <c r="D43" s="1088"/>
      <c r="E43" s="437">
        <v>63.330751517613386</v>
      </c>
      <c r="F43" s="748"/>
      <c r="G43" s="999"/>
      <c r="H43" s="1133"/>
      <c r="I43" s="1132"/>
      <c r="K43" s="1184"/>
    </row>
    <row r="44" spans="2:11" ht="15.75" thickBot="1">
      <c r="B44" s="1165">
        <v>1052.8</v>
      </c>
      <c r="C44" s="721">
        <v>154.93074792243766</v>
      </c>
      <c r="D44" s="1088"/>
      <c r="E44" s="437">
        <v>147.08684100238494</v>
      </c>
      <c r="F44" s="748"/>
      <c r="G44" s="999"/>
      <c r="H44" s="1133"/>
      <c r="I44" s="1132"/>
      <c r="K44" s="1184"/>
    </row>
    <row r="45" spans="2:11">
      <c r="B45" s="1163">
        <v>595.4</v>
      </c>
      <c r="C45" s="722">
        <v>57.698183476476409</v>
      </c>
      <c r="D45" s="1089">
        <v>10.066846850045701</v>
      </c>
      <c r="E45" s="438">
        <v>66.910103142073083</v>
      </c>
      <c r="F45" s="749">
        <v>3.8995536719528641</v>
      </c>
      <c r="G45" s="1002">
        <v>20.756450854791023</v>
      </c>
      <c r="H45" s="1135">
        <v>22.137889286305413</v>
      </c>
      <c r="I45" s="1134">
        <v>24.377537840116347</v>
      </c>
      <c r="K45" s="1185">
        <v>25.563348594439212</v>
      </c>
    </row>
    <row r="46" spans="2:11">
      <c r="B46" s="1164">
        <v>1333.8</v>
      </c>
      <c r="C46" s="722">
        <v>129.25400927263055</v>
      </c>
      <c r="D46" s="1090"/>
      <c r="E46" s="438">
        <v>148.92451179357417</v>
      </c>
      <c r="F46" s="749"/>
      <c r="G46" s="1002"/>
      <c r="H46" s="1135"/>
      <c r="I46" s="1134"/>
      <c r="K46" s="1185"/>
    </row>
    <row r="47" spans="2:11" ht="15.75" thickBot="1">
      <c r="B47" s="1165">
        <v>702.2</v>
      </c>
      <c r="C47" s="722">
        <v>68.047807250893072</v>
      </c>
      <c r="D47" s="1090"/>
      <c r="E47" s="438">
        <v>74.120275922324538</v>
      </c>
      <c r="F47" s="749"/>
      <c r="G47" s="1002"/>
      <c r="H47" s="1135"/>
      <c r="I47" s="1134"/>
      <c r="K47" s="1185"/>
    </row>
    <row r="48" spans="2:11">
      <c r="B48" s="1163">
        <v>1565.4</v>
      </c>
      <c r="C48" s="723">
        <v>167.49622356495468</v>
      </c>
      <c r="D48" s="1091">
        <v>4.6981535316399352</v>
      </c>
      <c r="E48" s="439">
        <v>179.90529060715122</v>
      </c>
      <c r="F48" s="750">
        <v>1.0790888312823324</v>
      </c>
      <c r="G48" s="1005">
        <v>16.548777930517556</v>
      </c>
      <c r="H48" s="1137">
        <v>23.024089617599689</v>
      </c>
      <c r="I48" s="1136">
        <v>12.708089490826614</v>
      </c>
      <c r="K48" s="1186">
        <v>27.956951568355166</v>
      </c>
    </row>
    <row r="49" spans="2:11">
      <c r="B49" s="1164">
        <v>394</v>
      </c>
      <c r="C49" s="723">
        <v>42.157603222557903</v>
      </c>
      <c r="D49" s="1092"/>
      <c r="E49" s="439">
        <v>48.716578063950486</v>
      </c>
      <c r="F49" s="750"/>
      <c r="G49" s="1005"/>
      <c r="H49" s="1139"/>
      <c r="I49" s="1138"/>
      <c r="K49" s="1186"/>
    </row>
    <row r="50" spans="2:11" ht="15.75" thickBot="1">
      <c r="B50" s="1165">
        <v>423.8</v>
      </c>
      <c r="C50" s="723">
        <v>45.346173212487408</v>
      </c>
      <c r="D50" s="1091"/>
      <c r="E50" s="439">
        <v>56.959990730530549</v>
      </c>
      <c r="F50" s="750"/>
      <c r="G50" s="1005"/>
      <c r="H50" s="1139"/>
      <c r="I50" s="1138"/>
      <c r="K50" s="1186"/>
    </row>
    <row r="51" spans="2:11">
      <c r="B51" s="1163">
        <v>3486</v>
      </c>
      <c r="C51" s="724">
        <v>119.69864268016806</v>
      </c>
      <c r="D51" s="1093">
        <v>60.422615916176625</v>
      </c>
      <c r="E51" s="440">
        <v>238.29785697467756</v>
      </c>
      <c r="F51" s="751">
        <v>4.8695126997711942</v>
      </c>
      <c r="G51" s="1009">
        <v>33.221010052844292</v>
      </c>
      <c r="H51" s="1141">
        <v>29.07477529385045</v>
      </c>
      <c r="I51" s="1140">
        <v>7.5020466761039897</v>
      </c>
      <c r="K51" s="1187">
        <v>18.892927360753813</v>
      </c>
    </row>
    <row r="52" spans="2:11">
      <c r="B52" s="1164">
        <v>2777.2</v>
      </c>
      <c r="C52" s="724">
        <v>95.360605407734568</v>
      </c>
      <c r="D52" s="1093"/>
      <c r="E52" s="440">
        <v>198.45859080039978</v>
      </c>
      <c r="F52" s="751"/>
      <c r="G52" s="1009"/>
      <c r="H52" s="1141"/>
      <c r="I52" s="1140"/>
      <c r="K52" s="1187"/>
    </row>
    <row r="53" spans="2:11" ht="15.75" thickBot="1">
      <c r="B53" s="1165">
        <v>1163.2</v>
      </c>
      <c r="C53" s="724">
        <v>39.940751912097383</v>
      </c>
      <c r="D53" s="1093"/>
      <c r="E53" s="440">
        <v>19.759840938184311</v>
      </c>
      <c r="F53" s="751"/>
      <c r="G53" s="1009"/>
      <c r="H53" s="1141"/>
      <c r="I53" s="1140"/>
      <c r="K53" s="1187"/>
    </row>
    <row r="54" spans="2:11">
      <c r="B54" s="1163">
        <v>1897</v>
      </c>
      <c r="C54" s="725">
        <v>115.70393226176807</v>
      </c>
      <c r="D54" s="1094">
        <v>29.045624682969972</v>
      </c>
      <c r="E54" s="441">
        <v>193.03598609620454</v>
      </c>
      <c r="F54" s="752">
        <v>1.2492912628574091</v>
      </c>
      <c r="G54" s="1012">
        <v>9.8506628871485553</v>
      </c>
      <c r="H54" s="1143">
        <v>15.586987521434422</v>
      </c>
      <c r="I54" s="1142">
        <v>5.8937717617965202</v>
      </c>
      <c r="K54" s="1188">
        <v>22.33682840050189</v>
      </c>
    </row>
    <row r="55" spans="2:11">
      <c r="B55" s="1164">
        <v>867.4</v>
      </c>
      <c r="C55" s="725">
        <v>52.905424799081516</v>
      </c>
      <c r="D55" s="1094"/>
      <c r="E55" s="441">
        <v>84.003503526946432</v>
      </c>
      <c r="F55" s="752"/>
      <c r="G55" s="1012"/>
      <c r="H55" s="1143"/>
      <c r="I55" s="1142"/>
      <c r="K55" s="1188"/>
    </row>
    <row r="56" spans="2:11" ht="15.75" thickBot="1">
      <c r="B56" s="1165">
        <v>1416.4</v>
      </c>
      <c r="C56" s="725">
        <v>86.39064293915041</v>
      </c>
      <c r="D56" s="1094"/>
      <c r="E56" s="441">
        <v>150.55196979242695</v>
      </c>
      <c r="F56" s="752"/>
      <c r="G56" s="1012"/>
      <c r="H56" s="1143"/>
      <c r="I56" s="1142"/>
      <c r="K56" s="1188"/>
    </row>
    <row r="57" spans="2:11">
      <c r="B57" s="1163">
        <v>351</v>
      </c>
      <c r="C57" s="726">
        <v>27.426916712630998</v>
      </c>
      <c r="D57" s="1095">
        <v>17.686902657285046</v>
      </c>
      <c r="E57" s="442">
        <v>-123.30990987449144</v>
      </c>
      <c r="F57" s="753">
        <v>5.6767850068879113</v>
      </c>
      <c r="G57" s="1015">
        <v>7.940727267158195</v>
      </c>
      <c r="H57" s="1145">
        <v>12.499684924387996</v>
      </c>
      <c r="I57" s="1144">
        <v>28.150846457482032</v>
      </c>
      <c r="K57" s="1189">
        <v>22.803416013480884</v>
      </c>
    </row>
    <row r="58" spans="2:11">
      <c r="B58" s="1164">
        <v>1297</v>
      </c>
      <c r="C58" s="726">
        <v>101.34675491818348</v>
      </c>
      <c r="D58" s="1095"/>
      <c r="E58" s="442">
        <v>136.1986469903801</v>
      </c>
      <c r="F58" s="753"/>
      <c r="G58" s="1015"/>
      <c r="H58" s="1145"/>
      <c r="I58" s="1144"/>
      <c r="K58" s="1189"/>
    </row>
    <row r="59" spans="2:11" ht="15.75" thickBot="1">
      <c r="B59" s="1165">
        <v>1615.4</v>
      </c>
      <c r="C59" s="727">
        <v>126.22632836918551</v>
      </c>
      <c r="D59" s="1095"/>
      <c r="E59" s="443">
        <v>169.68590110948557</v>
      </c>
      <c r="F59" s="753"/>
      <c r="G59" s="1018"/>
      <c r="H59" s="1145"/>
      <c r="I59" s="1144"/>
      <c r="K59" s="1190"/>
    </row>
    <row r="60" spans="2:11" ht="15.75" thickBot="1">
      <c r="B60" s="1162"/>
      <c r="C60" s="419"/>
      <c r="D60" s="349"/>
      <c r="E60" s="419"/>
      <c r="F60" s="349"/>
      <c r="G60" s="349"/>
      <c r="H60" s="343"/>
      <c r="I60" s="349"/>
      <c r="K60" s="1040"/>
    </row>
    <row r="61" spans="2:11">
      <c r="B61" s="1332">
        <v>4208.3999000000003</v>
      </c>
      <c r="C61" s="728">
        <v>76.220718363145579</v>
      </c>
      <c r="D61" s="1096">
        <v>59.410061656493639</v>
      </c>
      <c r="E61" s="444">
        <v>244.94459763984261</v>
      </c>
      <c r="F61" s="754">
        <v>0.8122441402802274</v>
      </c>
      <c r="G61" s="1021">
        <v>36.464004735787441</v>
      </c>
      <c r="H61" s="1147">
        <v>42.429013509329494</v>
      </c>
      <c r="I61" s="1146">
        <v>36.43557135012901</v>
      </c>
      <c r="K61" s="1191">
        <v>59.079966181593321</v>
      </c>
    </row>
    <row r="62" spans="2:11">
      <c r="B62" s="1333">
        <v>5044</v>
      </c>
      <c r="C62" s="729">
        <v>91.354745879474578</v>
      </c>
      <c r="D62" s="1096"/>
      <c r="E62" s="445">
        <v>245.22561578043522</v>
      </c>
      <c r="F62" s="754"/>
      <c r="G62" s="1024"/>
      <c r="H62" s="1147"/>
      <c r="I62" s="1146"/>
      <c r="K62" s="1192"/>
    </row>
    <row r="63" spans="2:11" ht="15.75" thickBot="1">
      <c r="B63" s="1334">
        <v>4827</v>
      </c>
      <c r="C63" s="729">
        <v>87.424535757379829</v>
      </c>
      <c r="D63" s="1096"/>
      <c r="E63" s="445">
        <v>242.67159053813759</v>
      </c>
      <c r="F63" s="754"/>
      <c r="G63" s="1024"/>
      <c r="H63" s="1147"/>
      <c r="I63" s="1146"/>
      <c r="K63" s="1192"/>
    </row>
    <row r="64" spans="2:11">
      <c r="B64" s="1332">
        <v>2945.2</v>
      </c>
      <c r="C64" s="730">
        <v>74.406157620609505</v>
      </c>
      <c r="D64" s="1097">
        <v>44.337950020893878</v>
      </c>
      <c r="E64" s="446">
        <v>200.34536911982687</v>
      </c>
      <c r="F64" s="755">
        <v>3.4762192438113888</v>
      </c>
      <c r="G64" s="1027">
        <v>21.730666263693024</v>
      </c>
      <c r="H64" s="1149">
        <v>27.899167586276839</v>
      </c>
      <c r="I64" s="1148">
        <v>18.610847139679827</v>
      </c>
      <c r="K64" s="1193">
        <v>2.5221870817142773</v>
      </c>
    </row>
    <row r="65" spans="2:11">
      <c r="B65" s="1333">
        <v>3620.8</v>
      </c>
      <c r="C65" s="730">
        <v>91.474200567942063</v>
      </c>
      <c r="D65" s="1097"/>
      <c r="E65" s="446">
        <v>202.21765470389457</v>
      </c>
      <c r="F65" s="755"/>
      <c r="G65" s="1027"/>
      <c r="H65" s="1149"/>
      <c r="I65" s="1148"/>
      <c r="K65" s="1193"/>
    </row>
    <row r="66" spans="2:11" ht="15.75" thickBot="1">
      <c r="B66" s="1334">
        <v>3527.6001000000001</v>
      </c>
      <c r="C66" s="730">
        <v>89.119641811448432</v>
      </c>
      <c r="D66" s="1097"/>
      <c r="E66" s="446">
        <v>202.39139072207513</v>
      </c>
      <c r="F66" s="755"/>
      <c r="G66" s="1027"/>
      <c r="H66" s="1149"/>
      <c r="I66" s="1148"/>
      <c r="K66" s="1193"/>
    </row>
    <row r="67" spans="2:11">
      <c r="B67" s="1332">
        <v>1724.2</v>
      </c>
      <c r="C67" s="731">
        <v>73.378784338596091</v>
      </c>
      <c r="D67" s="1098">
        <v>30.192524722459623</v>
      </c>
      <c r="E67" s="447">
        <v>160.69389383573181</v>
      </c>
      <c r="F67" s="756">
        <v>2.7962355162049111</v>
      </c>
      <c r="G67" s="1030">
        <v>7.9322354559077342</v>
      </c>
      <c r="H67" s="1151">
        <v>14.352421642679856</v>
      </c>
      <c r="I67" s="1150">
        <v>7.2977963124642997</v>
      </c>
      <c r="K67" s="1194">
        <v>9.1621783156129819</v>
      </c>
    </row>
    <row r="68" spans="2:11">
      <c r="B68" s="1333">
        <v>2141.8000000000002</v>
      </c>
      <c r="C68" s="731">
        <v>91.151073133282154</v>
      </c>
      <c r="D68" s="1098"/>
      <c r="E68" s="447">
        <v>162.84331466380013</v>
      </c>
      <c r="F68" s="756"/>
      <c r="G68" s="1030"/>
      <c r="H68" s="1151"/>
      <c r="I68" s="1150"/>
      <c r="K68" s="1194"/>
    </row>
    <row r="69" spans="2:11" ht="15.75" thickBot="1">
      <c r="B69" s="1334">
        <v>2125.8000000000002</v>
      </c>
      <c r="C69" s="731">
        <v>90.470142528121784</v>
      </c>
      <c r="D69" s="1098"/>
      <c r="E69" s="447">
        <v>163.24947770284862</v>
      </c>
      <c r="F69" s="756"/>
      <c r="G69" s="1030"/>
      <c r="H69" s="1151"/>
      <c r="I69" s="1150"/>
      <c r="K69" s="1194"/>
    </row>
    <row r="70" spans="2:11">
      <c r="B70" s="1332">
        <v>927.6</v>
      </c>
      <c r="C70" s="732">
        <v>73.752182589174367</v>
      </c>
      <c r="D70" s="1099">
        <v>15.246255514277227</v>
      </c>
      <c r="E70" s="448">
        <v>120.66757106732852</v>
      </c>
      <c r="F70" s="757">
        <v>2.9446160640865218</v>
      </c>
      <c r="G70" s="1030">
        <v>8.9395700396476148</v>
      </c>
      <c r="H70" s="1153">
        <v>6.6629483233465683</v>
      </c>
      <c r="I70" s="1152">
        <v>17.402629164004889</v>
      </c>
      <c r="K70" s="1195">
        <v>16.802714218311497</v>
      </c>
    </row>
    <row r="71" spans="2:11">
      <c r="B71" s="1333">
        <v>1137.5999999999999</v>
      </c>
      <c r="C71" s="732">
        <v>90.448989773010723</v>
      </c>
      <c r="D71" s="1099"/>
      <c r="E71" s="448">
        <v>121.19947386215865</v>
      </c>
      <c r="F71" s="757"/>
      <c r="G71" s="1030"/>
      <c r="H71" s="1153"/>
      <c r="I71" s="1152"/>
      <c r="K71" s="1195"/>
    </row>
    <row r="72" spans="2:11" ht="15.75" thickBot="1">
      <c r="B72" s="1334">
        <v>1142</v>
      </c>
      <c r="C72" s="732">
        <v>90.798827637814924</v>
      </c>
      <c r="D72" s="1099"/>
      <c r="E72" s="448">
        <v>121.54290035174313</v>
      </c>
      <c r="F72" s="757"/>
      <c r="G72" s="1030"/>
      <c r="H72" s="1153"/>
      <c r="I72" s="1152"/>
      <c r="K72" s="1195"/>
    </row>
    <row r="73" spans="2:11">
      <c r="B73" s="1332">
        <v>424</v>
      </c>
      <c r="C73" s="733">
        <v>71.735668789808912</v>
      </c>
      <c r="D73" s="1100">
        <v>6.6782998844132804</v>
      </c>
      <c r="E73" s="449">
        <v>82.432760070363386</v>
      </c>
      <c r="F73" s="758">
        <v>3.0317763076524273</v>
      </c>
      <c r="G73" s="1033">
        <v>23.10989237823199</v>
      </c>
      <c r="H73" s="1155">
        <v>18.035425344663853</v>
      </c>
      <c r="I73" s="1154">
        <v>21.007240321654383</v>
      </c>
      <c r="K73" s="1196">
        <v>20.994692846105682</v>
      </c>
    </row>
    <row r="74" spans="2:11">
      <c r="B74" s="1333">
        <v>532</v>
      </c>
      <c r="C74" s="733">
        <v>90.007961783439484</v>
      </c>
      <c r="D74" s="1100"/>
      <c r="E74" s="449">
        <v>84.106225276765315</v>
      </c>
      <c r="F74" s="758"/>
      <c r="G74" s="1033"/>
      <c r="H74" s="1155"/>
      <c r="I74" s="1154"/>
      <c r="K74" s="1196"/>
    </row>
    <row r="75" spans="2:11" ht="15.75" thickBot="1">
      <c r="B75" s="1334">
        <v>551.20000000000005</v>
      </c>
      <c r="C75" s="733">
        <v>93.256369426751604</v>
      </c>
      <c r="D75" s="1100"/>
      <c r="E75" s="449">
        <v>85.776392403274841</v>
      </c>
      <c r="F75" s="758"/>
      <c r="G75" s="1033"/>
      <c r="H75" s="1155"/>
      <c r="I75" s="1154"/>
      <c r="K75" s="1196"/>
    </row>
    <row r="76" spans="2:11">
      <c r="B76" s="1332">
        <v>203</v>
      </c>
      <c r="C76" s="734">
        <v>73.949999999999989</v>
      </c>
      <c r="D76" s="1101">
        <v>16.995260569355217</v>
      </c>
      <c r="E76" s="450">
        <v>48.661691226720095</v>
      </c>
      <c r="F76" s="759">
        <v>5.0222491338695852</v>
      </c>
      <c r="G76" s="1036">
        <v>37.887543105576547</v>
      </c>
      <c r="H76" s="1157">
        <v>32.22992144824606</v>
      </c>
      <c r="I76" s="1156">
        <v>15.314713973778797</v>
      </c>
      <c r="K76" s="1197">
        <v>21.641153436270848</v>
      </c>
    </row>
    <row r="77" spans="2:11">
      <c r="B77" s="1333">
        <v>242.4</v>
      </c>
      <c r="C77" s="734">
        <v>88.30285714285715</v>
      </c>
      <c r="D77" s="1101"/>
      <c r="E77" s="450">
        <v>49.363641330697085</v>
      </c>
      <c r="F77" s="759"/>
      <c r="G77" s="1036"/>
      <c r="H77" s="1157"/>
      <c r="I77" s="1156"/>
      <c r="K77" s="1197"/>
    </row>
    <row r="78" spans="2:11" ht="15.75" thickBot="1">
      <c r="B78" s="1334">
        <v>254.6</v>
      </c>
      <c r="C78" s="735">
        <v>92.747142857142862</v>
      </c>
      <c r="D78" s="1102"/>
      <c r="E78" s="451">
        <v>50.702931476399115</v>
      </c>
      <c r="F78" s="760"/>
      <c r="G78" s="1039"/>
      <c r="H78" s="1159"/>
      <c r="I78" s="1158"/>
      <c r="K78" s="1198"/>
    </row>
    <row r="79" spans="2:11">
      <c r="E79" s="4"/>
      <c r="F79" s="697"/>
    </row>
    <row r="80" spans="2:11">
      <c r="B80" s="1166" t="s">
        <v>74</v>
      </c>
      <c r="C80" s="1072" t="s">
        <v>194</v>
      </c>
      <c r="D80" s="1073">
        <f>SUM(D4:D78)</f>
        <v>562.98703223287271</v>
      </c>
      <c r="E80" s="697"/>
      <c r="F80" s="1073">
        <f t="shared" ref="F80:I80" si="0">SUM(F4:F78)</f>
        <v>86.093977517298256</v>
      </c>
      <c r="G80" s="1073">
        <f>SUM(G4:G78)</f>
        <v>413.59277885017599</v>
      </c>
      <c r="H80" s="1073">
        <f>SUM(H4:H78)</f>
        <v>431.20488327570223</v>
      </c>
      <c r="I80" s="1073">
        <f t="shared" si="0"/>
        <v>432.05800671290098</v>
      </c>
      <c r="J80" s="1073"/>
      <c r="K80" s="1199">
        <f t="shared" ref="K80" si="1">SUM(K4:K78)</f>
        <v>591.00032554677944</v>
      </c>
    </row>
    <row r="81" spans="2:11">
      <c r="B81" s="1166" t="s">
        <v>185</v>
      </c>
      <c r="C81" s="1072" t="s">
        <v>194</v>
      </c>
      <c r="D81" s="1073">
        <f>D80/24</f>
        <v>23.457793009703028</v>
      </c>
      <c r="E81" s="697"/>
      <c r="F81" s="1073">
        <f t="shared" ref="F81:I81" si="2">F80/24</f>
        <v>3.5872490632207605</v>
      </c>
      <c r="G81" s="1073">
        <f>G80/24</f>
        <v>17.233032452090665</v>
      </c>
      <c r="H81" s="1073">
        <f>H80/24</f>
        <v>17.966870136487593</v>
      </c>
      <c r="I81" s="1073">
        <f t="shared" si="2"/>
        <v>18.002416946370875</v>
      </c>
      <c r="J81" s="1073"/>
      <c r="K81" s="1199">
        <f t="shared" ref="K81" si="3">K80/24</f>
        <v>24.625013564449144</v>
      </c>
    </row>
    <row r="82" spans="2:11">
      <c r="B82" s="1166" t="s">
        <v>0</v>
      </c>
      <c r="C82" s="1072" t="s">
        <v>194</v>
      </c>
      <c r="D82" s="347">
        <v>60.422615916176625</v>
      </c>
      <c r="E82" s="697"/>
      <c r="F82" s="697">
        <v>6.3050956024862481</v>
      </c>
      <c r="G82" s="342">
        <v>36.464004735787441</v>
      </c>
      <c r="H82" s="347">
        <v>42.429013509329501</v>
      </c>
      <c r="I82" s="347">
        <v>36.435571350129003</v>
      </c>
      <c r="K82" s="1200">
        <v>59.079966181593321</v>
      </c>
    </row>
    <row r="83" spans="2:11">
      <c r="E83" s="4"/>
      <c r="F83" s="697"/>
    </row>
    <row r="84" spans="2:11">
      <c r="E84" s="4"/>
      <c r="F84" s="697"/>
      <c r="K84" s="73"/>
    </row>
    <row r="85" spans="2:11">
      <c r="E85" s="4"/>
      <c r="F85" s="697"/>
      <c r="K85" s="73"/>
    </row>
    <row r="86" spans="2:11">
      <c r="E86" s="4"/>
      <c r="F86" s="697"/>
    </row>
    <row r="87" spans="2:11">
      <c r="E87" s="4"/>
      <c r="F87" s="697"/>
    </row>
    <row r="88" spans="2:11">
      <c r="E88" s="4"/>
      <c r="F88" s="697"/>
    </row>
    <row r="89" spans="2:11">
      <c r="E89" s="4"/>
      <c r="F89" s="697"/>
    </row>
    <row r="90" spans="2:11">
      <c r="E90" s="4"/>
      <c r="F90" s="697"/>
    </row>
    <row r="91" spans="2:11">
      <c r="E91" s="4"/>
      <c r="F91" s="697"/>
    </row>
    <row r="92" spans="2:11">
      <c r="E92" s="4"/>
      <c r="F92" s="697"/>
    </row>
    <row r="93" spans="2:11">
      <c r="E93" s="4"/>
      <c r="F93" s="697"/>
    </row>
    <row r="94" spans="2:11">
      <c r="E94" s="4"/>
      <c r="F94" s="697"/>
    </row>
    <row r="95" spans="2:11">
      <c r="E95" s="4"/>
      <c r="F95" s="697"/>
    </row>
    <row r="96" spans="2:11">
      <c r="E96" s="4"/>
      <c r="F96" s="697"/>
    </row>
    <row r="97" spans="5:7">
      <c r="E97" s="4"/>
      <c r="F97" s="697"/>
    </row>
    <row r="98" spans="5:7">
      <c r="E98" s="4"/>
      <c r="F98" s="697"/>
    </row>
    <row r="99" spans="5:7">
      <c r="E99" s="4"/>
      <c r="F99" s="697"/>
    </row>
    <row r="100" spans="5:7">
      <c r="E100" s="4"/>
      <c r="F100" s="697"/>
    </row>
    <row r="101" spans="5:7">
      <c r="E101" s="4"/>
      <c r="F101" s="703"/>
      <c r="G101" s="344"/>
    </row>
    <row r="102" spans="5:7">
      <c r="E102" s="4"/>
      <c r="F102" s="703"/>
      <c r="G102" s="344"/>
    </row>
    <row r="103" spans="5:7">
      <c r="E103" s="4"/>
      <c r="F103" s="703"/>
      <c r="G103" s="344"/>
    </row>
    <row r="104" spans="5:7">
      <c r="E104" s="4"/>
      <c r="F104" s="697"/>
    </row>
    <row r="105" spans="5:7">
      <c r="E105" s="4"/>
      <c r="F105" s="697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D65-sRGB</vt:lpstr>
      <vt:lpstr>LED-B2-sRGB</vt:lpstr>
      <vt:lpstr>LED-B2-Sensor</vt:lpstr>
      <vt:lpstr>D65-Sensor</vt:lpstr>
      <vt:lpstr>Sensor</vt:lpstr>
      <vt:lpstr>Summary</vt:lpstr>
      <vt:lpstr>Sheet12</vt:lpstr>
      <vt:lpstr>ColorSheet-1</vt:lpstr>
      <vt:lpstr>ColorSheet-2</vt:lpstr>
      <vt:lpstr>ColorSheet-3</vt:lpstr>
      <vt:lpstr>Camera</vt:lpstr>
      <vt:lpstr>NormalizedRGB-sRGB-M1</vt:lpstr>
      <vt:lpstr>NormalizedRGB-XYZ-M2</vt:lpstr>
      <vt:lpstr>RawData-sRGB-M3</vt:lpstr>
      <vt:lpstr>RawData-XYZ-M4</vt:lpstr>
      <vt:lpstr>Sheet3</vt:lpstr>
      <vt:lpstr>Sheet1</vt:lpstr>
      <vt:lpstr>Sheet2</vt:lpstr>
      <vt:lpstr>TCS34725-xy-Coordinate</vt:lpstr>
      <vt:lpstr>Summary-Final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Heinemann, Jörg</dc:creator>
  <cp:lastModifiedBy>Heinemann, Jörg</cp:lastModifiedBy>
  <dcterms:created xsi:type="dcterms:W3CDTF">2021-01-05T13:33:16Z</dcterms:created>
  <dcterms:modified xsi:type="dcterms:W3CDTF">2021-03-14T16:14:44Z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12e00b9-34e2-4b26-a577-af1fd0f9f7ee_Enabled">
    <vt:lpwstr>True</vt:lpwstr>
  </property>
  <property fmtid="{D5CDD505-2E9C-101B-9397-08002B2CF9AE}" pid="3" name="MSIP_Label_112e00b9-34e2-4b26-a577-af1fd0f9f7ee_SiteId">
    <vt:lpwstr>33440fc6-b7c7-412c-bb73-0e70b0198d5a</vt:lpwstr>
  </property>
  <property fmtid="{D5CDD505-2E9C-101B-9397-08002B2CF9AE}" pid="4" name="MSIP_Label_112e00b9-34e2-4b26-a577-af1fd0f9f7ee_Owner">
    <vt:lpwstr>joerg.heinemann@atos.net</vt:lpwstr>
  </property>
  <property fmtid="{D5CDD505-2E9C-101B-9397-08002B2CF9AE}" pid="5" name="MSIP_Label_112e00b9-34e2-4b26-a577-af1fd0f9f7ee_SetDate">
    <vt:lpwstr>2021-01-06T21:29:56.4380222Z</vt:lpwstr>
  </property>
  <property fmtid="{D5CDD505-2E9C-101B-9397-08002B2CF9AE}" pid="6" name="MSIP_Label_112e00b9-34e2-4b26-a577-af1fd0f9f7ee_Name">
    <vt:lpwstr>Atos For Internal Use</vt:lpwstr>
  </property>
  <property fmtid="{D5CDD505-2E9C-101B-9397-08002B2CF9AE}" pid="7" name="MSIP_Label_112e00b9-34e2-4b26-a577-af1fd0f9f7ee_Application">
    <vt:lpwstr>Microsoft Azure Information Protection</vt:lpwstr>
  </property>
  <property fmtid="{D5CDD505-2E9C-101B-9397-08002B2CF9AE}" pid="8" name="MSIP_Label_112e00b9-34e2-4b26-a577-af1fd0f9f7ee_ActionId">
    <vt:lpwstr>5483d747-bd82-4b95-959b-cc7d0faa1649</vt:lpwstr>
  </property>
  <property fmtid="{D5CDD505-2E9C-101B-9397-08002B2CF9AE}" pid="9" name="MSIP_Label_112e00b9-34e2-4b26-a577-af1fd0f9f7ee_Extended_MSFT_Method">
    <vt:lpwstr>Automatic</vt:lpwstr>
  </property>
  <property fmtid="{D5CDD505-2E9C-101B-9397-08002B2CF9AE}" pid="10" name="MSIP_Label_e463cba9-5f6c-478d-9329-7b2295e4e8ed_Enabled">
    <vt:lpwstr>True</vt:lpwstr>
  </property>
  <property fmtid="{D5CDD505-2E9C-101B-9397-08002B2CF9AE}" pid="11" name="MSIP_Label_e463cba9-5f6c-478d-9329-7b2295e4e8ed_SiteId">
    <vt:lpwstr>33440fc6-b7c7-412c-bb73-0e70b0198d5a</vt:lpwstr>
  </property>
  <property fmtid="{D5CDD505-2E9C-101B-9397-08002B2CF9AE}" pid="12" name="MSIP_Label_e463cba9-5f6c-478d-9329-7b2295e4e8ed_Owner">
    <vt:lpwstr>joerg.heinemann@atos.net</vt:lpwstr>
  </property>
  <property fmtid="{D5CDD505-2E9C-101B-9397-08002B2CF9AE}" pid="13" name="MSIP_Label_e463cba9-5f6c-478d-9329-7b2295e4e8ed_SetDate">
    <vt:lpwstr>2021-01-06T21:29:56.4380222Z</vt:lpwstr>
  </property>
  <property fmtid="{D5CDD505-2E9C-101B-9397-08002B2CF9AE}" pid="14" name="MSIP_Label_e463cba9-5f6c-478d-9329-7b2295e4e8ed_Name">
    <vt:lpwstr>Atos For Internal Use - All Employees</vt:lpwstr>
  </property>
  <property fmtid="{D5CDD505-2E9C-101B-9397-08002B2CF9AE}" pid="15" name="MSIP_Label_e463cba9-5f6c-478d-9329-7b2295e4e8ed_Application">
    <vt:lpwstr>Microsoft Azure Information Protection</vt:lpwstr>
  </property>
  <property fmtid="{D5CDD505-2E9C-101B-9397-08002B2CF9AE}" pid="16" name="MSIP_Label_e463cba9-5f6c-478d-9329-7b2295e4e8ed_ActionId">
    <vt:lpwstr>5483d747-bd82-4b95-959b-cc7d0faa1649</vt:lpwstr>
  </property>
  <property fmtid="{D5CDD505-2E9C-101B-9397-08002B2CF9AE}" pid="17" name="MSIP_Label_e463cba9-5f6c-478d-9329-7b2295e4e8ed_Parent">
    <vt:lpwstr>112e00b9-34e2-4b26-a577-af1fd0f9f7ee</vt:lpwstr>
  </property>
  <property fmtid="{D5CDD505-2E9C-101B-9397-08002B2CF9AE}" pid="18" name="MSIP_Label_e463cba9-5f6c-478d-9329-7b2295e4e8ed_Extended_MSFT_Method">
    <vt:lpwstr>Automatic</vt:lpwstr>
  </property>
  <property fmtid="{D5CDD505-2E9C-101B-9397-08002B2CF9AE}" pid="19" name="Sensitivity">
    <vt:lpwstr>Atos For Internal Use Atos For Internal Use - All Employees</vt:lpwstr>
  </property>
</Properties>
</file>