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bhardwaj038\Desktop\StratGPT\Financials\"/>
    </mc:Choice>
  </mc:AlternateContent>
  <xr:revisionPtr revIDLastSave="0" documentId="13_ncr:1_{EFAABA71-EE72-4DF3-8F7E-441C9536F9FE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tsm_income_statement" sheetId="2" r:id="rId1"/>
    <sheet name="tsm_balance_sheet" sheetId="1" r:id="rId2"/>
    <sheet name="tsm_cash_flow_statem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<sst xmlns="http://schemas.openxmlformats.org/spreadsheetml/2006/main" count="99" uniqueCount="93">
  <si>
    <t>Year</t>
  </si>
  <si>
    <t>Total assets</t>
  </si>
  <si>
    <t>Total Current Assets</t>
  </si>
  <si>
    <t>Cash and Short Term Investments</t>
  </si>
  <si>
    <t>Cash and cash equivalents</t>
  </si>
  <si>
    <t>Short Term Investments</t>
  </si>
  <si>
    <t>Receivables</t>
  </si>
  <si>
    <t>Inventory</t>
  </si>
  <si>
    <t>Other Current Assets</t>
  </si>
  <si>
    <t>Property, Plant &amp; Equipment Net</t>
  </si>
  <si>
    <t>Goodwill and Intangible Assets</t>
  </si>
  <si>
    <t>Goodwill</t>
  </si>
  <si>
    <t>Intangible Assets</t>
  </si>
  <si>
    <t>Long Term Investments</t>
  </si>
  <si>
    <t>Total liabilities</t>
  </si>
  <si>
    <t>Total current liabilities</t>
  </si>
  <si>
    <t>Payables</t>
  </si>
  <si>
    <t>Short Term debt</t>
  </si>
  <si>
    <t>Deferred revenue</t>
  </si>
  <si>
    <t>Other Current Liabilities</t>
  </si>
  <si>
    <t>Long Term debt</t>
  </si>
  <si>
    <t>Total shareholders equity</t>
  </si>
  <si>
    <t>Common Stock</t>
  </si>
  <si>
    <t>Retained earnings</t>
  </si>
  <si>
    <t>Accumulated Other Comprehensive Income Loss</t>
  </si>
  <si>
    <t>Other Stockholders Equity</t>
  </si>
  <si>
    <t>Total debt</t>
  </si>
  <si>
    <t>Total Investments</t>
  </si>
  <si>
    <t>Net Debt</t>
  </si>
  <si>
    <t>Retained Earnings (Previous Year)</t>
  </si>
  <si>
    <t>Net Income</t>
  </si>
  <si>
    <t>Stock Dividends</t>
  </si>
  <si>
    <t>Dividend Paid</t>
  </si>
  <si>
    <t>Retained Earnings</t>
  </si>
  <si>
    <t>Gross PPE</t>
  </si>
  <si>
    <t>Annual Depreciation</t>
  </si>
  <si>
    <t>Capital Expenditure</t>
  </si>
  <si>
    <t>Net PPE</t>
  </si>
  <si>
    <t>Intangible and Goodwill (Previous Year)</t>
  </si>
  <si>
    <t>New Purchases</t>
  </si>
  <si>
    <t>Intangible and Goodwill</t>
  </si>
  <si>
    <t>Revenue</t>
  </si>
  <si>
    <t>Cost of Revenue</t>
  </si>
  <si>
    <t>Gross Profit</t>
  </si>
  <si>
    <t>Operating Expenses</t>
  </si>
  <si>
    <t>Selling, General and Administrative Expenses</t>
  </si>
  <si>
    <t>Research and Development Expenses</t>
  </si>
  <si>
    <t>Cost and Expenses</t>
  </si>
  <si>
    <t>Operating Income</t>
  </si>
  <si>
    <t>Interest Expense</t>
  </si>
  <si>
    <t>Income Tax Expense</t>
  </si>
  <si>
    <t>Earnings before Tax</t>
  </si>
  <si>
    <t>Earnings Per Share Basic</t>
  </si>
  <si>
    <t>Earnings Per Share Diluted</t>
  </si>
  <si>
    <t>Weighted Average Shares Outstanding</t>
  </si>
  <si>
    <t>Weighted Average Shares Outstanding (Diluted)</t>
  </si>
  <si>
    <t>Gross Margin</t>
  </si>
  <si>
    <t>EBIT Margin</t>
  </si>
  <si>
    <t>Profit Margin</t>
  </si>
  <si>
    <t>EBITDA</t>
  </si>
  <si>
    <t>Earnings Before Tax Margin</t>
  </si>
  <si>
    <t>Operating Cash Flow</t>
  </si>
  <si>
    <t>Depreciation &amp; Amortization</t>
  </si>
  <si>
    <t>Deferred income taxes</t>
  </si>
  <si>
    <t>Change in working capital</t>
  </si>
  <si>
    <t>Investing Cash Flow</t>
  </si>
  <si>
    <t>Investments in PPE</t>
  </si>
  <si>
    <t>Acquisitions</t>
  </si>
  <si>
    <t>Investment purchases</t>
  </si>
  <si>
    <t>Sales/Maturities of investments</t>
  </si>
  <si>
    <t>Other Investing Activites</t>
  </si>
  <si>
    <t>Financing Cash Flow</t>
  </si>
  <si>
    <t>Debt repayment</t>
  </si>
  <si>
    <t>Dividends payments</t>
  </si>
  <si>
    <t>Common Stock Repurchased</t>
  </si>
  <si>
    <t>Other Financing Activites</t>
  </si>
  <si>
    <t>Accounts receivables</t>
  </si>
  <si>
    <t>Accounts payables</t>
  </si>
  <si>
    <t>Other working capital</t>
  </si>
  <si>
    <t>Cash at beginning of period</t>
  </si>
  <si>
    <t>Cash at end of period</t>
  </si>
  <si>
    <t>Net cash flow / Change in cash</t>
  </si>
  <si>
    <t>Free Cash Flow</t>
  </si>
  <si>
    <t>General and Administrative Expenses</t>
  </si>
  <si>
    <t>Selling and Marketing Expenses</t>
  </si>
  <si>
    <t>Other Expenses</t>
  </si>
  <si>
    <t>Effect of forex changes on cash</t>
  </si>
  <si>
    <t>Stock0based compensation</t>
  </si>
  <si>
    <t>Other non0cash items</t>
  </si>
  <si>
    <t>Total non0current Assets</t>
  </si>
  <si>
    <t>Other non0current Assets</t>
  </si>
  <si>
    <t>Total non0current liabilities</t>
  </si>
  <si>
    <t>Other non0current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</si>
</sst>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6" fontId="0" fillId="0" borderId="0" xfId="0" applyNumberFormat="1"/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56DD-24DE-4731-BBAA-0202C73E7705}">
  <dimension ref="A1:Y19"/>
  <sheetViews>
    <sheetView workbookViewId="0">
      <selection activeCell="G1" sqref="A1:XFD1048576"/>
    </sheetView>
  </sheetViews>
  <sheetFormatPr defaultRowHeight="14.5" x14ac:dyDescent="0.35"/>
  <cols>
    <col min="1" max="1" width="4.81640625" bestFit="1" customWidth="1"/>
    <col min="2" max="2" width="13.6328125" bestFit="1" customWidth="1"/>
    <col min="3" max="3" width="14.36328125" bestFit="1" customWidth="1"/>
    <col min="4" max="4" width="13.6328125" bestFit="1" customWidth="1"/>
    <col min="5" max="5" width="17.453125" bestFit="1" customWidth="1"/>
    <col min="6" max="6" width="38.54296875" bestFit="1" customWidth="1"/>
    <col min="7" max="7" width="32.1796875" bestFit="1" customWidth="1"/>
    <col min="8" max="8" width="27.1796875" bestFit="1" customWidth="1"/>
    <col min="9" max="9" width="32.26953125" bestFit="1" customWidth="1"/>
    <col min="10" max="10" width="13.90625" bestFit="1" customWidth="1"/>
    <col min="11" max="11" width="16.36328125" bestFit="1" customWidth="1"/>
    <col min="12" max="12" width="15.81640625" bestFit="1" customWidth="1"/>
    <col min="13" max="13" width="14.7265625" bestFit="1" customWidth="1"/>
    <col min="14" max="14" width="17.90625" bestFit="1" customWidth="1"/>
    <col min="15" max="15" width="17.453125" bestFit="1" customWidth="1"/>
    <col min="16" max="16" width="13.6328125" bestFit="1" customWidth="1"/>
    <col min="17" max="17" width="21.1796875" bestFit="1" customWidth="1"/>
    <col min="18" max="18" width="23" bestFit="1" customWidth="1"/>
    <col min="19" max="19" width="33.08984375" bestFit="1" customWidth="1"/>
    <col min="20" max="20" width="41" bestFit="1" customWidth="1"/>
    <col min="21" max="21" width="11.90625" bestFit="1" customWidth="1"/>
    <col min="22" max="22" width="10.81640625" bestFit="1" customWidth="1"/>
    <col min="23" max="23" width="11.7265625" bestFit="1" customWidth="1"/>
    <col min="24" max="24" width="13.6328125" bestFit="1" customWidth="1"/>
    <col min="25" max="25" width="23.90625" bestFit="1" customWidth="1"/>
  </cols>
  <sheetData>
    <row r="1" spans="1:25" x14ac:dyDescent="0.3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83</v>
      </c>
      <c r="H1" t="s">
        <v>84</v>
      </c>
      <c r="I1" t="s">
        <v>46</v>
      </c>
      <c r="J1" t="s">
        <v>85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30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</row>
    <row r="2" spans="1:25" x14ac:dyDescent="0.35">
      <c r="A2" s="1">
        <v>2022</v>
      </c>
      <c r="B2" s="5">
        <f>72444521.344*(0.0324/0.032)</f>
        <v>73350077.860799998</v>
      </c>
      <c r="C2" s="5">
        <f>29297167.552*(0.0324/0.032)</f>
        <v>29663382.146400001</v>
      </c>
      <c r="D2" s="5">
        <f>43147353.792*(0.0324/0.032)</f>
        <v>43686695.714400001</v>
      </c>
      <c r="E2" s="5">
        <f>7266430.56*(0.0324/0.032)</f>
        <v>7357260.9419999989</v>
      </c>
      <c r="F2" s="5">
        <f>2030251.008*(0.0324/0.032)</f>
        <v>2055629.1455999999</v>
      </c>
      <c r="G2" s="5">
        <f>1712796.736*(0.0324/0.032)</f>
        <v>1734206.6952</v>
      </c>
      <c r="H2" s="5">
        <f>317454.272*(0.0324/0.032)</f>
        <v>321422.45039999997</v>
      </c>
      <c r="I2" s="5">
        <f>5224390.656*(0.0324/0.032)</f>
        <v>5289695.5392000005</v>
      </c>
      <c r="J2" s="5">
        <f>11788.896*(0.0324/0.032)</f>
        <v>11936.2572</v>
      </c>
      <c r="K2" s="5">
        <f>36563598.112*(0.0324/0.032)</f>
        <v>37020643.088399999</v>
      </c>
      <c r="L2" s="5">
        <f>35880923.232*(0.0324/0.032)</f>
        <v>36329434.772399999</v>
      </c>
      <c r="M2" s="5">
        <f>375999.488*(0.0324/0.032)</f>
        <v>380699.4816</v>
      </c>
      <c r="N2" s="5">
        <f>4073286.496*(0.0324/0.032)</f>
        <v>4124202.5771999997</v>
      </c>
      <c r="O2" s="5">
        <f>36614102.976*(0.0324/0.032)</f>
        <v>37071779.2632</v>
      </c>
      <c r="P2" s="5">
        <f>32528967.968*(0.0324/0.032)</f>
        <v>32935580.067599997</v>
      </c>
      <c r="Q2" s="5">
        <f>6.27232*(0.0324/0.032)</f>
        <v>6.3507239999999996</v>
      </c>
      <c r="R2" s="5">
        <f>6.27232*(0.0324/0.032)</f>
        <v>6.3507239999999996</v>
      </c>
      <c r="S2" s="5">
        <f>165954.432*(0.0324/0.032)</f>
        <v>168028.86239999998</v>
      </c>
      <c r="T2" s="5">
        <f>165954.432*(0.0324/0.032)</f>
        <v>168028.86239999998</v>
      </c>
      <c r="U2" s="5">
        <f>0.0192*(0.0324/0.032)</f>
        <v>1.9439999999999999E-2</v>
      </c>
      <c r="V2" s="5">
        <f>0.0224*(0.0324/0.032)</f>
        <v>2.2679999999999999E-2</v>
      </c>
      <c r="W2" s="5">
        <f>0.0144*(0.0324/0.032)</f>
        <v>1.4579999999999999E-2</v>
      </c>
      <c r="X2" s="5">
        <f>50872772.96*(0.0324/0.032)</f>
        <v>51508682.622000001</v>
      </c>
      <c r="Y2" s="5">
        <f>0.01632*(0.0324/0.032)</f>
        <v>1.6524E-2</v>
      </c>
    </row>
    <row r="3" spans="1:25" x14ac:dyDescent="0.35">
      <c r="A3" s="1">
        <v>2021</v>
      </c>
      <c r="B3" s="5">
        <f>50797281.184*(0.0324/0.032)</f>
        <v>51432247.198799998</v>
      </c>
      <c r="C3" s="5">
        <f>24572088.672*(0.0324/0.032)</f>
        <v>24879239.780399997</v>
      </c>
      <c r="D3" s="5">
        <f>26225192.512*(0.0324/0.032)</f>
        <v>26553007.418399997</v>
      </c>
      <c r="E3" s="5">
        <f>5415133.888*(0.0324/0.032)</f>
        <v>5482823.0615999997</v>
      </c>
      <c r="F3" s="5">
        <f>1423622.4*(0.0324/0.032)</f>
        <v>1441417.68</v>
      </c>
      <c r="G3" s="5">
        <f>1181747.2*(0.0324/0.032)</f>
        <v>1196519.0399999998</v>
      </c>
      <c r="H3" s="5">
        <f>241874.912*(0.0324/0.032)</f>
        <v>244898.34839999999</v>
      </c>
      <c r="I3" s="5">
        <f>3991512.16*(0.0324/0.032)</f>
        <v>4041406.0619999999</v>
      </c>
      <c r="J3" s="5">
        <f>0.672*(0.0324/0.032)</f>
        <v>0.6804</v>
      </c>
      <c r="K3" s="5">
        <f>29987222.56*(0.0324/0.032)</f>
        <v>30362062.841999996</v>
      </c>
      <c r="L3" s="5">
        <f>20799388.704*(0.0324/0.032)</f>
        <v>21059381.062799998</v>
      </c>
      <c r="M3" s="5">
        <f>173254.976*(0.0324/0.032)</f>
        <v>175420.66319999998</v>
      </c>
      <c r="N3" s="5">
        <f>2113701.76*(0.0324/0.032)</f>
        <v>2140123.0319999997</v>
      </c>
      <c r="O3" s="5">
        <f>21220042.048*(0.0324/0.032)</f>
        <v>21485292.573599998</v>
      </c>
      <c r="P3" s="5">
        <f>18845377.888*(0.0324/0.032)</f>
        <v>19080945.1116</v>
      </c>
      <c r="Q3" s="5">
        <f>3.6544*(0.0324/0.032)</f>
        <v>3.7000799999999998</v>
      </c>
      <c r="R3" s="5">
        <f>3.6544*(0.0324/0.032)</f>
        <v>3.7000799999999998</v>
      </c>
      <c r="S3" s="5">
        <f>165953.92*(0.0324/0.032)</f>
        <v>168028.34400000001</v>
      </c>
      <c r="T3" s="5">
        <f>165953.92*(0.0324/0.032)</f>
        <v>168028.34400000001</v>
      </c>
      <c r="U3" s="5">
        <f>0.01664*(0.0324/0.032)</f>
        <v>1.6847999999999998E-2</v>
      </c>
      <c r="V3" s="5">
        <f>0.02208*(0.0324/0.032)</f>
        <v>2.2355999999999997E-2</v>
      </c>
      <c r="W3" s="5">
        <f>0.01184*(0.0324/0.032)</f>
        <v>1.1987999999999999E-2</v>
      </c>
      <c r="X3" s="5">
        <f>34909932.832*(0.0324/0.032)</f>
        <v>35346306.992399998</v>
      </c>
      <c r="Y3" s="5">
        <f>0.01344*(0.0324/0.032)</f>
        <v>1.3608E-2</v>
      </c>
    </row>
    <row r="4" spans="1:25" x14ac:dyDescent="0.35">
      <c r="A4" s="1">
        <v>2020</v>
      </c>
      <c r="B4" s="5">
        <f>42855629.728*(0.0324/0.032)</f>
        <v>43391325.099599995</v>
      </c>
      <c r="C4" s="5">
        <f>20099465.888*(0.0324/0.032)</f>
        <v>20350709.211599998</v>
      </c>
      <c r="D4" s="5">
        <f>22756163.84*(0.0324/0.032)</f>
        <v>23040615.888</v>
      </c>
      <c r="E4" s="5">
        <f>4619085.504*(0.0324/0.032)</f>
        <v>4676824.0727999993</v>
      </c>
      <c r="F4" s="5">
        <f>1138254.72*(0.0324/0.032)</f>
        <v>1152482.9039999999</v>
      </c>
      <c r="G4" s="5">
        <f>910642.976*(0.0324/0.032)</f>
        <v>922026.01319999993</v>
      </c>
      <c r="H4" s="5">
        <f>227611.744*(0.0324/0.032)</f>
        <v>230456.89079999999</v>
      </c>
      <c r="I4" s="5">
        <f>3503554.848*(0.0324/0.032)</f>
        <v>3547349.2836000002</v>
      </c>
      <c r="J4" s="5">
        <f>22724.064*(0.0324/0.032)</f>
        <v>23008.114799999996</v>
      </c>
      <c r="K4" s="5">
        <f>24718551.392*(0.0324/0.032)</f>
        <v>25027533.284400001</v>
      </c>
      <c r="L4" s="5">
        <f>18137078.336*(0.0324/0.032)</f>
        <v>18363791.815199997</v>
      </c>
      <c r="M4" s="5">
        <f>66606.56*(0.0324/0.032)</f>
        <v>67439.141999999993</v>
      </c>
      <c r="N4" s="5">
        <f>2131811.136*(0.0324/0.032)</f>
        <v>2158458.7752</v>
      </c>
      <c r="O4" s="5">
        <f>18712869.76*(0.0324/0.032)</f>
        <v>18946780.631999999</v>
      </c>
      <c r="P4" s="5">
        <f>16572332.384*(0.0324/0.032)</f>
        <v>16779486.538799997</v>
      </c>
      <c r="Q4" s="5">
        <f>3.1952*(0.0324/0.032)</f>
        <v>3.2351399999999995</v>
      </c>
      <c r="R4" s="5">
        <f>3.1952*(0.0324/0.032)</f>
        <v>3.2351399999999995</v>
      </c>
      <c r="S4" s="5">
        <f>165954.432*(0.0324/0.032)</f>
        <v>168028.86239999998</v>
      </c>
      <c r="T4" s="5">
        <f>165954.432*(0.0324/0.032)</f>
        <v>168028.86239999998</v>
      </c>
      <c r="U4" s="5">
        <f>0.01696*(0.0324/0.032)</f>
        <v>1.7172E-2</v>
      </c>
      <c r="V4" s="5">
        <f>0.02176*(0.0324/0.032)</f>
        <v>2.2032E-2</v>
      </c>
      <c r="W4" s="5">
        <f>0.01248*(0.0324/0.032)</f>
        <v>1.2636E-2</v>
      </c>
      <c r="X4" s="5">
        <f>29190604.32*(0.0324/0.032)</f>
        <v>29555486.873999998</v>
      </c>
      <c r="Y4" s="5">
        <f>0.01408*(0.0324/0.032)</f>
        <v>1.4256E-2</v>
      </c>
    </row>
    <row r="5" spans="1:25" x14ac:dyDescent="0.35">
      <c r="A5" s="1">
        <v>2019</v>
      </c>
      <c r="B5" s="5">
        <f>34239642.976*(0.0324/0.032)</f>
        <v>34667638.5132</v>
      </c>
      <c r="C5" s="5">
        <f>18473182.304*(0.0324/0.032)</f>
        <v>18704097.082800001</v>
      </c>
      <c r="D5" s="5">
        <f>15766460.672*(0.0324/0.032)</f>
        <v>15963541.430399999</v>
      </c>
      <c r="E5" s="5">
        <f>3819271.2*(0.0324/0.032)</f>
        <v>3867012.09</v>
      </c>
      <c r="F5" s="5">
        <f>898746.752*(0.0324/0.032)</f>
        <v>909981.08639999991</v>
      </c>
      <c r="G5" s="5">
        <f>695590.72*(0.0324/0.032)</f>
        <v>704285.60399999993</v>
      </c>
      <c r="H5" s="5">
        <f>203156.032*(0.0324/0.032)</f>
        <v>205695.48240000001</v>
      </c>
      <c r="I5" s="5">
        <f>2925399.872*(0.0324/0.032)</f>
        <v>2961967.3703999999</v>
      </c>
      <c r="J5" s="5">
        <f>4875.424*(0.0324/0.032)</f>
        <v>4936.3667999999998</v>
      </c>
      <c r="K5" s="5">
        <f>22292453.504*(0.0324/0.032)</f>
        <v>22571109.172800001</v>
      </c>
      <c r="L5" s="5">
        <f>11926434.88*(0.0324/0.032)</f>
        <v>12075515.316</v>
      </c>
      <c r="M5" s="5">
        <f>104027.104*(0.0324/0.032)</f>
        <v>105327.4428</v>
      </c>
      <c r="N5" s="5">
        <f>1424048.864*(0.0324/0.032)</f>
        <v>1441849.4748</v>
      </c>
      <c r="O5" s="5">
        <f>12475050.752*(0.0324/0.032)</f>
        <v>12630988.886399999</v>
      </c>
      <c r="P5" s="5">
        <f>11048437.376*(0.0324/0.032)</f>
        <v>11186542.8432</v>
      </c>
      <c r="Q5" s="5">
        <f>2.1312*(0.0324/0.032)</f>
        <v>2.1578400000000002</v>
      </c>
      <c r="R5" s="5">
        <f>2.1312*(0.0324/0.032)</f>
        <v>2.1578400000000002</v>
      </c>
      <c r="S5" s="5">
        <f>165954.432*(0.0324/0.032)</f>
        <v>168028.86239999998</v>
      </c>
      <c r="T5" s="5">
        <f>165954.432*(0.0324/0.032)</f>
        <v>168028.86239999998</v>
      </c>
      <c r="U5" s="5">
        <f>0.01472*(0.0324/0.032)</f>
        <v>1.4904000000000001E-2</v>
      </c>
      <c r="V5" s="5">
        <f>0.02048*(0.0324/0.032)</f>
        <v>2.0736000000000001E-2</v>
      </c>
      <c r="W5" s="5">
        <f>0.01024*(0.0324/0.032)</f>
        <v>1.0368E-2</v>
      </c>
      <c r="X5" s="5">
        <f>21757842.496*(0.0324/0.032)</f>
        <v>22029815.527199998</v>
      </c>
      <c r="Y5" s="5">
        <f>0.01152*(0.0324/0.032)</f>
        <v>1.1664000000000001E-2</v>
      </c>
    </row>
    <row r="6" spans="1:25" x14ac:dyDescent="0.35">
      <c r="A6" s="1">
        <v>2018</v>
      </c>
      <c r="B6" s="5">
        <f>33003576.608*(0.0324/0.032)</f>
        <v>33416121.315599997</v>
      </c>
      <c r="C6" s="5">
        <f>17071600.512*(0.0324/0.032)</f>
        <v>17284995.518399999</v>
      </c>
      <c r="D6" s="5">
        <f>15931976.096*(0.0324/0.032)</f>
        <v>16131125.7972</v>
      </c>
      <c r="E6" s="5">
        <f>3610291.744*(0.0324/0.032)</f>
        <v>3655420.3907999997</v>
      </c>
      <c r="F6" s="5">
        <f>840118.4*(0.0324/0.032)</f>
        <v>850619.88</v>
      </c>
      <c r="G6" s="5">
        <f>648508.8*(0.0324/0.032)</f>
        <v>656615.16</v>
      </c>
      <c r="H6" s="5">
        <f>191609.6*(0.0324/0.032)</f>
        <v>194004.72</v>
      </c>
      <c r="I6" s="5">
        <f>2748659.2*(0.0324/0.032)</f>
        <v>2783017.44</v>
      </c>
      <c r="J6" s="5">
        <f>21514.144*(0.0324/0.032)</f>
        <v>21783.070799999998</v>
      </c>
      <c r="K6" s="5">
        <f>20681894.4*(0.0324/0.032)</f>
        <v>20940418.079999998</v>
      </c>
      <c r="L6" s="5">
        <f>12275952.768*(0.0324/0.032)</f>
        <v>12429402.177599998</v>
      </c>
      <c r="M6" s="5">
        <f>97635.2*(0.0324/0.032)</f>
        <v>98855.64</v>
      </c>
      <c r="N6" s="5">
        <f>1101980.8*(0.0324/0.032)</f>
        <v>1115755.56</v>
      </c>
      <c r="O6" s="5">
        <f>12721379.2*(0.0324/0.032)</f>
        <v>12880396.439999999</v>
      </c>
      <c r="P6" s="5">
        <f>11236188.288*(0.0324/0.032)</f>
        <v>11376640.6416</v>
      </c>
      <c r="Q6" s="5">
        <f>2.1664*(0.0324/0.032)</f>
        <v>2.1934799999999997</v>
      </c>
      <c r="R6" s="5">
        <f>2.1664*(0.0324/0.032)</f>
        <v>2.1934799999999997</v>
      </c>
      <c r="S6" s="5">
        <f>165954.432*(0.0324/0.032)</f>
        <v>168028.86239999998</v>
      </c>
      <c r="T6" s="5">
        <f>165954.432*(0.0324/0.032)</f>
        <v>168028.86239999998</v>
      </c>
      <c r="U6" s="5">
        <f>0.01536*(0.0324/0.032)</f>
        <v>1.5552E-2</v>
      </c>
      <c r="V6" s="5">
        <f>0.02144*(0.0324/0.032)</f>
        <v>2.1707999999999998E-2</v>
      </c>
      <c r="W6" s="5">
        <f>0.01088*(0.0324/0.032)</f>
        <v>1.1016E-2</v>
      </c>
      <c r="X6" s="5">
        <f>22248188.8*(0.0324/0.032)</f>
        <v>22526291.16</v>
      </c>
      <c r="Y6" s="5">
        <f>0.01248*(0.0324/0.032)</f>
        <v>1.2636E-2</v>
      </c>
    </row>
    <row r="7" spans="1:25" x14ac:dyDescent="0.35">
      <c r="Q7">
        <f>0.0324/0.032</f>
        <v>1.0125</v>
      </c>
      <c r="U7" s="4"/>
    </row>
    <row r="9" spans="1:25" x14ac:dyDescent="0.35">
      <c r="B9" s="3"/>
      <c r="C9" s="3"/>
      <c r="D9" s="3"/>
      <c r="E9" s="3"/>
    </row>
    <row r="10" spans="1:25" x14ac:dyDescent="0.35">
      <c r="B10" s="3"/>
      <c r="C10" s="3"/>
      <c r="D10" s="3"/>
      <c r="E10" s="3"/>
    </row>
    <row r="11" spans="1:25" x14ac:dyDescent="0.35">
      <c r="B11" s="3"/>
      <c r="C11" s="3"/>
      <c r="D11" s="3"/>
      <c r="E11" s="3"/>
    </row>
    <row r="12" spans="1:25" x14ac:dyDescent="0.35">
      <c r="B12" s="3"/>
      <c r="C12" s="3"/>
      <c r="D12" s="3"/>
      <c r="E12" s="3"/>
    </row>
    <row r="13" spans="1:25" x14ac:dyDescent="0.35">
      <c r="B13" s="3"/>
      <c r="C13" s="3"/>
      <c r="D13" s="3"/>
      <c r="E13" s="3"/>
    </row>
    <row r="14" spans="1:25" x14ac:dyDescent="0.35">
      <c r="B14" s="3"/>
      <c r="C14" s="3"/>
      <c r="D14" s="3"/>
      <c r="E14" s="3"/>
    </row>
    <row r="15" spans="1:25" x14ac:dyDescent="0.35">
      <c r="B15" s="3"/>
      <c r="C15" s="3"/>
      <c r="D15" s="3"/>
      <c r="E15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"/>
  <sheetViews>
    <sheetView workbookViewId="0">
      <selection activeCell="F1" sqref="A1:XFD1048576"/>
    </sheetView>
  </sheetViews>
  <sheetFormatPr defaultRowHeight="14.5" x14ac:dyDescent="0.35"/>
  <cols>
    <col min="1" max="1" width="4.81640625" bestFit="1" customWidth="1"/>
    <col min="2" max="2" width="12.26953125" bestFit="1" customWidth="1"/>
    <col min="3" max="3" width="17.7265625" bestFit="1" customWidth="1"/>
    <col min="4" max="4" width="29.26953125" bestFit="1" customWidth="1"/>
    <col min="5" max="5" width="22.90625" bestFit="1" customWidth="1"/>
    <col min="6" max="6" width="20.90625" bestFit="1" customWidth="1"/>
    <col min="7" max="7" width="10.453125" bestFit="1" customWidth="1"/>
    <col min="8" max="8" width="10.26953125" bestFit="1" customWidth="1"/>
    <col min="9" max="9" width="18.36328125" bestFit="1" customWidth="1"/>
    <col min="10" max="10" width="21.81640625" bestFit="1" customWidth="1"/>
    <col min="11" max="11" width="28.1796875" bestFit="1" customWidth="1"/>
    <col min="12" max="12" width="26.6328125" bestFit="1" customWidth="1"/>
    <col min="13" max="13" width="8.81640625" bestFit="1" customWidth="1"/>
    <col min="14" max="14" width="14.90625" bestFit="1" customWidth="1"/>
    <col min="15" max="15" width="20.36328125" bestFit="1" customWidth="1"/>
    <col min="16" max="16" width="22.453125" bestFit="1" customWidth="1"/>
    <col min="17" max="17" width="12.7265625" bestFit="1" customWidth="1"/>
    <col min="18" max="18" width="19.453125" bestFit="1" customWidth="1"/>
    <col min="19" max="19" width="10.26953125" bestFit="1" customWidth="1"/>
    <col min="20" max="20" width="14.453125" bestFit="1" customWidth="1"/>
    <col min="21" max="21" width="15.6328125" bestFit="1" customWidth="1"/>
    <col min="22" max="22" width="20.7265625" bestFit="1" customWidth="1"/>
    <col min="23" max="23" width="23.81640625" bestFit="1" customWidth="1"/>
    <col min="24" max="24" width="13.90625" bestFit="1" customWidth="1"/>
    <col min="25" max="25" width="24.81640625" bestFit="1" customWidth="1"/>
    <col min="26" max="26" width="22.26953125" bestFit="1" customWidth="1"/>
    <col min="27" max="27" width="13.36328125" bestFit="1" customWidth="1"/>
    <col min="28" max="28" width="15.81640625" bestFit="1" customWidth="1"/>
    <col min="29" max="29" width="41.7265625" bestFit="1" customWidth="1"/>
    <col min="30" max="30" width="22.6328125" bestFit="1" customWidth="1"/>
    <col min="31" max="31" width="11.26953125" bestFit="1" customWidth="1"/>
    <col min="32" max="32" width="15.7265625" bestFit="1" customWidth="1"/>
    <col min="33" max="33" width="11.269531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91</v>
      </c>
      <c r="X1" t="s">
        <v>20</v>
      </c>
      <c r="Y1" t="s">
        <v>92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</row>
    <row r="2" spans="1:33" x14ac:dyDescent="0.35">
      <c r="A2" s="1">
        <v>2022</v>
      </c>
      <c r="B2" s="2">
        <v>160858835.64720002</v>
      </c>
      <c r="C2" s="2">
        <v>66513854.505599998</v>
      </c>
      <c r="D2" s="2">
        <v>51402604.049999997</v>
      </c>
      <c r="E2" s="2">
        <v>43507176.2892</v>
      </c>
      <c r="F2" s="2">
        <v>7895427.7608000003</v>
      </c>
      <c r="G2" s="2">
        <v>7497645.7680000002</v>
      </c>
      <c r="H2" s="2">
        <v>7165232.3952000001</v>
      </c>
      <c r="I2" s="2">
        <v>417596.34239999996</v>
      </c>
      <c r="J2" s="2">
        <v>94344981.141599998</v>
      </c>
      <c r="K2" s="2">
        <v>88638335.834399998</v>
      </c>
      <c r="L2" s="2">
        <v>842372.62199999997</v>
      </c>
      <c r="M2" s="2">
        <v>842372.62199999997</v>
      </c>
      <c r="N2" s="2">
        <v>654717.62159999995</v>
      </c>
      <c r="O2" s="2">
        <v>2233264.608</v>
      </c>
      <c r="P2" s="2">
        <v>389386.79639999999</v>
      </c>
      <c r="Q2" s="2">
        <v>64938996.356399998</v>
      </c>
      <c r="R2" s="2">
        <v>30592948.8708</v>
      </c>
      <c r="S2" s="2">
        <v>8695490.0003999993</v>
      </c>
      <c r="T2" s="2">
        <v>625770.00359999994</v>
      </c>
      <c r="U2" s="2">
        <v>0</v>
      </c>
      <c r="V2" s="2">
        <v>21271688.866799999</v>
      </c>
      <c r="W2" s="2">
        <v>34346047.485600002</v>
      </c>
      <c r="X2" s="2">
        <v>28151082.889199998</v>
      </c>
      <c r="Y2" s="2">
        <v>6161547.7872000001</v>
      </c>
      <c r="Z2" s="2">
        <v>95439163.517999992</v>
      </c>
      <c r="AA2" s="2">
        <v>8401443.2819999997</v>
      </c>
      <c r="AB2" s="2">
        <v>85455799.891200006</v>
      </c>
      <c r="AC2" s="2">
        <v>0</v>
      </c>
      <c r="AD2" s="2">
        <v>1581920.3447999998</v>
      </c>
      <c r="AE2" s="2">
        <v>28776852.8928</v>
      </c>
      <c r="AF2" s="2">
        <v>10128692.368799999</v>
      </c>
      <c r="AG2" s="2">
        <v>14730323.396400001</v>
      </c>
    </row>
    <row r="3" spans="1:33" x14ac:dyDescent="0.35">
      <c r="A3" s="1">
        <v>2021</v>
      </c>
      <c r="B3" s="2">
        <v>120706311.942</v>
      </c>
      <c r="C3" s="2">
        <v>52069162.186800003</v>
      </c>
      <c r="D3" s="2">
        <v>39044354.6052</v>
      </c>
      <c r="E3" s="2">
        <v>34505682.220799997</v>
      </c>
      <c r="F3" s="2">
        <v>4538672.3843999999</v>
      </c>
      <c r="G3" s="2">
        <v>6426960.0335999997</v>
      </c>
      <c r="H3" s="2">
        <v>6256515.2003999995</v>
      </c>
      <c r="I3" s="2">
        <v>340895.98439999996</v>
      </c>
      <c r="J3" s="2">
        <v>68637149.755199999</v>
      </c>
      <c r="K3" s="2">
        <v>65054445.008400001</v>
      </c>
      <c r="L3" s="2">
        <v>869022.9828</v>
      </c>
      <c r="M3" s="2">
        <v>869022.9828</v>
      </c>
      <c r="N3" s="2">
        <v>694738.06919999991</v>
      </c>
      <c r="O3" s="2">
        <v>952064.31239999994</v>
      </c>
      <c r="P3" s="2">
        <v>169031.54519999999</v>
      </c>
      <c r="Q3" s="2">
        <v>50374556.100000001</v>
      </c>
      <c r="R3" s="2">
        <v>23959908.799199998</v>
      </c>
      <c r="S3" s="2">
        <v>6254099.1324000005</v>
      </c>
      <c r="T3" s="2">
        <v>3723451.1891999999</v>
      </c>
      <c r="U3" s="2">
        <v>0</v>
      </c>
      <c r="V3" s="2">
        <v>13982358.477600001</v>
      </c>
      <c r="W3" s="2">
        <v>26414647.300799999</v>
      </c>
      <c r="X3" s="2">
        <v>20546265.502799999</v>
      </c>
      <c r="Y3" s="2">
        <v>5807668.1831999999</v>
      </c>
      <c r="Z3" s="2">
        <v>70252484.31719999</v>
      </c>
      <c r="AA3" s="2">
        <v>8401443.2819999997</v>
      </c>
      <c r="AB3" s="2">
        <v>61781281.016400002</v>
      </c>
      <c r="AC3" s="2">
        <v>12002612.4</v>
      </c>
      <c r="AD3" s="2">
        <v>11932852.381199999</v>
      </c>
      <c r="AE3" s="2">
        <v>24269716.691999998</v>
      </c>
      <c r="AF3" s="2">
        <v>5479066.7999999998</v>
      </c>
      <c r="AG3" s="2">
        <v>10235965.5288</v>
      </c>
    </row>
    <row r="4" spans="1:33" x14ac:dyDescent="0.35">
      <c r="A4" s="1">
        <v>2020</v>
      </c>
      <c r="B4" s="2">
        <v>89447049.522</v>
      </c>
      <c r="C4" s="2">
        <v>35386803.979199998</v>
      </c>
      <c r="D4" s="2">
        <v>25989744.726</v>
      </c>
      <c r="E4" s="2">
        <v>21389528.9628</v>
      </c>
      <c r="F4" s="2">
        <v>4600215.7631999999</v>
      </c>
      <c r="G4" s="2">
        <v>4733285.1551999999</v>
      </c>
      <c r="H4" s="2">
        <v>4450250.3868000004</v>
      </c>
      <c r="I4" s="2">
        <v>213522.18839999998</v>
      </c>
      <c r="J4" s="2">
        <v>54060245.542800002</v>
      </c>
      <c r="K4" s="2">
        <v>51299487.064800002</v>
      </c>
      <c r="L4" s="2">
        <v>834888.99959999998</v>
      </c>
      <c r="M4" s="2">
        <v>834888.99959999998</v>
      </c>
      <c r="N4" s="2">
        <v>658743.09479999996</v>
      </c>
      <c r="O4" s="2">
        <v>898393.93920000002</v>
      </c>
      <c r="P4" s="2">
        <v>186430.37760000001</v>
      </c>
      <c r="Q4" s="2">
        <v>29486896.7544</v>
      </c>
      <c r="R4" s="2">
        <v>19995693.955200002</v>
      </c>
      <c r="S4" s="2">
        <v>6376068.7379999999</v>
      </c>
      <c r="T4" s="2">
        <v>2869312.4423999996</v>
      </c>
      <c r="U4" s="2">
        <v>10662985.151999999</v>
      </c>
      <c r="V4" s="2">
        <v>10750312.774799999</v>
      </c>
      <c r="W4" s="2">
        <v>9491202.7992000002</v>
      </c>
      <c r="X4" s="2">
        <v>8962920.3455999997</v>
      </c>
      <c r="Y4" s="2">
        <v>463626.95759999997</v>
      </c>
      <c r="Z4" s="2">
        <v>59928895.094399996</v>
      </c>
      <c r="AA4" s="2">
        <v>8401443.2819999997</v>
      </c>
      <c r="AB4" s="2">
        <v>51473429.024399996</v>
      </c>
      <c r="AC4" s="2">
        <v>0</v>
      </c>
      <c r="AD4" s="2">
        <v>54022.788</v>
      </c>
      <c r="AE4" s="2">
        <v>11832232.787999999</v>
      </c>
      <c r="AF4" s="2">
        <v>5498609.7023999998</v>
      </c>
      <c r="AG4" s="2">
        <v>9557296.1747999992</v>
      </c>
    </row>
    <row r="5" spans="1:33" x14ac:dyDescent="0.35">
      <c r="A5" s="1">
        <v>2019</v>
      </c>
      <c r="B5" s="2">
        <v>73379683.036799997</v>
      </c>
      <c r="C5" s="2">
        <v>26652690.8136</v>
      </c>
      <c r="D5" s="2">
        <v>19260624.754799999</v>
      </c>
      <c r="E5" s="2">
        <v>14754938.486399999</v>
      </c>
      <c r="F5" s="2">
        <v>4505686.2683999995</v>
      </c>
      <c r="G5" s="2">
        <v>4530242.9088000003</v>
      </c>
      <c r="H5" s="2">
        <v>2688590.7503999998</v>
      </c>
      <c r="I5" s="2">
        <v>172393.758</v>
      </c>
      <c r="J5" s="2">
        <v>46726992.223200001</v>
      </c>
      <c r="K5" s="2">
        <v>44375357.746799998</v>
      </c>
      <c r="L5" s="2">
        <v>669158.10720000009</v>
      </c>
      <c r="M5" s="2">
        <v>669158.10720000009</v>
      </c>
      <c r="N5" s="2">
        <v>484692.72479999997</v>
      </c>
      <c r="O5" s="2">
        <v>977574.06359999999</v>
      </c>
      <c r="P5" s="2">
        <v>124023.5064</v>
      </c>
      <c r="Q5" s="2">
        <v>20823791.2344</v>
      </c>
      <c r="R5" s="2">
        <v>19139836.712400001</v>
      </c>
      <c r="S5" s="2">
        <v>5818449.3155999994</v>
      </c>
      <c r="T5" s="2">
        <v>3840122.196</v>
      </c>
      <c r="U5" s="2">
        <v>8419058.8379999995</v>
      </c>
      <c r="V5" s="2">
        <v>9481265.2007999998</v>
      </c>
      <c r="W5" s="2">
        <v>1683954.5219999999</v>
      </c>
      <c r="X5" s="2">
        <v>1300595.3891999999</v>
      </c>
      <c r="Y5" s="2">
        <v>366469.11</v>
      </c>
      <c r="Z5" s="2">
        <v>52533688.0176</v>
      </c>
      <c r="AA5" s="2">
        <v>8401443.2819999997</v>
      </c>
      <c r="AB5" s="2">
        <v>43200053.319600001</v>
      </c>
      <c r="AC5" s="2">
        <v>10427032.799999999</v>
      </c>
      <c r="AD5" s="2">
        <v>9494841.3840000015</v>
      </c>
      <c r="AE5" s="2">
        <v>5140717.5851999996</v>
      </c>
      <c r="AF5" s="2">
        <v>5483260.3319999995</v>
      </c>
      <c r="AG5" s="2">
        <v>9614220.9011999983</v>
      </c>
    </row>
    <row r="6" spans="1:33" x14ac:dyDescent="0.35">
      <c r="A6" s="1">
        <v>2018</v>
      </c>
      <c r="B6" s="2">
        <v>67720148.431199998</v>
      </c>
      <c r="C6" s="2">
        <v>30834422.9604</v>
      </c>
      <c r="D6" s="2">
        <v>23125694.205600001</v>
      </c>
      <c r="E6" s="2">
        <v>18721193.0724</v>
      </c>
      <c r="F6" s="2">
        <v>4404501.1332</v>
      </c>
      <c r="G6" s="2">
        <v>4188115.7244000002</v>
      </c>
      <c r="H6" s="2">
        <v>3344683.6223999998</v>
      </c>
      <c r="I6" s="2">
        <v>175168.10519999999</v>
      </c>
      <c r="J6" s="2">
        <v>36885725.470799997</v>
      </c>
      <c r="K6" s="2">
        <v>34734429.0396</v>
      </c>
      <c r="L6" s="2">
        <v>550869.23879999993</v>
      </c>
      <c r="M6" s="2">
        <v>550869.23879999993</v>
      </c>
      <c r="N6" s="2">
        <v>363095.42759999994</v>
      </c>
      <c r="O6" s="2">
        <v>949475.39040000003</v>
      </c>
      <c r="P6" s="2">
        <v>106424.86319999999</v>
      </c>
      <c r="Q6" s="2">
        <v>13369265.2008</v>
      </c>
      <c r="R6" s="2">
        <v>11033579.7864</v>
      </c>
      <c r="S6" s="2">
        <v>2466112.7807999998</v>
      </c>
      <c r="T6" s="2">
        <v>2875650.3359999997</v>
      </c>
      <c r="U6" s="2">
        <v>0</v>
      </c>
      <c r="V6" s="2">
        <v>5691816.6695999997</v>
      </c>
      <c r="W6" s="2">
        <v>2335685.4143999997</v>
      </c>
      <c r="X6" s="2">
        <v>1843560</v>
      </c>
      <c r="Y6" s="2">
        <v>3006077.7024000003</v>
      </c>
      <c r="Z6" s="2">
        <v>54328892.346000001</v>
      </c>
      <c r="AA6" s="2">
        <v>8401443.2819999997</v>
      </c>
      <c r="AB6" s="2">
        <v>44603390.0484</v>
      </c>
      <c r="AC6" s="2">
        <v>0</v>
      </c>
      <c r="AD6" s="2">
        <v>1324059.0156</v>
      </c>
      <c r="AE6" s="2">
        <v>4719210.3360000001</v>
      </c>
      <c r="AF6" s="2">
        <v>5350840.5599999996</v>
      </c>
      <c r="AG6" s="2">
        <v>14001982.736399999</v>
      </c>
    </row>
    <row r="11" spans="1:33" x14ac:dyDescent="0.35">
      <c r="B11" s="2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9C2C-7FBC-4024-A34D-9546E304F53B}">
  <dimension ref="A1:AO9"/>
  <sheetViews>
    <sheetView tabSelected="1" workbookViewId="0">
      <selection activeCell="F1" sqref="A1:XFD1048576"/>
    </sheetView>
  </sheetViews>
  <sheetFormatPr defaultRowHeight="14.5" x14ac:dyDescent="0.35"/>
  <cols>
    <col min="1" max="1" width="4.81640625" bestFit="1" customWidth="1"/>
    <col min="2" max="2" width="18.08984375" bestFit="1" customWidth="1"/>
    <col min="3" max="3" width="11.26953125" bestFit="1" customWidth="1"/>
    <col min="4" max="4" width="24.81640625" bestFit="1" customWidth="1"/>
    <col min="5" max="5" width="19.81640625" bestFit="1" customWidth="1"/>
    <col min="6" max="6" width="23.7265625" bestFit="1" customWidth="1"/>
    <col min="7" max="7" width="22.26953125" bestFit="1" customWidth="1"/>
    <col min="8" max="8" width="19.26953125" bestFit="1" customWidth="1"/>
    <col min="9" max="9" width="17.26953125" bestFit="1" customWidth="1"/>
    <col min="10" max="10" width="16.54296875" bestFit="1" customWidth="1"/>
    <col min="11" max="11" width="10.81640625" bestFit="1" customWidth="1"/>
    <col min="12" max="12" width="19.26953125" bestFit="1" customWidth="1"/>
    <col min="13" max="13" width="27.453125" bestFit="1" customWidth="1"/>
    <col min="14" max="14" width="21.1796875" bestFit="1" customWidth="1"/>
    <col min="15" max="15" width="17.6328125" bestFit="1" customWidth="1"/>
    <col min="16" max="16" width="14.453125" bestFit="1" customWidth="1"/>
    <col min="17" max="17" width="17.81640625" bestFit="1" customWidth="1"/>
    <col min="18" max="18" width="24.81640625" bestFit="1" customWidth="1"/>
    <col min="19" max="19" width="21.54296875" bestFit="1" customWidth="1"/>
    <col min="20" max="20" width="18.26953125" bestFit="1" customWidth="1"/>
    <col min="21" max="21" width="16.26953125" bestFit="1" customWidth="1"/>
    <col min="22" max="22" width="10.26953125" bestFit="1" customWidth="1"/>
    <col min="23" max="23" width="18.81640625" bestFit="1" customWidth="1"/>
    <col min="24" max="24" width="23.81640625" bestFit="1" customWidth="1"/>
    <col min="25" max="25" width="18.81640625" bestFit="1" customWidth="1"/>
    <col min="26" max="26" width="17.26953125" bestFit="1" customWidth="1"/>
    <col min="27" max="27" width="26.90625" bestFit="1" customWidth="1"/>
    <col min="28" max="28" width="26.453125" bestFit="1" customWidth="1"/>
    <col min="29" max="29" width="13.36328125" bestFit="1" customWidth="1"/>
    <col min="30" max="30" width="29.08984375" bestFit="1" customWidth="1"/>
    <col min="31" max="31" width="10.36328125" bestFit="1" customWidth="1"/>
    <col min="32" max="32" width="13.90625" bestFit="1" customWidth="1"/>
    <col min="33" max="33" width="12.1796875" bestFit="1" customWidth="1"/>
    <col min="34" max="34" width="15.81640625" bestFit="1" customWidth="1"/>
    <col min="35" max="35" width="9" bestFit="1" customWidth="1"/>
    <col min="36" max="36" width="18" bestFit="1" customWidth="1"/>
    <col min="37" max="37" width="17.26953125" bestFit="1" customWidth="1"/>
    <col min="38" max="38" width="7.81640625" bestFit="1" customWidth="1"/>
    <col min="39" max="39" width="34.08984375" bestFit="1" customWidth="1"/>
    <col min="40" max="40" width="13.453125" bestFit="1" customWidth="1"/>
    <col min="41" max="41" width="20.7265625" bestFit="1" customWidth="1"/>
  </cols>
  <sheetData>
    <row r="1" spans="1:41" x14ac:dyDescent="0.35">
      <c r="A1" t="s">
        <v>0</v>
      </c>
      <c r="B1" t="s">
        <v>61</v>
      </c>
      <c r="C1" t="s">
        <v>30</v>
      </c>
      <c r="D1" t="s">
        <v>62</v>
      </c>
      <c r="E1" t="s">
        <v>63</v>
      </c>
      <c r="F1" t="s">
        <v>87</v>
      </c>
      <c r="G1" t="s">
        <v>64</v>
      </c>
      <c r="H1" t="s">
        <v>88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</v>
      </c>
      <c r="W1" t="s">
        <v>78</v>
      </c>
      <c r="X1" t="s">
        <v>79</v>
      </c>
      <c r="Y1" t="s">
        <v>80</v>
      </c>
      <c r="Z1" t="s">
        <v>36</v>
      </c>
      <c r="AA1" t="s">
        <v>86</v>
      </c>
      <c r="AB1" t="s">
        <v>81</v>
      </c>
      <c r="AC1" t="s">
        <v>82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5">
      <c r="A2" s="1">
        <v>2022</v>
      </c>
      <c r="B2" s="2">
        <v>52183413.691200003</v>
      </c>
      <c r="C2" s="2">
        <v>37071779.2632</v>
      </c>
      <c r="D2" s="2">
        <v>14167038.445199998</v>
      </c>
      <c r="E2" s="2">
        <v>0</v>
      </c>
      <c r="F2" s="2">
        <v>9796.0751999999993</v>
      </c>
      <c r="G2" s="2">
        <v>3969278.6075999998</v>
      </c>
      <c r="H2" s="2">
        <v>3034478.6999999997</v>
      </c>
      <c r="I2" s="2">
        <v>38586074.814000003</v>
      </c>
      <c r="J2" s="2">
        <v>35303897.174400002</v>
      </c>
      <c r="K2" s="2">
        <v>0</v>
      </c>
      <c r="L2" s="2">
        <v>7705309.1939999992</v>
      </c>
      <c r="M2" s="2">
        <v>3530965.2515999996</v>
      </c>
      <c r="N2" s="2">
        <v>892166.30279999995</v>
      </c>
      <c r="O2" s="2">
        <v>6487906.6367999995</v>
      </c>
      <c r="P2" s="2">
        <v>3854139.9263999998</v>
      </c>
      <c r="Q2" s="2">
        <v>9241587.5939999986</v>
      </c>
      <c r="R2" s="2">
        <v>28238.738399999998</v>
      </c>
      <c r="S2" s="2">
        <v>6636059.6219999995</v>
      </c>
      <c r="T2" s="2">
        <v>1042304.76</v>
      </c>
      <c r="U2" s="2">
        <v>246049.00200000001</v>
      </c>
      <c r="V2" s="2">
        <v>908717.19479999994</v>
      </c>
      <c r="W2" s="2">
        <v>5674251.5603999998</v>
      </c>
      <c r="X2" s="2">
        <v>34505682.220799997</v>
      </c>
      <c r="Y2" s="2">
        <v>43507176.2892</v>
      </c>
      <c r="Z2" s="2">
        <v>35303897.174400002</v>
      </c>
      <c r="AA2" s="2">
        <v>1892061.828</v>
      </c>
      <c r="AB2" s="2">
        <v>9001494.0683999993</v>
      </c>
      <c r="AC2" s="2">
        <v>16879516.516800001</v>
      </c>
      <c r="AD2" s="2">
        <v>61781.291999999994</v>
      </c>
      <c r="AE2" s="2">
        <v>32935.572</v>
      </c>
      <c r="AF2" s="2">
        <v>19.472399999999997</v>
      </c>
      <c r="AG2" s="2">
        <v>9241.5815999999995</v>
      </c>
      <c r="AH2" s="2">
        <v>85455.81</v>
      </c>
      <c r="AI2" s="2">
        <v>65054.4372</v>
      </c>
      <c r="AJ2" s="2">
        <v>58887.777600000001</v>
      </c>
      <c r="AK2" s="2">
        <v>35303.882399999995</v>
      </c>
      <c r="AL2" s="2">
        <v>88638.332399999999</v>
      </c>
      <c r="AM2" s="2">
        <v>0</v>
      </c>
      <c r="AN2" s="2">
        <v>3208.1507999999999</v>
      </c>
      <c r="AO2" s="2">
        <v>187.75799999999998</v>
      </c>
    </row>
    <row r="3" spans="1:41" x14ac:dyDescent="0.35">
      <c r="A3" s="1">
        <v>2021</v>
      </c>
      <c r="B3" s="2">
        <v>36034007.392800003</v>
      </c>
      <c r="C3" s="2">
        <v>21485292.573599998</v>
      </c>
      <c r="D3" s="2">
        <v>13685593.7556</v>
      </c>
      <c r="E3" s="2">
        <v>0</v>
      </c>
      <c r="F3" s="2">
        <v>252.3312</v>
      </c>
      <c r="G3" s="2">
        <v>4291911.9755999995</v>
      </c>
      <c r="H3" s="2">
        <v>3429043.2431999999</v>
      </c>
      <c r="I3" s="2">
        <v>27098253.961199999</v>
      </c>
      <c r="J3" s="2">
        <v>27521741.271600001</v>
      </c>
      <c r="K3" s="2">
        <v>0</v>
      </c>
      <c r="L3" s="2">
        <v>8413904.6783999987</v>
      </c>
      <c r="M3" s="2">
        <v>8565416.2799999993</v>
      </c>
      <c r="N3" s="2">
        <v>271975.70879999996</v>
      </c>
      <c r="O3" s="2">
        <v>4426113.3911999995</v>
      </c>
      <c r="P3" s="2">
        <v>148564.95119999998</v>
      </c>
      <c r="Q3" s="2">
        <v>8611479.3276000004</v>
      </c>
      <c r="R3" s="2">
        <v>0</v>
      </c>
      <c r="S3" s="2">
        <v>13186157.67</v>
      </c>
      <c r="T3" s="2">
        <v>0</v>
      </c>
      <c r="U3" s="2">
        <v>268865.53559999994</v>
      </c>
      <c r="V3" s="2">
        <v>1806264.8136</v>
      </c>
      <c r="W3" s="2">
        <v>5829311.2535999995</v>
      </c>
      <c r="X3" s="2">
        <v>21389528.9628</v>
      </c>
      <c r="Y3" s="2">
        <v>34505682.479999997</v>
      </c>
      <c r="Z3" s="2">
        <v>27521741.271600001</v>
      </c>
      <c r="AA3" s="2">
        <v>245713.56479999999</v>
      </c>
      <c r="AB3" s="2">
        <v>13116153.517200001</v>
      </c>
      <c r="AC3" s="2">
        <v>8512266.121199999</v>
      </c>
      <c r="AD3" s="2">
        <v>51473.426399999997</v>
      </c>
      <c r="AE3" s="2">
        <v>19080.943199999998</v>
      </c>
      <c r="AF3" s="2">
        <v>161.6112</v>
      </c>
      <c r="AG3" s="2">
        <v>8611.4663999999993</v>
      </c>
      <c r="AH3" s="2">
        <v>61781.291999999994</v>
      </c>
      <c r="AI3" s="2">
        <v>51299.503199999999</v>
      </c>
      <c r="AJ3" s="2">
        <v>41276.692799999997</v>
      </c>
      <c r="AK3" s="2">
        <v>27521.7264</v>
      </c>
      <c r="AL3" s="2">
        <v>65054.4372</v>
      </c>
      <c r="AM3" s="2">
        <v>187.75799999999998</v>
      </c>
      <c r="AN3" s="2">
        <v>8359.1028000000006</v>
      </c>
      <c r="AO3" s="2">
        <v>184.45320000000001</v>
      </c>
    </row>
    <row r="4" spans="1:41" x14ac:dyDescent="0.35">
      <c r="A4" s="1">
        <v>2020</v>
      </c>
      <c r="B4" s="2">
        <v>26654385.268800002</v>
      </c>
      <c r="C4" s="2">
        <v>18946780.631999999</v>
      </c>
      <c r="D4" s="2">
        <v>10747879.988399999</v>
      </c>
      <c r="E4" s="2">
        <v>1897533.3456000001</v>
      </c>
      <c r="F4" s="2">
        <v>214.22880000000001</v>
      </c>
      <c r="G4" s="2">
        <v>918107.58960000006</v>
      </c>
      <c r="H4" s="2">
        <v>2122381.9907999998</v>
      </c>
      <c r="I4" s="2">
        <v>16387327.533600001</v>
      </c>
      <c r="J4" s="2">
        <v>16895774.609999999</v>
      </c>
      <c r="K4" s="2">
        <v>140181.48359999998</v>
      </c>
      <c r="L4" s="2">
        <v>8658868.9607999995</v>
      </c>
      <c r="M4" s="2">
        <v>8660462.5548</v>
      </c>
      <c r="N4" s="2">
        <v>197680.14360000001</v>
      </c>
      <c r="O4" s="2">
        <v>2871128.8188</v>
      </c>
      <c r="P4" s="2">
        <v>2380987.71</v>
      </c>
      <c r="Q4" s="2">
        <v>8401443.2819999997</v>
      </c>
      <c r="R4" s="2">
        <v>0</v>
      </c>
      <c r="S4" s="2">
        <v>7911302.1732000001</v>
      </c>
      <c r="T4" s="2">
        <v>261879.73920000001</v>
      </c>
      <c r="U4" s="2">
        <v>13109.266799999999</v>
      </c>
      <c r="V4" s="2">
        <v>1761659.6364</v>
      </c>
      <c r="W4" s="2">
        <v>1092322.5192</v>
      </c>
      <c r="X4" s="2">
        <v>14754938.486399999</v>
      </c>
      <c r="Y4" s="2">
        <v>21389528.9628</v>
      </c>
      <c r="Z4" s="2">
        <v>16895774.609999999</v>
      </c>
      <c r="AA4" s="2">
        <v>761338.44000000006</v>
      </c>
      <c r="AB4" s="2">
        <v>6634590.4764</v>
      </c>
      <c r="AC4" s="2">
        <v>9758610.6588000003</v>
      </c>
      <c r="AD4" s="2">
        <v>43200.053999999996</v>
      </c>
      <c r="AE4" s="2">
        <v>16779.473999999998</v>
      </c>
      <c r="AF4" s="2">
        <v>104.652</v>
      </c>
      <c r="AG4" s="2">
        <v>8401.4495999999999</v>
      </c>
      <c r="AH4" s="2">
        <v>51473.426399999997</v>
      </c>
      <c r="AI4" s="2">
        <v>44375.364000000001</v>
      </c>
      <c r="AJ4" s="2">
        <v>23819.896799999999</v>
      </c>
      <c r="AK4" s="2">
        <v>16895.79</v>
      </c>
      <c r="AL4" s="2">
        <v>51299.503199999999</v>
      </c>
      <c r="AM4" s="2">
        <v>184.45320000000001</v>
      </c>
      <c r="AN4" s="2">
        <v>8658.8675999999996</v>
      </c>
      <c r="AO4" s="2">
        <v>176.15880000000001</v>
      </c>
    </row>
    <row r="5" spans="1:41" x14ac:dyDescent="0.35">
      <c r="A5" s="1">
        <v>2019</v>
      </c>
      <c r="B5" s="2">
        <v>19930495.305600002</v>
      </c>
      <c r="C5" s="2">
        <v>12630988.886399999</v>
      </c>
      <c r="D5" s="2">
        <v>9295049.4083999991</v>
      </c>
      <c r="E5" s="2">
        <v>1926994.3415999999</v>
      </c>
      <c r="F5" s="2">
        <v>91.303200000000004</v>
      </c>
      <c r="G5" s="2">
        <v>350635.554</v>
      </c>
      <c r="H5" s="2">
        <v>2346269.8464000002</v>
      </c>
      <c r="I5" s="2">
        <v>14865173.362799998</v>
      </c>
      <c r="J5" s="2">
        <v>15219965.4156</v>
      </c>
      <c r="K5" s="2">
        <v>319840.81200000003</v>
      </c>
      <c r="L5" s="2">
        <v>8359101.0503999991</v>
      </c>
      <c r="M5" s="2">
        <v>7995553.0920000002</v>
      </c>
      <c r="N5" s="2">
        <v>416052.25559999997</v>
      </c>
      <c r="O5" s="2">
        <v>8736276.5784000009</v>
      </c>
      <c r="P5" s="2">
        <v>1225711.0836</v>
      </c>
      <c r="Q5" s="2">
        <v>8401443.2819999997</v>
      </c>
      <c r="R5" s="2">
        <v>0</v>
      </c>
      <c r="S5" s="2">
        <v>890877.7871999999</v>
      </c>
      <c r="T5" s="2">
        <v>587073.48479999998</v>
      </c>
      <c r="U5" s="2">
        <v>189866.20319999999</v>
      </c>
      <c r="V5" s="2">
        <v>656092.87199999997</v>
      </c>
      <c r="W5" s="2">
        <v>91749.963600000003</v>
      </c>
      <c r="X5" s="2">
        <v>18721193.0724</v>
      </c>
      <c r="Y5" s="2">
        <v>14754938.486399999</v>
      </c>
      <c r="Z5" s="2">
        <v>15219965.4156</v>
      </c>
      <c r="AA5" s="2">
        <v>295299.95039999997</v>
      </c>
      <c r="AB5" s="2">
        <v>3966254.5859999997</v>
      </c>
      <c r="AC5" s="2">
        <v>4710529.8899999997</v>
      </c>
      <c r="AD5" s="2">
        <v>44603.395199999999</v>
      </c>
      <c r="AE5" s="2">
        <v>11186.553599999999</v>
      </c>
      <c r="AF5" s="2">
        <v>4188.4452000000001</v>
      </c>
      <c r="AG5" s="2">
        <v>8401.4495999999999</v>
      </c>
      <c r="AH5" s="2">
        <v>43200.053999999996</v>
      </c>
      <c r="AI5" s="2">
        <v>34734.42</v>
      </c>
      <c r="AJ5" s="2">
        <v>24860.908800000001</v>
      </c>
      <c r="AK5" s="2">
        <v>15219.9648</v>
      </c>
      <c r="AL5" s="2">
        <v>44375.364000000001</v>
      </c>
      <c r="AM5" s="2">
        <v>176.15880000000001</v>
      </c>
      <c r="AN5" s="2">
        <v>8413.8912</v>
      </c>
      <c r="AO5" s="2">
        <v>174.27960000000002</v>
      </c>
    </row>
    <row r="6" spans="1:41" x14ac:dyDescent="0.35">
      <c r="A6" s="1">
        <v>2018</v>
      </c>
      <c r="B6" s="2">
        <v>18596119.5792</v>
      </c>
      <c r="C6" s="2">
        <v>12879332.521200001</v>
      </c>
      <c r="D6" s="2">
        <v>9478500.1848000009</v>
      </c>
      <c r="E6" s="2">
        <v>0</v>
      </c>
      <c r="F6" s="2">
        <v>0</v>
      </c>
      <c r="G6" s="2">
        <v>1997938.9367999998</v>
      </c>
      <c r="H6" s="2">
        <v>1763774.19</v>
      </c>
      <c r="I6" s="2">
        <v>10182312.619199999</v>
      </c>
      <c r="J6" s="2">
        <v>10454902.858800001</v>
      </c>
      <c r="K6" s="2">
        <v>0</v>
      </c>
      <c r="L6" s="2">
        <v>3208162.5288</v>
      </c>
      <c r="M6" s="2">
        <v>2901011.6304000001</v>
      </c>
      <c r="N6" s="2">
        <v>349691.22359999997</v>
      </c>
      <c r="O6" s="2">
        <v>7942043.2283999994</v>
      </c>
      <c r="P6" s="2">
        <v>1880006.76</v>
      </c>
      <c r="Q6" s="2">
        <v>6721154.6255999999</v>
      </c>
      <c r="R6" s="2">
        <v>0</v>
      </c>
      <c r="S6" s="2">
        <v>659118.15720000002</v>
      </c>
      <c r="T6" s="2">
        <v>429989.08319999999</v>
      </c>
      <c r="U6" s="2">
        <v>147114.88920000001</v>
      </c>
      <c r="V6" s="2">
        <v>951587.19000000006</v>
      </c>
      <c r="W6" s="2">
        <v>763477.55279999995</v>
      </c>
      <c r="X6" s="2">
        <v>17929890.950399999</v>
      </c>
      <c r="Y6" s="2">
        <v>18721193.0724</v>
      </c>
      <c r="Z6" s="2">
        <v>10454902.858800001</v>
      </c>
      <c r="AA6" s="2">
        <v>319538.39039999997</v>
      </c>
      <c r="AB6" s="2">
        <v>791302.12199999997</v>
      </c>
      <c r="AC6" s="2">
        <v>8141216.7204</v>
      </c>
      <c r="AD6" s="2">
        <v>0</v>
      </c>
      <c r="AE6" s="2">
        <v>11376.644400000001</v>
      </c>
      <c r="AF6" s="2">
        <v>39947.904000000002</v>
      </c>
      <c r="AG6" s="2">
        <v>6721.1531999999997</v>
      </c>
      <c r="AH6" s="2">
        <v>44603.395199999999</v>
      </c>
      <c r="AI6" s="2">
        <v>0</v>
      </c>
      <c r="AJ6" s="2">
        <v>45189.316800000001</v>
      </c>
      <c r="AK6" s="2">
        <v>10454.8968</v>
      </c>
      <c r="AL6" s="2">
        <v>34734.42</v>
      </c>
      <c r="AM6" s="2">
        <v>174.27960000000002</v>
      </c>
      <c r="AN6" s="2">
        <v>7705.3032000000003</v>
      </c>
      <c r="AO6" s="2">
        <v>187.66079999999999</v>
      </c>
    </row>
    <row r="9" spans="1:41" x14ac:dyDescent="0.35">
      <c r="B9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tsm_income_statement</vt:lpstr>
      <vt:lpstr>tsm_balance_sheet</vt:lpstr>
      <vt:lpstr>tsm_cash_flow_statement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Bhardwaj</dc:creator>
  <cp:lastModifiedBy>Sankalp Bhardwaj</cp:lastModifiedBy>
  <dcterms:created xsi:type="dcterms:W3CDTF">2015-06-05T18:17:20Z</dcterms:created>
  <dcterms:modified xsi:type="dcterms:W3CDTF">2023-06-22T10:05:37Z</dcterms:modified>
</cp:coreProperties>
</file>