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035" windowHeight="1632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5" i="1" l="1"/>
  <c r="D135" i="1"/>
  <c r="B134" i="1"/>
  <c r="C117" i="1"/>
  <c r="D117" i="1"/>
  <c r="D134" i="1"/>
  <c r="B133" i="1"/>
  <c r="D133" i="1"/>
  <c r="B132" i="1"/>
  <c r="C115" i="1"/>
  <c r="D115" i="1"/>
  <c r="D132" i="1"/>
  <c r="B131" i="1"/>
  <c r="D131" i="1"/>
  <c r="B130" i="1"/>
  <c r="C113" i="1"/>
  <c r="D113" i="1"/>
  <c r="D130" i="1"/>
  <c r="B129" i="1"/>
  <c r="C112" i="1"/>
  <c r="D112" i="1"/>
  <c r="D129" i="1"/>
  <c r="B128" i="1"/>
  <c r="C111" i="1"/>
  <c r="D111" i="1"/>
  <c r="D128" i="1"/>
  <c r="B127" i="1"/>
  <c r="D127" i="1"/>
  <c r="B126" i="1"/>
  <c r="C109" i="1"/>
  <c r="D109" i="1"/>
  <c r="D126" i="1"/>
  <c r="B125" i="1"/>
  <c r="C108" i="1"/>
  <c r="D108" i="1"/>
  <c r="D125" i="1"/>
  <c r="B124" i="1"/>
  <c r="C107" i="1"/>
  <c r="D107" i="1"/>
  <c r="D124" i="1"/>
  <c r="B123" i="1"/>
  <c r="C106" i="1"/>
  <c r="D106" i="1"/>
  <c r="D123" i="1"/>
  <c r="B122" i="1"/>
  <c r="C105" i="1"/>
  <c r="D105" i="1"/>
  <c r="D122" i="1"/>
  <c r="C104" i="1"/>
  <c r="D104" i="1"/>
  <c r="B121" i="1"/>
  <c r="D121" i="1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5" i="1"/>
  <c r="B16" i="1"/>
  <c r="C21" i="1"/>
  <c r="C22" i="1"/>
  <c r="B21" i="1"/>
  <c r="B22" i="1"/>
  <c r="B2" i="1"/>
  <c r="C2" i="1"/>
  <c r="C11" i="1"/>
  <c r="C12" i="1"/>
  <c r="B3" i="1"/>
  <c r="B42" i="2"/>
  <c r="B41" i="2"/>
  <c r="B40" i="2"/>
  <c r="B39" i="2"/>
  <c r="B38" i="2"/>
  <c r="B37" i="2"/>
  <c r="B36" i="2"/>
  <c r="B35" i="2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3" i="1"/>
  <c r="B213" i="1"/>
  <c r="B243" i="1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L212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A163" i="1"/>
  <c r="A164" i="1"/>
  <c r="A162" i="1"/>
  <c r="D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39" i="1"/>
  <c r="E104" i="1"/>
  <c r="E139" i="1"/>
  <c r="F104" i="1"/>
  <c r="F139" i="1"/>
  <c r="G104" i="1"/>
  <c r="G139" i="1"/>
  <c r="D140" i="1"/>
  <c r="E105" i="1"/>
  <c r="E140" i="1"/>
  <c r="F105" i="1"/>
  <c r="F140" i="1"/>
  <c r="G105" i="1"/>
  <c r="G140" i="1"/>
  <c r="D141" i="1"/>
  <c r="E106" i="1"/>
  <c r="E141" i="1"/>
  <c r="F106" i="1"/>
  <c r="F141" i="1"/>
  <c r="G106" i="1"/>
  <c r="G141" i="1"/>
  <c r="D142" i="1"/>
  <c r="E107" i="1"/>
  <c r="E142" i="1"/>
  <c r="F107" i="1"/>
  <c r="F142" i="1"/>
  <c r="G107" i="1"/>
  <c r="G142" i="1"/>
  <c r="D143" i="1"/>
  <c r="E108" i="1"/>
  <c r="E143" i="1"/>
  <c r="F108" i="1"/>
  <c r="F143" i="1"/>
  <c r="G108" i="1"/>
  <c r="G143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46" i="1"/>
  <c r="E111" i="1"/>
  <c r="E146" i="1"/>
  <c r="F111" i="1"/>
  <c r="F146" i="1"/>
  <c r="G111" i="1"/>
  <c r="G146" i="1"/>
  <c r="D147" i="1"/>
  <c r="E112" i="1"/>
  <c r="E147" i="1"/>
  <c r="F112" i="1"/>
  <c r="F147" i="1"/>
  <c r="G112" i="1"/>
  <c r="G147" i="1"/>
  <c r="D148" i="1"/>
  <c r="E113" i="1"/>
  <c r="F113" i="1"/>
  <c r="F148" i="1"/>
  <c r="G113" i="1"/>
  <c r="G148" i="1"/>
  <c r="D114" i="1"/>
  <c r="E114" i="1"/>
  <c r="F114" i="1"/>
  <c r="G114" i="1"/>
  <c r="D150" i="1"/>
  <c r="E115" i="1"/>
  <c r="E150" i="1"/>
  <c r="F115" i="1"/>
  <c r="F150" i="1"/>
  <c r="G115" i="1"/>
  <c r="G150" i="1"/>
  <c r="D116" i="1"/>
  <c r="E116" i="1"/>
  <c r="F116" i="1"/>
  <c r="G116" i="1"/>
  <c r="E117" i="1"/>
  <c r="E152" i="1"/>
  <c r="F117" i="1"/>
  <c r="F152" i="1"/>
  <c r="G117" i="1"/>
  <c r="G152" i="1"/>
  <c r="D118" i="1"/>
  <c r="E118" i="1"/>
  <c r="F118" i="1"/>
  <c r="G118" i="1"/>
  <c r="C140" i="1"/>
  <c r="C142" i="1"/>
  <c r="C143" i="1"/>
  <c r="C144" i="1"/>
  <c r="C110" i="1"/>
  <c r="C145" i="1"/>
  <c r="C146" i="1"/>
  <c r="C147" i="1"/>
  <c r="C148" i="1"/>
  <c r="C114" i="1"/>
  <c r="C150" i="1"/>
  <c r="C116" i="1"/>
  <c r="C152" i="1"/>
  <c r="C118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G135" i="1"/>
  <c r="E131" i="1"/>
  <c r="G131" i="1"/>
  <c r="F131" i="1"/>
  <c r="E123" i="1"/>
  <c r="G123" i="1"/>
  <c r="F123" i="1"/>
  <c r="H118" i="1"/>
  <c r="H117" i="1"/>
  <c r="H110" i="1"/>
  <c r="H109" i="1"/>
  <c r="H105" i="1"/>
  <c r="E133" i="1"/>
  <c r="F133" i="1"/>
  <c r="G133" i="1"/>
  <c r="E129" i="1"/>
  <c r="F129" i="1"/>
  <c r="G129" i="1"/>
  <c r="G125" i="1"/>
  <c r="E125" i="1"/>
  <c r="F125" i="1"/>
  <c r="C134" i="1"/>
  <c r="C130" i="1"/>
  <c r="C126" i="1"/>
  <c r="C122" i="1"/>
  <c r="G121" i="1"/>
  <c r="F121" i="1"/>
  <c r="E121" i="1"/>
  <c r="G132" i="1"/>
  <c r="E132" i="1"/>
  <c r="F132" i="1"/>
  <c r="G128" i="1"/>
  <c r="F128" i="1"/>
  <c r="E128" i="1"/>
  <c r="G124" i="1"/>
  <c r="F124" i="1"/>
  <c r="E124" i="1"/>
  <c r="D152" i="1"/>
  <c r="H152" i="1"/>
  <c r="E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F130" i="1"/>
  <c r="G130" i="1"/>
  <c r="E130" i="1"/>
  <c r="F126" i="1"/>
  <c r="G126" i="1"/>
  <c r="E126" i="1"/>
  <c r="F122" i="1"/>
  <c r="G122" i="1"/>
  <c r="E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S96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127" i="2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S6" i="2"/>
  <c r="F42" i="1"/>
  <c r="G42" i="1"/>
  <c r="H42" i="1"/>
  <c r="I42" i="1"/>
  <c r="J42" i="1"/>
  <c r="K42" i="1"/>
  <c r="L42" i="1"/>
  <c r="B4" i="1"/>
  <c r="B214" i="1"/>
  <c r="B244" i="1"/>
  <c r="F35" i="1"/>
  <c r="G35" i="1"/>
  <c r="H35" i="1"/>
  <c r="I35" i="1"/>
  <c r="J35" i="1"/>
  <c r="K35" i="1"/>
  <c r="L35" i="1"/>
  <c r="B215" i="1"/>
  <c r="B245" i="1"/>
  <c r="B217" i="1"/>
  <c r="B247" i="1"/>
  <c r="B219" i="1"/>
  <c r="B249" i="1"/>
  <c r="B218" i="1"/>
  <c r="B248" i="1"/>
  <c r="B216" i="1"/>
  <c r="B246" i="1"/>
  <c r="D218" i="1"/>
  <c r="D248" i="1"/>
  <c r="D215" i="1"/>
  <c r="D245" i="1"/>
  <c r="D219" i="1"/>
  <c r="D249" i="1"/>
  <c r="D216" i="1"/>
  <c r="D246" i="1"/>
  <c r="D217" i="1"/>
  <c r="D247" i="1"/>
  <c r="D214" i="1"/>
  <c r="D244" i="1"/>
  <c r="H214" i="1"/>
  <c r="H244" i="1"/>
  <c r="F214" i="1"/>
  <c r="F244" i="1"/>
  <c r="F217" i="1"/>
  <c r="F247" i="1"/>
  <c r="F215" i="1"/>
  <c r="F245" i="1"/>
  <c r="F218" i="1"/>
  <c r="F248" i="1"/>
  <c r="C3" i="1"/>
  <c r="D2" i="1"/>
  <c r="D4" i="1"/>
  <c r="D53" i="1"/>
  <c r="D3" i="1"/>
  <c r="D5" i="1"/>
  <c r="D8" i="1"/>
  <c r="D6" i="1"/>
  <c r="D7" i="1"/>
  <c r="E53" i="1"/>
  <c r="C65" i="1"/>
  <c r="F36" i="2"/>
  <c r="F39" i="2"/>
  <c r="F42" i="2"/>
  <c r="F40" i="2"/>
  <c r="F37" i="2"/>
  <c r="F38" i="2"/>
  <c r="E2" i="1"/>
  <c r="E3" i="1"/>
  <c r="F4" i="1"/>
  <c r="F5" i="1"/>
  <c r="E171" i="1"/>
  <c r="K171" i="1"/>
  <c r="F2" i="1"/>
  <c r="H200" i="1"/>
  <c r="F6" i="1"/>
  <c r="F9" i="1"/>
  <c r="H204" i="1"/>
  <c r="H212" i="1"/>
  <c r="H242" i="1"/>
  <c r="H217" i="1"/>
  <c r="H247" i="1"/>
  <c r="F41" i="2"/>
  <c r="H218" i="1"/>
  <c r="H248" i="1"/>
  <c r="H215" i="1"/>
  <c r="H245" i="1"/>
  <c r="H216" i="1"/>
  <c r="H246" i="1"/>
  <c r="H219" i="1"/>
  <c r="H249" i="1"/>
  <c r="F219" i="1"/>
  <c r="F249" i="1"/>
  <c r="F216" i="1"/>
  <c r="F246" i="1"/>
  <c r="F213" i="1"/>
  <c r="F243" i="1"/>
  <c r="J214" i="1"/>
  <c r="J244" i="1"/>
  <c r="H41" i="2"/>
  <c r="H38" i="2"/>
  <c r="H40" i="2"/>
  <c r="H37" i="2"/>
  <c r="J215" i="1"/>
  <c r="J245" i="1"/>
  <c r="E4" i="1"/>
  <c r="F53" i="1"/>
  <c r="E5" i="1"/>
  <c r="E8" i="1"/>
  <c r="E6" i="1"/>
  <c r="E7" i="1"/>
  <c r="G53" i="1"/>
  <c r="D65" i="1"/>
  <c r="H36" i="2"/>
  <c r="H42" i="2"/>
  <c r="J37" i="2"/>
  <c r="J40" i="2"/>
  <c r="J41" i="2"/>
  <c r="J39" i="2"/>
  <c r="J38" i="2"/>
  <c r="E65" i="1"/>
  <c r="J36" i="2"/>
  <c r="J42" i="2"/>
  <c r="H39" i="2"/>
  <c r="J216" i="1"/>
  <c r="J246" i="1"/>
  <c r="J217" i="1"/>
  <c r="J247" i="1"/>
  <c r="F3" i="1"/>
  <c r="G4" i="1"/>
  <c r="G5" i="1"/>
  <c r="F171" i="1"/>
  <c r="L171" i="1"/>
  <c r="G2" i="1"/>
  <c r="I200" i="1"/>
  <c r="G6" i="1"/>
  <c r="G9" i="1"/>
  <c r="I204" i="1"/>
  <c r="J212" i="1"/>
  <c r="J242" i="1"/>
  <c r="J219" i="1"/>
  <c r="J249" i="1"/>
  <c r="J218" i="1"/>
  <c r="J248" i="1"/>
  <c r="E40" i="2"/>
  <c r="E37" i="2"/>
  <c r="E42" i="2"/>
  <c r="E41" i="2"/>
  <c r="E39" i="2"/>
  <c r="E38" i="2"/>
  <c r="C4" i="1"/>
  <c r="B53" i="1"/>
  <c r="C5" i="1"/>
  <c r="C8" i="1"/>
  <c r="C6" i="1"/>
  <c r="C7" i="1"/>
  <c r="C53" i="1"/>
  <c r="B65" i="1"/>
  <c r="E36" i="2"/>
  <c r="L38" i="2"/>
  <c r="F65" i="1"/>
  <c r="L36" i="2"/>
  <c r="L37" i="2"/>
  <c r="L42" i="2"/>
  <c r="L40" i="2"/>
  <c r="L39" i="2"/>
  <c r="L41" i="2"/>
  <c r="S63" i="2"/>
  <c r="S163" i="2"/>
  <c r="S65" i="2"/>
  <c r="S64" i="2"/>
  <c r="S67" i="2"/>
  <c r="S66" i="2"/>
  <c r="S68" i="2"/>
  <c r="S70" i="2"/>
  <c r="S69" i="2"/>
  <c r="S71" i="2"/>
  <c r="S72" i="2"/>
  <c r="S84" i="2"/>
  <c r="J213" i="1"/>
  <c r="J243" i="1"/>
  <c r="H213" i="1"/>
  <c r="H243" i="1"/>
  <c r="D213" i="1"/>
  <c r="D243" i="1"/>
  <c r="B23" i="1"/>
  <c r="B24" i="1"/>
  <c r="E200" i="1"/>
  <c r="E202" i="1"/>
  <c r="C25" i="1"/>
  <c r="C26" i="1"/>
  <c r="B17" i="1"/>
  <c r="B18" i="1"/>
  <c r="B19" i="1"/>
  <c r="H164" i="1"/>
  <c r="E164" i="1"/>
  <c r="H162" i="1"/>
  <c r="H163" i="1"/>
  <c r="G163" i="1"/>
  <c r="J164" i="1"/>
  <c r="J162" i="1"/>
  <c r="I163" i="1"/>
  <c r="G162" i="1"/>
  <c r="F163" i="1"/>
  <c r="J163" i="1"/>
  <c r="G164" i="1"/>
  <c r="I164" i="1"/>
  <c r="F162" i="1"/>
  <c r="E163" i="1"/>
  <c r="E162" i="1"/>
  <c r="I162" i="1"/>
  <c r="F164" i="1"/>
  <c r="B50" i="1"/>
  <c r="B89" i="1"/>
  <c r="B49" i="1"/>
  <c r="B52" i="1"/>
  <c r="B88" i="1"/>
  <c r="B48" i="1"/>
  <c r="B51" i="1"/>
  <c r="B47" i="1"/>
  <c r="B54" i="1"/>
  <c r="B86" i="1"/>
  <c r="B97" i="1"/>
  <c r="B55" i="1"/>
  <c r="E203" i="1"/>
  <c r="F7" i="3"/>
  <c r="N6" i="2"/>
  <c r="E201" i="1"/>
  <c r="B20" i="1"/>
  <c r="F200" i="1"/>
  <c r="D9" i="3"/>
  <c r="D11" i="3"/>
  <c r="O6" i="2"/>
  <c r="D25" i="1"/>
  <c r="D26" i="1"/>
  <c r="F202" i="1"/>
  <c r="C9" i="1"/>
  <c r="C10" i="1"/>
  <c r="B192" i="1"/>
  <c r="H192" i="1"/>
  <c r="C233" i="1"/>
  <c r="C263" i="1"/>
  <c r="B316" i="1"/>
  <c r="B180" i="1"/>
  <c r="H180" i="1"/>
  <c r="C221" i="1"/>
  <c r="C251" i="1"/>
  <c r="B304" i="1"/>
  <c r="B184" i="1"/>
  <c r="H184" i="1"/>
  <c r="C225" i="1"/>
  <c r="C255" i="1"/>
  <c r="B308" i="1"/>
  <c r="C27" i="1"/>
  <c r="B173" i="1"/>
  <c r="H173" i="1"/>
  <c r="C214" i="1"/>
  <c r="C244" i="1"/>
  <c r="B181" i="1"/>
  <c r="H181" i="1"/>
  <c r="C222" i="1"/>
  <c r="C252" i="1"/>
  <c r="B305" i="1"/>
  <c r="B189" i="1"/>
  <c r="H189" i="1"/>
  <c r="C230" i="1"/>
  <c r="C260" i="1"/>
  <c r="B313" i="1"/>
  <c r="B183" i="1"/>
  <c r="H183" i="1"/>
  <c r="C224" i="1"/>
  <c r="C254" i="1"/>
  <c r="B307" i="1"/>
  <c r="B178" i="1"/>
  <c r="H178" i="1"/>
  <c r="C219" i="1"/>
  <c r="C249" i="1"/>
  <c r="B302" i="1"/>
  <c r="B186" i="1"/>
  <c r="H186" i="1"/>
  <c r="C227" i="1"/>
  <c r="C257" i="1"/>
  <c r="B310" i="1"/>
  <c r="B194" i="1"/>
  <c r="H194" i="1"/>
  <c r="C235" i="1"/>
  <c r="C265" i="1"/>
  <c r="B318" i="1"/>
  <c r="B179" i="1"/>
  <c r="H179" i="1"/>
  <c r="C220" i="1"/>
  <c r="C250" i="1"/>
  <c r="B303" i="1"/>
  <c r="B188" i="1"/>
  <c r="H188" i="1"/>
  <c r="C229" i="1"/>
  <c r="C259" i="1"/>
  <c r="B312" i="1"/>
  <c r="N2" i="2"/>
  <c r="B176" i="1"/>
  <c r="H176" i="1"/>
  <c r="C217" i="1"/>
  <c r="C247" i="1"/>
  <c r="B300" i="1"/>
  <c r="B191" i="1"/>
  <c r="H191" i="1"/>
  <c r="C232" i="1"/>
  <c r="C262" i="1"/>
  <c r="B315" i="1"/>
  <c r="B185" i="1"/>
  <c r="H185" i="1"/>
  <c r="C226" i="1"/>
  <c r="C256" i="1"/>
  <c r="B309" i="1"/>
  <c r="B174" i="1"/>
  <c r="H174" i="1"/>
  <c r="C215" i="1"/>
  <c r="C245" i="1"/>
  <c r="B190" i="1"/>
  <c r="H190" i="1"/>
  <c r="C231" i="1"/>
  <c r="C261" i="1"/>
  <c r="B314" i="1"/>
  <c r="B187" i="1"/>
  <c r="H187" i="1"/>
  <c r="C228" i="1"/>
  <c r="C258" i="1"/>
  <c r="B311" i="1"/>
  <c r="B171" i="1"/>
  <c r="H171" i="1"/>
  <c r="C28" i="1"/>
  <c r="C30" i="1"/>
  <c r="B172" i="1"/>
  <c r="H172" i="1"/>
  <c r="C213" i="1"/>
  <c r="C243" i="1"/>
  <c r="B177" i="1"/>
  <c r="H177" i="1"/>
  <c r="C218" i="1"/>
  <c r="C248" i="1"/>
  <c r="B301" i="1"/>
  <c r="B193" i="1"/>
  <c r="H193" i="1"/>
  <c r="C234" i="1"/>
  <c r="C264" i="1"/>
  <c r="B317" i="1"/>
  <c r="B182" i="1"/>
  <c r="H182" i="1"/>
  <c r="C223" i="1"/>
  <c r="C253" i="1"/>
  <c r="B306" i="1"/>
  <c r="B175" i="1"/>
  <c r="H175" i="1"/>
  <c r="C216" i="1"/>
  <c r="C246" i="1"/>
  <c r="B299" i="1"/>
  <c r="B56" i="1"/>
  <c r="F11" i="3"/>
  <c r="J5" i="3"/>
  <c r="E204" i="1"/>
  <c r="B212" i="1"/>
  <c r="B242" i="1"/>
  <c r="F201" i="1"/>
  <c r="D86" i="1"/>
  <c r="D97" i="1"/>
  <c r="D88" i="1"/>
  <c r="D51" i="1"/>
  <c r="D52" i="1"/>
  <c r="D56" i="1"/>
  <c r="D241" i="1"/>
  <c r="D11" i="1"/>
  <c r="D12" i="1"/>
  <c r="D55" i="1"/>
  <c r="D47" i="1"/>
  <c r="D54" i="1"/>
  <c r="D50" i="1"/>
  <c r="D49" i="1"/>
  <c r="D89" i="1"/>
  <c r="D48" i="1"/>
  <c r="F50" i="1"/>
  <c r="F55" i="1"/>
  <c r="F48" i="1"/>
  <c r="F86" i="1"/>
  <c r="F97" i="1"/>
  <c r="F54" i="1"/>
  <c r="F52" i="1"/>
  <c r="F56" i="1"/>
  <c r="F241" i="1"/>
  <c r="F88" i="1"/>
  <c r="E11" i="1"/>
  <c r="F51" i="1"/>
  <c r="F49" i="1"/>
  <c r="F89" i="1"/>
  <c r="E12" i="1"/>
  <c r="F47" i="1"/>
  <c r="C14" i="1"/>
  <c r="E199" i="1"/>
  <c r="N14" i="2"/>
  <c r="N30" i="2"/>
  <c r="N58" i="2"/>
  <c r="N25" i="2"/>
  <c r="N53" i="2"/>
  <c r="N10" i="2"/>
  <c r="E205" i="1"/>
  <c r="N22" i="2"/>
  <c r="N50" i="2"/>
  <c r="N29" i="2"/>
  <c r="N57" i="2"/>
  <c r="N9" i="2"/>
  <c r="N11" i="2"/>
  <c r="N39" i="2"/>
  <c r="N7" i="2"/>
  <c r="N28" i="2"/>
  <c r="N56" i="2"/>
  <c r="N27" i="2"/>
  <c r="N18" i="2"/>
  <c r="N46" i="2"/>
  <c r="N17" i="2"/>
  <c r="N45" i="2"/>
  <c r="N16" i="2"/>
  <c r="N44" i="2"/>
  <c r="E207" i="1"/>
  <c r="N13" i="2"/>
  <c r="N41" i="2"/>
  <c r="N12" i="2"/>
  <c r="N40" i="2"/>
  <c r="N19" i="2"/>
  <c r="N47" i="2"/>
  <c r="N20" i="2"/>
  <c r="N48" i="2"/>
  <c r="N24" i="2"/>
  <c r="N21" i="2"/>
  <c r="N49" i="2"/>
  <c r="N8" i="2"/>
  <c r="N36" i="2"/>
  <c r="N26" i="2"/>
  <c r="N54" i="2"/>
  <c r="N15" i="2"/>
  <c r="N43" i="2"/>
  <c r="N23" i="2"/>
  <c r="N51" i="2"/>
  <c r="C89" i="1"/>
  <c r="C50" i="1"/>
  <c r="B62" i="1"/>
  <c r="C88" i="1"/>
  <c r="C86" i="1"/>
  <c r="C97" i="1"/>
  <c r="C54" i="1"/>
  <c r="B66" i="1"/>
  <c r="C52" i="1"/>
  <c r="C47" i="1"/>
  <c r="B59" i="1"/>
  <c r="C49" i="1"/>
  <c r="B61" i="1"/>
  <c r="C55" i="1"/>
  <c r="B67" i="1"/>
  <c r="C51" i="1"/>
  <c r="B63" i="1"/>
  <c r="C48" i="1"/>
  <c r="B60" i="1"/>
  <c r="D28" i="1"/>
  <c r="D30" i="1"/>
  <c r="F203" i="1"/>
  <c r="J9" i="3"/>
  <c r="G200" i="1"/>
  <c r="G201" i="1"/>
  <c r="D13" i="3"/>
  <c r="D15" i="3"/>
  <c r="G202" i="1"/>
  <c r="E25" i="1"/>
  <c r="E26" i="1"/>
  <c r="B241" i="1"/>
  <c r="C29" i="1"/>
  <c r="E166" i="1"/>
  <c r="N133" i="2"/>
  <c r="E167" i="1"/>
  <c r="N134" i="2"/>
  <c r="E165" i="1"/>
  <c r="E33" i="2"/>
  <c r="C13" i="1"/>
  <c r="E206" i="1"/>
  <c r="C176" i="1"/>
  <c r="I176" i="1"/>
  <c r="E217" i="1"/>
  <c r="E247" i="1"/>
  <c r="C184" i="1"/>
  <c r="I184" i="1"/>
  <c r="E225" i="1"/>
  <c r="E255" i="1"/>
  <c r="C192" i="1"/>
  <c r="I192" i="1"/>
  <c r="E233" i="1"/>
  <c r="E263" i="1"/>
  <c r="C178" i="1"/>
  <c r="I178" i="1"/>
  <c r="E219" i="1"/>
  <c r="E249" i="1"/>
  <c r="C173" i="1"/>
  <c r="I173" i="1"/>
  <c r="E214" i="1"/>
  <c r="E244" i="1"/>
  <c r="C181" i="1"/>
  <c r="I181" i="1"/>
  <c r="E222" i="1"/>
  <c r="E252" i="1"/>
  <c r="C189" i="1"/>
  <c r="I189" i="1"/>
  <c r="E230" i="1"/>
  <c r="E260" i="1"/>
  <c r="C182" i="1"/>
  <c r="I182" i="1"/>
  <c r="E223" i="1"/>
  <c r="E253" i="1"/>
  <c r="C190" i="1"/>
  <c r="I190" i="1"/>
  <c r="E231" i="1"/>
  <c r="E261" i="1"/>
  <c r="C183" i="1"/>
  <c r="I183" i="1"/>
  <c r="E224" i="1"/>
  <c r="E254" i="1"/>
  <c r="C187" i="1"/>
  <c r="I187" i="1"/>
  <c r="E228" i="1"/>
  <c r="E258" i="1"/>
  <c r="C179" i="1"/>
  <c r="I179" i="1"/>
  <c r="E220" i="1"/>
  <c r="E250" i="1"/>
  <c r="D9" i="1"/>
  <c r="D10" i="1"/>
  <c r="C180" i="1"/>
  <c r="I180" i="1"/>
  <c r="E221" i="1"/>
  <c r="E251" i="1"/>
  <c r="C174" i="1"/>
  <c r="I174" i="1"/>
  <c r="E215" i="1"/>
  <c r="E245" i="1"/>
  <c r="C177" i="1"/>
  <c r="I177" i="1"/>
  <c r="E218" i="1"/>
  <c r="E248" i="1"/>
  <c r="C193" i="1"/>
  <c r="I193" i="1"/>
  <c r="E234" i="1"/>
  <c r="E264" i="1"/>
  <c r="C172" i="1"/>
  <c r="I172" i="1"/>
  <c r="E213" i="1"/>
  <c r="E243" i="1"/>
  <c r="C191" i="1"/>
  <c r="I191" i="1"/>
  <c r="E232" i="1"/>
  <c r="E262" i="1"/>
  <c r="D27" i="1"/>
  <c r="O2" i="2"/>
  <c r="C188" i="1"/>
  <c r="I188" i="1"/>
  <c r="E229" i="1"/>
  <c r="E259" i="1"/>
  <c r="C194" i="1"/>
  <c r="I194" i="1"/>
  <c r="E235" i="1"/>
  <c r="E265" i="1"/>
  <c r="C186" i="1"/>
  <c r="I186" i="1"/>
  <c r="E227" i="1"/>
  <c r="E257" i="1"/>
  <c r="C171" i="1"/>
  <c r="I171" i="1"/>
  <c r="C185" i="1"/>
  <c r="I185" i="1"/>
  <c r="E226" i="1"/>
  <c r="E256" i="1"/>
  <c r="C175" i="1"/>
  <c r="I175" i="1"/>
  <c r="E216" i="1"/>
  <c r="E246" i="1"/>
  <c r="N37" i="2"/>
  <c r="N52" i="2"/>
  <c r="N38" i="2"/>
  <c r="N55" i="2"/>
  <c r="N42" i="2"/>
  <c r="N31" i="2"/>
  <c r="F204" i="1"/>
  <c r="D212" i="1"/>
  <c r="E212" i="1"/>
  <c r="E242" i="1"/>
  <c r="D242" i="1"/>
  <c r="C212" i="1"/>
  <c r="C242" i="1"/>
  <c r="D14" i="1"/>
  <c r="F199" i="1"/>
  <c r="F205" i="1"/>
  <c r="F207" i="1"/>
  <c r="E9" i="1"/>
  <c r="E10" i="1"/>
  <c r="P2" i="2"/>
  <c r="D179" i="1"/>
  <c r="J179" i="1"/>
  <c r="G220" i="1"/>
  <c r="G250" i="1"/>
  <c r="D187" i="1"/>
  <c r="J187" i="1"/>
  <c r="G228" i="1"/>
  <c r="G258" i="1"/>
  <c r="D171" i="1"/>
  <c r="J171" i="1"/>
  <c r="D189" i="1"/>
  <c r="J189" i="1"/>
  <c r="G230" i="1"/>
  <c r="G260" i="1"/>
  <c r="D180" i="1"/>
  <c r="J180" i="1"/>
  <c r="G221" i="1"/>
  <c r="G251" i="1"/>
  <c r="D188" i="1"/>
  <c r="J188" i="1"/>
  <c r="G229" i="1"/>
  <c r="G259" i="1"/>
  <c r="D173" i="1"/>
  <c r="J173" i="1"/>
  <c r="G214" i="1"/>
  <c r="G244" i="1"/>
  <c r="D185" i="1"/>
  <c r="J185" i="1"/>
  <c r="G226" i="1"/>
  <c r="G256" i="1"/>
  <c r="D193" i="1"/>
  <c r="J193" i="1"/>
  <c r="G234" i="1"/>
  <c r="G264" i="1"/>
  <c r="D194" i="1"/>
  <c r="J194" i="1"/>
  <c r="G235" i="1"/>
  <c r="G265" i="1"/>
  <c r="D190" i="1"/>
  <c r="J190" i="1"/>
  <c r="G231" i="1"/>
  <c r="G261" i="1"/>
  <c r="D186" i="1"/>
  <c r="J186" i="1"/>
  <c r="G227" i="1"/>
  <c r="G257" i="1"/>
  <c r="D175" i="1"/>
  <c r="J175" i="1"/>
  <c r="G216" i="1"/>
  <c r="G246" i="1"/>
  <c r="D183" i="1"/>
  <c r="J183" i="1"/>
  <c r="G224" i="1"/>
  <c r="G254" i="1"/>
  <c r="D191" i="1"/>
  <c r="J191" i="1"/>
  <c r="G232" i="1"/>
  <c r="G262" i="1"/>
  <c r="D181" i="1"/>
  <c r="J181" i="1"/>
  <c r="G222" i="1"/>
  <c r="G252" i="1"/>
  <c r="D176" i="1"/>
  <c r="J176" i="1"/>
  <c r="G217" i="1"/>
  <c r="G247" i="1"/>
  <c r="D184" i="1"/>
  <c r="J184" i="1"/>
  <c r="G225" i="1"/>
  <c r="G255" i="1"/>
  <c r="D192" i="1"/>
  <c r="J192" i="1"/>
  <c r="G233" i="1"/>
  <c r="G263" i="1"/>
  <c r="D177" i="1"/>
  <c r="J177" i="1"/>
  <c r="G218" i="1"/>
  <c r="G248" i="1"/>
  <c r="D178" i="1"/>
  <c r="J178" i="1"/>
  <c r="G219" i="1"/>
  <c r="G249" i="1"/>
  <c r="D174" i="1"/>
  <c r="J174" i="1"/>
  <c r="G215" i="1"/>
  <c r="G245" i="1"/>
  <c r="D182" i="1"/>
  <c r="J182" i="1"/>
  <c r="G223" i="1"/>
  <c r="G253" i="1"/>
  <c r="D172" i="1"/>
  <c r="J172" i="1"/>
  <c r="G213" i="1"/>
  <c r="G243" i="1"/>
  <c r="E27" i="1"/>
  <c r="E28" i="1"/>
  <c r="E30" i="1"/>
  <c r="G206" i="1"/>
  <c r="G203" i="1"/>
  <c r="N159" i="2"/>
  <c r="N131" i="2"/>
  <c r="P6" i="2"/>
  <c r="C56" i="1"/>
  <c r="B64" i="1"/>
  <c r="J13" i="3"/>
  <c r="F15" i="3"/>
  <c r="F33" i="2"/>
  <c r="O10" i="2"/>
  <c r="O14" i="2"/>
  <c r="O18" i="2"/>
  <c r="O22" i="2"/>
  <c r="O26" i="2"/>
  <c r="O15" i="2"/>
  <c r="O27" i="2"/>
  <c r="O23" i="2"/>
  <c r="D13" i="1"/>
  <c r="O8" i="2"/>
  <c r="O12" i="2"/>
  <c r="O16" i="2"/>
  <c r="O20" i="2"/>
  <c r="O24" i="2"/>
  <c r="O28" i="2"/>
  <c r="O9" i="2"/>
  <c r="O13" i="2"/>
  <c r="O17" i="2"/>
  <c r="O21" i="2"/>
  <c r="O25" i="2"/>
  <c r="O29" i="2"/>
  <c r="O30" i="2"/>
  <c r="O11" i="2"/>
  <c r="O19" i="2"/>
  <c r="O7" i="2"/>
  <c r="F206" i="1"/>
  <c r="D29" i="1"/>
  <c r="F166" i="1"/>
  <c r="O133" i="2"/>
  <c r="F165" i="1"/>
  <c r="F167" i="1"/>
  <c r="O134" i="2"/>
  <c r="E86" i="1"/>
  <c r="E97" i="1"/>
  <c r="E89" i="1"/>
  <c r="E88" i="1"/>
  <c r="E55" i="1"/>
  <c r="C67" i="1"/>
  <c r="E48" i="1"/>
  <c r="C60" i="1"/>
  <c r="E54" i="1"/>
  <c r="C66" i="1"/>
  <c r="E52" i="1"/>
  <c r="E47" i="1"/>
  <c r="C59" i="1"/>
  <c r="E49" i="1"/>
  <c r="C61" i="1"/>
  <c r="E50" i="1"/>
  <c r="C62" i="1"/>
  <c r="E51" i="1"/>
  <c r="C63" i="1"/>
  <c r="E198" i="1"/>
  <c r="B69" i="1"/>
  <c r="B70" i="1"/>
  <c r="G204" i="1"/>
  <c r="F5" i="3"/>
  <c r="B99" i="1"/>
  <c r="F212" i="1"/>
  <c r="F242" i="1"/>
  <c r="E14" i="1"/>
  <c r="G199" i="1"/>
  <c r="G205" i="1"/>
  <c r="D20" i="3"/>
  <c r="D21" i="3"/>
  <c r="I202" i="1"/>
  <c r="G3" i="1"/>
  <c r="O159" i="2"/>
  <c r="O131" i="2"/>
  <c r="O47" i="2"/>
  <c r="O53" i="2"/>
  <c r="O37" i="2"/>
  <c r="O44" i="2"/>
  <c r="O51" i="2"/>
  <c r="O50" i="2"/>
  <c r="H202" i="1"/>
  <c r="F25" i="1"/>
  <c r="D17" i="3"/>
  <c r="D18" i="3"/>
  <c r="Q6" i="2"/>
  <c r="G207" i="1"/>
  <c r="O49" i="2"/>
  <c r="O56" i="2"/>
  <c r="O40" i="2"/>
  <c r="O55" i="2"/>
  <c r="O46" i="2"/>
  <c r="F8" i="1"/>
  <c r="H50" i="1"/>
  <c r="H48" i="1"/>
  <c r="H49" i="1"/>
  <c r="H47" i="1"/>
  <c r="H51" i="1"/>
  <c r="F26" i="1"/>
  <c r="H201" i="1"/>
  <c r="F11" i="1"/>
  <c r="H88" i="1"/>
  <c r="H55" i="1"/>
  <c r="H52" i="1"/>
  <c r="H56" i="1"/>
  <c r="H241" i="1"/>
  <c r="H54" i="1"/>
  <c r="H86" i="1"/>
  <c r="H97" i="1"/>
  <c r="H53" i="1"/>
  <c r="H89" i="1"/>
  <c r="H203" i="1"/>
  <c r="F12" i="1"/>
  <c r="H33" i="2"/>
  <c r="E13" i="1"/>
  <c r="P15" i="2"/>
  <c r="P23" i="2"/>
  <c r="P28" i="2"/>
  <c r="P25" i="2"/>
  <c r="P14" i="2"/>
  <c r="P17" i="2"/>
  <c r="P11" i="2"/>
  <c r="P19" i="2"/>
  <c r="P27" i="2"/>
  <c r="P8" i="2"/>
  <c r="P16" i="2"/>
  <c r="P24" i="2"/>
  <c r="P22" i="2"/>
  <c r="P13" i="2"/>
  <c r="P21" i="2"/>
  <c r="P29" i="2"/>
  <c r="P10" i="2"/>
  <c r="P18" i="2"/>
  <c r="P26" i="2"/>
  <c r="P7" i="2"/>
  <c r="P12" i="2"/>
  <c r="P20" i="2"/>
  <c r="P9" i="2"/>
  <c r="P30" i="2"/>
  <c r="C6" i="3"/>
  <c r="F6" i="3"/>
  <c r="O58" i="2"/>
  <c r="O45" i="2"/>
  <c r="O52" i="2"/>
  <c r="O36" i="2"/>
  <c r="O43" i="2"/>
  <c r="O42" i="2"/>
  <c r="G86" i="1"/>
  <c r="G97" i="1"/>
  <c r="G89" i="1"/>
  <c r="G88" i="1"/>
  <c r="G55" i="1"/>
  <c r="D67" i="1"/>
  <c r="G50" i="1"/>
  <c r="D62" i="1"/>
  <c r="G47" i="1"/>
  <c r="D59" i="1"/>
  <c r="G49" i="1"/>
  <c r="D61" i="1"/>
  <c r="G48" i="1"/>
  <c r="D60" i="1"/>
  <c r="G52" i="1"/>
  <c r="G54" i="1"/>
  <c r="D66" i="1"/>
  <c r="G51" i="1"/>
  <c r="D63" i="1"/>
  <c r="E56" i="1"/>
  <c r="C69" i="1"/>
  <c r="C70" i="1"/>
  <c r="C64" i="1"/>
  <c r="O39" i="2"/>
  <c r="D99" i="1"/>
  <c r="F9" i="3"/>
  <c r="O31" i="2"/>
  <c r="O57" i="2"/>
  <c r="O41" i="2"/>
  <c r="O48" i="2"/>
  <c r="F198" i="1"/>
  <c r="O54" i="2"/>
  <c r="O38" i="2"/>
  <c r="F18" i="3"/>
  <c r="F17" i="3"/>
  <c r="C241" i="1"/>
  <c r="B68" i="1"/>
  <c r="E29" i="1"/>
  <c r="G167" i="1"/>
  <c r="P134" i="2"/>
  <c r="G165" i="1"/>
  <c r="G166" i="1"/>
  <c r="P133" i="2"/>
  <c r="G212" i="1"/>
  <c r="G242" i="1"/>
  <c r="G8" i="1"/>
  <c r="J50" i="1"/>
  <c r="G11" i="1"/>
  <c r="J88" i="1"/>
  <c r="J89" i="1"/>
  <c r="J47" i="1"/>
  <c r="J51" i="1"/>
  <c r="G12" i="1"/>
  <c r="J48" i="1"/>
  <c r="J54" i="1"/>
  <c r="J53" i="1"/>
  <c r="J52" i="1"/>
  <c r="J56" i="1"/>
  <c r="J241" i="1"/>
  <c r="I203" i="1"/>
  <c r="J55" i="1"/>
  <c r="J86" i="1"/>
  <c r="J97" i="1"/>
  <c r="G25" i="1"/>
  <c r="G26" i="1"/>
  <c r="I201" i="1"/>
  <c r="J49" i="1"/>
  <c r="P159" i="2"/>
  <c r="P58" i="2"/>
  <c r="P31" i="2"/>
  <c r="P57" i="2"/>
  <c r="P52" i="2"/>
  <c r="P47" i="2"/>
  <c r="P53" i="2"/>
  <c r="G198" i="1"/>
  <c r="E241" i="1"/>
  <c r="C68" i="1"/>
  <c r="G56" i="1"/>
  <c r="D69" i="1"/>
  <c r="D70" i="1"/>
  <c r="D64" i="1"/>
  <c r="F13" i="3"/>
  <c r="F99" i="1"/>
  <c r="P37" i="2"/>
  <c r="P54" i="2"/>
  <c r="P49" i="2"/>
  <c r="P44" i="2"/>
  <c r="P39" i="2"/>
  <c r="P56" i="2"/>
  <c r="F7" i="1"/>
  <c r="E176" i="1"/>
  <c r="K176" i="1"/>
  <c r="I217" i="1"/>
  <c r="I247" i="1"/>
  <c r="E189" i="1"/>
  <c r="K189" i="1"/>
  <c r="I230" i="1"/>
  <c r="I260" i="1"/>
  <c r="E183" i="1"/>
  <c r="K183" i="1"/>
  <c r="I224" i="1"/>
  <c r="I254" i="1"/>
  <c r="E174" i="1"/>
  <c r="K174" i="1"/>
  <c r="I215" i="1"/>
  <c r="I245" i="1"/>
  <c r="E192" i="1"/>
  <c r="K192" i="1"/>
  <c r="I233" i="1"/>
  <c r="I263" i="1"/>
  <c r="E191" i="1"/>
  <c r="K191" i="1"/>
  <c r="I232" i="1"/>
  <c r="I262" i="1"/>
  <c r="E194" i="1"/>
  <c r="K194" i="1"/>
  <c r="I235" i="1"/>
  <c r="I265" i="1"/>
  <c r="Q2" i="2"/>
  <c r="E181" i="1"/>
  <c r="K181" i="1"/>
  <c r="I222" i="1"/>
  <c r="I252" i="1"/>
  <c r="E184" i="1"/>
  <c r="K184" i="1"/>
  <c r="I225" i="1"/>
  <c r="I255" i="1"/>
  <c r="E180" i="1"/>
  <c r="K180" i="1"/>
  <c r="I221" i="1"/>
  <c r="I251" i="1"/>
  <c r="E193" i="1"/>
  <c r="K193" i="1"/>
  <c r="I234" i="1"/>
  <c r="I264" i="1"/>
  <c r="E172" i="1"/>
  <c r="K172" i="1"/>
  <c r="I213" i="1"/>
  <c r="I243" i="1"/>
  <c r="E175" i="1"/>
  <c r="K175" i="1"/>
  <c r="I216" i="1"/>
  <c r="I246" i="1"/>
  <c r="E190" i="1"/>
  <c r="K190" i="1"/>
  <c r="I231" i="1"/>
  <c r="I261" i="1"/>
  <c r="I212" i="1"/>
  <c r="I242" i="1"/>
  <c r="E182" i="1"/>
  <c r="K182" i="1"/>
  <c r="I223" i="1"/>
  <c r="I253" i="1"/>
  <c r="E185" i="1"/>
  <c r="K185" i="1"/>
  <c r="I226" i="1"/>
  <c r="I256" i="1"/>
  <c r="F27" i="1"/>
  <c r="E187" i="1"/>
  <c r="K187" i="1"/>
  <c r="I228" i="1"/>
  <c r="I258" i="1"/>
  <c r="E186" i="1"/>
  <c r="K186" i="1"/>
  <c r="I227" i="1"/>
  <c r="I257" i="1"/>
  <c r="E177" i="1"/>
  <c r="K177" i="1"/>
  <c r="I218" i="1"/>
  <c r="I248" i="1"/>
  <c r="E179" i="1"/>
  <c r="K179" i="1"/>
  <c r="I220" i="1"/>
  <c r="I250" i="1"/>
  <c r="E173" i="1"/>
  <c r="K173" i="1"/>
  <c r="I214" i="1"/>
  <c r="I244" i="1"/>
  <c r="E188" i="1"/>
  <c r="K188" i="1"/>
  <c r="I229" i="1"/>
  <c r="I259" i="1"/>
  <c r="E178" i="1"/>
  <c r="K178" i="1"/>
  <c r="I219" i="1"/>
  <c r="I249" i="1"/>
  <c r="B5" i="1"/>
  <c r="S2" i="2"/>
  <c r="F20" i="3"/>
  <c r="F21" i="3"/>
  <c r="B297" i="1"/>
  <c r="B298" i="1"/>
  <c r="B295" i="1"/>
  <c r="N35" i="2"/>
  <c r="N59" i="2"/>
  <c r="N60" i="2"/>
  <c r="B296" i="1"/>
  <c r="B276" i="1"/>
  <c r="B291" i="1"/>
  <c r="B287" i="1"/>
  <c r="B283" i="1"/>
  <c r="B273" i="1"/>
  <c r="B271" i="1"/>
  <c r="B272" i="1"/>
  <c r="B284" i="1"/>
  <c r="B282" i="1"/>
  <c r="B278" i="1"/>
  <c r="B279" i="1"/>
  <c r="B288" i="1"/>
  <c r="B281" i="1"/>
  <c r="B285" i="1"/>
  <c r="B280" i="1"/>
  <c r="B274" i="1"/>
  <c r="B289" i="1"/>
  <c r="B286" i="1"/>
  <c r="B275" i="1"/>
  <c r="B269" i="1"/>
  <c r="E35" i="2"/>
  <c r="B290" i="1"/>
  <c r="B270" i="1"/>
  <c r="B277" i="1"/>
  <c r="B292" i="1"/>
  <c r="P48" i="2"/>
  <c r="P46" i="2"/>
  <c r="P41" i="2"/>
  <c r="P36" i="2"/>
  <c r="P45" i="2"/>
  <c r="P51" i="2"/>
  <c r="F28" i="1"/>
  <c r="F30" i="1"/>
  <c r="R6" i="2"/>
  <c r="P131" i="2"/>
  <c r="F10" i="3"/>
  <c r="D10" i="3"/>
  <c r="H10" i="3"/>
  <c r="P40" i="2"/>
  <c r="P38" i="2"/>
  <c r="P50" i="2"/>
  <c r="P55" i="2"/>
  <c r="P42" i="2"/>
  <c r="P43" i="2"/>
  <c r="H206" i="1"/>
  <c r="N161" i="2"/>
  <c r="C157" i="1"/>
  <c r="N162" i="2"/>
  <c r="N164" i="2"/>
  <c r="J10" i="3"/>
  <c r="K10" i="3"/>
  <c r="L10" i="3"/>
  <c r="G241" i="1"/>
  <c r="D68" i="1"/>
  <c r="G28" i="1"/>
  <c r="G30" i="1"/>
  <c r="F13" i="1"/>
  <c r="F14" i="3"/>
  <c r="H14" i="3"/>
  <c r="D14" i="3"/>
  <c r="D273" i="1"/>
  <c r="D286" i="1"/>
  <c r="D279" i="1"/>
  <c r="D278" i="1"/>
  <c r="D283" i="1"/>
  <c r="D282" i="1"/>
  <c r="D288" i="1"/>
  <c r="D269" i="1"/>
  <c r="F35" i="2"/>
  <c r="D272" i="1"/>
  <c r="D292" i="1"/>
  <c r="D275" i="1"/>
  <c r="D284" i="1"/>
  <c r="D291" i="1"/>
  <c r="D274" i="1"/>
  <c r="D270" i="1"/>
  <c r="D289" i="1"/>
  <c r="D277" i="1"/>
  <c r="D285" i="1"/>
  <c r="D280" i="1"/>
  <c r="D287" i="1"/>
  <c r="D276" i="1"/>
  <c r="D271" i="1"/>
  <c r="D281" i="1"/>
  <c r="D290" i="1"/>
  <c r="D300" i="1"/>
  <c r="D315" i="1"/>
  <c r="D318" i="1"/>
  <c r="D305" i="1"/>
  <c r="D303" i="1"/>
  <c r="D302" i="1"/>
  <c r="D301" i="1"/>
  <c r="D297" i="1"/>
  <c r="D306" i="1"/>
  <c r="D299" i="1"/>
  <c r="D308" i="1"/>
  <c r="D298" i="1"/>
  <c r="D307" i="1"/>
  <c r="D313" i="1"/>
  <c r="D310" i="1"/>
  <c r="D316" i="1"/>
  <c r="D296" i="1"/>
  <c r="D304" i="1"/>
  <c r="D311" i="1"/>
  <c r="D309" i="1"/>
  <c r="D312" i="1"/>
  <c r="D295" i="1"/>
  <c r="O35" i="2"/>
  <c r="O59" i="2"/>
  <c r="O60" i="2"/>
  <c r="O161" i="2"/>
  <c r="D317" i="1"/>
  <c r="D314" i="1"/>
  <c r="F29" i="1"/>
  <c r="H167" i="1"/>
  <c r="Q134" i="2"/>
  <c r="H166" i="1"/>
  <c r="Q133" i="2"/>
  <c r="H165" i="1"/>
  <c r="Q132" i="2"/>
  <c r="I88" i="1"/>
  <c r="I89" i="1"/>
  <c r="I86" i="1"/>
  <c r="I97" i="1"/>
  <c r="H99" i="1"/>
  <c r="I47" i="1"/>
  <c r="E59" i="1"/>
  <c r="I55" i="1"/>
  <c r="E67" i="1"/>
  <c r="I49" i="1"/>
  <c r="E61" i="1"/>
  <c r="I50" i="1"/>
  <c r="E62" i="1"/>
  <c r="I51" i="1"/>
  <c r="E63" i="1"/>
  <c r="I54" i="1"/>
  <c r="E66" i="1"/>
  <c r="I53" i="1"/>
  <c r="I48" i="1"/>
  <c r="E60" i="1"/>
  <c r="I52" i="1"/>
  <c r="G7" i="1"/>
  <c r="F177" i="1"/>
  <c r="L177" i="1"/>
  <c r="K218" i="1"/>
  <c r="K248" i="1"/>
  <c r="F174" i="1"/>
  <c r="L174" i="1"/>
  <c r="K215" i="1"/>
  <c r="K245" i="1"/>
  <c r="F189" i="1"/>
  <c r="L189" i="1"/>
  <c r="K230" i="1"/>
  <c r="K260" i="1"/>
  <c r="F194" i="1"/>
  <c r="L194" i="1"/>
  <c r="K235" i="1"/>
  <c r="K265" i="1"/>
  <c r="F176" i="1"/>
  <c r="L176" i="1"/>
  <c r="K217" i="1"/>
  <c r="K247" i="1"/>
  <c r="F186" i="1"/>
  <c r="L186" i="1"/>
  <c r="K227" i="1"/>
  <c r="K257" i="1"/>
  <c r="F185" i="1"/>
  <c r="L185" i="1"/>
  <c r="K226" i="1"/>
  <c r="K256" i="1"/>
  <c r="K212" i="1"/>
  <c r="K242" i="1"/>
  <c r="F181" i="1"/>
  <c r="L181" i="1"/>
  <c r="K222" i="1"/>
  <c r="K252" i="1"/>
  <c r="F188" i="1"/>
  <c r="L188" i="1"/>
  <c r="K229" i="1"/>
  <c r="K259" i="1"/>
  <c r="F193" i="1"/>
  <c r="L193" i="1"/>
  <c r="K234" i="1"/>
  <c r="K264" i="1"/>
  <c r="R2" i="2"/>
  <c r="F180" i="1"/>
  <c r="L180" i="1"/>
  <c r="K221" i="1"/>
  <c r="K251" i="1"/>
  <c r="G27" i="1"/>
  <c r="F172" i="1"/>
  <c r="L172" i="1"/>
  <c r="K213" i="1"/>
  <c r="K243" i="1"/>
  <c r="F179" i="1"/>
  <c r="L179" i="1"/>
  <c r="K220" i="1"/>
  <c r="K250" i="1"/>
  <c r="F173" i="1"/>
  <c r="L173" i="1"/>
  <c r="K214" i="1"/>
  <c r="K244" i="1"/>
  <c r="F178" i="1"/>
  <c r="L178" i="1"/>
  <c r="K219" i="1"/>
  <c r="K249" i="1"/>
  <c r="F184" i="1"/>
  <c r="L184" i="1"/>
  <c r="K225" i="1"/>
  <c r="K255" i="1"/>
  <c r="F175" i="1"/>
  <c r="L175" i="1"/>
  <c r="K216" i="1"/>
  <c r="K246" i="1"/>
  <c r="F192" i="1"/>
  <c r="L192" i="1"/>
  <c r="K233" i="1"/>
  <c r="K263" i="1"/>
  <c r="F191" i="1"/>
  <c r="L191" i="1"/>
  <c r="K232" i="1"/>
  <c r="K262" i="1"/>
  <c r="F182" i="1"/>
  <c r="L182" i="1"/>
  <c r="K223" i="1"/>
  <c r="K253" i="1"/>
  <c r="F190" i="1"/>
  <c r="L190" i="1"/>
  <c r="K231" i="1"/>
  <c r="K261" i="1"/>
  <c r="F187" i="1"/>
  <c r="L187" i="1"/>
  <c r="K228" i="1"/>
  <c r="K258" i="1"/>
  <c r="F183" i="1"/>
  <c r="L183" i="1"/>
  <c r="K224" i="1"/>
  <c r="K254" i="1"/>
  <c r="F10" i="1"/>
  <c r="H5" i="3"/>
  <c r="H6" i="3"/>
  <c r="D157" i="1"/>
  <c r="C159" i="1"/>
  <c r="C158" i="1"/>
  <c r="J6" i="3"/>
  <c r="F14" i="1"/>
  <c r="H199" i="1"/>
  <c r="H205" i="1"/>
  <c r="H207" i="1"/>
  <c r="G13" i="1"/>
  <c r="I206" i="1"/>
  <c r="G29" i="1"/>
  <c r="I165" i="1"/>
  <c r="R132" i="2"/>
  <c r="S132" i="2"/>
  <c r="I167" i="1"/>
  <c r="R134" i="2"/>
  <c r="I166" i="1"/>
  <c r="R133" i="2"/>
  <c r="S133" i="2"/>
  <c r="I56" i="1"/>
  <c r="E64" i="1"/>
  <c r="Q131" i="2"/>
  <c r="Q17" i="2"/>
  <c r="Q24" i="2"/>
  <c r="Q8" i="2"/>
  <c r="Q19" i="2"/>
  <c r="Q26" i="2"/>
  <c r="Q10" i="2"/>
  <c r="Q159" i="2"/>
  <c r="Q29" i="2"/>
  <c r="Q13" i="2"/>
  <c r="Q20" i="2"/>
  <c r="Q7" i="2"/>
  <c r="Q15" i="2"/>
  <c r="Q22" i="2"/>
  <c r="J33" i="2"/>
  <c r="F271" i="1"/>
  <c r="F279" i="1"/>
  <c r="F276" i="1"/>
  <c r="F282" i="1"/>
  <c r="F284" i="1"/>
  <c r="F278" i="1"/>
  <c r="F272" i="1"/>
  <c r="F291" i="1"/>
  <c r="F269" i="1"/>
  <c r="H35" i="2"/>
  <c r="F289" i="1"/>
  <c r="F273" i="1"/>
  <c r="F270" i="1"/>
  <c r="F274" i="1"/>
  <c r="F280" i="1"/>
  <c r="F292" i="1"/>
  <c r="F277" i="1"/>
  <c r="F290" i="1"/>
  <c r="F286" i="1"/>
  <c r="F281" i="1"/>
  <c r="F275" i="1"/>
  <c r="F287" i="1"/>
  <c r="F285" i="1"/>
  <c r="F283" i="1"/>
  <c r="F288" i="1"/>
  <c r="F318" i="1"/>
  <c r="F307" i="1"/>
  <c r="F299" i="1"/>
  <c r="F303" i="1"/>
  <c r="F317" i="1"/>
  <c r="F297" i="1"/>
  <c r="F309" i="1"/>
  <c r="F308" i="1"/>
  <c r="F301" i="1"/>
  <c r="F305" i="1"/>
  <c r="F295" i="1"/>
  <c r="P35" i="2"/>
  <c r="P59" i="2"/>
  <c r="P60" i="2"/>
  <c r="E157" i="1"/>
  <c r="P162" i="2"/>
  <c r="F312" i="1"/>
  <c r="F304" i="1"/>
  <c r="F296" i="1"/>
  <c r="F311" i="1"/>
  <c r="F300" i="1"/>
  <c r="F310" i="1"/>
  <c r="F302" i="1"/>
  <c r="F313" i="1"/>
  <c r="F314" i="1"/>
  <c r="F316" i="1"/>
  <c r="F306" i="1"/>
  <c r="F315" i="1"/>
  <c r="F298" i="1"/>
  <c r="G10" i="1"/>
  <c r="L33" i="2"/>
  <c r="S134" i="2"/>
  <c r="Q25" i="2"/>
  <c r="Q9" i="2"/>
  <c r="Q16" i="2"/>
  <c r="Q27" i="2"/>
  <c r="Q11" i="2"/>
  <c r="Q18" i="2"/>
  <c r="E69" i="1"/>
  <c r="H198" i="1"/>
  <c r="E70" i="1"/>
  <c r="D159" i="1"/>
  <c r="D158" i="1"/>
  <c r="K86" i="1"/>
  <c r="K97" i="1"/>
  <c r="J99" i="1"/>
  <c r="K88" i="1"/>
  <c r="K89" i="1"/>
  <c r="K51" i="1"/>
  <c r="F63" i="1"/>
  <c r="K48" i="1"/>
  <c r="F60" i="1"/>
  <c r="K50" i="1"/>
  <c r="F62" i="1"/>
  <c r="K53" i="1"/>
  <c r="K52" i="1"/>
  <c r="K49" i="1"/>
  <c r="F61" i="1"/>
  <c r="K54" i="1"/>
  <c r="F66" i="1"/>
  <c r="K55" i="1"/>
  <c r="F67" i="1"/>
  <c r="K47" i="1"/>
  <c r="F59" i="1"/>
  <c r="J14" i="3"/>
  <c r="K14" i="3"/>
  <c r="L14" i="3"/>
  <c r="Q21" i="2"/>
  <c r="Q28" i="2"/>
  <c r="Q12" i="2"/>
  <c r="Q23" i="2"/>
  <c r="Q30" i="2"/>
  <c r="Q14" i="2"/>
  <c r="O162" i="2"/>
  <c r="M5" i="3"/>
  <c r="K5" i="3"/>
  <c r="K6" i="3"/>
  <c r="L6" i="3"/>
  <c r="N165" i="2"/>
  <c r="P161" i="2"/>
  <c r="R159" i="2"/>
  <c r="Q58" i="2"/>
  <c r="Q51" i="2"/>
  <c r="H9" i="3"/>
  <c r="O164" i="2"/>
  <c r="Q53" i="2"/>
  <c r="Q42" i="2"/>
  <c r="Q56" i="2"/>
  <c r="K56" i="1"/>
  <c r="F64" i="1"/>
  <c r="Q55" i="2"/>
  <c r="Q43" i="2"/>
  <c r="Q57" i="2"/>
  <c r="Q54" i="2"/>
  <c r="Q45" i="2"/>
  <c r="I241" i="1"/>
  <c r="E68" i="1"/>
  <c r="R12" i="2"/>
  <c r="S12" i="2"/>
  <c r="R18" i="2"/>
  <c r="S18" i="2"/>
  <c r="R25" i="2"/>
  <c r="R9" i="2"/>
  <c r="R16" i="2"/>
  <c r="S16" i="2"/>
  <c r="R19" i="2"/>
  <c r="S19" i="2"/>
  <c r="E159" i="1"/>
  <c r="E158" i="1"/>
  <c r="H309" i="1"/>
  <c r="Q49" i="2"/>
  <c r="H304" i="1"/>
  <c r="Q44" i="2"/>
  <c r="G14" i="1"/>
  <c r="I199" i="1"/>
  <c r="I205" i="1"/>
  <c r="I207" i="1"/>
  <c r="Q35" i="2"/>
  <c r="H295" i="1"/>
  <c r="Q31" i="2"/>
  <c r="Q47" i="2"/>
  <c r="H307" i="1"/>
  <c r="R30" i="2"/>
  <c r="S30" i="2"/>
  <c r="R14" i="2"/>
  <c r="R21" i="2"/>
  <c r="R20" i="2"/>
  <c r="S20" i="2"/>
  <c r="R7" i="2"/>
  <c r="R15" i="2"/>
  <c r="P164" i="2"/>
  <c r="P165" i="2"/>
  <c r="H13" i="3"/>
  <c r="H306" i="1"/>
  <c r="Q46" i="2"/>
  <c r="H297" i="1"/>
  <c r="Q37" i="2"/>
  <c r="S9" i="2"/>
  <c r="Q48" i="2"/>
  <c r="H308" i="1"/>
  <c r="S159" i="2"/>
  <c r="Q36" i="2"/>
  <c r="H296" i="1"/>
  <c r="R26" i="2"/>
  <c r="S26" i="2"/>
  <c r="R10" i="2"/>
  <c r="S10" i="2"/>
  <c r="R17" i="2"/>
  <c r="R8" i="2"/>
  <c r="S8" i="2"/>
  <c r="R27" i="2"/>
  <c r="S27" i="2"/>
  <c r="R11" i="2"/>
  <c r="S11" i="2"/>
  <c r="Q40" i="2"/>
  <c r="H300" i="1"/>
  <c r="Q39" i="2"/>
  <c r="H299" i="1"/>
  <c r="Q50" i="2"/>
  <c r="H310" i="1"/>
  <c r="H301" i="1"/>
  <c r="Q41" i="2"/>
  <c r="H298" i="1"/>
  <c r="Q38" i="2"/>
  <c r="H312" i="1"/>
  <c r="Q52" i="2"/>
  <c r="R131" i="2"/>
  <c r="S131" i="2"/>
  <c r="R24" i="2"/>
  <c r="S24" i="2"/>
  <c r="R22" i="2"/>
  <c r="R29" i="2"/>
  <c r="R13" i="2"/>
  <c r="S13" i="2"/>
  <c r="R28" i="2"/>
  <c r="R23" i="2"/>
  <c r="I198" i="1"/>
  <c r="M6" i="3"/>
  <c r="R50" i="2"/>
  <c r="S22" i="2"/>
  <c r="R36" i="2"/>
  <c r="S36" i="2"/>
  <c r="R49" i="2"/>
  <c r="S49" i="2"/>
  <c r="S21" i="2"/>
  <c r="R53" i="2"/>
  <c r="H276" i="1"/>
  <c r="H277" i="1"/>
  <c r="H285" i="1"/>
  <c r="H292" i="1"/>
  <c r="H291" i="1"/>
  <c r="H274" i="1"/>
  <c r="H275" i="1"/>
  <c r="H283" i="1"/>
  <c r="H270" i="1"/>
  <c r="H280" i="1"/>
  <c r="H290" i="1"/>
  <c r="H284" i="1"/>
  <c r="H273" i="1"/>
  <c r="H281" i="1"/>
  <c r="H286" i="1"/>
  <c r="H289" i="1"/>
  <c r="H278" i="1"/>
  <c r="H282" i="1"/>
  <c r="H272" i="1"/>
  <c r="H279" i="1"/>
  <c r="H287" i="1"/>
  <c r="H288" i="1"/>
  <c r="H269" i="1"/>
  <c r="J35" i="2"/>
  <c r="H271" i="1"/>
  <c r="S25" i="2"/>
  <c r="O165" i="2"/>
  <c r="R51" i="2"/>
  <c r="S51" i="2"/>
  <c r="R52" i="2"/>
  <c r="S52" i="2"/>
  <c r="R45" i="2"/>
  <c r="S45" i="2"/>
  <c r="R43" i="2"/>
  <c r="S43" i="2"/>
  <c r="R42" i="2"/>
  <c r="S42" i="2"/>
  <c r="Q59" i="2"/>
  <c r="Q60" i="2"/>
  <c r="R47" i="2"/>
  <c r="S47" i="2"/>
  <c r="R46" i="2"/>
  <c r="S46" i="2"/>
  <c r="S17" i="2"/>
  <c r="H314" i="1"/>
  <c r="H317" i="1"/>
  <c r="K241" i="1"/>
  <c r="J313" i="1"/>
  <c r="F68" i="1"/>
  <c r="S14" i="2"/>
  <c r="S53" i="2"/>
  <c r="M9" i="3"/>
  <c r="K9" i="3"/>
  <c r="R56" i="2"/>
  <c r="S56" i="2"/>
  <c r="J301" i="1"/>
  <c r="R41" i="2"/>
  <c r="S41" i="2"/>
  <c r="S50" i="2"/>
  <c r="R39" i="2"/>
  <c r="S39" i="2"/>
  <c r="R38" i="2"/>
  <c r="S38" i="2"/>
  <c r="R35" i="2"/>
  <c r="S35" i="2"/>
  <c r="R31" i="2"/>
  <c r="R58" i="2"/>
  <c r="S58" i="2"/>
  <c r="J318" i="1"/>
  <c r="S7" i="2"/>
  <c r="R44" i="2"/>
  <c r="S44" i="2"/>
  <c r="R40" i="2"/>
  <c r="S40" i="2"/>
  <c r="H305" i="1"/>
  <c r="S15" i="2"/>
  <c r="H315" i="1"/>
  <c r="S28" i="2"/>
  <c r="H302" i="1"/>
  <c r="H313" i="1"/>
  <c r="S23" i="2"/>
  <c r="R57" i="2"/>
  <c r="S57" i="2"/>
  <c r="R55" i="2"/>
  <c r="S55" i="2"/>
  <c r="R54" i="2"/>
  <c r="S54" i="2"/>
  <c r="M13" i="3"/>
  <c r="K13" i="3"/>
  <c r="M14" i="3"/>
  <c r="R48" i="2"/>
  <c r="S48" i="2"/>
  <c r="J308" i="1"/>
  <c r="R37" i="2"/>
  <c r="S37" i="2"/>
  <c r="J297" i="1"/>
  <c r="S29" i="2"/>
  <c r="H303" i="1"/>
  <c r="H316" i="1"/>
  <c r="H311" i="1"/>
  <c r="H318" i="1"/>
  <c r="J314" i="1"/>
  <c r="J317" i="1"/>
  <c r="J304" i="1"/>
  <c r="J298" i="1"/>
  <c r="J316" i="1"/>
  <c r="J307" i="1"/>
  <c r="J311" i="1"/>
  <c r="J296" i="1"/>
  <c r="J303" i="1"/>
  <c r="J315" i="1"/>
  <c r="J300" i="1"/>
  <c r="J295" i="1"/>
  <c r="J299" i="1"/>
  <c r="F70" i="1"/>
  <c r="F69" i="1"/>
  <c r="J309" i="1"/>
  <c r="J305" i="1"/>
  <c r="M10" i="3"/>
  <c r="R59" i="2"/>
  <c r="R60" i="2"/>
  <c r="J274" i="1"/>
  <c r="J286" i="1"/>
  <c r="J269" i="1"/>
  <c r="L35" i="2"/>
  <c r="J280" i="1"/>
  <c r="J275" i="1"/>
  <c r="J291" i="1"/>
  <c r="J292" i="1"/>
  <c r="J281" i="1"/>
  <c r="J270" i="1"/>
  <c r="J278" i="1"/>
  <c r="J272" i="1"/>
  <c r="J289" i="1"/>
  <c r="J287" i="1"/>
  <c r="J271" i="1"/>
  <c r="J283" i="1"/>
  <c r="J276" i="1"/>
  <c r="J284" i="1"/>
  <c r="J290" i="1"/>
  <c r="J288" i="1"/>
  <c r="J279" i="1"/>
  <c r="J285" i="1"/>
  <c r="J282" i="1"/>
  <c r="J277" i="1"/>
  <c r="J273" i="1"/>
  <c r="J306" i="1"/>
  <c r="J302" i="1"/>
  <c r="J312" i="1"/>
  <c r="S59" i="2"/>
  <c r="F157" i="1"/>
  <c r="Q161" i="2"/>
  <c r="J310" i="1"/>
  <c r="S31" i="2"/>
  <c r="S60" i="2"/>
  <c r="R161" i="2"/>
  <c r="S161" i="2"/>
  <c r="G157" i="1"/>
  <c r="R162" i="2"/>
  <c r="F159" i="1"/>
  <c r="F158" i="1"/>
  <c r="Q162" i="2"/>
  <c r="H157" i="1"/>
  <c r="R164" i="2"/>
  <c r="R165" i="2"/>
  <c r="H20" i="3"/>
  <c r="G159" i="1"/>
  <c r="H159" i="1"/>
  <c r="G158" i="1"/>
  <c r="H158" i="1"/>
  <c r="H17" i="3"/>
  <c r="Q164" i="2"/>
  <c r="S162" i="2"/>
  <c r="Q165" i="2"/>
  <c r="S164" i="2"/>
  <c r="S165" i="2"/>
  <c r="J17" i="3"/>
  <c r="K17" i="3"/>
  <c r="M17" i="3"/>
  <c r="M20" i="3"/>
  <c r="J20" i="3"/>
  <c r="K20" i="3"/>
  <c r="K21" i="3"/>
  <c r="M21" i="3"/>
  <c r="K18" i="3"/>
  <c r="M18" i="3"/>
  <c r="K22" i="3"/>
  <c r="M22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<sst xmlns="http://schemas.openxmlformats.org/spreadsheetml/2006/main" count="413" uniqueCount="200">
  <si>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</si>
  <si>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</si>
  <si>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</si>
  <si>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</si>
  <si>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</si>
  <si>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</si>
  <si>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</si>
  <si>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</si>
  <si>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</si>
  <si>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</si>
  <si>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</si>
  <si>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</si>
  <si>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</si>
  <si>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</si>
  <si>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</si>
  <si>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</si>
  <si>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</si>
  <si>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</si>
  <si>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</si>
  <si>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</si>
  <si>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</si>
  <si>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</si>
  <si>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</si>
  <si>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</si>
  <si>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</si>
  <si>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</si>
  <si>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</si>
  <si>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</si>
  <si>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</si>
  <si>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</si>
  <si>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</si>
  <si>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</si>
  <si>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</si>
  <si>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</si>
  <si>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</si>
  <si>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</si>
  <si>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</si>
  <si>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</si>
  <si>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</si>
  <si>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</si>
  <si>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</si>
  <si>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</si>
  <si>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</si>
  <si>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</si>
  <si>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</si>
  <si>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</si>
  <si>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</si>
  <si>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</si>
  <si>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</si>
  <si>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</si>
  <si>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</si>
  <si>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</si>
  <si>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</si>
  <si>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</si>
  <si>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</si>
  <si>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</si>
  <si>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</si>
  <si>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</si>
  <si>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</si>
  <si>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</si>
  <si>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</si>
  <si>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</si>
  <si>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</si>
  <si>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</si>
  <si>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</si>
  <si>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</si>
  <si>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</si>
  <si>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</si>
  <si>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</si>
  <si>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</si>
  <si>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</si>
  <si>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</si>
  <si>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</si>
  <si>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</si>
  <si>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</si>
  <si>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</si>
  <si>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</si>
  <si>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</si>
  <si>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</si>
  <si>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</si>
  <si>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</si>
  <si>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</si>
  <si>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</si>
  <si>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</si>
  <si>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</si>
  <si>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</si>
  <si>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</si>
  <si>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</si>
  <si>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</si>
  <si>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</si>
  <si>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</si>
  <si>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</si>
  <si>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</si>
  <si>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</si>
  <si>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</si>
  <si>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</si>
  <si>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</si>
  <si>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</si>
  <si>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</si>
  <si>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</si>
  <si>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</si>
  <si>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</si>
  <si>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</si>
  <si>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</si>
  <si>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</si>
  <si>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</si>
  <si>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</si>
  <si>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</si>
  <si>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</si>
  <si>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</si>
  <si>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</si>
  <si>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</si>
  <si>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</si>
  <si>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</si>
  <si>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</si>
  <si>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</si>
  <si>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</si>
  <si>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</si>
  <si>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</si>
  <si>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</si>
  <si>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</si>
  <si>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</si>
  <si>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</si>
  <si>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</si>
  <si>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</si>
  <si>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</si>
  <si>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</si>
  <si>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</si>
  <si>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</si>
  <si>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</si>
  <si>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</si>
  <si>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</si>
  <si>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</si>
  <si>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</si>
  <si>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</si>
  <si>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</si>
  <si>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</si>
  <si>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</si>
  <si>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</si>
  <si>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</si>
  <si>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</si>
  <si>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</si>
  <si>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</si>
  <si>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</si>
  <si>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</si>
  <si>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</si>
  <si>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</si>
  <si>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</si>
  <si>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</si>
  <si>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</si>
  <si>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</si>
  <si>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</si>
  <si>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</si>
  <si>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</si>
  <si>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</si>
  <si>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</si>
  <si>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</si>
  <si>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</si>
  <si>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</si>
  <si>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</si>
  <si>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</si>
  <si>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</si>
  <si>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</si>
  <si>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</si>
  <si>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</si>
  <si>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</si>
  <si>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</si>
  <si>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</si>
  <si>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</si>
  <si>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</si>
  <si>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</si>
  <si>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</si>
  <si>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</si>
  <si>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</si>
  <si>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</si>
  <si>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</si>
  <si>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</si>
  <si>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</si>
  <si>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</si>
  <si>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</si>
  <si>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</si>
  <si>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</si>
  <si>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</si>
  <si>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</si>
  <si>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</si>
  <si>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</si>
  <si>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</si>
  <si>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FY</t>
  </si>
  <si>
    <t>Federal</t>
  </si>
  <si>
    <t>Yes</t>
  </si>
  <si>
    <t>TBN (GSR IV)</t>
  </si>
  <si>
    <t>P. Ullrich (PI)</t>
  </si>
  <si>
    <t>Ullrich</t>
  </si>
  <si>
    <t>Computer workstations</t>
  </si>
  <si>
    <t>Software licenses</t>
  </si>
  <si>
    <t>Int'l Assoc. of Meteorology and Atmospheric Sciences (IAMAS) Cape Town South Africa conference</t>
  </si>
  <si>
    <t>European Geophysical Union (EGU) annual meeting Vienna, Austria</t>
  </si>
  <si>
    <t>American Geophysical Union (AGU) fall meeting San Francisco</t>
  </si>
  <si>
    <t>Publication Charges</t>
  </si>
  <si>
    <t>American Meteorological Society (AMS) annual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</si>
</sst>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&quot;$&quot;#,##0"/>
    <numFmt numFmtId="168" formatCode="_(* #,##0.000_);_(* \(#,##0.000\);_(* &quot;-&quot;??_);_(@_)"/>
    <numFmt numFmtId="169" formatCode="0.0%"/>
    <numFmt numFmtId="170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25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43" fontId="2" fillId="2" borderId="4" xfId="0" applyNumberFormat="1" applyFont="1" applyFill="1" applyBorder="1" applyAlignment="1">
      <alignment horizontal="right"/>
    </xf>
    <xf numFmtId="43" fontId="2" fillId="2" borderId="4" xfId="1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43" fontId="2" fillId="2" borderId="0" xfId="0" applyNumberFormat="1" applyFont="1" applyFill="1"/>
    <xf numFmtId="43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6" fontId="2" fillId="2" borderId="4" xfId="0" applyNumberFormat="1" applyFont="1" applyFill="1" applyBorder="1"/>
    <xf numFmtId="43" fontId="2" fillId="2" borderId="4" xfId="1" applyFont="1" applyFill="1" applyBorder="1" applyAlignment="1">
      <alignment horizontal="right" wrapText="1"/>
    </xf>
    <xf numFmtId="43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43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43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43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4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4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4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43" fontId="10" fillId="2" borderId="0" xfId="0" applyNumberFormat="1" applyFont="1" applyFill="1"/>
    <xf numFmtId="0" fontId="10" fillId="2" borderId="4" xfId="0" applyFont="1" applyFill="1" applyBorder="1"/>
    <xf numFmtId="164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4" fontId="6" fillId="2" borderId="0" xfId="1" applyNumberFormat="1" applyFont="1" applyFill="1" applyBorder="1"/>
    <xf numFmtId="43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7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43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43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5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68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9" fontId="14" fillId="2" borderId="0" xfId="7" applyNumberFormat="1" applyFont="1" applyFill="1" applyBorder="1" applyAlignment="1" applyProtection="1">
      <alignment vertical="top" wrapText="1"/>
      <protection locked="0"/>
    </xf>
    <xf numFmtId="16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4" fontId="14" fillId="2" borderId="0" xfId="6" applyNumberFormat="1" applyFont="1" applyFill="1" applyBorder="1" applyAlignment="1" applyProtection="1">
      <alignment horizontal="center"/>
      <protection locked="0"/>
    </xf>
    <xf numFmtId="43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9" fontId="14" fillId="2" borderId="6" xfId="7" applyNumberFormat="1" applyFont="1" applyFill="1" applyBorder="1" applyAlignment="1" applyProtection="1">
      <alignment vertical="top" wrapText="1"/>
      <protection locked="0"/>
    </xf>
    <xf numFmtId="16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4" fontId="14" fillId="2" borderId="6" xfId="6" applyNumberFormat="1" applyFont="1" applyFill="1" applyBorder="1" applyAlignment="1" applyProtection="1">
      <alignment horizontal="center"/>
      <protection locked="0"/>
    </xf>
    <xf numFmtId="43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69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4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69" fontId="14" fillId="2" borderId="0" xfId="6" applyNumberFormat="1" applyFont="1" applyFill="1" applyBorder="1" applyAlignment="1" applyProtection="1">
      <protection locked="0"/>
    </xf>
    <xf numFmtId="164" fontId="8" fillId="2" borderId="2" xfId="0" applyNumberFormat="1" applyFont="1" applyFill="1" applyBorder="1" applyAlignment="1"/>
    <xf numFmtId="164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4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4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4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43" fontId="2" fillId="2" borderId="0" xfId="1" applyFont="1" applyFill="1"/>
    <xf numFmtId="0" fontId="10" fillId="2" borderId="9" xfId="0" applyFont="1" applyFill="1" applyBorder="1" applyAlignment="1">
      <alignment horizontal="center"/>
    </xf>
    <xf numFmtId="43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70" fontId="2" fillId="2" borderId="4" xfId="1" applyNumberFormat="1" applyFont="1" applyFill="1" applyBorder="1" applyAlignment="1">
      <alignment horizontal="right"/>
    </xf>
    <xf numFmtId="169" fontId="2" fillId="2" borderId="4" xfId="2" applyNumberFormat="1" applyFont="1" applyFill="1" applyBorder="1"/>
    <xf numFmtId="0" fontId="10" fillId="2" borderId="2" xfId="0" applyFont="1" applyFill="1" applyBorder="1"/>
    <xf numFmtId="0" fontId="10" fillId="2" borderId="0" xfId="0" applyFont="1" applyFill="1"/>
    <xf numFmtId="0" fontId="10" fillId="2" borderId="4" xfId="0" applyFont="1" applyFill="1" applyBorder="1" applyAlignment="1">
      <alignment horizontal="center"/>
    </xf>
    <xf numFmtId="0" fontId="10" fillId="2" borderId="2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64" fontId="10" fillId="2" borderId="2" xfId="0" applyNumberFormat="1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164" fontId="10" fillId="2" borderId="1" xfId="1" applyNumberFormat="1" applyFont="1" applyFill="1" applyBorder="1" applyAlignment="1">
      <alignment horizontal="right"/>
    </xf>
    <xf numFmtId="164" fontId="10" fillId="2" borderId="3" xfId="1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4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64" fontId="14" fillId="2" borderId="0" xfId="3" applyNumberFormat="1" applyFont="1" applyFill="1" applyBorder="1" applyAlignment="1" applyProtection="1">
      <alignment horizontal="right" vertical="top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</cellXfs>
  <cellStyles count="23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Followed Hyperlink" xfId="22" builtinId="9" hidden="1"/>
    <cellStyle name="Hyperlink" xfId="21" builtinId="8" hidden="1"/>
    <cellStyle name="Normal" xfId="0" builtinId="0"/>
    <cellStyle name="Normal 2" xfId="10"/>
    <cellStyle name="Normal 3" xfId="8"/>
    <cellStyle name="Normal 4" xfId="5"/>
    <cellStyle name="Normal 4 2" xfId="20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bunn\Desktop\budget\New%20folder\Budget_Worksheet_B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Request"/>
      <sheetName val="Rate1"/>
      <sheetName val=" F&amp;A_Details"/>
    </sheetNames>
    <sheetDataSet>
      <sheetData sheetId="0">
        <row r="22">
          <cell r="A22" t="str">
            <v>On-Campus Research</v>
          </cell>
        </row>
        <row r="23">
          <cell r="A23" t="str">
            <v>Off-Campus Research</v>
          </cell>
        </row>
        <row r="24">
          <cell r="A24" t="str">
            <v>On-Campus Other Spon Activities</v>
          </cell>
        </row>
        <row r="25">
          <cell r="A25" t="str">
            <v>Off-Campus Other Spon Activities</v>
          </cell>
        </row>
        <row r="26">
          <cell r="A26" t="str">
            <v>Instruction</v>
          </cell>
        </row>
        <row r="27">
          <cell r="A27" t="str">
            <v>Other (Enter Rate):</v>
          </cell>
        </row>
        <row r="32">
          <cell r="A32" t="str">
            <v>MTDC</v>
          </cell>
        </row>
        <row r="33">
          <cell r="A33" t="str">
            <v>TDC</v>
          </cell>
        </row>
        <row r="34">
          <cell r="A34" t="str">
            <v xml:space="preserve">TC </v>
          </cell>
        </row>
        <row r="47">
          <cell r="A47">
            <v>0</v>
          </cell>
          <cell r="B47">
            <v>0</v>
          </cell>
        </row>
        <row r="48">
          <cell r="A48">
            <v>0.01</v>
          </cell>
          <cell r="B48" t="str">
            <v>1% FY</v>
          </cell>
        </row>
        <row r="49">
          <cell r="A49">
            <v>0.02</v>
          </cell>
          <cell r="B49" t="str">
            <v>2% FY</v>
          </cell>
        </row>
        <row r="50">
          <cell r="A50">
            <v>0.03</v>
          </cell>
          <cell r="B50" t="str">
            <v>3% FY</v>
          </cell>
        </row>
        <row r="51">
          <cell r="A51">
            <v>0.04</v>
          </cell>
          <cell r="B51" t="str">
            <v>4% FY</v>
          </cell>
        </row>
        <row r="52">
          <cell r="A52">
            <v>0.05</v>
          </cell>
          <cell r="B52" t="str">
            <v>5% FY</v>
          </cell>
        </row>
        <row r="53">
          <cell r="A53" t="str">
            <v>Multi</v>
          </cell>
          <cell r="B53" t="str">
            <v>1% PY</v>
          </cell>
        </row>
        <row r="54">
          <cell r="B54" t="str">
            <v>2% PY</v>
          </cell>
        </row>
        <row r="55">
          <cell r="B55" t="str">
            <v>3% PY</v>
          </cell>
        </row>
        <row r="56">
          <cell r="B56" t="str">
            <v>4% PY</v>
          </cell>
        </row>
        <row r="57">
          <cell r="B57" t="str">
            <v>5% PY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118" workbookViewId="0">
      <selection activeCell="K134" sqref="K134"/>
    </sheetView>
  </sheetViews>
  <sheetFormatPr defaultColWidth="8.85546875" defaultRowHeight="14.25" x14ac:dyDescent="0.2"/>
  <cols>
    <col min="1" max="1" width="35.140625" style="1" bestFit="1" customWidth="1"/>
    <col min="2" max="2" width="13.42578125" style="1" bestFit="1" customWidth="1"/>
    <col min="3" max="5" width="11.85546875" style="1" bestFit="1" customWidth="1"/>
    <col min="6" max="6" width="11.7109375" style="1" customWidth="1"/>
    <col min="7" max="7" width="11.85546875" style="1" bestFit="1" customWidth="1"/>
    <col min="8" max="8" width="12.42578125" style="1" bestFit="1" customWidth="1"/>
    <col min="9" max="10" width="11.28515625" style="1" bestFit="1" customWidth="1"/>
    <col min="11" max="11" width="10.28515625" style="1" customWidth="1"/>
    <col min="12" max="12" width="10.140625" style="1" bestFit="1" customWidth="1"/>
    <col min="13" max="16384" width="8.85546875" style="1"/>
  </cols>
  <sheetData>
    <row r="1" spans="1:16" x14ac:dyDescent="0.2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 x14ac:dyDescent="0.2">
      <c r="A2" s="6" t="s">
        <v>1</v>
      </c>
      <c r="B2" s="5">
        <f>Request!C1</f>
        <v>42278</v>
      </c>
      <c r="C2" s="5">
        <f>B2</f>
        <v>42278</v>
      </c>
      <c r="D2" s="5">
        <f>IF(C3&lt;B3,DATE(YEAR(C3),MONTH(C3),DAY(C3)+1),"")</f>
        <v>42644</v>
      </c>
      <c r="E2" s="5">
        <f>IF($D$3&lt;$B$3,DATE(YEAR(D3),MONTH(D3),DAY(D3)+1),"")</f>
        <v>43009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 x14ac:dyDescent="0.2">
      <c r="A3" s="6" t="s">
        <v>2</v>
      </c>
      <c r="B3" s="5">
        <f>Request!C2</f>
        <v>43373</v>
      </c>
      <c r="C3" s="5">
        <f>IF((DATE(YEAR(C2)+1,MONTH(C2),DAY(C2)-1))&gt;B3,B3,(DATE(YEAR(C2)+1,MONTH(C2),DAY(C2)-1)))</f>
        <v>42643</v>
      </c>
      <c r="D3" s="5">
        <f>IF(C3=B3,"",IF((DATE(YEAR(D2)+1,MONTH(D2),DAY(D2)-1))&gt;$B$3,$B$3,(DATE(YEAR(D2)+1,MONTH(D2),DAY(D2)-1))))</f>
        <v>43008</v>
      </c>
      <c r="E3" s="5">
        <f>IF(C3=B3,"",IF(D3=B3,"",IF((DATE(YEAR(E2)+1,MONTH(E2),DAY(E2)-1))&gt;$B$3,$B$3,(DATE(YEAR(E2)+1,MONTH(E2),DAY(E2)-1)))))</f>
        <v>43373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 x14ac:dyDescent="0.2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 x14ac:dyDescent="0.2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 x14ac:dyDescent="0.2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9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9</v>
      </c>
      <c r="E6" s="15">
        <f t="shared" si="0"/>
        <v>9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 x14ac:dyDescent="0.2">
      <c r="A7" s="6" t="s">
        <v>29</v>
      </c>
      <c r="B7" s="8"/>
      <c r="C7" s="8">
        <f>IF(ROUND(C5-C6,2)&lt;0,0,ROUND(C5-C6,2))</f>
        <v>3</v>
      </c>
      <c r="D7" s="8">
        <f>IF(ROUND(D5-D6,2)&lt;0,0,ROUND(D5-D6,2))</f>
        <v>3</v>
      </c>
      <c r="E7" s="8">
        <f>IF(ROUND(E5-E6,2)&lt;0,0,ROUND(E5-E6,2))</f>
        <v>3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 x14ac:dyDescent="0.2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 x14ac:dyDescent="0.2">
      <c r="A9" s="6" t="s">
        <v>51</v>
      </c>
      <c r="B9" s="5"/>
      <c r="C9" s="14">
        <f>IF(C5&lt;C6,C5,IF(C5=C6,C5,IF(C5&gt;C6,C6)))</f>
        <v>9</v>
      </c>
      <c r="D9" s="14">
        <f t="shared" ref="D9:E9" si="2">IF(D5&lt;D6,D5,IF(D5=D6,D5,IF(D5&gt;D6,D6)))</f>
        <v>9</v>
      </c>
      <c r="E9" s="14">
        <f t="shared" si="2"/>
        <v>9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 x14ac:dyDescent="0.2">
      <c r="A10" s="6" t="s">
        <v>50</v>
      </c>
      <c r="B10" s="5"/>
      <c r="C10" s="7">
        <f>ROUND(C5-C9,2)</f>
        <v>3</v>
      </c>
      <c r="D10" s="7">
        <f>IF(D4="",0,ROUND(D5-D9,2))</f>
        <v>3</v>
      </c>
      <c r="E10" s="7">
        <f>IF(E4="",0,ROUND(E5-E9,2))</f>
        <v>3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 x14ac:dyDescent="0.2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0.5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0.5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0.5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 x14ac:dyDescent="0.2">
      <c r="A12" s="6" t="s">
        <v>56</v>
      </c>
      <c r="B12" s="5"/>
      <c r="C12" s="7">
        <f>3-C11</f>
        <v>2.5</v>
      </c>
      <c r="D12" s="7">
        <f>IF(D4="",0,3-D11)</f>
        <v>2.5</v>
      </c>
      <c r="E12" s="7">
        <f>IF(E4="",0,3-E11)</f>
        <v>2.5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 x14ac:dyDescent="0.2">
      <c r="A13" s="90" t="s">
        <v>57</v>
      </c>
      <c r="B13" s="91"/>
      <c r="C13" s="92">
        <f>IF(C9&gt;=C11,C11,C9)</f>
        <v>0.5</v>
      </c>
      <c r="D13" s="92">
        <f>IF(D4="",0,IF(D9&gt;=D11,D11,D9))</f>
        <v>0.5</v>
      </c>
      <c r="E13" s="92">
        <f t="shared" ref="E13:G13" si="4">IF(E9&gt;=E11,E11,E9)</f>
        <v>0.5</v>
      </c>
      <c r="F13" s="92">
        <f t="shared" si="4"/>
        <v>0</v>
      </c>
      <c r="G13" s="92">
        <f t="shared" si="4"/>
        <v>0</v>
      </c>
      <c r="H13" s="12"/>
    </row>
    <row r="14" spans="1:16" x14ac:dyDescent="0.2">
      <c r="A14" s="90" t="s">
        <v>58</v>
      </c>
      <c r="B14" s="91"/>
      <c r="C14" s="92">
        <f>IF(C10&gt;=C12,C12,C10)</f>
        <v>2.5</v>
      </c>
      <c r="D14" s="92">
        <f t="shared" ref="D14:G14" si="5">IF(D10&gt;=D12,D12,D10)</f>
        <v>2.5</v>
      </c>
      <c r="E14" s="92">
        <f t="shared" si="5"/>
        <v>2.5</v>
      </c>
      <c r="F14" s="92">
        <f t="shared" si="5"/>
        <v>0</v>
      </c>
      <c r="G14" s="92">
        <f t="shared" si="5"/>
        <v>0</v>
      </c>
      <c r="H14" s="12"/>
    </row>
    <row r="15" spans="1:16" x14ac:dyDescent="0.2">
      <c r="A15" s="6" t="s">
        <v>60</v>
      </c>
      <c r="B15" s="5">
        <f ca="1">TODAY()</f>
        <v>42086</v>
      </c>
      <c r="C15" s="30"/>
      <c r="D15" s="31"/>
      <c r="E15" s="31"/>
      <c r="F15" s="31"/>
      <c r="G15" s="32"/>
      <c r="H15" s="12"/>
    </row>
    <row r="16" spans="1:16" x14ac:dyDescent="0.2">
      <c r="A16" s="6" t="s">
        <v>62</v>
      </c>
      <c r="B16" s="5" t="str">
        <f ca="1"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 x14ac:dyDescent="0.2">
      <c r="A17" s="6" t="s">
        <v>63</v>
      </c>
      <c r="B17" s="5" t="str">
        <f ca="1"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 x14ac:dyDescent="0.2">
      <c r="A18" s="6" t="s">
        <v>61</v>
      </c>
      <c r="B18" s="208">
        <f ca="1">ROUND(IF(B16="","",YEARFRAC(B15,(DATE(YEAR(B17),MONTH(B17),DAY(B17)+1)),1)*12),1)</f>
        <v>3.3</v>
      </c>
      <c r="C18" s="33"/>
      <c r="D18" s="13"/>
      <c r="E18" s="13"/>
      <c r="F18" s="13"/>
      <c r="G18" s="34"/>
      <c r="H18" s="12"/>
    </row>
    <row r="19" spans="1:8" x14ac:dyDescent="0.2">
      <c r="A19" s="6" t="s">
        <v>64</v>
      </c>
      <c r="B19" s="208">
        <f ca="1">ROUND(YEARFRAC(B15,(DATE(YEAR(B2),MONTH(B2),DAY(B2)+1)),1)*12,1)</f>
        <v>6.3</v>
      </c>
      <c r="C19" s="33"/>
      <c r="D19" s="13"/>
      <c r="E19" s="13"/>
      <c r="F19" s="13"/>
      <c r="G19" s="34"/>
      <c r="H19" s="12"/>
    </row>
    <row r="20" spans="1:8" x14ac:dyDescent="0.2">
      <c r="A20" s="6" t="s">
        <v>65</v>
      </c>
      <c r="B20" s="7">
        <f ca="1">IF(B18&gt;B19,0,IF(B19&gt;=B18,ROUNDDOWN((B19-B18)/12+1,0)))</f>
        <v>1</v>
      </c>
      <c r="C20" s="35"/>
      <c r="D20" s="36"/>
      <c r="E20" s="36"/>
      <c r="F20" s="36"/>
      <c r="G20" s="37"/>
      <c r="H20" s="12"/>
    </row>
    <row r="21" spans="1:8" x14ac:dyDescent="0.2">
      <c r="A21" s="6" t="s">
        <v>120</v>
      </c>
      <c r="B21" s="199">
        <f ca="1">IF(C22=TRUE,C21,DATE(YEAR(C21)+1,MONTH(C21),DAY(C21)))</f>
        <v>42248</v>
      </c>
      <c r="C21" s="30" t="str">
        <f ca="1"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 x14ac:dyDescent="0.2">
      <c r="A22" s="6" t="s">
        <v>121</v>
      </c>
      <c r="B22" s="7">
        <f ca="1">ROUND(IF(B16="","",YEARFRAC(B15,(DATE(YEAR(B21),MONTH(B21),DAY(B21)+1)),1)*12),1)</f>
        <v>5.4</v>
      </c>
      <c r="C22" s="33" t="b">
        <f ca="1"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 x14ac:dyDescent="0.2">
      <c r="A23" s="6" t="s">
        <v>122</v>
      </c>
      <c r="B23" s="7">
        <f ca="1">ROUND(YEARFRAC(B15,(DATE(YEAR(B2),MONTH(B2),DAY(B2)+1)),1)*12,1)</f>
        <v>6.3</v>
      </c>
      <c r="C23" s="33"/>
      <c r="D23" s="13"/>
      <c r="E23" s="13"/>
      <c r="F23" s="13"/>
      <c r="G23" s="34"/>
      <c r="H23" s="12"/>
    </row>
    <row r="24" spans="1:8" x14ac:dyDescent="0.2">
      <c r="A24" s="6" t="s">
        <v>123</v>
      </c>
      <c r="B24" s="38">
        <f ca="1">IF(AND(B22&gt;=B23,B22&lt;5),0,(IF(AND(B22&gt;=B23,B22&gt;=5),1,(IF(AND(B23&gt;B22,B22&gt;=5),ROUND((B23-B22)/12+1,0),((ROUND((B23-B22)/12,0))))))))</f>
        <v>1</v>
      </c>
      <c r="C24" s="35"/>
      <c r="D24" s="36"/>
      <c r="E24" s="36"/>
      <c r="F24" s="36"/>
      <c r="G24" s="37"/>
      <c r="H24" s="12"/>
    </row>
    <row r="25" spans="1:8" x14ac:dyDescent="0.2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 x14ac:dyDescent="0.2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 x14ac:dyDescent="0.2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 x14ac:dyDescent="0.2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 x14ac:dyDescent="0.2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 x14ac:dyDescent="0.2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 x14ac:dyDescent="0.2">
      <c r="A31" s="3"/>
      <c r="B31" s="13"/>
      <c r="C31" s="29"/>
      <c r="D31" s="29"/>
      <c r="E31" s="29"/>
      <c r="F31" s="29"/>
      <c r="G31" s="29"/>
      <c r="H31" s="12"/>
    </row>
    <row r="32" spans="1:8" x14ac:dyDescent="0.2">
      <c r="A32" s="3"/>
      <c r="B32" s="13"/>
      <c r="C32" s="29"/>
      <c r="D32" s="29"/>
      <c r="E32" s="29"/>
      <c r="F32" s="29"/>
      <c r="G32" s="29"/>
      <c r="H32" s="12"/>
    </row>
    <row r="33" spans="1:12" x14ac:dyDescent="0.2">
      <c r="A33" s="2" t="s">
        <v>3</v>
      </c>
    </row>
    <row r="34" spans="1:12" x14ac:dyDescent="0.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 x14ac:dyDescent="0.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 x14ac:dyDescent="0.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 x14ac:dyDescent="0.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 x14ac:dyDescent="0.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 x14ac:dyDescent="0.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 x14ac:dyDescent="0.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 x14ac:dyDescent="0.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 x14ac:dyDescent="0.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 x14ac:dyDescent="0.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 x14ac:dyDescent="0.2">
      <c r="B45" s="218" t="s">
        <v>10</v>
      </c>
      <c r="C45" s="219"/>
      <c r="D45" s="218" t="s">
        <v>11</v>
      </c>
      <c r="E45" s="219"/>
      <c r="F45" s="218" t="s">
        <v>12</v>
      </c>
      <c r="G45" s="219"/>
      <c r="H45" s="218" t="s">
        <v>25</v>
      </c>
      <c r="I45" s="219"/>
      <c r="J45" s="218" t="s">
        <v>13</v>
      </c>
      <c r="K45" s="219"/>
    </row>
    <row r="46" spans="1:12" x14ac:dyDescent="0.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 x14ac:dyDescent="0.2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 x14ac:dyDescent="0.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 x14ac:dyDescent="0.2">
      <c r="A49" s="4" t="s">
        <v>31</v>
      </c>
      <c r="B49" s="4">
        <f t="shared" si="26"/>
        <v>0.38400000000000001</v>
      </c>
      <c r="C49" s="4">
        <f t="shared" si="27"/>
        <v>0.38500000000000001</v>
      </c>
      <c r="D49" s="4">
        <f t="shared" si="28"/>
        <v>0.38500000000000001</v>
      </c>
      <c r="E49" s="4">
        <f t="shared" si="29"/>
        <v>0.39700000000000002</v>
      </c>
      <c r="F49" s="4">
        <f t="shared" si="21"/>
        <v>0.39700000000000002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 x14ac:dyDescent="0.2">
      <c r="A50" s="4" t="s">
        <v>21</v>
      </c>
      <c r="B50" s="4">
        <f t="shared" si="26"/>
        <v>0.51700000000000002</v>
      </c>
      <c r="C50" s="4">
        <f t="shared" si="27"/>
        <v>0.52400000000000002</v>
      </c>
      <c r="D50" s="4">
        <f t="shared" si="28"/>
        <v>0.52400000000000002</v>
      </c>
      <c r="E50" s="4">
        <f t="shared" si="29"/>
        <v>0.54</v>
      </c>
      <c r="F50" s="4">
        <f t="shared" si="21"/>
        <v>0.54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 x14ac:dyDescent="0.2">
      <c r="A51" s="4" t="s">
        <v>32</v>
      </c>
      <c r="B51" s="4">
        <f t="shared" si="26"/>
        <v>0.68400000000000005</v>
      </c>
      <c r="C51" s="4">
        <f t="shared" si="27"/>
        <v>0.69</v>
      </c>
      <c r="D51" s="4">
        <f t="shared" si="28"/>
        <v>0.69</v>
      </c>
      <c r="E51" s="4">
        <f t="shared" si="29"/>
        <v>0.71099999999999997</v>
      </c>
      <c r="F51" s="4">
        <f t="shared" si="21"/>
        <v>0.71099999999999997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 x14ac:dyDescent="0.2">
      <c r="A52" s="4" t="s">
        <v>20</v>
      </c>
      <c r="B52" s="4">
        <f t="shared" si="26"/>
        <v>0.17</v>
      </c>
      <c r="C52" s="4">
        <f t="shared" si="27"/>
        <v>0.18</v>
      </c>
      <c r="D52" s="4">
        <f t="shared" si="28"/>
        <v>0.18</v>
      </c>
      <c r="E52" s="4">
        <f t="shared" si="29"/>
        <v>0.185</v>
      </c>
      <c r="F52" s="4">
        <f t="shared" si="21"/>
        <v>0.185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 x14ac:dyDescent="0.2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 x14ac:dyDescent="0.2">
      <c r="A54" s="4" t="s">
        <v>34</v>
      </c>
      <c r="B54" s="4">
        <f t="shared" si="26"/>
        <v>0.108</v>
      </c>
      <c r="C54" s="4">
        <f t="shared" si="27"/>
        <v>0.109</v>
      </c>
      <c r="D54" s="4">
        <f t="shared" si="28"/>
        <v>0.109</v>
      </c>
      <c r="E54" s="4">
        <f t="shared" si="29"/>
        <v>0.112</v>
      </c>
      <c r="F54" s="4">
        <f t="shared" si="21"/>
        <v>0.112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 x14ac:dyDescent="0.2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3.2000000000000001E-2</v>
      </c>
      <c r="F55" s="4">
        <f t="shared" si="21"/>
        <v>3.2000000000000001E-2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 x14ac:dyDescent="0.2">
      <c r="A56" s="4" t="s">
        <v>53</v>
      </c>
      <c r="B56" s="4">
        <f>B52</f>
        <v>0.17</v>
      </c>
      <c r="C56" s="4">
        <f t="shared" ref="C56:K56" si="31">C52</f>
        <v>0.18</v>
      </c>
      <c r="D56" s="4">
        <f t="shared" si="31"/>
        <v>0.18</v>
      </c>
      <c r="E56" s="4">
        <f t="shared" si="31"/>
        <v>0.185</v>
      </c>
      <c r="F56" s="4">
        <f t="shared" si="31"/>
        <v>0.185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 x14ac:dyDescent="0.2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 x14ac:dyDescent="0.2">
      <c r="A59" s="4" t="s">
        <v>16</v>
      </c>
      <c r="B59" s="19" t="str">
        <f t="shared" ref="B59:B66" si="32">IF(B47&lt;&gt;C47,(B47*100)&amp;"/"&amp;C47*100,B47*100)</f>
        <v>20.9/21.1</v>
      </c>
      <c r="C59" s="19" t="str">
        <f>IF(D4="","",(IF(D47&lt;&gt;E47,(D47*100)&amp;"/"&amp;E47*100,D47*100)))</f>
        <v>21.1/21.7</v>
      </c>
      <c r="D59" s="19" t="str">
        <f>IF(E4="","",(IF(F47&lt;&gt;G47,(F47*100)&amp;"/"&amp;G47*100,F47*100)))</f>
        <v>21.7/22.4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 x14ac:dyDescent="0.2">
      <c r="A60" s="4" t="s">
        <v>17</v>
      </c>
      <c r="B60" s="19" t="str">
        <f t="shared" si="32"/>
        <v>32.2/32.5</v>
      </c>
      <c r="C60" s="19" t="str">
        <f>IF(D4="","",(IF(D48&lt;&gt;E48,(D48*100)&amp;"/"&amp;E48*100,D48*100)))</f>
        <v>32.5/33.5</v>
      </c>
      <c r="D60" s="19" t="str">
        <f>IF(E4="","",(IF(F48&lt;&gt;G48,(F48*100)&amp;"/"&amp;G48*100,F48*100)))</f>
        <v>33.5/34.5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 x14ac:dyDescent="0.2">
      <c r="A61" s="4" t="s">
        <v>31</v>
      </c>
      <c r="B61" s="19" t="str">
        <f t="shared" si="32"/>
        <v>38.4/38.5</v>
      </c>
      <c r="C61" s="19" t="str">
        <f>IF(D4="","",(IF(D49&lt;&gt;E49,(D49*100)&amp;"/"&amp;E49*100,D49*100)))</f>
        <v>38.5/39.7</v>
      </c>
      <c r="D61" s="19" t="str">
        <f>IF(E4="","",(IF(F49&lt;&gt;G49,(F49*100)&amp;"/"&amp;G49*100,F49*100)))</f>
        <v>39.7/40.9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 x14ac:dyDescent="0.2">
      <c r="A62" s="4" t="s">
        <v>21</v>
      </c>
      <c r="B62" s="19" t="str">
        <f t="shared" si="32"/>
        <v>51.7/52.4</v>
      </c>
      <c r="C62" s="19" t="str">
        <f>IF(D4="","",(IF(D50&lt;&gt;E50,(D50*100)&amp;"/"&amp;E50*100,D50*100)))</f>
        <v>52.4/54</v>
      </c>
      <c r="D62" s="19" t="str">
        <f>IF(E4="","",(IF(F50&lt;&gt;G50,(F50*100)&amp;"/"&amp;G50*100,F50*100)))</f>
        <v>54/55.6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 x14ac:dyDescent="0.2">
      <c r="A63" s="4" t="s">
        <v>32</v>
      </c>
      <c r="B63" s="19" t="str">
        <f t="shared" si="32"/>
        <v>68.4/69</v>
      </c>
      <c r="C63" s="19" t="str">
        <f>IF(D4="","",(IF(D51&lt;&gt;E51,(D51*100)&amp;"/"&amp;E51*100,D51*100)))</f>
        <v>69/71.1</v>
      </c>
      <c r="D63" s="19" t="str">
        <f>IF(E4="","",(IF(F51&lt;&gt;G51,(F51*100)&amp;"/"&amp;G51*100,F51*100)))</f>
        <v>71.1/73.2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 x14ac:dyDescent="0.2">
      <c r="A64" s="4" t="s">
        <v>20</v>
      </c>
      <c r="B64" s="19" t="str">
        <f t="shared" si="32"/>
        <v>17/18</v>
      </c>
      <c r="C64" s="19" t="str">
        <f>IF(D4="","",(IF(D4="","",(IF(D52&lt;&gt;E52,(D52*100)&amp;"/"&amp;E52*100,D52*100)))))</f>
        <v>18/18.5</v>
      </c>
      <c r="D64" s="19" t="str">
        <f>IF(E4="","",(IF(F52&lt;&gt;G52,(F52*100)&amp;"/"&amp;G52*100,F52*100)))</f>
        <v>18.5/19.1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 x14ac:dyDescent="0.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 x14ac:dyDescent="0.2">
      <c r="A66" s="4" t="s">
        <v>34</v>
      </c>
      <c r="B66" s="19" t="str">
        <f t="shared" si="32"/>
        <v>10.8/10.9</v>
      </c>
      <c r="C66" s="19" t="str">
        <f>IF(D4="","",(IF(D54&lt;&gt;E54,(D54*100)&amp;"/"&amp;E54*100,D54*100)))</f>
        <v>10.9/11.2</v>
      </c>
      <c r="D66" s="19" t="str">
        <f>IF(E4="","",(IF(F54&lt;&gt;G54,(F54*100)&amp;"/"&amp;G54*100,F54*100)))</f>
        <v>11.2/11.5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 x14ac:dyDescent="0.2">
      <c r="A67" s="4" t="s">
        <v>23</v>
      </c>
      <c r="B67" s="19">
        <f>IF(B55&lt;&gt;C55,(B55*100)&amp;"/"&amp;C55*100,B55*100)</f>
        <v>3.1</v>
      </c>
      <c r="C67" s="19" t="str">
        <f>IF(D4="","",(IF(D55&lt;&gt;E55,(D55*100)&amp;"/"&amp;E55*100,D55*100)))</f>
        <v>3.1/3.2</v>
      </c>
      <c r="D67" s="19" t="str">
        <f>IF(E4="","",(IF(F55&lt;&gt;G55,(F55*100)&amp;"/"&amp;G55*100,F55*100)))</f>
        <v>3.2/3.3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 x14ac:dyDescent="0.2">
      <c r="A68" s="4" t="s">
        <v>178</v>
      </c>
      <c r="B68" s="19" t="str">
        <f>IF(B56&lt;&gt;C56,(B56*100)&amp;"/"&amp;C56*100,B56*100)</f>
        <v>17/18</v>
      </c>
      <c r="C68" s="19" t="str">
        <f>IF(D4="","",(IF(D56&lt;&gt;E56,(D56*100)&amp;"/"&amp;E56*100,D56*100)))</f>
        <v>18/18.5</v>
      </c>
      <c r="D68" s="19" t="str">
        <f>IF(E4="","",(IF(F56&lt;&gt;G56,(F56*100)&amp;"/"&amp;G56*100,F56*100)))</f>
        <v>18.5/19.1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 x14ac:dyDescent="0.2">
      <c r="A69" s="4" t="s">
        <v>179</v>
      </c>
      <c r="B69" s="200">
        <f>IF(C13&lt;=0.5,C56*100,B68)</f>
        <v>18</v>
      </c>
      <c r="C69" s="200">
        <f>IF(D13&lt;=0.5,E56*100,C68)</f>
        <v>18.5</v>
      </c>
      <c r="D69" s="200">
        <f>IF(E13&lt;=0.5,G56*100,D68)</f>
        <v>19.100000000000001</v>
      </c>
      <c r="E69" s="200">
        <f>IF(F13&lt;=0.5,I56*100,E68)</f>
        <v>0</v>
      </c>
      <c r="F69" s="200" t="str">
        <f>IF(G13=0.5,K56*100,F68)</f>
        <v/>
      </c>
    </row>
    <row r="70" spans="1:12" x14ac:dyDescent="0.2">
      <c r="A70" s="4" t="s">
        <v>180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 x14ac:dyDescent="0.2">
      <c r="A71" s="4" t="s">
        <v>54</v>
      </c>
      <c r="B71" s="19"/>
      <c r="C71" s="19"/>
      <c r="D71" s="19"/>
      <c r="E71" s="19"/>
      <c r="F71" s="19"/>
    </row>
    <row r="73" spans="1:12" x14ac:dyDescent="0.2">
      <c r="A73" s="2" t="s">
        <v>104</v>
      </c>
    </row>
    <row r="74" spans="1:12" x14ac:dyDescent="0.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 x14ac:dyDescent="0.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 x14ac:dyDescent="0.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 x14ac:dyDescent="0.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 x14ac:dyDescent="0.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 x14ac:dyDescent="0.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 x14ac:dyDescent="0.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 x14ac:dyDescent="0.2">
      <c r="A81" s="4" t="s">
        <v>111</v>
      </c>
      <c r="B81" s="4">
        <v>0.89</v>
      </c>
      <c r="C81" s="4">
        <v>0.89</v>
      </c>
      <c r="D81" s="4">
        <v>0.89</v>
      </c>
      <c r="E81" s="4">
        <v>0.89</v>
      </c>
      <c r="F81" s="4">
        <v>0.89</v>
      </c>
      <c r="G81" s="4">
        <v>0.89</v>
      </c>
      <c r="H81" s="4">
        <v>0.89</v>
      </c>
      <c r="I81" s="4">
        <v>0.89</v>
      </c>
      <c r="J81" s="4">
        <v>0.89</v>
      </c>
      <c r="K81" s="4">
        <v>0.89</v>
      </c>
      <c r="L81" s="4">
        <v>0.89</v>
      </c>
    </row>
    <row r="82" spans="1:12" x14ac:dyDescent="0.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 x14ac:dyDescent="0.2">
      <c r="A84" s="9" t="s">
        <v>113</v>
      </c>
      <c r="B84" s="218" t="s">
        <v>10</v>
      </c>
      <c r="C84" s="219"/>
      <c r="D84" s="218" t="s">
        <v>11</v>
      </c>
      <c r="E84" s="219"/>
      <c r="F84" s="218" t="s">
        <v>12</v>
      </c>
      <c r="G84" s="219"/>
      <c r="H84" s="218" t="s">
        <v>25</v>
      </c>
      <c r="I84" s="219"/>
      <c r="J84" s="218" t="s">
        <v>13</v>
      </c>
      <c r="K84" s="219"/>
    </row>
    <row r="85" spans="1:12" x14ac:dyDescent="0.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 x14ac:dyDescent="0.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 x14ac:dyDescent="0.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 x14ac:dyDescent="0.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 x14ac:dyDescent="0.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 x14ac:dyDescent="0.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 x14ac:dyDescent="0.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 x14ac:dyDescent="0.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 x14ac:dyDescent="0.2">
      <c r="A93" s="4" t="s">
        <v>111</v>
      </c>
      <c r="B93" s="4">
        <v>0.89</v>
      </c>
      <c r="C93" s="4">
        <v>0.89</v>
      </c>
      <c r="D93" s="4">
        <v>0.89</v>
      </c>
      <c r="E93" s="4">
        <v>0.89</v>
      </c>
      <c r="F93" s="4">
        <v>0.89</v>
      </c>
      <c r="G93" s="4">
        <v>0.89</v>
      </c>
      <c r="H93" s="4">
        <v>0.89</v>
      </c>
      <c r="I93" s="4">
        <v>0.89</v>
      </c>
      <c r="J93" s="4">
        <v>0.89</v>
      </c>
      <c r="K93" s="4">
        <v>0.89</v>
      </c>
    </row>
    <row r="95" spans="1:12" x14ac:dyDescent="0.2">
      <c r="A95" s="1" t="s">
        <v>124</v>
      </c>
      <c r="B95" s="218" t="s">
        <v>10</v>
      </c>
      <c r="C95" s="219"/>
      <c r="D95" s="218" t="s">
        <v>11</v>
      </c>
      <c r="E95" s="219"/>
      <c r="F95" s="218" t="s">
        <v>12</v>
      </c>
      <c r="G95" s="219"/>
      <c r="H95" s="218" t="s">
        <v>25</v>
      </c>
      <c r="I95" s="219"/>
      <c r="J95" s="218" t="s">
        <v>13</v>
      </c>
      <c r="K95" s="219"/>
    </row>
    <row r="96" spans="1:12" x14ac:dyDescent="0.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 x14ac:dyDescent="0.2">
      <c r="B97" s="20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 x14ac:dyDescent="0.2">
      <c r="A98" s="1" t="s">
        <v>125</v>
      </c>
      <c r="B98" s="222" t="s">
        <v>10</v>
      </c>
      <c r="C98" s="222"/>
      <c r="D98" s="222" t="s">
        <v>11</v>
      </c>
      <c r="E98" s="222"/>
      <c r="F98" s="222" t="s">
        <v>12</v>
      </c>
      <c r="G98" s="222"/>
      <c r="H98" s="220" t="s">
        <v>25</v>
      </c>
      <c r="I98" s="221"/>
      <c r="J98" s="223" t="s">
        <v>13</v>
      </c>
      <c r="K98" s="224"/>
    </row>
    <row r="99" spans="1:11" x14ac:dyDescent="0.2">
      <c r="B99" s="227" t="str">
        <f>IF(B97=C97,B97*100&amp;"%",B97*100&amp;"%"&amp;"/"&amp;C97*100&amp;"%")</f>
        <v>56.5%/57%</v>
      </c>
      <c r="C99" s="227"/>
      <c r="D99" s="227" t="str">
        <f>IF(D97=E97,D97*100&amp;"%",D97*100&amp;"%"&amp;"/"&amp;E97*100&amp;"%")</f>
        <v>57%</v>
      </c>
      <c r="E99" s="227"/>
      <c r="F99" s="227" t="str">
        <f>IF(F97=G97,F97*100&amp;"%",F97*100&amp;"%"&amp;"/"&amp;G97*100&amp;"%")</f>
        <v>57%</v>
      </c>
      <c r="G99" s="227"/>
      <c r="H99" s="220" t="str">
        <f>IF(H97=I97,H97*100&amp;"%",H97*100&amp;"%"&amp;"/"&amp;I97*100&amp;"%")</f>
        <v>57%</v>
      </c>
      <c r="I99" s="221"/>
      <c r="J99" s="220" t="str">
        <f>IF(J97=K97,J97*100&amp;"%",J97*100&amp;"%"&amp;"/"&amp;K97*100&amp;"%")</f>
        <v>57%</v>
      </c>
      <c r="K99" s="221"/>
    </row>
    <row r="100" spans="1:11" x14ac:dyDescent="0.2">
      <c r="H100" s="40"/>
    </row>
    <row r="103" spans="1:11" x14ac:dyDescent="0.2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 x14ac:dyDescent="0.2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 x14ac:dyDescent="0.2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 x14ac:dyDescent="0.2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 x14ac:dyDescent="0.2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 x14ac:dyDescent="0.2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 x14ac:dyDescent="0.2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 x14ac:dyDescent="0.2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 x14ac:dyDescent="0.2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 x14ac:dyDescent="0.2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 x14ac:dyDescent="0.2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 x14ac:dyDescent="0.2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 x14ac:dyDescent="0.2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 x14ac:dyDescent="0.2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 x14ac:dyDescent="0.2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 x14ac:dyDescent="0.2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 x14ac:dyDescent="0.2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 x14ac:dyDescent="0.2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 t="shared" ref="D121:D135" si="34">IF(B121="Yes",0,IF(C104&gt;=25000,0,IF(C104+D104&gt;=25000,25000-C104,D104)))</f>
        <v>0</v>
      </c>
      <c r="E121" s="4">
        <f t="shared" ref="E121:E135" si="35">IF(B121="Yes",0,IF((C104+D104)&gt;=25000,0,IF((C104+D104+E104)&gt;=25000,25000-C104-D104,E104)))</f>
        <v>0</v>
      </c>
      <c r="F121" s="4">
        <f t="shared" ref="F121:F135" si="36">IF(B121="Yes",0,IF((C104+D104+E104)&gt;=25000,0,IF((C104+D104+E104+F104)&gt;=25000,25000-C104-D104-E104,F104)))</f>
        <v>0</v>
      </c>
      <c r="G121" s="4">
        <f t="shared" ref="G121:G135" si="37">IF(B121="Yes",0,IF((C104+D104+E104+F104)&gt;=25000,0,IF((C104+D104+E104+F104+G104)&gt;=25000,25000-C104-D104-E104-F104,G104)))</f>
        <v>0</v>
      </c>
      <c r="H121" s="4">
        <f t="shared" ref="H121:H136" si="38">SUM(C121:G121)</f>
        <v>0</v>
      </c>
    </row>
    <row r="122" spans="1:8" x14ac:dyDescent="0.2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si="34"/>
        <v>0</v>
      </c>
      <c r="E122" s="4">
        <f t="shared" si="35"/>
        <v>0</v>
      </c>
      <c r="F122" s="4">
        <f t="shared" si="36"/>
        <v>0</v>
      </c>
      <c r="G122" s="4">
        <f t="shared" si="37"/>
        <v>0</v>
      </c>
      <c r="H122" s="4">
        <f t="shared" si="38"/>
        <v>0</v>
      </c>
    </row>
    <row r="123" spans="1:8" x14ac:dyDescent="0.2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4"/>
        <v>0</v>
      </c>
      <c r="E123" s="4">
        <f t="shared" si="35"/>
        <v>0</v>
      </c>
      <c r="F123" s="4">
        <f t="shared" si="36"/>
        <v>0</v>
      </c>
      <c r="G123" s="4">
        <f t="shared" si="37"/>
        <v>0</v>
      </c>
      <c r="H123" s="4">
        <f t="shared" si="38"/>
        <v>0</v>
      </c>
    </row>
    <row r="124" spans="1:8" x14ac:dyDescent="0.2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4"/>
        <v>0</v>
      </c>
      <c r="E124" s="4">
        <f t="shared" si="35"/>
        <v>0</v>
      </c>
      <c r="F124" s="4">
        <f t="shared" si="36"/>
        <v>0</v>
      </c>
      <c r="G124" s="4">
        <f t="shared" si="37"/>
        <v>0</v>
      </c>
      <c r="H124" s="4">
        <f t="shared" si="38"/>
        <v>0</v>
      </c>
    </row>
    <row r="125" spans="1:8" x14ac:dyDescent="0.2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4"/>
        <v>0</v>
      </c>
      <c r="E125" s="4">
        <f t="shared" si="35"/>
        <v>0</v>
      </c>
      <c r="F125" s="4">
        <f t="shared" si="36"/>
        <v>0</v>
      </c>
      <c r="G125" s="4">
        <f t="shared" si="37"/>
        <v>0</v>
      </c>
      <c r="H125" s="4">
        <f t="shared" si="38"/>
        <v>0</v>
      </c>
    </row>
    <row r="126" spans="1:8" x14ac:dyDescent="0.2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4"/>
        <v>0</v>
      </c>
      <c r="E126" s="4">
        <f t="shared" si="35"/>
        <v>0</v>
      </c>
      <c r="F126" s="4">
        <f t="shared" si="36"/>
        <v>0</v>
      </c>
      <c r="G126" s="4">
        <f t="shared" si="37"/>
        <v>0</v>
      </c>
      <c r="H126" s="4">
        <f t="shared" si="38"/>
        <v>0</v>
      </c>
    </row>
    <row r="127" spans="1:8" x14ac:dyDescent="0.2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4"/>
        <v>0</v>
      </c>
      <c r="E127" s="4">
        <f t="shared" si="35"/>
        <v>0</v>
      </c>
      <c r="F127" s="4">
        <f t="shared" si="36"/>
        <v>0</v>
      </c>
      <c r="G127" s="4">
        <f t="shared" si="37"/>
        <v>0</v>
      </c>
      <c r="H127" s="4">
        <f t="shared" si="38"/>
        <v>0</v>
      </c>
    </row>
    <row r="128" spans="1:8" x14ac:dyDescent="0.2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4"/>
        <v>0</v>
      </c>
      <c r="E128" s="4">
        <f t="shared" si="35"/>
        <v>0</v>
      </c>
      <c r="F128" s="4">
        <f t="shared" si="36"/>
        <v>0</v>
      </c>
      <c r="G128" s="4">
        <f t="shared" si="37"/>
        <v>0</v>
      </c>
      <c r="H128" s="4">
        <f t="shared" si="38"/>
        <v>0</v>
      </c>
    </row>
    <row r="129" spans="1:8" x14ac:dyDescent="0.2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4"/>
        <v>0</v>
      </c>
      <c r="E129" s="4">
        <f t="shared" si="35"/>
        <v>0</v>
      </c>
      <c r="F129" s="4">
        <f t="shared" si="36"/>
        <v>0</v>
      </c>
      <c r="G129" s="4">
        <f t="shared" si="37"/>
        <v>0</v>
      </c>
      <c r="H129" s="4">
        <f t="shared" si="38"/>
        <v>0</v>
      </c>
    </row>
    <row r="130" spans="1:8" x14ac:dyDescent="0.2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4"/>
        <v>0</v>
      </c>
      <c r="E130" s="4">
        <f t="shared" si="35"/>
        <v>0</v>
      </c>
      <c r="F130" s="4">
        <f t="shared" si="36"/>
        <v>0</v>
      </c>
      <c r="G130" s="4">
        <f t="shared" si="37"/>
        <v>0</v>
      </c>
      <c r="H130" s="4">
        <f t="shared" si="38"/>
        <v>0</v>
      </c>
    </row>
    <row r="131" spans="1:8" x14ac:dyDescent="0.2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4"/>
        <v>0</v>
      </c>
      <c r="E131" s="4">
        <f t="shared" si="35"/>
        <v>0</v>
      </c>
      <c r="F131" s="4">
        <f t="shared" si="36"/>
        <v>0</v>
      </c>
      <c r="G131" s="4">
        <f t="shared" si="37"/>
        <v>0</v>
      </c>
      <c r="H131" s="4">
        <f t="shared" si="38"/>
        <v>0</v>
      </c>
    </row>
    <row r="132" spans="1:8" x14ac:dyDescent="0.2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4"/>
        <v>0</v>
      </c>
      <c r="E132" s="4">
        <f t="shared" si="35"/>
        <v>0</v>
      </c>
      <c r="F132" s="4">
        <f t="shared" si="36"/>
        <v>0</v>
      </c>
      <c r="G132" s="4">
        <f t="shared" si="37"/>
        <v>0</v>
      </c>
      <c r="H132" s="4">
        <f t="shared" si="38"/>
        <v>0</v>
      </c>
    </row>
    <row r="133" spans="1:8" x14ac:dyDescent="0.2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4"/>
        <v>0</v>
      </c>
      <c r="E133" s="4">
        <f t="shared" si="35"/>
        <v>0</v>
      </c>
      <c r="F133" s="4">
        <f t="shared" si="36"/>
        <v>0</v>
      </c>
      <c r="G133" s="4">
        <f t="shared" si="37"/>
        <v>0</v>
      </c>
      <c r="H133" s="4">
        <f t="shared" si="38"/>
        <v>0</v>
      </c>
    </row>
    <row r="134" spans="1:8" x14ac:dyDescent="0.2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4"/>
        <v>0</v>
      </c>
      <c r="E134" s="4">
        <f t="shared" si="35"/>
        <v>0</v>
      </c>
      <c r="F134" s="4">
        <f t="shared" si="36"/>
        <v>0</v>
      </c>
      <c r="G134" s="4">
        <f t="shared" si="37"/>
        <v>0</v>
      </c>
      <c r="H134" s="4">
        <f t="shared" si="38"/>
        <v>0</v>
      </c>
    </row>
    <row r="135" spans="1:8" x14ac:dyDescent="0.2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4"/>
        <v>0</v>
      </c>
      <c r="E135" s="4">
        <f t="shared" si="35"/>
        <v>0</v>
      </c>
      <c r="F135" s="4">
        <f t="shared" si="36"/>
        <v>0</v>
      </c>
      <c r="G135" s="4">
        <f t="shared" si="37"/>
        <v>0</v>
      </c>
      <c r="H135" s="4">
        <f t="shared" si="38"/>
        <v>0</v>
      </c>
    </row>
    <row r="136" spans="1:8" x14ac:dyDescent="0.2">
      <c r="A136" s="226" t="s">
        <v>130</v>
      </c>
      <c r="B136" s="226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8"/>
        <v>0</v>
      </c>
    </row>
    <row r="138" spans="1:8" x14ac:dyDescent="0.2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 x14ac:dyDescent="0.2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 x14ac:dyDescent="0.2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 x14ac:dyDescent="0.2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 x14ac:dyDescent="0.2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 x14ac:dyDescent="0.2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 x14ac:dyDescent="0.2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 x14ac:dyDescent="0.2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 x14ac:dyDescent="0.2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 x14ac:dyDescent="0.2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 x14ac:dyDescent="0.2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 x14ac:dyDescent="0.2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 x14ac:dyDescent="0.2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 x14ac:dyDescent="0.2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 x14ac:dyDescent="0.2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 x14ac:dyDescent="0.2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 x14ac:dyDescent="0.2">
      <c r="A154" s="226" t="s">
        <v>130</v>
      </c>
      <c r="B154" s="226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 x14ac:dyDescent="0.2">
      <c r="A155" s="46"/>
      <c r="B155" s="46"/>
      <c r="C155" s="47"/>
      <c r="D155" s="47"/>
      <c r="E155" s="47"/>
      <c r="F155" s="47"/>
      <c r="G155" s="47"/>
      <c r="H155" s="47"/>
    </row>
    <row r="156" spans="1:19" x14ac:dyDescent="0.2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 x14ac:dyDescent="0.2">
      <c r="A157" s="48" t="s">
        <v>100</v>
      </c>
      <c r="B157" s="4" t="s">
        <v>115</v>
      </c>
      <c r="C157" s="43">
        <f ca="1">Request!N60+Request!N84+Request!N96+Request!N126+SUM(Request!N136:N140)+SUM(Request!N151:N158)+Worksheet!C136</f>
        <v>53054</v>
      </c>
      <c r="D157" s="43">
        <f ca="1">IF(D4="",0,(Request!O60+Request!O84+Request!O96+Request!O126+SUM(Request!O136:O140)+SUM(Request!O151:O158)+Worksheet!D136))</f>
        <v>51247</v>
      </c>
      <c r="E157" s="43">
        <f ca="1">IF(E4="",0,(Request!P60+Request!P84+Request!P96+Request!P126+SUM(Request!P136:P140)+SUM(Request!P151:P158)+Worksheet!E136))</f>
        <v>52487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 ca="1">SUM(C157:G157)</f>
        <v>156788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x14ac:dyDescent="0.2">
      <c r="A158" s="49"/>
      <c r="B158" s="4" t="s">
        <v>133</v>
      </c>
      <c r="C158" s="45">
        <f ca="1">Request!N161-Request!N114+Worksheet!C154</f>
        <v>71248.66</v>
      </c>
      <c r="D158" s="45">
        <f ca="1">IF(D4="",0,(Request!O161-Request!O114+Worksheet!D154))</f>
        <v>71261.13</v>
      </c>
      <c r="E158" s="45">
        <f ca="1">IF(E4="",0,(Request!P161-Request!P114+Worksheet!E154))</f>
        <v>74502.540000000008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 ca="1">SUM(C158:G158)</f>
        <v>217012.33000000002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 x14ac:dyDescent="0.2">
      <c r="A159" s="50"/>
      <c r="B159" s="4" t="s">
        <v>134</v>
      </c>
      <c r="C159" s="43">
        <f ca="1">ROUND((Request!N161-Request!N114+Worksheet!C154)/(1-Request!$L$164),0)</f>
        <v>89061</v>
      </c>
      <c r="D159" s="43">
        <f ca="1">IF(D4="",0,(ROUND((Request!O161-Request!O114+Worksheet!D154)/(1-Request!$L$164),0)))</f>
        <v>89076</v>
      </c>
      <c r="E159" s="43">
        <f ca="1">IF(E4="",0,(ROUND((Request!P161-Request!P114+Worksheet!E154)/(1-Request!$L$164),0)))</f>
        <v>93128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 ca="1">SUM(C159:G159)</f>
        <v>271265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 x14ac:dyDescent="0.2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x14ac:dyDescent="0.2">
      <c r="A161" s="1" t="s">
        <v>142</v>
      </c>
      <c r="B161" s="1" t="str">
        <f>Request!D132</f>
        <v>Yes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 x14ac:dyDescent="0.2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12405.75</v>
      </c>
      <c r="E162" s="43">
        <f ca="1">IF($C$161="AY",ROUND(D162*((1+B162)^$B$24),0))</f>
        <v>13646</v>
      </c>
      <c r="F162" s="43">
        <f ca="1">IF($C$161="AY",ROUND(D162*((1+B162)^($B$24+1)),0))</f>
        <v>15011</v>
      </c>
      <c r="G162" s="43">
        <f ca="1">IF($C$161="AY",ROUND(D162*((1+B162)^($B$24+2)),0))</f>
        <v>16512</v>
      </c>
      <c r="H162" s="43">
        <f ca="1">IF($C$161="AY",ROUND(D162*((1+B162)^($B$24+3)),0))</f>
        <v>18163</v>
      </c>
      <c r="I162" s="43">
        <f ca="1">IF($C$161="AY",ROUND(D162*((1+B162)^($B$24+4)),0))</f>
        <v>19980</v>
      </c>
      <c r="J162" s="43">
        <f ca="1">IF($C$161="AY",ROUND(D162*((1+B162)^($B$24+5)),0))</f>
        <v>21978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 x14ac:dyDescent="0.2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23732.25</v>
      </c>
      <c r="E163" s="43">
        <f ca="1">IF($C$161="AY",ROUND(D163*((1+B163)^$B$24),0))</f>
        <v>26105</v>
      </c>
      <c r="F163" s="43">
        <f ca="1">IF($C$161="AY",ROUND(D163*((1+B163)^($B$24+1)),0))</f>
        <v>28716</v>
      </c>
      <c r="G163" s="43">
        <f ca="1">IF($C$161="AY",ROUND(D163*((1+B163)^($B$24+2)),0))</f>
        <v>31588</v>
      </c>
      <c r="H163" s="43">
        <f ca="1">IF($C$161="AY",ROUND(D163*((1+B163)^($B$24+3)),0))</f>
        <v>34746</v>
      </c>
      <c r="I163" s="43">
        <f ca="1">IF($C$161="AY",ROUND(D163*((1+B163)^($B$24+4)),0))</f>
        <v>38221</v>
      </c>
      <c r="J163" s="43">
        <f ca="1">IF($C$161="AY",ROUND(D163*((1+B163)^($B$24+5)),0))</f>
        <v>42043</v>
      </c>
    </row>
    <row r="164" spans="1:19" x14ac:dyDescent="0.2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6202.875</v>
      </c>
      <c r="E164" s="43">
        <f ca="1">IF($C$161="AY",ROUND(D164*((1+B164)^$B$24),0))</f>
        <v>6823</v>
      </c>
      <c r="F164" s="43">
        <f ca="1">IF($C$161="AY",ROUND(D164*((1+B164)^($B$24+1)),0))</f>
        <v>7505</v>
      </c>
      <c r="G164" s="43">
        <f ca="1">IF($C$161="AY",ROUND(D164*((1+B164)^($B$24+2)),0))</f>
        <v>8256</v>
      </c>
      <c r="H164" s="43">
        <f ca="1">IF($C$161="AY",ROUND(D164*((1+B164)^($B$24+3)),0))</f>
        <v>9082</v>
      </c>
      <c r="I164" s="43">
        <f ca="1">IF($C$161="AY",ROUND(D164*((1+B164)^($B$24+4)),0))</f>
        <v>9990</v>
      </c>
      <c r="J164" s="43">
        <f ca="1">IF($C$161="AY",ROUND(D164*((1+B164)^($B$24+5)),0))</f>
        <v>10989</v>
      </c>
    </row>
    <row r="165" spans="1:19" x14ac:dyDescent="0.2">
      <c r="A165" s="4" t="s">
        <v>83</v>
      </c>
      <c r="B165" s="28"/>
      <c r="C165" s="43"/>
      <c r="D165" s="43"/>
      <c r="E165" s="43">
        <f ca="1">(ROUND((E162/(9)*C$27+F162/(9)*C$28)*Request!I132,0))</f>
        <v>0</v>
      </c>
      <c r="F165" s="43">
        <f ca="1">ROUND((F162/(9)*D$27+G162/(9)*D$28)*Request!J132,0)</f>
        <v>0</v>
      </c>
      <c r="G165" s="43">
        <f ca="1">ROUND((G162/(9)*E27+H162/(9)*E28)*Request!K132,0)</f>
        <v>0</v>
      </c>
      <c r="H165" s="43">
        <f ca="1">ROUND((H162/(9)*F27+I162/(9)*F28)*Request!L132,0)</f>
        <v>0</v>
      </c>
      <c r="I165" s="43">
        <f ca="1">ROUND((I162/(9)*G27+J162/(9)*G28)*Request!M132,0)</f>
        <v>0</v>
      </c>
      <c r="J165" s="43"/>
    </row>
    <row r="166" spans="1:19" x14ac:dyDescent="0.2">
      <c r="A166" s="4" t="s">
        <v>84</v>
      </c>
      <c r="B166" s="28"/>
      <c r="C166" s="43"/>
      <c r="D166" s="43"/>
      <c r="E166" s="43">
        <f ca="1">ROUND((E163/(9)*C$27+F163/(9)*C$28)*Request!I133,0)</f>
        <v>0</v>
      </c>
      <c r="F166" s="43">
        <f ca="1">ROUND((F163/(9)*D$27+G163/(9)*D$28)*Request!J133,0)</f>
        <v>0</v>
      </c>
      <c r="G166" s="43">
        <f ca="1">ROUND((G163/(9)*E$27+H163/(9)*E$28)*Request!K133,0)</f>
        <v>0</v>
      </c>
      <c r="H166" s="43">
        <f ca="1">ROUND((H163/(9)*F$27+I163/(9)*F$28)*Request!L133,0)</f>
        <v>0</v>
      </c>
      <c r="I166" s="43">
        <f ca="1">ROUND((I163/(9)*G$27+J163/(9)*G$28)*Request!M133,0)</f>
        <v>0</v>
      </c>
      <c r="J166" s="43"/>
    </row>
    <row r="167" spans="1:19" x14ac:dyDescent="0.2">
      <c r="A167" s="4" t="s">
        <v>94</v>
      </c>
      <c r="B167" s="4"/>
      <c r="C167" s="4"/>
      <c r="D167" s="4"/>
      <c r="E167" s="43">
        <f ca="1">ROUND((E164/(9)*C$27+F164/(9)*C$28)*Request!I134,0)</f>
        <v>0</v>
      </c>
      <c r="F167" s="43">
        <f ca="1">ROUND((F164/(9)*D$27+G164/(9)*D$28)*Request!J134,0)</f>
        <v>0</v>
      </c>
      <c r="G167" s="43">
        <f ca="1">ROUND((G164/(9)*E$27+H164/(9)*E$28)*Request!K134,0)</f>
        <v>0</v>
      </c>
      <c r="H167" s="43">
        <f ca="1">ROUND((H164/(9)*F$27+I164/(9)*F$28)*Request!L134,0)</f>
        <v>0</v>
      </c>
      <c r="I167" s="43">
        <f ca="1">ROUND((I164/(9)*G$27+J164/(9)*G$28)*Request!M134,0)</f>
        <v>0</v>
      </c>
      <c r="J167" s="4"/>
    </row>
    <row r="169" spans="1:19" x14ac:dyDescent="0.2">
      <c r="D169" s="40"/>
      <c r="E169" s="40"/>
    </row>
    <row r="170" spans="1:19" x14ac:dyDescent="0.2">
      <c r="A170" s="2" t="s">
        <v>148</v>
      </c>
    </row>
    <row r="171" spans="1:19" x14ac:dyDescent="0.2">
      <c r="A171" s="42" t="str">
        <f>Request!B7</f>
        <v>P. Ullrich (PI)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0.74997000000000003</v>
      </c>
      <c r="I171" s="88">
        <f>IF(C171=0,(Request!G7*9),(Request!G7*C171))</f>
        <v>0.74997000000000003</v>
      </c>
      <c r="J171" s="88">
        <f>IF(D171=0,(Request!H7*9),(Request!H7*D171))</f>
        <v>0.74997000000000003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 x14ac:dyDescent="0.2">
      <c r="A172" s="42" t="str">
        <f>Request!B8</f>
        <v>TBN (GSR IV)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5.5159199999999995</v>
      </c>
      <c r="I172" s="88">
        <f>IF(C172=0,(Request!G8*9),(Request!G8*C172))</f>
        <v>5.5160100000000005</v>
      </c>
      <c r="J172" s="88">
        <f>IF(D172=0,(Request!H8*9),(Request!H8*D172))</f>
        <v>5.5162800000000001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 x14ac:dyDescent="0.2">
      <c r="A173" s="42">
        <f>Request!B9</f>
        <v>0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0</v>
      </c>
      <c r="I173" s="88">
        <f>IF(C173=0,(Request!G9*9),(Request!G9*C173))</f>
        <v>0</v>
      </c>
      <c r="J173" s="88">
        <f>IF(D173=0,(Request!H9*9),(Request!H9*D173))</f>
        <v>0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 x14ac:dyDescent="0.2">
      <c r="A174" s="42">
        <f>Request!B10</f>
        <v>0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0</v>
      </c>
      <c r="I174" s="88">
        <f>IF(C174=0,(Request!G10*9),(Request!G10*C174))</f>
        <v>0</v>
      </c>
      <c r="J174" s="88">
        <f>IF(D174=0,(Request!H10*9),(Request!H10*D174))</f>
        <v>0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 x14ac:dyDescent="0.2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 x14ac:dyDescent="0.2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 x14ac:dyDescent="0.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 x14ac:dyDescent="0.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 x14ac:dyDescent="0.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 x14ac:dyDescent="0.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 x14ac:dyDescent="0.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 x14ac:dyDescent="0.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 x14ac:dyDescent="0.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 x14ac:dyDescent="0.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 x14ac:dyDescent="0.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 x14ac:dyDescent="0.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 x14ac:dyDescent="0.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 x14ac:dyDescent="0.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 x14ac:dyDescent="0.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 x14ac:dyDescent="0.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 x14ac:dyDescent="0.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 x14ac:dyDescent="0.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 x14ac:dyDescent="0.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 x14ac:dyDescent="0.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 x14ac:dyDescent="0.2">
      <c r="A197" s="1" t="s">
        <v>181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 x14ac:dyDescent="0.2">
      <c r="A198" s="214" t="s">
        <v>178</v>
      </c>
      <c r="B198" s="216" t="s">
        <v>182</v>
      </c>
      <c r="C198" s="216"/>
      <c r="D198" s="217"/>
      <c r="E198" s="203">
        <f>C13</f>
        <v>0.5</v>
      </c>
      <c r="F198" s="203">
        <f t="shared" ref="F198:H198" si="47">D13</f>
        <v>0.5</v>
      </c>
      <c r="G198" s="203">
        <f t="shared" si="47"/>
        <v>0.5</v>
      </c>
      <c r="H198" s="203">
        <f t="shared" si="47"/>
        <v>0</v>
      </c>
      <c r="I198" s="203">
        <f>G13</f>
        <v>0</v>
      </c>
    </row>
    <row r="199" spans="1:12" x14ac:dyDescent="0.2">
      <c r="A199" s="215"/>
      <c r="B199" s="216" t="s">
        <v>183</v>
      </c>
      <c r="C199" s="216"/>
      <c r="D199" s="217"/>
      <c r="E199" s="203">
        <f>C14</f>
        <v>2.5</v>
      </c>
      <c r="F199" s="203">
        <f t="shared" ref="F199:H199" si="48">D14</f>
        <v>2.5</v>
      </c>
      <c r="G199" s="203">
        <f t="shared" si="48"/>
        <v>2.5</v>
      </c>
      <c r="H199" s="203">
        <f t="shared" si="48"/>
        <v>0</v>
      </c>
      <c r="I199" s="203">
        <f>G14</f>
        <v>0</v>
      </c>
    </row>
    <row r="200" spans="1:12" x14ac:dyDescent="0.2">
      <c r="A200" s="214" t="s">
        <v>179</v>
      </c>
      <c r="B200" s="216" t="s">
        <v>182</v>
      </c>
      <c r="C200" s="216"/>
      <c r="D200" s="217"/>
      <c r="E200" s="4">
        <f>IF(AND(MONTH(C2)=9,DAY(C2)&lt;=5),0.5,IF(AND(MONTH(C2)=7,DAY(C2)&lt;=5),2.5,IF(AND(MONTH(C2)=7,DAY(C2)&gt;5),2,IF(AND(MONTH(C2)=8,DAY(C2)&lt;=5),1.5,IF(AND(MONTH(C2)=8,DAY(C2)&gt;5),1,0)))))</f>
        <v>0</v>
      </c>
      <c r="F200" s="4">
        <f t="shared" ref="F200:H200" si="49">IF(AND(MONTH(D2)=9,DAY(D2)&lt;=5),0.5,IF(AND(MONTH(D2)=7,DAY(D2)&lt;=5),2.5,IF(AND(MONTH(D2)=7,DAY(D2)&gt;5),2,IF(AND(MONTH(D2)=8,DAY(D2)&lt;=5),1.5,IF(AND(MONTH(D2)=8,DAY(D2)&gt;5),1,0)))))</f>
        <v>0</v>
      </c>
      <c r="G200" s="4">
        <f t="shared" si="49"/>
        <v>0</v>
      </c>
      <c r="H200" s="4" t="e">
        <f t="shared" si="49"/>
        <v>#VALUE!</v>
      </c>
      <c r="I200" s="4" t="e">
        <f>IF(AND(MONTH(G2)=9,DAY(G2)&lt;=5),0.5,IF(AND(MONTH(G2)=7,DAY(G2)&lt;=5),2.5,IF(AND(MONTH(G2)=7,DAY(G2)&gt;5),2,IF(AND(MONTH(G2)=8,DAY(G2)&lt;=5),1.5,IF(AND(MONTH(G2)=8,DAY(G2)&gt;5),1,0)))))</f>
        <v>#VALUE!</v>
      </c>
    </row>
    <row r="201" spans="1:12" x14ac:dyDescent="0.2">
      <c r="A201" s="215"/>
      <c r="B201" s="216" t="s">
        <v>183</v>
      </c>
      <c r="C201" s="216"/>
      <c r="D201" s="217"/>
      <c r="E201" s="4">
        <f>2.5-E200</f>
        <v>2.5</v>
      </c>
      <c r="F201" s="4">
        <f>IF(D4="",0,2.5-F200)</f>
        <v>2.5</v>
      </c>
      <c r="G201" s="4">
        <f t="shared" ref="G201:I201" si="50">IF(E4="",0,2.5-G200)</f>
        <v>2.5</v>
      </c>
      <c r="H201" s="4">
        <f t="shared" si="50"/>
        <v>0</v>
      </c>
      <c r="I201" s="4">
        <f t="shared" si="50"/>
        <v>0</v>
      </c>
    </row>
    <row r="202" spans="1:12" x14ac:dyDescent="0.2">
      <c r="A202" s="214" t="s">
        <v>180</v>
      </c>
      <c r="B202" s="216" t="s">
        <v>182</v>
      </c>
      <c r="C202" s="216"/>
      <c r="D202" s="217"/>
      <c r="E202" s="4">
        <f>IF(AND(MONTH(C2)=7,DAY(C2)&lt;=5),2,IF(AND(MONTH(C2)=7,DAY(C2)&gt;5),1.5,IF(AND(MONTH(C2)=8,DAY(C2)&lt;=5),1,IF(AND(MONTH(C2)=8,DAY(C2)&gt;5),0.5,0))))</f>
        <v>0</v>
      </c>
      <c r="F202" s="4">
        <f t="shared" ref="F202:I202" si="51">IF(AND(MONTH(D2)=7,DAY(D2)&lt;=5),2,IF(AND(MONTH(D2)=7,DAY(D2)&gt;5),1.5,IF(AND(MONTH(D2)=8,DAY(D2)&lt;=5),1,IF(AND(MONTH(D2)=8,DAY(D2)&gt;5),0.5,0))))</f>
        <v>0</v>
      </c>
      <c r="G202" s="4">
        <f t="shared" si="51"/>
        <v>0</v>
      </c>
      <c r="H202" s="4" t="e">
        <f t="shared" si="51"/>
        <v>#VALUE!</v>
      </c>
      <c r="I202" s="4" t="e">
        <f t="shared" si="51"/>
        <v>#VALUE!</v>
      </c>
    </row>
    <row r="203" spans="1:12" x14ac:dyDescent="0.2">
      <c r="A203" s="215"/>
      <c r="B203" s="216" t="s">
        <v>183</v>
      </c>
      <c r="C203" s="216"/>
      <c r="D203" s="217"/>
      <c r="E203" s="4">
        <f>2-E202</f>
        <v>2</v>
      </c>
      <c r="F203" s="4">
        <f>IF(D4="",0,2-F202)</f>
        <v>2</v>
      </c>
      <c r="G203" s="4">
        <f t="shared" ref="G203:I203" si="52">IF(E4="",0,2-G202)</f>
        <v>2</v>
      </c>
      <c r="H203" s="4">
        <f t="shared" si="52"/>
        <v>0</v>
      </c>
      <c r="I203" s="4">
        <f t="shared" si="52"/>
        <v>0</v>
      </c>
    </row>
    <row r="204" spans="1:12" x14ac:dyDescent="0.2">
      <c r="A204" s="214" t="s">
        <v>179</v>
      </c>
      <c r="B204" s="216" t="s">
        <v>184</v>
      </c>
      <c r="C204" s="216"/>
      <c r="D204" s="217"/>
      <c r="E204" s="205">
        <f>IF(E200&gt;C9,C9,E200)</f>
        <v>0</v>
      </c>
      <c r="F204" s="205">
        <f>IF(F200&gt;D9,D9,F200)</f>
        <v>0</v>
      </c>
      <c r="G204" s="205">
        <f t="shared" ref="G204:I204" si="53">IF(G200&gt;E9,E9,G200)</f>
        <v>0</v>
      </c>
      <c r="H204" s="205" t="e">
        <f t="shared" si="53"/>
        <v>#VALUE!</v>
      </c>
      <c r="I204" s="205" t="e">
        <f t="shared" si="53"/>
        <v>#VALUE!</v>
      </c>
    </row>
    <row r="205" spans="1:12" x14ac:dyDescent="0.2">
      <c r="A205" s="215"/>
      <c r="B205" s="216" t="s">
        <v>185</v>
      </c>
      <c r="C205" s="216"/>
      <c r="D205" s="217"/>
      <c r="E205" s="205">
        <f>IF(E201&gt;C10,C10,E201)</f>
        <v>2.5</v>
      </c>
      <c r="F205" s="205">
        <f t="shared" ref="F205:I205" si="54">IF(F201&gt;D10,D10,F201)</f>
        <v>2.5</v>
      </c>
      <c r="G205" s="205">
        <f t="shared" si="54"/>
        <v>2.5</v>
      </c>
      <c r="H205" s="205">
        <f t="shared" si="54"/>
        <v>0</v>
      </c>
      <c r="I205" s="205">
        <f t="shared" si="54"/>
        <v>0</v>
      </c>
    </row>
    <row r="206" spans="1:12" x14ac:dyDescent="0.2">
      <c r="A206" s="214" t="s">
        <v>180</v>
      </c>
      <c r="B206" s="216" t="s">
        <v>186</v>
      </c>
      <c r="C206" s="216"/>
      <c r="D206" s="217"/>
      <c r="E206" s="205">
        <f>IF(E202&gt;C9,C9,E202)</f>
        <v>0</v>
      </c>
      <c r="F206" s="205">
        <f t="shared" ref="F206:I206" si="55">IF(F202&gt;D9,D9,F202)</f>
        <v>0</v>
      </c>
      <c r="G206" s="205">
        <f t="shared" si="55"/>
        <v>0</v>
      </c>
      <c r="H206" s="205" t="e">
        <f t="shared" si="55"/>
        <v>#VALUE!</v>
      </c>
      <c r="I206" s="205" t="e">
        <f t="shared" si="55"/>
        <v>#VALUE!</v>
      </c>
    </row>
    <row r="207" spans="1:12" x14ac:dyDescent="0.2">
      <c r="A207" s="215"/>
      <c r="B207" s="216" t="s">
        <v>185</v>
      </c>
      <c r="C207" s="216"/>
      <c r="D207" s="217"/>
      <c r="E207" s="205">
        <f>IF(E203&gt;C10,C10,E203)</f>
        <v>2</v>
      </c>
      <c r="F207" s="205">
        <f t="shared" ref="F207:I207" si="56">IF(F203&gt;D10,D10,F203)</f>
        <v>2</v>
      </c>
      <c r="G207" s="205">
        <f t="shared" si="56"/>
        <v>2</v>
      </c>
      <c r="H207" s="205">
        <f>IF(H203&gt;F10,F10,H203)</f>
        <v>0</v>
      </c>
      <c r="I207" s="205">
        <f t="shared" si="56"/>
        <v>0</v>
      </c>
    </row>
    <row r="208" spans="1:12" x14ac:dyDescent="0.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 x14ac:dyDescent="0.2">
      <c r="E209" s="96"/>
      <c r="F209" s="17"/>
      <c r="G209" s="17"/>
      <c r="H209" s="17"/>
      <c r="I209" s="17"/>
    </row>
    <row r="210" spans="1:12" x14ac:dyDescent="0.2">
      <c r="A210" s="2" t="s">
        <v>149</v>
      </c>
      <c r="E210" s="17"/>
      <c r="F210" s="17"/>
      <c r="G210" s="17"/>
      <c r="H210" s="17"/>
      <c r="I210" s="17"/>
    </row>
    <row r="211" spans="1:12" x14ac:dyDescent="0.2">
      <c r="A211" s="2"/>
      <c r="B211" s="225" t="s">
        <v>10</v>
      </c>
      <c r="C211" s="225"/>
      <c r="D211" s="225" t="s">
        <v>11</v>
      </c>
      <c r="E211" s="225"/>
      <c r="F211" s="222" t="s">
        <v>12</v>
      </c>
      <c r="G211" s="222"/>
      <c r="H211" s="222" t="s">
        <v>25</v>
      </c>
      <c r="I211" s="222"/>
      <c r="J211" s="222" t="s">
        <v>13</v>
      </c>
      <c r="K211" s="222"/>
    </row>
    <row r="212" spans="1:12" x14ac:dyDescent="0.2">
      <c r="A212" s="93" t="str">
        <f t="shared" ref="A212:A235" si="57">A171</f>
        <v>P. Ullrich (PI)</v>
      </c>
      <c r="B212" s="4">
        <f>IF(L212="A",IF(H171&lt;$E$198,H171,$E$198),IF(L212="B",IF(H171&lt;$E$204,H171,$E$204),IF(L212="C",IF(H171&lt;$E$206,H171,$E$206),IF(L212="D",0))))</f>
        <v>0</v>
      </c>
      <c r="C212" s="88">
        <f t="shared" ref="C212:C235" si="58">H171-B212</f>
        <v>0.74997000000000003</v>
      </c>
      <c r="D212" s="4">
        <f>IF(L212="A",IF(I171&lt;$F$198,I171,$F$198),IF(L212="B",IF(I171&lt;$F$204,I171,$F$204),IF(L212="C",IF(I171&lt;$F$206,I171,$F$206),IF(L212="D",0))))</f>
        <v>0</v>
      </c>
      <c r="E212" s="88">
        <f t="shared" ref="E212:E235" si="59">I171-D212</f>
        <v>0.74997000000000003</v>
      </c>
      <c r="F212" s="4">
        <f>IF(L212="A",IF(J171&lt;$G$198,J171,$G$198),IF(L212="B",IF(J171&lt;$G$204,J171,$G$204),IF(L212="C",IF(J171&lt;$G$206,J171,$G$206),IF(L212="D",0))))</f>
        <v>0</v>
      </c>
      <c r="G212" s="88">
        <f t="shared" ref="G212:G235" si="60">J171-F212</f>
        <v>0.74997000000000003</v>
      </c>
      <c r="H212" s="4" t="e">
        <f>IF(L212="A",IF(K171&lt;$H$198,K171,$H$198),IF(L212="B",IF(K171&lt;$H$204,K171,$H$204),IF(L212="C",IF(K171&lt;$H$206,K171,$H$206),IF(L212="D",0))))</f>
        <v>#VALUE!</v>
      </c>
      <c r="I212" s="88" t="e">
        <f t="shared" ref="I212:I235" si="61">K171-H212</f>
        <v>#VALUE!</v>
      </c>
      <c r="J212" s="4" t="e">
        <f>IF(L212="A",IF(L171&lt;$I$198,L171,$I$198),IF(L212="B",IF(L171&lt;$I$204,L171,$I$204),IF(L212="C",IF(L171&lt;$I$206,L171,$I$206),IF(L212="D",0))))</f>
        <v>#VALUE!</v>
      </c>
      <c r="K212" s="88" t="e">
        <f t="shared" ref="K212:K235" si="62">L171-J212</f>
        <v>#VALUE!</v>
      </c>
      <c r="L212" s="1" t="str">
        <f>IF(Request!D35="F-SMRA","A",IF(Request!D35="F-SMRB","B",IF(Request!D35="F-SMRC","C","D")))</f>
        <v>B</v>
      </c>
    </row>
    <row r="213" spans="1:12" x14ac:dyDescent="0.2">
      <c r="A213" s="94" t="str">
        <f t="shared" si="57"/>
        <v>TBN (GSR IV)</v>
      </c>
      <c r="B213" s="4">
        <f t="shared" ref="B213:B235" si="63">IF(L213="A",IF(H172&lt;$E$198,H172,$E$198),IF(L213="B",IF(H172&lt;$E$204,H172,$E$204),IF(L213="C",IF(H172&lt;$E$206,H172,$E$206),IF(L213="D",0))))</f>
        <v>0</v>
      </c>
      <c r="C213" s="88">
        <f t="shared" si="58"/>
        <v>5.5159199999999995</v>
      </c>
      <c r="D213" s="4">
        <f t="shared" ref="D213:D235" si="64">IF(L213="A",IF(I172&lt;$F$198,I172,$F$198),IF(L213="B",IF(I172&lt;$F$204,I172,$F$204),IF(L213="C",IF(I172&lt;$F$206,I172,$F$206),IF(L213="D",0))))</f>
        <v>0</v>
      </c>
      <c r="E213" s="88">
        <f t="shared" si="59"/>
        <v>5.5160100000000005</v>
      </c>
      <c r="F213" s="4">
        <f t="shared" ref="F213:F235" si="65">IF(L213="A",IF(J172&lt;$G$198,J172,$G$198),IF(L213="B",IF(J172&lt;$G$204,J172,$G$204),IF(L213="C",IF(J172&lt;$G$206,J172,$G$206),IF(L213="D",0))))</f>
        <v>0</v>
      </c>
      <c r="G213" s="88">
        <f t="shared" si="60"/>
        <v>5.5162800000000001</v>
      </c>
      <c r="H213" s="4">
        <f t="shared" ref="H213:H235" si="66">IF(L213="A",IF(K172&lt;$H$198,K172,$H$198),IF(L213="B",IF(K172&lt;$H$204,K172,$H$204),IF(L213="C",IF(K172&lt;$H$206,K172,$H$206),IF(L213="D",0))))</f>
        <v>0</v>
      </c>
      <c r="I213" s="88">
        <f t="shared" si="61"/>
        <v>0</v>
      </c>
      <c r="J213" s="4">
        <f t="shared" ref="J213:J235" si="67">IF(L213="A",IF(L172&lt;$I$198,L172,$I$198),IF(L213="B",IF(L172&lt;$I$204,L172,$I$204),IF(L213="C",IF(L172&lt;$I$206,L172,$I$206),IF(L213="D",0))))</f>
        <v>0</v>
      </c>
      <c r="K213" s="88">
        <f t="shared" si="62"/>
        <v>0</v>
      </c>
      <c r="L213" s="1" t="str">
        <f>IF(Request!D36="F-SMRA","A",IF(Request!D36="F-SMRB","B",IF(Request!D36="F-SMRC","C","D")))</f>
        <v>D</v>
      </c>
    </row>
    <row r="214" spans="1:12" x14ac:dyDescent="0.2">
      <c r="A214" s="94">
        <f t="shared" si="57"/>
        <v>0</v>
      </c>
      <c r="B214" s="4">
        <f t="shared" si="63"/>
        <v>0</v>
      </c>
      <c r="C214" s="88">
        <f t="shared" si="58"/>
        <v>0</v>
      </c>
      <c r="D214" s="4">
        <f t="shared" si="64"/>
        <v>0</v>
      </c>
      <c r="E214" s="88">
        <f t="shared" si="59"/>
        <v>0</v>
      </c>
      <c r="F214" s="4">
        <f t="shared" si="65"/>
        <v>0</v>
      </c>
      <c r="G214" s="88">
        <f t="shared" si="60"/>
        <v>0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 x14ac:dyDescent="0.2">
      <c r="A215" s="94">
        <f t="shared" si="57"/>
        <v>0</v>
      </c>
      <c r="B215" s="4">
        <f t="shared" si="63"/>
        <v>0</v>
      </c>
      <c r="C215" s="88">
        <f t="shared" si="58"/>
        <v>0</v>
      </c>
      <c r="D215" s="4">
        <f t="shared" si="64"/>
        <v>0</v>
      </c>
      <c r="E215" s="88">
        <f t="shared" si="59"/>
        <v>0</v>
      </c>
      <c r="F215" s="4">
        <f t="shared" si="65"/>
        <v>0</v>
      </c>
      <c r="G215" s="88">
        <f t="shared" si="60"/>
        <v>0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 x14ac:dyDescent="0.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 x14ac:dyDescent="0.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 x14ac:dyDescent="0.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 x14ac:dyDescent="0.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 x14ac:dyDescent="0.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 x14ac:dyDescent="0.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 x14ac:dyDescent="0.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 x14ac:dyDescent="0.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 x14ac:dyDescent="0.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 x14ac:dyDescent="0.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 x14ac:dyDescent="0.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 x14ac:dyDescent="0.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 x14ac:dyDescent="0.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 x14ac:dyDescent="0.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 x14ac:dyDescent="0.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 x14ac:dyDescent="0.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 x14ac:dyDescent="0.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 x14ac:dyDescent="0.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 x14ac:dyDescent="0.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 x14ac:dyDescent="0.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 x14ac:dyDescent="0.2">
      <c r="E239" s="96"/>
      <c r="F239" s="17"/>
      <c r="G239" s="17"/>
      <c r="H239" s="17"/>
      <c r="I239" s="17"/>
    </row>
    <row r="240" spans="1:12" x14ac:dyDescent="0.2">
      <c r="A240" s="99" t="s">
        <v>150</v>
      </c>
      <c r="B240" s="228" t="s">
        <v>10</v>
      </c>
      <c r="C240" s="228"/>
      <c r="D240" s="228" t="s">
        <v>11</v>
      </c>
      <c r="E240" s="228"/>
      <c r="F240" s="228" t="s">
        <v>12</v>
      </c>
      <c r="G240" s="228"/>
      <c r="H240" s="228" t="s">
        <v>25</v>
      </c>
      <c r="I240" s="228"/>
      <c r="J240" s="228" t="s">
        <v>13</v>
      </c>
      <c r="K240" s="228"/>
    </row>
    <row r="241" spans="1:11" x14ac:dyDescent="0.2">
      <c r="A241" s="99"/>
      <c r="B241" s="102">
        <f t="shared" ref="B241:K241" si="68">B56</f>
        <v>0.17</v>
      </c>
      <c r="C241" s="102">
        <f t="shared" si="68"/>
        <v>0.18</v>
      </c>
      <c r="D241" s="102">
        <f t="shared" si="68"/>
        <v>0.18</v>
      </c>
      <c r="E241" s="102">
        <f t="shared" si="68"/>
        <v>0.185</v>
      </c>
      <c r="F241" s="102">
        <f t="shared" si="68"/>
        <v>0.185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 x14ac:dyDescent="0.2">
      <c r="A242" s="93" t="str">
        <f>A212</f>
        <v>P. Ullrich (PI)</v>
      </c>
      <c r="B242" s="4">
        <f>B212</f>
        <v>0</v>
      </c>
      <c r="C242" s="4">
        <f t="shared" ref="C242:K242" si="69">C212</f>
        <v>0.74997000000000003</v>
      </c>
      <c r="D242" s="4">
        <f t="shared" si="69"/>
        <v>0</v>
      </c>
      <c r="E242" s="4">
        <f t="shared" si="69"/>
        <v>0.74997000000000003</v>
      </c>
      <c r="F242" s="4">
        <f t="shared" si="69"/>
        <v>0</v>
      </c>
      <c r="G242" s="4">
        <f t="shared" si="69"/>
        <v>0.74997000000000003</v>
      </c>
      <c r="H242" s="4" t="e">
        <f t="shared" si="69"/>
        <v>#VALUE!</v>
      </c>
      <c r="I242" s="4" t="e">
        <f t="shared" si="69"/>
        <v>#VALUE!</v>
      </c>
      <c r="J242" s="4" t="e">
        <f t="shared" si="69"/>
        <v>#VALUE!</v>
      </c>
      <c r="K242" s="4" t="e">
        <f t="shared" si="69"/>
        <v>#VALUE!</v>
      </c>
    </row>
    <row r="243" spans="1:11" x14ac:dyDescent="0.2">
      <c r="A243" s="93" t="str">
        <f t="shared" ref="A243:K265" si="70">A213</f>
        <v>TBN (GSR IV)</v>
      </c>
      <c r="B243" s="4">
        <f t="shared" si="70"/>
        <v>0</v>
      </c>
      <c r="C243" s="4">
        <f t="shared" si="70"/>
        <v>5.5159199999999995</v>
      </c>
      <c r="D243" s="4">
        <f t="shared" si="70"/>
        <v>0</v>
      </c>
      <c r="E243" s="4">
        <f t="shared" si="70"/>
        <v>5.5160100000000005</v>
      </c>
      <c r="F243" s="4">
        <f t="shared" si="70"/>
        <v>0</v>
      </c>
      <c r="G243" s="4">
        <f t="shared" si="70"/>
        <v>5.5162800000000001</v>
      </c>
      <c r="H243" s="4">
        <f t="shared" si="70"/>
        <v>0</v>
      </c>
      <c r="I243" s="4">
        <f t="shared" si="70"/>
        <v>0</v>
      </c>
      <c r="J243" s="4">
        <f t="shared" si="70"/>
        <v>0</v>
      </c>
      <c r="K243" s="4">
        <f t="shared" si="70"/>
        <v>0</v>
      </c>
    </row>
    <row r="244" spans="1:11" x14ac:dyDescent="0.2">
      <c r="A244" s="93">
        <f t="shared" si="70"/>
        <v>0</v>
      </c>
      <c r="B244" s="4">
        <f t="shared" si="70"/>
        <v>0</v>
      </c>
      <c r="C244" s="4">
        <f t="shared" si="70"/>
        <v>0</v>
      </c>
      <c r="D244" s="4">
        <f t="shared" si="70"/>
        <v>0</v>
      </c>
      <c r="E244" s="4">
        <f t="shared" si="70"/>
        <v>0</v>
      </c>
      <c r="F244" s="4">
        <f t="shared" si="70"/>
        <v>0</v>
      </c>
      <c r="G244" s="4">
        <f t="shared" si="70"/>
        <v>0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 x14ac:dyDescent="0.2">
      <c r="A245" s="93">
        <f t="shared" si="70"/>
        <v>0</v>
      </c>
      <c r="B245" s="4">
        <f t="shared" si="70"/>
        <v>0</v>
      </c>
      <c r="C245" s="4">
        <f t="shared" si="70"/>
        <v>0</v>
      </c>
      <c r="D245" s="4">
        <f t="shared" si="70"/>
        <v>0</v>
      </c>
      <c r="E245" s="4">
        <f t="shared" si="70"/>
        <v>0</v>
      </c>
      <c r="F245" s="4">
        <f t="shared" si="70"/>
        <v>0</v>
      </c>
      <c r="G245" s="4">
        <f t="shared" si="70"/>
        <v>0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 x14ac:dyDescent="0.2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 x14ac:dyDescent="0.2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 x14ac:dyDescent="0.2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 x14ac:dyDescent="0.2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 x14ac:dyDescent="0.2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 x14ac:dyDescent="0.2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 x14ac:dyDescent="0.2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 x14ac:dyDescent="0.2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 x14ac:dyDescent="0.2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 x14ac:dyDescent="0.2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 x14ac:dyDescent="0.2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 x14ac:dyDescent="0.2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 x14ac:dyDescent="0.2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 x14ac:dyDescent="0.2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 x14ac:dyDescent="0.2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 x14ac:dyDescent="0.2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 x14ac:dyDescent="0.2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 x14ac:dyDescent="0.2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 x14ac:dyDescent="0.2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 x14ac:dyDescent="0.2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 x14ac:dyDescent="0.2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 x14ac:dyDescent="0.2">
      <c r="A268" s="99" t="s">
        <v>151</v>
      </c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</row>
    <row r="269" spans="1:11" x14ac:dyDescent="0.2">
      <c r="A269" s="101" t="str">
        <f>A242</f>
        <v>P. Ullrich (PI)</v>
      </c>
      <c r="B269" s="229">
        <f>IF(B$241=C$241,B$241*100,IF(C242=0,B$241*100,IF(B242=0,C$241*100,B$241*100&amp;"/"&amp;C$241*100)))</f>
        <v>18</v>
      </c>
      <c r="C269" s="230"/>
      <c r="D269" s="229">
        <f>IF(D$241=E$241,D$241*100,IF(E242=0,D$241*100,IF(D242=0,E$241*100,D$241*100&amp;"/"&amp;E$241*100)))</f>
        <v>18.5</v>
      </c>
      <c r="E269" s="230"/>
      <c r="F269" s="229">
        <f>IF(F$241=G$241,F$241*100,IF(G242=0,F$241*100,IF(F242=0,G$241*100,F$241*100&amp;"/"&amp;G$241*100)))</f>
        <v>19.100000000000001</v>
      </c>
      <c r="G269" s="230"/>
      <c r="H269" s="229">
        <f>IF(H$241=I$241,H$241*100,IF(I242=0,H$241*100,IF(H242=0,I$241*100,H$241*100&amp;"/"&amp;I$241*100)))</f>
        <v>0</v>
      </c>
      <c r="I269" s="230"/>
      <c r="J269" s="231">
        <f>IF(J$241=K$241,J$241*100,IF(K242=0,J$241*100,IF(J242=0,K$241*100,J$241*100&amp;"/"&amp;K$241*100)))</f>
        <v>0</v>
      </c>
      <c r="K269" s="232"/>
    </row>
    <row r="270" spans="1:11" x14ac:dyDescent="0.2">
      <c r="A270" s="101" t="str">
        <f t="shared" ref="A270:A292" si="74">A243</f>
        <v>TBN (GSR IV)</v>
      </c>
      <c r="B270" s="229">
        <f t="shared" ref="B270:B292" si="75">IF(B$241=C$241,B$241*100,IF(C243=0,B$241*100,IF(B243=0,C$241*100,B$241*100&amp;"/"&amp;C$241*100)))</f>
        <v>18</v>
      </c>
      <c r="C270" s="230"/>
      <c r="D270" s="229">
        <f t="shared" ref="D270:D292" si="76">IF(D$241=E$241,D$241*100,IF(E243=0,D$241*100,IF(D243=0,E$241*100,D$241*100&amp;"/"&amp;E$241*100)))</f>
        <v>18.5</v>
      </c>
      <c r="E270" s="230"/>
      <c r="F270" s="229">
        <f t="shared" ref="F270:F292" si="77">IF(F$241=G$241,F$241*100,IF(G243=0,F$241*100,IF(F243=0,G$241*100,F$241*100&amp;"/"&amp;G$241*100)))</f>
        <v>19.100000000000001</v>
      </c>
      <c r="G270" s="230"/>
      <c r="H270" s="229">
        <f t="shared" ref="H270:H292" si="78">IF(H$241=I$241,H$241*100,IF(I243=0,H$241*100,IF(H243=0,I$241*100,H$241*100&amp;"/"&amp;I$241*100)))</f>
        <v>0</v>
      </c>
      <c r="I270" s="230"/>
      <c r="J270" s="231">
        <f t="shared" ref="J270:J292" si="79">IF(J$241=K$241,J$241*100,IF(K243=0,J$241*100,IF(J243=0,K$241*100,J$241*100&amp;"/"&amp;K$241*100)))</f>
        <v>0</v>
      </c>
      <c r="K270" s="232"/>
    </row>
    <row r="271" spans="1:11" x14ac:dyDescent="0.2">
      <c r="A271" s="101">
        <f t="shared" si="74"/>
        <v>0</v>
      </c>
      <c r="B271" s="229">
        <f t="shared" si="75"/>
        <v>17</v>
      </c>
      <c r="C271" s="230"/>
      <c r="D271" s="229">
        <f t="shared" si="76"/>
        <v>18</v>
      </c>
      <c r="E271" s="230"/>
      <c r="F271" s="229">
        <f t="shared" si="77"/>
        <v>18.5</v>
      </c>
      <c r="G271" s="230"/>
      <c r="H271" s="229">
        <f t="shared" si="78"/>
        <v>0</v>
      </c>
      <c r="I271" s="230"/>
      <c r="J271" s="231">
        <f t="shared" si="79"/>
        <v>0</v>
      </c>
      <c r="K271" s="232"/>
    </row>
    <row r="272" spans="1:11" x14ac:dyDescent="0.2">
      <c r="A272" s="101">
        <f t="shared" si="74"/>
        <v>0</v>
      </c>
      <c r="B272" s="229">
        <f t="shared" si="75"/>
        <v>17</v>
      </c>
      <c r="C272" s="230"/>
      <c r="D272" s="229">
        <f t="shared" si="76"/>
        <v>18</v>
      </c>
      <c r="E272" s="230"/>
      <c r="F272" s="229">
        <f t="shared" si="77"/>
        <v>18.5</v>
      </c>
      <c r="G272" s="230"/>
      <c r="H272" s="229">
        <f t="shared" si="78"/>
        <v>0</v>
      </c>
      <c r="I272" s="230"/>
      <c r="J272" s="231">
        <f t="shared" si="79"/>
        <v>0</v>
      </c>
      <c r="K272" s="232"/>
    </row>
    <row r="273" spans="1:11" x14ac:dyDescent="0.2">
      <c r="A273" s="101">
        <f t="shared" si="74"/>
        <v>0</v>
      </c>
      <c r="B273" s="229">
        <f t="shared" si="75"/>
        <v>17</v>
      </c>
      <c r="C273" s="230"/>
      <c r="D273" s="229">
        <f t="shared" si="76"/>
        <v>18</v>
      </c>
      <c r="E273" s="230"/>
      <c r="F273" s="229">
        <f t="shared" si="77"/>
        <v>18.5</v>
      </c>
      <c r="G273" s="230"/>
      <c r="H273" s="229">
        <f t="shared" si="78"/>
        <v>0</v>
      </c>
      <c r="I273" s="230"/>
      <c r="J273" s="231">
        <f t="shared" si="79"/>
        <v>0</v>
      </c>
      <c r="K273" s="232"/>
    </row>
    <row r="274" spans="1:11" x14ac:dyDescent="0.2">
      <c r="A274" s="101">
        <f t="shared" si="74"/>
        <v>0</v>
      </c>
      <c r="B274" s="229">
        <f t="shared" si="75"/>
        <v>17</v>
      </c>
      <c r="C274" s="230"/>
      <c r="D274" s="229">
        <f t="shared" si="76"/>
        <v>18</v>
      </c>
      <c r="E274" s="230"/>
      <c r="F274" s="229">
        <f t="shared" si="77"/>
        <v>18.5</v>
      </c>
      <c r="G274" s="230"/>
      <c r="H274" s="229">
        <f t="shared" si="78"/>
        <v>0</v>
      </c>
      <c r="I274" s="230"/>
      <c r="J274" s="231">
        <f t="shared" si="79"/>
        <v>0</v>
      </c>
      <c r="K274" s="232"/>
    </row>
    <row r="275" spans="1:11" x14ac:dyDescent="0.2">
      <c r="A275" s="101">
        <f t="shared" si="74"/>
        <v>0</v>
      </c>
      <c r="B275" s="229">
        <f t="shared" si="75"/>
        <v>17</v>
      </c>
      <c r="C275" s="230"/>
      <c r="D275" s="229">
        <f t="shared" si="76"/>
        <v>18</v>
      </c>
      <c r="E275" s="230"/>
      <c r="F275" s="229">
        <f t="shared" si="77"/>
        <v>18.5</v>
      </c>
      <c r="G275" s="230"/>
      <c r="H275" s="229">
        <f t="shared" si="78"/>
        <v>0</v>
      </c>
      <c r="I275" s="230"/>
      <c r="J275" s="231">
        <f t="shared" si="79"/>
        <v>0</v>
      </c>
      <c r="K275" s="232"/>
    </row>
    <row r="276" spans="1:11" x14ac:dyDescent="0.2">
      <c r="A276" s="101">
        <f t="shared" si="74"/>
        <v>0</v>
      </c>
      <c r="B276" s="229">
        <f t="shared" si="75"/>
        <v>17</v>
      </c>
      <c r="C276" s="230"/>
      <c r="D276" s="229">
        <f t="shared" si="76"/>
        <v>18</v>
      </c>
      <c r="E276" s="230"/>
      <c r="F276" s="229">
        <f t="shared" si="77"/>
        <v>18.5</v>
      </c>
      <c r="G276" s="230"/>
      <c r="H276" s="229">
        <f t="shared" si="78"/>
        <v>0</v>
      </c>
      <c r="I276" s="230"/>
      <c r="J276" s="231">
        <f t="shared" si="79"/>
        <v>0</v>
      </c>
      <c r="K276" s="232"/>
    </row>
    <row r="277" spans="1:11" x14ac:dyDescent="0.2">
      <c r="A277" s="101">
        <f t="shared" si="74"/>
        <v>0</v>
      </c>
      <c r="B277" s="229">
        <f t="shared" si="75"/>
        <v>17</v>
      </c>
      <c r="C277" s="230"/>
      <c r="D277" s="229">
        <f t="shared" si="76"/>
        <v>18</v>
      </c>
      <c r="E277" s="230"/>
      <c r="F277" s="229">
        <f t="shared" si="77"/>
        <v>18.5</v>
      </c>
      <c r="G277" s="230"/>
      <c r="H277" s="229">
        <f t="shared" si="78"/>
        <v>0</v>
      </c>
      <c r="I277" s="230"/>
      <c r="J277" s="231">
        <f t="shared" si="79"/>
        <v>0</v>
      </c>
      <c r="K277" s="232"/>
    </row>
    <row r="278" spans="1:11" x14ac:dyDescent="0.2">
      <c r="A278" s="101">
        <f t="shared" si="74"/>
        <v>0</v>
      </c>
      <c r="B278" s="229">
        <f t="shared" si="75"/>
        <v>17</v>
      </c>
      <c r="C278" s="230"/>
      <c r="D278" s="229">
        <f t="shared" si="76"/>
        <v>18</v>
      </c>
      <c r="E278" s="230"/>
      <c r="F278" s="229">
        <f t="shared" si="77"/>
        <v>18.5</v>
      </c>
      <c r="G278" s="230"/>
      <c r="H278" s="229">
        <f t="shared" si="78"/>
        <v>0</v>
      </c>
      <c r="I278" s="230"/>
      <c r="J278" s="231">
        <f t="shared" si="79"/>
        <v>0</v>
      </c>
      <c r="K278" s="232"/>
    </row>
    <row r="279" spans="1:11" x14ac:dyDescent="0.2">
      <c r="A279" s="101">
        <f t="shared" si="74"/>
        <v>0</v>
      </c>
      <c r="B279" s="229">
        <f t="shared" si="75"/>
        <v>17</v>
      </c>
      <c r="C279" s="230"/>
      <c r="D279" s="229">
        <f t="shared" si="76"/>
        <v>18</v>
      </c>
      <c r="E279" s="230"/>
      <c r="F279" s="229">
        <f t="shared" si="77"/>
        <v>18.5</v>
      </c>
      <c r="G279" s="230"/>
      <c r="H279" s="229">
        <f t="shared" si="78"/>
        <v>0</v>
      </c>
      <c r="I279" s="230"/>
      <c r="J279" s="231">
        <f t="shared" si="79"/>
        <v>0</v>
      </c>
      <c r="K279" s="232"/>
    </row>
    <row r="280" spans="1:11" x14ac:dyDescent="0.2">
      <c r="A280" s="101">
        <f t="shared" si="74"/>
        <v>0</v>
      </c>
      <c r="B280" s="229">
        <f t="shared" si="75"/>
        <v>17</v>
      </c>
      <c r="C280" s="230"/>
      <c r="D280" s="229">
        <f t="shared" si="76"/>
        <v>18</v>
      </c>
      <c r="E280" s="230"/>
      <c r="F280" s="229">
        <f t="shared" si="77"/>
        <v>18.5</v>
      </c>
      <c r="G280" s="230"/>
      <c r="H280" s="229">
        <f t="shared" si="78"/>
        <v>0</v>
      </c>
      <c r="I280" s="230"/>
      <c r="J280" s="231">
        <f t="shared" si="79"/>
        <v>0</v>
      </c>
      <c r="K280" s="232"/>
    </row>
    <row r="281" spans="1:11" x14ac:dyDescent="0.2">
      <c r="A281" s="101">
        <f t="shared" si="74"/>
        <v>0</v>
      </c>
      <c r="B281" s="229">
        <f t="shared" si="75"/>
        <v>17</v>
      </c>
      <c r="C281" s="230"/>
      <c r="D281" s="229">
        <f t="shared" si="76"/>
        <v>18</v>
      </c>
      <c r="E281" s="230"/>
      <c r="F281" s="229">
        <f t="shared" si="77"/>
        <v>18.5</v>
      </c>
      <c r="G281" s="230"/>
      <c r="H281" s="229">
        <f t="shared" si="78"/>
        <v>0</v>
      </c>
      <c r="I281" s="230"/>
      <c r="J281" s="231">
        <f t="shared" si="79"/>
        <v>0</v>
      </c>
      <c r="K281" s="232"/>
    </row>
    <row r="282" spans="1:11" x14ac:dyDescent="0.2">
      <c r="A282" s="101">
        <f t="shared" si="74"/>
        <v>0</v>
      </c>
      <c r="B282" s="229">
        <f t="shared" si="75"/>
        <v>17</v>
      </c>
      <c r="C282" s="230"/>
      <c r="D282" s="229">
        <f t="shared" si="76"/>
        <v>18</v>
      </c>
      <c r="E282" s="230"/>
      <c r="F282" s="229">
        <f t="shared" si="77"/>
        <v>18.5</v>
      </c>
      <c r="G282" s="230"/>
      <c r="H282" s="229">
        <f t="shared" si="78"/>
        <v>0</v>
      </c>
      <c r="I282" s="230"/>
      <c r="J282" s="231">
        <f t="shared" si="79"/>
        <v>0</v>
      </c>
      <c r="K282" s="232"/>
    </row>
    <row r="283" spans="1:11" x14ac:dyDescent="0.2">
      <c r="A283" s="101">
        <f t="shared" si="74"/>
        <v>0</v>
      </c>
      <c r="B283" s="229">
        <f t="shared" si="75"/>
        <v>17</v>
      </c>
      <c r="C283" s="230"/>
      <c r="D283" s="229">
        <f t="shared" si="76"/>
        <v>18</v>
      </c>
      <c r="E283" s="230"/>
      <c r="F283" s="229">
        <f t="shared" si="77"/>
        <v>18.5</v>
      </c>
      <c r="G283" s="230"/>
      <c r="H283" s="229">
        <f t="shared" si="78"/>
        <v>0</v>
      </c>
      <c r="I283" s="230"/>
      <c r="J283" s="231">
        <f t="shared" si="79"/>
        <v>0</v>
      </c>
      <c r="K283" s="232"/>
    </row>
    <row r="284" spans="1:11" x14ac:dyDescent="0.2">
      <c r="A284" s="101">
        <f t="shared" si="74"/>
        <v>0</v>
      </c>
      <c r="B284" s="229">
        <f t="shared" si="75"/>
        <v>17</v>
      </c>
      <c r="C284" s="230"/>
      <c r="D284" s="229">
        <f t="shared" si="76"/>
        <v>18</v>
      </c>
      <c r="E284" s="230"/>
      <c r="F284" s="229">
        <f t="shared" si="77"/>
        <v>18.5</v>
      </c>
      <c r="G284" s="230"/>
      <c r="H284" s="229">
        <f t="shared" si="78"/>
        <v>0</v>
      </c>
      <c r="I284" s="230"/>
      <c r="J284" s="231">
        <f t="shared" si="79"/>
        <v>0</v>
      </c>
      <c r="K284" s="232"/>
    </row>
    <row r="285" spans="1:11" x14ac:dyDescent="0.2">
      <c r="A285" s="101">
        <f t="shared" si="74"/>
        <v>0</v>
      </c>
      <c r="B285" s="229">
        <f t="shared" si="75"/>
        <v>17</v>
      </c>
      <c r="C285" s="230"/>
      <c r="D285" s="229">
        <f t="shared" si="76"/>
        <v>18</v>
      </c>
      <c r="E285" s="230"/>
      <c r="F285" s="229">
        <f t="shared" si="77"/>
        <v>18.5</v>
      </c>
      <c r="G285" s="230"/>
      <c r="H285" s="229">
        <f t="shared" si="78"/>
        <v>0</v>
      </c>
      <c r="I285" s="230"/>
      <c r="J285" s="231">
        <f t="shared" si="79"/>
        <v>0</v>
      </c>
      <c r="K285" s="232"/>
    </row>
    <row r="286" spans="1:11" x14ac:dyDescent="0.2">
      <c r="A286" s="101">
        <f t="shared" si="74"/>
        <v>0</v>
      </c>
      <c r="B286" s="229">
        <f t="shared" si="75"/>
        <v>17</v>
      </c>
      <c r="C286" s="230"/>
      <c r="D286" s="229">
        <f t="shared" si="76"/>
        <v>18</v>
      </c>
      <c r="E286" s="230"/>
      <c r="F286" s="229">
        <f t="shared" si="77"/>
        <v>18.5</v>
      </c>
      <c r="G286" s="230"/>
      <c r="H286" s="229">
        <f t="shared" si="78"/>
        <v>0</v>
      </c>
      <c r="I286" s="230"/>
      <c r="J286" s="231">
        <f t="shared" si="79"/>
        <v>0</v>
      </c>
      <c r="K286" s="232"/>
    </row>
    <row r="287" spans="1:11" x14ac:dyDescent="0.2">
      <c r="A287" s="101">
        <f t="shared" si="74"/>
        <v>0</v>
      </c>
      <c r="B287" s="229">
        <f t="shared" si="75"/>
        <v>17</v>
      </c>
      <c r="C287" s="230"/>
      <c r="D287" s="229">
        <f t="shared" si="76"/>
        <v>18</v>
      </c>
      <c r="E287" s="230"/>
      <c r="F287" s="229">
        <f t="shared" si="77"/>
        <v>18.5</v>
      </c>
      <c r="G287" s="230"/>
      <c r="H287" s="229">
        <f t="shared" si="78"/>
        <v>0</v>
      </c>
      <c r="I287" s="230"/>
      <c r="J287" s="231">
        <f t="shared" si="79"/>
        <v>0</v>
      </c>
      <c r="K287" s="232"/>
    </row>
    <row r="288" spans="1:11" x14ac:dyDescent="0.2">
      <c r="A288" s="101">
        <f t="shared" si="74"/>
        <v>0</v>
      </c>
      <c r="B288" s="229">
        <f t="shared" si="75"/>
        <v>17</v>
      </c>
      <c r="C288" s="230"/>
      <c r="D288" s="229">
        <f t="shared" si="76"/>
        <v>18</v>
      </c>
      <c r="E288" s="230"/>
      <c r="F288" s="229">
        <f t="shared" si="77"/>
        <v>18.5</v>
      </c>
      <c r="G288" s="230"/>
      <c r="H288" s="229">
        <f t="shared" si="78"/>
        <v>0</v>
      </c>
      <c r="I288" s="230"/>
      <c r="J288" s="231">
        <f t="shared" si="79"/>
        <v>0</v>
      </c>
      <c r="K288" s="232"/>
    </row>
    <row r="289" spans="1:12" x14ac:dyDescent="0.2">
      <c r="A289" s="101">
        <f t="shared" si="74"/>
        <v>0</v>
      </c>
      <c r="B289" s="229">
        <f t="shared" si="75"/>
        <v>17</v>
      </c>
      <c r="C289" s="230"/>
      <c r="D289" s="229">
        <f t="shared" si="76"/>
        <v>18</v>
      </c>
      <c r="E289" s="230"/>
      <c r="F289" s="229">
        <f t="shared" si="77"/>
        <v>18.5</v>
      </c>
      <c r="G289" s="230"/>
      <c r="H289" s="229">
        <f t="shared" si="78"/>
        <v>0</v>
      </c>
      <c r="I289" s="230"/>
      <c r="J289" s="231">
        <f t="shared" si="79"/>
        <v>0</v>
      </c>
      <c r="K289" s="232"/>
    </row>
    <row r="290" spans="1:12" x14ac:dyDescent="0.2">
      <c r="A290" s="101">
        <f t="shared" si="74"/>
        <v>0</v>
      </c>
      <c r="B290" s="229">
        <f t="shared" si="75"/>
        <v>17</v>
      </c>
      <c r="C290" s="230"/>
      <c r="D290" s="229">
        <f t="shared" si="76"/>
        <v>18</v>
      </c>
      <c r="E290" s="230"/>
      <c r="F290" s="229">
        <f t="shared" si="77"/>
        <v>18.5</v>
      </c>
      <c r="G290" s="230"/>
      <c r="H290" s="229">
        <f t="shared" si="78"/>
        <v>0</v>
      </c>
      <c r="I290" s="230"/>
      <c r="J290" s="231">
        <f t="shared" si="79"/>
        <v>0</v>
      </c>
      <c r="K290" s="232"/>
    </row>
    <row r="291" spans="1:12" x14ac:dyDescent="0.2">
      <c r="A291" s="101">
        <f t="shared" si="74"/>
        <v>0</v>
      </c>
      <c r="B291" s="229">
        <f t="shared" si="75"/>
        <v>17</v>
      </c>
      <c r="C291" s="230"/>
      <c r="D291" s="229">
        <f t="shared" si="76"/>
        <v>18</v>
      </c>
      <c r="E291" s="230"/>
      <c r="F291" s="229">
        <f t="shared" si="77"/>
        <v>18.5</v>
      </c>
      <c r="G291" s="230"/>
      <c r="H291" s="229">
        <f t="shared" si="78"/>
        <v>0</v>
      </c>
      <c r="I291" s="230"/>
      <c r="J291" s="231">
        <f t="shared" si="79"/>
        <v>0</v>
      </c>
      <c r="K291" s="232"/>
    </row>
    <row r="292" spans="1:12" x14ac:dyDescent="0.2">
      <c r="A292" s="101">
        <f t="shared" si="74"/>
        <v>0</v>
      </c>
      <c r="B292" s="229">
        <f t="shared" si="75"/>
        <v>17</v>
      </c>
      <c r="C292" s="230"/>
      <c r="D292" s="229">
        <f t="shared" si="76"/>
        <v>18</v>
      </c>
      <c r="E292" s="230"/>
      <c r="F292" s="229">
        <f t="shared" si="77"/>
        <v>18.5</v>
      </c>
      <c r="G292" s="230"/>
      <c r="H292" s="229">
        <f t="shared" si="78"/>
        <v>0</v>
      </c>
      <c r="I292" s="230"/>
      <c r="J292" s="231">
        <f t="shared" si="79"/>
        <v>0</v>
      </c>
      <c r="K292" s="232"/>
    </row>
    <row r="294" spans="1:12" x14ac:dyDescent="0.2">
      <c r="A294" s="99" t="s">
        <v>152</v>
      </c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</row>
    <row r="295" spans="1:12" x14ac:dyDescent="0.2">
      <c r="A295" s="101" t="str">
        <f>A269</f>
        <v>P. Ullrich (PI)</v>
      </c>
      <c r="B295" s="233">
        <f ca="1">ROUND(Request!N7/Worksheet!H171*Worksheet!B242*Worksheet!$B$241+Request!N7/Worksheet!H171*Worksheet!C242*Worksheet!C241,0)</f>
        <v>1413</v>
      </c>
      <c r="C295" s="234"/>
      <c r="D295" s="233">
        <f ca="1">ROUND(Request!O7/(D242+E242)*Worksheet!D242*Worksheet!D$241+Request!O7/(D242+E242)*Worksheet!E242*Worksheet!E$241,0)</f>
        <v>1496</v>
      </c>
      <c r="E295" s="234"/>
      <c r="F295" s="233">
        <f ca="1">ROUND(Request!P7/(F242+G242)*Worksheet!F242*Worksheet!F$241+Request!P7/(F242+G242)*Worksheet!G242*Worksheet!G$241,0)</f>
        <v>1590</v>
      </c>
      <c r="G295" s="234"/>
      <c r="H295" s="233" t="e">
        <f ca="1">ROUND(Request!Q7/(H242+I242)*Worksheet!H242*Worksheet!H$241+Request!Q7/(H242+I242)*Worksheet!I242*Worksheet!I$241,0)</f>
        <v>#VALUE!</v>
      </c>
      <c r="I295" s="234"/>
      <c r="J295" s="233" t="e">
        <f ca="1">ROUND(Request!R7/(J242+K242)*Worksheet!J242*Worksheet!J$241+Request!R7/(J242+K242)*Worksheet!K242*Worksheet!K$241,0)</f>
        <v>#VALUE!</v>
      </c>
      <c r="K295" s="234"/>
    </row>
    <row r="296" spans="1:12" x14ac:dyDescent="0.2">
      <c r="A296" s="101" t="str">
        <f t="shared" ref="A296:A318" si="80">A270</f>
        <v>TBN (GSR IV)</v>
      </c>
      <c r="B296" s="233">
        <f ca="1">ROUND(Request!N8/Worksheet!H172*Worksheet!B243*Worksheet!$B$241+Request!N8/Worksheet!H172*Worksheet!C243*Worksheet!$C$241,0)</f>
        <v>5186</v>
      </c>
      <c r="C296" s="234"/>
      <c r="D296" s="233">
        <f ca="1">ROUND(Request!O8/(D243+E243)*Worksheet!D243*Worksheet!D$241+Request!O8/(D243+E243)*Worksheet!E243*Worksheet!E$241,0)</f>
        <v>5490</v>
      </c>
      <c r="E296" s="234"/>
      <c r="F296" s="233">
        <f ca="1">ROUND(Request!P8/(F243+G243)*Worksheet!F243*Worksheet!F$241+Request!P8/(F243+G243)*Worksheet!G243*Worksheet!G$241,0)</f>
        <v>5838</v>
      </c>
      <c r="G296" s="234"/>
      <c r="H296" s="233" t="e">
        <f ca="1">ROUND(Request!Q8/(H243+I243)*Worksheet!H243*Worksheet!H$241+Request!Q8/(H243+I243)*Worksheet!I243*Worksheet!I$241,0)</f>
        <v>#DIV/0!</v>
      </c>
      <c r="I296" s="234"/>
      <c r="J296" s="233" t="e">
        <f ca="1">ROUND(Request!R8/(J243+K243)*Worksheet!J243*Worksheet!J$241+Request!R8/(J243+K243)*Worksheet!K243*Worksheet!K$241,0)</f>
        <v>#DIV/0!</v>
      </c>
      <c r="K296" s="234"/>
    </row>
    <row r="297" spans="1:12" x14ac:dyDescent="0.2">
      <c r="A297" s="101">
        <f t="shared" si="80"/>
        <v>0</v>
      </c>
      <c r="B297" s="233" t="e">
        <f ca="1">ROUND(Request!N9/Worksheet!H173*Worksheet!B244*Worksheet!$B$241+Request!N9/Worksheet!H173*Worksheet!C244*Worksheet!$C$241,0)</f>
        <v>#DIV/0!</v>
      </c>
      <c r="C297" s="234"/>
      <c r="D297" s="233" t="e">
        <f ca="1">ROUND(Request!O9/(D244+E244)*Worksheet!D244*Worksheet!D$241+Request!O9/(D244+E244)*Worksheet!E244*Worksheet!E$241,0)</f>
        <v>#DIV/0!</v>
      </c>
      <c r="E297" s="234"/>
      <c r="F297" s="233" t="e">
        <f ca="1">ROUND(Request!P9/(F244+G244)*Worksheet!F244*Worksheet!F$241+Request!P9/(F244+G244)*Worksheet!G244*Worksheet!G$241,0)</f>
        <v>#DIV/0!</v>
      </c>
      <c r="G297" s="234"/>
      <c r="H297" s="233" t="e">
        <f ca="1">ROUND(Request!Q9/(H244+I244)*Worksheet!H244*Worksheet!H$241+Request!Q9/(H244+I244)*Worksheet!I244*Worksheet!I$241,0)</f>
        <v>#DIV/0!</v>
      </c>
      <c r="I297" s="234"/>
      <c r="J297" s="233" t="e">
        <f ca="1">ROUND(Request!R9/(J244+K244)*Worksheet!J244*Worksheet!J$241+Request!R9/(J244+K244)*Worksheet!K244*Worksheet!K$241,0)</f>
        <v>#DIV/0!</v>
      </c>
      <c r="K297" s="234"/>
    </row>
    <row r="298" spans="1:12" x14ac:dyDescent="0.2">
      <c r="A298" s="101">
        <f t="shared" si="80"/>
        <v>0</v>
      </c>
      <c r="B298" s="233" t="e">
        <f ca="1">ROUND(Request!N10/Worksheet!H174*Worksheet!B245*Worksheet!$B$241+Request!N10/Worksheet!H174*Worksheet!C245*Worksheet!$C$241,0)</f>
        <v>#DIV/0!</v>
      </c>
      <c r="C298" s="234"/>
      <c r="D298" s="233" t="e">
        <f ca="1">ROUND(Request!O10/(D245+E245)*Worksheet!D245*Worksheet!D$241+Request!O10/(D245+E245)*Worksheet!E245*Worksheet!E$241,0)</f>
        <v>#DIV/0!</v>
      </c>
      <c r="E298" s="234"/>
      <c r="F298" s="233" t="e">
        <f ca="1">ROUND(Request!P10/(F245+G245)*Worksheet!F245*Worksheet!F$241+Request!P10/(F245+G245)*Worksheet!G245*Worksheet!G$241,0)</f>
        <v>#DIV/0!</v>
      </c>
      <c r="G298" s="234"/>
      <c r="H298" s="233" t="e">
        <f ca="1">ROUND(Request!Q10/(H245+I245)*Worksheet!H245*Worksheet!H$241+Request!Q10/(H245+I245)*Worksheet!I245*Worksheet!I$241,0)</f>
        <v>#DIV/0!</v>
      </c>
      <c r="I298" s="234"/>
      <c r="J298" s="233" t="e">
        <f ca="1">ROUND(Request!R10/(J245+K245)*Worksheet!J245*Worksheet!J$241+Request!R10/(J245+K245)*Worksheet!K245*Worksheet!K$241,0)</f>
        <v>#DIV/0!</v>
      </c>
      <c r="K298" s="234"/>
    </row>
    <row r="299" spans="1:12" x14ac:dyDescent="0.2">
      <c r="A299" s="101">
        <f t="shared" si="80"/>
        <v>0</v>
      </c>
      <c r="B299" s="233">
        <f>IF((B246+C246)&lt;&gt;0,ROUND(Request!N11/Worksheet!H175*Worksheet!B246*Worksheet!$B$241+Request!N11/Worksheet!H175*Worksheet!C246*Worksheet!$C$241,0),0)</f>
        <v>0</v>
      </c>
      <c r="C299" s="234"/>
      <c r="D299" s="233" t="e">
        <f ca="1">ROUND(Request!O11/(D246+E246)*Worksheet!D246*Worksheet!D$241+Request!O11/(D246+E246)*Worksheet!E246*Worksheet!E$241,0)</f>
        <v>#DIV/0!</v>
      </c>
      <c r="E299" s="234"/>
      <c r="F299" s="233" t="e">
        <f ca="1">ROUND(Request!P11/(F246+G246)*Worksheet!F246*Worksheet!F$241+Request!P11/(F246+G246)*Worksheet!G246*Worksheet!G$241,0)</f>
        <v>#DIV/0!</v>
      </c>
      <c r="G299" s="234"/>
      <c r="H299" s="233" t="e">
        <f ca="1">ROUND(Request!Q11/(H246+I246)*Worksheet!H246*Worksheet!H$241+Request!Q11/(H246+I246)*Worksheet!I246*Worksheet!I$241,0)</f>
        <v>#DIV/0!</v>
      </c>
      <c r="I299" s="234"/>
      <c r="J299" s="233" t="e">
        <f ca="1">ROUND(Request!R11/(J246+K246)*Worksheet!J246*Worksheet!J$241+Request!R11/(J246+K246)*Worksheet!K246*Worksheet!K$241,0)</f>
        <v>#DIV/0!</v>
      </c>
      <c r="K299" s="234"/>
      <c r="L299" s="17"/>
    </row>
    <row r="300" spans="1:12" x14ac:dyDescent="0.2">
      <c r="A300" s="101">
        <f t="shared" si="80"/>
        <v>0</v>
      </c>
      <c r="B300" s="233">
        <f>IF((B247+C247)&lt;&gt;0,ROUND(Request!N12/Worksheet!H176*Worksheet!B247*Worksheet!$B$241+Request!N12/Worksheet!H176*Worksheet!C247*Worksheet!$C$241,0),0)</f>
        <v>0</v>
      </c>
      <c r="C300" s="234"/>
      <c r="D300" s="233" t="e">
        <f ca="1">ROUND(Request!O12/(D247+E247)*Worksheet!D247*Worksheet!D$241+Request!O12/(D247+E247)*Worksheet!E247*Worksheet!E$241,0)</f>
        <v>#DIV/0!</v>
      </c>
      <c r="E300" s="234"/>
      <c r="F300" s="233" t="e">
        <f ca="1">ROUND(Request!P12/(F247+G247)*Worksheet!F247*Worksheet!F$241+Request!P12/(F247+G247)*Worksheet!G247*Worksheet!G$241,0)</f>
        <v>#DIV/0!</v>
      </c>
      <c r="G300" s="234"/>
      <c r="H300" s="233" t="e">
        <f ca="1">ROUND(Request!Q12/(H247+I247)*Worksheet!H247*Worksheet!H$241+Request!Q12/(H247+I247)*Worksheet!I247*Worksheet!I$241,0)</f>
        <v>#DIV/0!</v>
      </c>
      <c r="I300" s="234"/>
      <c r="J300" s="233" t="e">
        <f ca="1">ROUND(Request!R12/(J247+K247)*Worksheet!J247*Worksheet!J$241+Request!R12/(J247+K247)*Worksheet!K247*Worksheet!K$241,0)</f>
        <v>#DIV/0!</v>
      </c>
      <c r="K300" s="234"/>
    </row>
    <row r="301" spans="1:12" x14ac:dyDescent="0.2">
      <c r="A301" s="101">
        <f t="shared" si="80"/>
        <v>0</v>
      </c>
      <c r="B301" s="233">
        <f>IF((B248+C248)&lt;&gt;0,ROUND(Request!N13/Worksheet!H177*Worksheet!B248*Worksheet!$B$241+Request!N13/Worksheet!H177*Worksheet!C248*Worksheet!$C$241,0),0)</f>
        <v>0</v>
      </c>
      <c r="C301" s="234"/>
      <c r="D301" s="233" t="e">
        <f ca="1">ROUND(Request!O13/(D248+E248)*Worksheet!D248*Worksheet!D$241+Request!O13/(D248+E248)*Worksheet!E248*Worksheet!E$241,0)</f>
        <v>#DIV/0!</v>
      </c>
      <c r="E301" s="234"/>
      <c r="F301" s="233" t="e">
        <f ca="1">ROUND(Request!P13/(F248+G248)*Worksheet!F248*Worksheet!F$241+Request!P13/(F248+G248)*Worksheet!G248*Worksheet!G$241,0)</f>
        <v>#DIV/0!</v>
      </c>
      <c r="G301" s="234"/>
      <c r="H301" s="233" t="e">
        <f ca="1">ROUND(Request!Q13/(H248+I248)*Worksheet!H248*Worksheet!H$241+Request!Q13/(H248+I248)*Worksheet!I248*Worksheet!I$241,0)</f>
        <v>#DIV/0!</v>
      </c>
      <c r="I301" s="234"/>
      <c r="J301" s="233" t="e">
        <f ca="1">ROUND(Request!R13/(J248+K248)*Worksheet!J248*Worksheet!J$241+Request!R13/(J248+K248)*Worksheet!K248*Worksheet!K$241,0)</f>
        <v>#DIV/0!</v>
      </c>
      <c r="K301" s="234"/>
    </row>
    <row r="302" spans="1:12" x14ac:dyDescent="0.2">
      <c r="A302" s="101">
        <f t="shared" si="80"/>
        <v>0</v>
      </c>
      <c r="B302" s="233">
        <f>IF((B249+C249)&lt;&gt;0,ROUND(Request!N14/Worksheet!H178*Worksheet!B249*Worksheet!$B$241+Request!N14/Worksheet!H178*Worksheet!C249*Worksheet!$C$241,0),0)</f>
        <v>0</v>
      </c>
      <c r="C302" s="234"/>
      <c r="D302" s="233" t="e">
        <f ca="1">ROUND(Request!O14/(D249+E249)*Worksheet!D249*Worksheet!D$241+Request!O14/(D249+E249)*Worksheet!E249*Worksheet!E$241,0)</f>
        <v>#DIV/0!</v>
      </c>
      <c r="E302" s="234"/>
      <c r="F302" s="233" t="e">
        <f ca="1">ROUND(Request!P14/(F249+G249)*Worksheet!F249*Worksheet!F$241+Request!P14/(F249+G249)*Worksheet!G249*Worksheet!G$241,0)</f>
        <v>#DIV/0!</v>
      </c>
      <c r="G302" s="234"/>
      <c r="H302" s="233" t="e">
        <f ca="1">ROUND(Request!Q14/(H249+I249)*Worksheet!H249*Worksheet!H$241+Request!Q14/(H249+I249)*Worksheet!I249*Worksheet!I$241,0)</f>
        <v>#DIV/0!</v>
      </c>
      <c r="I302" s="234"/>
      <c r="J302" s="233" t="e">
        <f ca="1">ROUND(Request!R14/(J249+K249)*Worksheet!J249*Worksheet!J$241+Request!R14/(J249+K249)*Worksheet!K249*Worksheet!K$241,0)</f>
        <v>#DIV/0!</v>
      </c>
      <c r="K302" s="234"/>
    </row>
    <row r="303" spans="1:12" x14ac:dyDescent="0.2">
      <c r="A303" s="101">
        <f t="shared" si="80"/>
        <v>0</v>
      </c>
      <c r="B303" s="233">
        <f>IF((B250+C250)&lt;&gt;0,ROUND(Request!N15/Worksheet!H179*Worksheet!B250*Worksheet!$B$241+Request!N15/Worksheet!H179*Worksheet!C250*Worksheet!$C$241,0),0)</f>
        <v>0</v>
      </c>
      <c r="C303" s="234"/>
      <c r="D303" s="233" t="e">
        <f ca="1">ROUND(Request!O15/(D250+E250)*Worksheet!D250*Worksheet!D$241+Request!O15/(D250+E250)*Worksheet!E250*Worksheet!E$241,0)</f>
        <v>#DIV/0!</v>
      </c>
      <c r="E303" s="234"/>
      <c r="F303" s="233" t="e">
        <f ca="1">ROUND(Request!P15/(F250+G250)*Worksheet!F250*Worksheet!F$241+Request!P15/(F250+G250)*Worksheet!G250*Worksheet!G$241,0)</f>
        <v>#DIV/0!</v>
      </c>
      <c r="G303" s="234"/>
      <c r="H303" s="233" t="e">
        <f ca="1">ROUND(Request!Q15/(H250+I250)*Worksheet!H250*Worksheet!H$241+Request!Q15/(H250+I250)*Worksheet!I250*Worksheet!I$241,0)</f>
        <v>#DIV/0!</v>
      </c>
      <c r="I303" s="234"/>
      <c r="J303" s="233" t="e">
        <f ca="1">ROUND(Request!R15/(J250+K250)*Worksheet!J250*Worksheet!J$241+Request!R15/(J250+K250)*Worksheet!K250*Worksheet!K$241,0)</f>
        <v>#DIV/0!</v>
      </c>
      <c r="K303" s="234"/>
    </row>
    <row r="304" spans="1:12" x14ac:dyDescent="0.2">
      <c r="A304" s="101">
        <f t="shared" si="80"/>
        <v>0</v>
      </c>
      <c r="B304" s="233">
        <f>IF((B251+C251)&lt;&gt;0,ROUND(Request!N16/Worksheet!H180*Worksheet!B251*Worksheet!$B$241+Request!N16/Worksheet!H180*Worksheet!C251*Worksheet!$C$241,0),0)</f>
        <v>0</v>
      </c>
      <c r="C304" s="234"/>
      <c r="D304" s="233" t="e">
        <f ca="1">ROUND(Request!O16/(D251+E251)*Worksheet!D251*Worksheet!D$241+Request!O16/(D251+E251)*Worksheet!E251*Worksheet!E$241,0)</f>
        <v>#DIV/0!</v>
      </c>
      <c r="E304" s="234"/>
      <c r="F304" s="233" t="e">
        <f ca="1">ROUND(Request!P16/(F251+G251)*Worksheet!F251*Worksheet!F$241+Request!P16/(F251+G251)*Worksheet!G251*Worksheet!G$241,0)</f>
        <v>#DIV/0!</v>
      </c>
      <c r="G304" s="234"/>
      <c r="H304" s="233" t="e">
        <f ca="1">ROUND(Request!Q16/(H251+I251)*Worksheet!H251*Worksheet!H$241+Request!Q16/(H251+I251)*Worksheet!I251*Worksheet!I$241,0)</f>
        <v>#DIV/0!</v>
      </c>
      <c r="I304" s="234"/>
      <c r="J304" s="233" t="e">
        <f ca="1">ROUND(Request!R16/(J251+K251)*Worksheet!J251*Worksheet!J$241+Request!R16/(J251+K251)*Worksheet!K251*Worksheet!K$241,0)</f>
        <v>#DIV/0!</v>
      </c>
      <c r="K304" s="234"/>
    </row>
    <row r="305" spans="1:11" x14ac:dyDescent="0.2">
      <c r="A305" s="101">
        <f t="shared" si="80"/>
        <v>0</v>
      </c>
      <c r="B305" s="233">
        <f>IF((B252+C252)&lt;&gt;0,ROUND(Request!N17/Worksheet!H181*Worksheet!B252*Worksheet!$B$241+Request!N17/Worksheet!H181*Worksheet!C252*Worksheet!$C$241,0),0)</f>
        <v>0</v>
      </c>
      <c r="C305" s="234"/>
      <c r="D305" s="233" t="e">
        <f ca="1">ROUND(Request!O17/(D252+E252)*Worksheet!D252*Worksheet!D$241+Request!O17/(D252+E252)*Worksheet!E252*Worksheet!E$241,0)</f>
        <v>#DIV/0!</v>
      </c>
      <c r="E305" s="234"/>
      <c r="F305" s="233" t="e">
        <f ca="1">ROUND(Request!P17/(F252+G252)*Worksheet!F252*Worksheet!F$241+Request!P17/(F252+G252)*Worksheet!G252*Worksheet!G$241,0)</f>
        <v>#DIV/0!</v>
      </c>
      <c r="G305" s="234"/>
      <c r="H305" s="233" t="e">
        <f ca="1">ROUND(Request!Q17/(H252+I252)*Worksheet!H252*Worksheet!H$241+Request!Q17/(H252+I252)*Worksheet!I252*Worksheet!I$241,0)</f>
        <v>#DIV/0!</v>
      </c>
      <c r="I305" s="234"/>
      <c r="J305" s="233" t="e">
        <f ca="1">ROUND(Request!R17/(J252+K252)*Worksheet!J252*Worksheet!J$241+Request!R17/(J252+K252)*Worksheet!K252*Worksheet!K$241,0)</f>
        <v>#DIV/0!</v>
      </c>
      <c r="K305" s="234"/>
    </row>
    <row r="306" spans="1:11" x14ac:dyDescent="0.2">
      <c r="A306" s="101">
        <f t="shared" si="80"/>
        <v>0</v>
      </c>
      <c r="B306" s="233">
        <f>IF((B253+C253)&lt;&gt;0,ROUND(Request!N18/Worksheet!H182*Worksheet!B253*Worksheet!$B$241+Request!N18/Worksheet!H182*Worksheet!C253*Worksheet!$C$241,0),0)</f>
        <v>0</v>
      </c>
      <c r="C306" s="234"/>
      <c r="D306" s="233" t="e">
        <f ca="1">ROUND(Request!O18/(D253+E253)*Worksheet!D253*Worksheet!D$241+Request!O18/(D253+E253)*Worksheet!E253*Worksheet!E$241,0)</f>
        <v>#DIV/0!</v>
      </c>
      <c r="E306" s="234"/>
      <c r="F306" s="233" t="e">
        <f ca="1">ROUND(Request!P18/(F253+G253)*Worksheet!F253*Worksheet!F$241+Request!P18/(F253+G253)*Worksheet!G253*Worksheet!G$241,0)</f>
        <v>#DIV/0!</v>
      </c>
      <c r="G306" s="234"/>
      <c r="H306" s="233" t="e">
        <f ca="1">ROUND(Request!Q18/(H253+I253)*Worksheet!H253*Worksheet!H$241+Request!Q18/(H253+I253)*Worksheet!I253*Worksheet!I$241,0)</f>
        <v>#DIV/0!</v>
      </c>
      <c r="I306" s="234"/>
      <c r="J306" s="233" t="e">
        <f ca="1">ROUND(Request!R18/(J253+K253)*Worksheet!J253*Worksheet!J$241+Request!R18/(J253+K253)*Worksheet!K253*Worksheet!K$241,0)</f>
        <v>#DIV/0!</v>
      </c>
      <c r="K306" s="234"/>
    </row>
    <row r="307" spans="1:11" x14ac:dyDescent="0.2">
      <c r="A307" s="101">
        <f t="shared" si="80"/>
        <v>0</v>
      </c>
      <c r="B307" s="233">
        <f>IF((B254+C254)&lt;&gt;0,ROUND(Request!N19/Worksheet!H183*Worksheet!B254*Worksheet!$B$241+Request!N19/Worksheet!H183*Worksheet!C254*Worksheet!$C$241,0),0)</f>
        <v>0</v>
      </c>
      <c r="C307" s="234"/>
      <c r="D307" s="233" t="e">
        <f ca="1">ROUND(Request!O19/(D254+E254)*Worksheet!D254*Worksheet!D$241+Request!O19/(D254+E254)*Worksheet!E254*Worksheet!E$241,0)</f>
        <v>#DIV/0!</v>
      </c>
      <c r="E307" s="234"/>
      <c r="F307" s="233" t="e">
        <f ca="1">ROUND(Request!P19/(F254+G254)*Worksheet!F254*Worksheet!F$241+Request!P19/(F254+G254)*Worksheet!G254*Worksheet!G$241,0)</f>
        <v>#DIV/0!</v>
      </c>
      <c r="G307" s="234"/>
      <c r="H307" s="233" t="e">
        <f ca="1">ROUND(Request!Q19/(H254+I254)*Worksheet!H254*Worksheet!H$241+Request!Q19/(H254+I254)*Worksheet!I254*Worksheet!I$241,0)</f>
        <v>#DIV/0!</v>
      </c>
      <c r="I307" s="234"/>
      <c r="J307" s="233" t="e">
        <f ca="1">ROUND(Request!R19/(J254+K254)*Worksheet!J254*Worksheet!J$241+Request!R19/(J254+K254)*Worksheet!K254*Worksheet!K$241,0)</f>
        <v>#DIV/0!</v>
      </c>
      <c r="K307" s="234"/>
    </row>
    <row r="308" spans="1:11" x14ac:dyDescent="0.2">
      <c r="A308" s="101">
        <f t="shared" si="80"/>
        <v>0</v>
      </c>
      <c r="B308" s="233">
        <f>IF((B255+C255)&lt;&gt;0,ROUND(Request!N20/Worksheet!H184*Worksheet!B255*Worksheet!$B$241+Request!N20/Worksheet!H184*Worksheet!C255*Worksheet!$C$241,0),0)</f>
        <v>0</v>
      </c>
      <c r="C308" s="234"/>
      <c r="D308" s="233" t="e">
        <f ca="1">ROUND(Request!O20/(D255+E255)*Worksheet!D255*Worksheet!D$241+Request!O20/(D255+E255)*Worksheet!E255*Worksheet!E$241,0)</f>
        <v>#DIV/0!</v>
      </c>
      <c r="E308" s="234"/>
      <c r="F308" s="233" t="e">
        <f ca="1">ROUND(Request!P20/(F255+G255)*Worksheet!F255*Worksheet!F$241+Request!P20/(F255+G255)*Worksheet!G255*Worksheet!G$241,0)</f>
        <v>#DIV/0!</v>
      </c>
      <c r="G308" s="234"/>
      <c r="H308" s="233" t="e">
        <f ca="1">ROUND(Request!Q20/(H255+I255)*Worksheet!H255*Worksheet!H$241+Request!Q20/(H255+I255)*Worksheet!I255*Worksheet!I$241,0)</f>
        <v>#DIV/0!</v>
      </c>
      <c r="I308" s="234"/>
      <c r="J308" s="233" t="e">
        <f ca="1">ROUND(Request!R20/(J255+K255)*Worksheet!J255*Worksheet!J$241+Request!R20/(J255+K255)*Worksheet!K255*Worksheet!K$241,0)</f>
        <v>#DIV/0!</v>
      </c>
      <c r="K308" s="234"/>
    </row>
    <row r="309" spans="1:11" x14ac:dyDescent="0.2">
      <c r="A309" s="101">
        <f t="shared" si="80"/>
        <v>0</v>
      </c>
      <c r="B309" s="233">
        <f>IF((B256+C256)&lt;&gt;0,ROUND(Request!N21/Worksheet!H185*Worksheet!B256*Worksheet!$B$241+Request!N21/Worksheet!H185*Worksheet!C256*Worksheet!$C$241,0),0)</f>
        <v>0</v>
      </c>
      <c r="C309" s="234"/>
      <c r="D309" s="233" t="e">
        <f ca="1">ROUND(Request!O21/(D256+E256)*Worksheet!D256*Worksheet!D$241+Request!O21/(D256+E256)*Worksheet!E256*Worksheet!E$241,0)</f>
        <v>#DIV/0!</v>
      </c>
      <c r="E309" s="234"/>
      <c r="F309" s="233" t="e">
        <f ca="1">ROUND(Request!P21/(F256+G256)*Worksheet!F256*Worksheet!F$241+Request!P21/(F256+G256)*Worksheet!G256*Worksheet!G$241,0)</f>
        <v>#DIV/0!</v>
      </c>
      <c r="G309" s="234"/>
      <c r="H309" s="233" t="e">
        <f ca="1">ROUND(Request!Q21/(H256+I256)*Worksheet!H256*Worksheet!H$241+Request!Q21/(H256+I256)*Worksheet!I256*Worksheet!I$241,0)</f>
        <v>#DIV/0!</v>
      </c>
      <c r="I309" s="234"/>
      <c r="J309" s="233" t="e">
        <f ca="1">ROUND(Request!R21/(J256+K256)*Worksheet!J256*Worksheet!J$241+Request!R21/(J256+K256)*Worksheet!K256*Worksheet!K$241,0)</f>
        <v>#DIV/0!</v>
      </c>
      <c r="K309" s="234"/>
    </row>
    <row r="310" spans="1:11" x14ac:dyDescent="0.2">
      <c r="A310" s="101">
        <f t="shared" si="80"/>
        <v>0</v>
      </c>
      <c r="B310" s="233">
        <f>IF((B257+C257)&lt;&gt;0,ROUND(Request!N22/Worksheet!H186*Worksheet!B257*Worksheet!$B$241+Request!N22/Worksheet!H186*Worksheet!C257*Worksheet!$C$241,0),0)</f>
        <v>0</v>
      </c>
      <c r="C310" s="234"/>
      <c r="D310" s="233" t="e">
        <f ca="1">ROUND(Request!O22/(D257+E257)*Worksheet!D257*Worksheet!D$241+Request!O22/(D257+E257)*Worksheet!E257*Worksheet!E$241,0)</f>
        <v>#DIV/0!</v>
      </c>
      <c r="E310" s="234"/>
      <c r="F310" s="233" t="e">
        <f ca="1">ROUND(Request!P22/(F257+G257)*Worksheet!F257*Worksheet!F$241+Request!P22/(F257+G257)*Worksheet!G257*Worksheet!G$241,0)</f>
        <v>#DIV/0!</v>
      </c>
      <c r="G310" s="234"/>
      <c r="H310" s="233" t="e">
        <f ca="1">ROUND(Request!Q22/(H257+I257)*Worksheet!H257*Worksheet!H$241+Request!Q22/(H257+I257)*Worksheet!I257*Worksheet!I$241,0)</f>
        <v>#DIV/0!</v>
      </c>
      <c r="I310" s="234"/>
      <c r="J310" s="233" t="e">
        <f ca="1">ROUND(Request!R22/(J257+K257)*Worksheet!J257*Worksheet!J$241+Request!R22/(J257+K257)*Worksheet!K257*Worksheet!K$241,0)</f>
        <v>#DIV/0!</v>
      </c>
      <c r="K310" s="234"/>
    </row>
    <row r="311" spans="1:11" x14ac:dyDescent="0.2">
      <c r="A311" s="101">
        <f t="shared" si="80"/>
        <v>0</v>
      </c>
      <c r="B311" s="233">
        <f>IF((B258+C258)&lt;&gt;0,ROUND(Request!N23/Worksheet!H187*Worksheet!B258*Worksheet!$B$241+Request!N23/Worksheet!H187*Worksheet!C258*Worksheet!$C$241,0),0)</f>
        <v>0</v>
      </c>
      <c r="C311" s="234"/>
      <c r="D311" s="233" t="e">
        <f ca="1">ROUND(Request!O23/(D258+E258)*Worksheet!D258*Worksheet!D$241+Request!O23/(D258+E258)*Worksheet!E258*Worksheet!E$241,0)</f>
        <v>#DIV/0!</v>
      </c>
      <c r="E311" s="234"/>
      <c r="F311" s="233" t="e">
        <f ca="1">ROUND(Request!P23/(F258+G258)*Worksheet!F258*Worksheet!F$241+Request!P23/(F258+G258)*Worksheet!G258*Worksheet!G$241,0)</f>
        <v>#DIV/0!</v>
      </c>
      <c r="G311" s="234"/>
      <c r="H311" s="233" t="e">
        <f ca="1">ROUND(Request!Q23/(H258+I258)*Worksheet!H258*Worksheet!H$241+Request!Q23/(H258+I258)*Worksheet!I258*Worksheet!I$241,0)</f>
        <v>#DIV/0!</v>
      </c>
      <c r="I311" s="234"/>
      <c r="J311" s="233" t="e">
        <f ca="1">ROUND(Request!R23/(J258+K258)*Worksheet!J258*Worksheet!J$241+Request!R23/(J258+K258)*Worksheet!K258*Worksheet!K$241,0)</f>
        <v>#DIV/0!</v>
      </c>
      <c r="K311" s="234"/>
    </row>
    <row r="312" spans="1:11" x14ac:dyDescent="0.2">
      <c r="A312" s="101">
        <f t="shared" si="80"/>
        <v>0</v>
      </c>
      <c r="B312" s="233">
        <f>IF((B259+C259)&lt;&gt;0,ROUND(Request!N24/Worksheet!H188*Worksheet!B259*Worksheet!$B$241+Request!N24/Worksheet!H188*Worksheet!C259*Worksheet!$C$241,0),0)</f>
        <v>0</v>
      </c>
      <c r="C312" s="234"/>
      <c r="D312" s="233" t="e">
        <f ca="1">ROUND(Request!O24/(D259+E259)*Worksheet!D259*Worksheet!D$241+Request!O24/(D259+E259)*Worksheet!E259*Worksheet!E$241,0)</f>
        <v>#DIV/0!</v>
      </c>
      <c r="E312" s="234"/>
      <c r="F312" s="233" t="e">
        <f ca="1">ROUND(Request!P24/(F259+G259)*Worksheet!F259*Worksheet!F$241+Request!P24/(F259+G259)*Worksheet!G259*Worksheet!G$241,0)</f>
        <v>#DIV/0!</v>
      </c>
      <c r="G312" s="234"/>
      <c r="H312" s="233" t="e">
        <f ca="1">ROUND(Request!Q24/(H259+I259)*Worksheet!H259*Worksheet!H$241+Request!Q24/(H259+I259)*Worksheet!I259*Worksheet!I$241,0)</f>
        <v>#DIV/0!</v>
      </c>
      <c r="I312" s="234"/>
      <c r="J312" s="233" t="e">
        <f ca="1">ROUND(Request!R24/(J259+K259)*Worksheet!J259*Worksheet!J$241+Request!R24/(J259+K259)*Worksheet!K259*Worksheet!K$241,0)</f>
        <v>#DIV/0!</v>
      </c>
      <c r="K312" s="234"/>
    </row>
    <row r="313" spans="1:11" x14ac:dyDescent="0.2">
      <c r="A313" s="101">
        <f t="shared" si="80"/>
        <v>0</v>
      </c>
      <c r="B313" s="233">
        <f>IF((B260+C260)&lt;&gt;0,ROUND(Request!N25/Worksheet!H189*Worksheet!B260*Worksheet!$B$241+Request!N25/Worksheet!H189*Worksheet!C260*Worksheet!$C$241,0),0)</f>
        <v>0</v>
      </c>
      <c r="C313" s="234"/>
      <c r="D313" s="233" t="e">
        <f ca="1">ROUND(Request!O25/(D260+E260)*Worksheet!D260*Worksheet!D$241+Request!O25/(D260+E260)*Worksheet!E260*Worksheet!E$241,0)</f>
        <v>#DIV/0!</v>
      </c>
      <c r="E313" s="234"/>
      <c r="F313" s="233" t="e">
        <f ca="1">ROUND(Request!P25/(F260+G260)*Worksheet!F260*Worksheet!F$241+Request!P25/(F260+G260)*Worksheet!G260*Worksheet!G$241,0)</f>
        <v>#DIV/0!</v>
      </c>
      <c r="G313" s="234"/>
      <c r="H313" s="233" t="e">
        <f ca="1">ROUND(Request!Q25/(H260+I260)*Worksheet!H260*Worksheet!H$241+Request!Q25/(H260+I260)*Worksheet!I260*Worksheet!I$241,0)</f>
        <v>#DIV/0!</v>
      </c>
      <c r="I313" s="234"/>
      <c r="J313" s="233" t="e">
        <f ca="1">ROUND(Request!R25/(J260+K260)*Worksheet!J260*Worksheet!J$241+Request!R25/(J260+K260)*Worksheet!K260*Worksheet!K$241,0)</f>
        <v>#DIV/0!</v>
      </c>
      <c r="K313" s="234"/>
    </row>
    <row r="314" spans="1:11" x14ac:dyDescent="0.2">
      <c r="A314" s="101">
        <f t="shared" si="80"/>
        <v>0</v>
      </c>
      <c r="B314" s="233">
        <f>IF((B261+C261)&lt;&gt;0,ROUND(Request!N26/Worksheet!H190*Worksheet!B261*Worksheet!$B$241+Request!N26/Worksheet!H190*Worksheet!C261*Worksheet!$C$241,0),0)</f>
        <v>0</v>
      </c>
      <c r="C314" s="234"/>
      <c r="D314" s="233" t="e">
        <f ca="1">ROUND(Request!O26/(D261+E261)*Worksheet!D261*Worksheet!D$241+Request!O26/(D261+E261)*Worksheet!E261*Worksheet!E$241,0)</f>
        <v>#DIV/0!</v>
      </c>
      <c r="E314" s="234"/>
      <c r="F314" s="233" t="e">
        <f ca="1">ROUND(Request!P26/(F261+G261)*Worksheet!F261*Worksheet!F$241+Request!P26/(F261+G261)*Worksheet!G261*Worksheet!G$241,0)</f>
        <v>#DIV/0!</v>
      </c>
      <c r="G314" s="234"/>
      <c r="H314" s="233" t="e">
        <f ca="1">ROUND(Request!Q26/(H261+I261)*Worksheet!H261*Worksheet!H$241+Request!Q26/(H261+I261)*Worksheet!I261*Worksheet!I$241,0)</f>
        <v>#DIV/0!</v>
      </c>
      <c r="I314" s="234"/>
      <c r="J314" s="233" t="e">
        <f ca="1">ROUND(Request!R26/(J261+K261)*Worksheet!J261*Worksheet!J$241+Request!R26/(J261+K261)*Worksheet!K261*Worksheet!K$241,0)</f>
        <v>#DIV/0!</v>
      </c>
      <c r="K314" s="234"/>
    </row>
    <row r="315" spans="1:11" x14ac:dyDescent="0.2">
      <c r="A315" s="101">
        <f t="shared" si="80"/>
        <v>0</v>
      </c>
      <c r="B315" s="233">
        <f>IF((B262+C262)&lt;&gt;0,ROUND(Request!N27/Worksheet!H191*Worksheet!B262*Worksheet!$B$241+Request!N27/Worksheet!H191*Worksheet!C262*Worksheet!$C$241,0),0)</f>
        <v>0</v>
      </c>
      <c r="C315" s="234"/>
      <c r="D315" s="233" t="e">
        <f ca="1">ROUND(Request!O27/(D262+E262)*Worksheet!D262*Worksheet!D$241+Request!O27/(D262+E262)*Worksheet!E262*Worksheet!E$241,0)</f>
        <v>#DIV/0!</v>
      </c>
      <c r="E315" s="234"/>
      <c r="F315" s="233" t="e">
        <f ca="1">ROUND(Request!P27/(F262+G262)*Worksheet!F262*Worksheet!F$241+Request!P27/(F262+G262)*Worksheet!G262*Worksheet!G$241,0)</f>
        <v>#DIV/0!</v>
      </c>
      <c r="G315" s="234"/>
      <c r="H315" s="233" t="e">
        <f ca="1">ROUND(Request!Q27/(H262+I262)*Worksheet!H262*Worksheet!H$241+Request!Q27/(H262+I262)*Worksheet!I262*Worksheet!I$241,0)</f>
        <v>#DIV/0!</v>
      </c>
      <c r="I315" s="234"/>
      <c r="J315" s="233" t="e">
        <f ca="1">ROUND(Request!R27/(J262+K262)*Worksheet!J262*Worksheet!J$241+Request!R27/(J262+K262)*Worksheet!K262*Worksheet!K$241,0)</f>
        <v>#DIV/0!</v>
      </c>
      <c r="K315" s="234"/>
    </row>
    <row r="316" spans="1:11" x14ac:dyDescent="0.2">
      <c r="A316" s="101">
        <f t="shared" si="80"/>
        <v>0</v>
      </c>
      <c r="B316" s="233">
        <f>IF((B263+C263)&lt;&gt;0,ROUND(Request!N28/Worksheet!H192*Worksheet!B263*Worksheet!$B$241+Request!N28/Worksheet!H192*Worksheet!C263*Worksheet!$C$241,0),0)</f>
        <v>0</v>
      </c>
      <c r="C316" s="234"/>
      <c r="D316" s="233" t="e">
        <f ca="1">ROUND(Request!O28/(D263+E263)*Worksheet!D263*Worksheet!D$241+Request!O28/(D263+E263)*Worksheet!E263*Worksheet!E$241,0)</f>
        <v>#DIV/0!</v>
      </c>
      <c r="E316" s="234"/>
      <c r="F316" s="233" t="e">
        <f ca="1">ROUND(Request!P28/(F263+G263)*Worksheet!F263*Worksheet!F$241+Request!P28/(F263+G263)*Worksheet!G263*Worksheet!G$241,0)</f>
        <v>#DIV/0!</v>
      </c>
      <c r="G316" s="234"/>
      <c r="H316" s="233" t="e">
        <f ca="1">ROUND(Request!Q28/(H263+I263)*Worksheet!H263*Worksheet!H$241+Request!Q28/(H263+I263)*Worksheet!I263*Worksheet!I$241,0)</f>
        <v>#DIV/0!</v>
      </c>
      <c r="I316" s="234"/>
      <c r="J316" s="233" t="e">
        <f ca="1">ROUND(Request!R28/(J263+K263)*Worksheet!J263*Worksheet!J$241+Request!R28/(J263+K263)*Worksheet!K263*Worksheet!K$241,0)</f>
        <v>#DIV/0!</v>
      </c>
      <c r="K316" s="234"/>
    </row>
    <row r="317" spans="1:11" x14ac:dyDescent="0.2">
      <c r="A317" s="101">
        <f t="shared" si="80"/>
        <v>0</v>
      </c>
      <c r="B317" s="233">
        <f>IF((B264+C264)&lt;&gt;0,ROUND(Request!N29/Worksheet!H193*Worksheet!B264*Worksheet!$B$241+Request!N29/Worksheet!H193*Worksheet!C264*Worksheet!$C$241,0),0)</f>
        <v>0</v>
      </c>
      <c r="C317" s="234"/>
      <c r="D317" s="233" t="e">
        <f ca="1">ROUND(Request!O29/(D264+E264)*Worksheet!D264*Worksheet!D$241+Request!O29/(D264+E264)*Worksheet!E264*Worksheet!E$241,0)</f>
        <v>#DIV/0!</v>
      </c>
      <c r="E317" s="234"/>
      <c r="F317" s="233" t="e">
        <f ca="1">ROUND(Request!P29/(F264+G264)*Worksheet!F264*Worksheet!F$241+Request!P29/(F264+G264)*Worksheet!G264*Worksheet!G$241,0)</f>
        <v>#DIV/0!</v>
      </c>
      <c r="G317" s="234"/>
      <c r="H317" s="233" t="e">
        <f ca="1">ROUND(Request!Q29/(H264+I264)*Worksheet!H264*Worksheet!H$241+Request!Q29/(H264+I264)*Worksheet!I264*Worksheet!I$241,0)</f>
        <v>#DIV/0!</v>
      </c>
      <c r="I317" s="234"/>
      <c r="J317" s="233" t="e">
        <f ca="1">ROUND(Request!R29/(J264+K264)*Worksheet!J264*Worksheet!J$241+Request!R29/(J264+K264)*Worksheet!K264*Worksheet!K$241,0)</f>
        <v>#DIV/0!</v>
      </c>
      <c r="K317" s="234"/>
    </row>
    <row r="318" spans="1:11" x14ac:dyDescent="0.2">
      <c r="A318" s="101">
        <f t="shared" si="80"/>
        <v>0</v>
      </c>
      <c r="B318" s="233">
        <f>IF((B265+C265)&lt;&gt;0,ROUND(Request!N30/Worksheet!H194*Worksheet!B265*Worksheet!$B$241+Request!N30/Worksheet!H194*Worksheet!C265*Worksheet!$C$241,0),0)</f>
        <v>0</v>
      </c>
      <c r="C318" s="234"/>
      <c r="D318" s="233" t="e">
        <f ca="1">ROUND(Request!O30/(D265+E265)*Worksheet!D265*Worksheet!D$241+Request!O30/(D265+E265)*Worksheet!E265*Worksheet!E$241,0)</f>
        <v>#DIV/0!</v>
      </c>
      <c r="E318" s="234"/>
      <c r="F318" s="233" t="e">
        <f ca="1">ROUND(Request!P30/(F265+G265)*Worksheet!F265*Worksheet!F$241+Request!P30/(F265+G265)*Worksheet!G265*Worksheet!G$241,0)</f>
        <v>#DIV/0!</v>
      </c>
      <c r="G318" s="234"/>
      <c r="H318" s="233" t="e">
        <f ca="1">ROUND(Request!Q30/(H265+I265)*Worksheet!H265*Worksheet!H$241+Request!Q30/(H265+I265)*Worksheet!I265*Worksheet!I$241,0)</f>
        <v>#DIV/0!</v>
      </c>
      <c r="I318" s="234"/>
      <c r="J318" s="233" t="e">
        <f ca="1">ROUND(Request!R30/(J265+K265)*Worksheet!J265*Worksheet!J$241+Request!R30/(J265+K265)*Worksheet!K265*Worksheet!K$241,0)</f>
        <v>#DIV/0!</v>
      </c>
      <c r="K318" s="234"/>
    </row>
  </sheetData>
  <mergeCells count="302"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</mergeCell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workbookViewId="0">
      <selection activeCell="P135" sqref="P135"/>
    </sheetView>
  </sheetViews>
  <sheetFormatPr defaultColWidth="8.85546875" defaultRowHeight="12" x14ac:dyDescent="0.2"/>
  <cols>
    <col min="1" max="1" width="3" style="41" customWidth="1"/>
    <col min="2" max="2" width="9.7109375" style="41" customWidth="1"/>
    <col min="3" max="3" width="11.140625" style="41" customWidth="1"/>
    <col min="4" max="4" width="7" style="41" customWidth="1"/>
    <col min="5" max="5" width="9" style="41" customWidth="1"/>
    <col min="6" max="6" width="5" style="41" customWidth="1"/>
    <col min="7" max="7" width="5.140625" style="41" customWidth="1"/>
    <col min="8" max="8" width="5.42578125" style="41" customWidth="1"/>
    <col min="9" max="9" width="5" style="41" customWidth="1"/>
    <col min="10" max="10" width="4.85546875" style="41" customWidth="1"/>
    <col min="11" max="11" width="4.85546875" style="41" bestFit="1" customWidth="1"/>
    <col min="12" max="12" width="5.28515625" style="41" customWidth="1"/>
    <col min="13" max="13" width="4.7109375" style="41" customWidth="1"/>
    <col min="14" max="14" width="9.85546875" style="41" customWidth="1"/>
    <col min="15" max="15" width="9.42578125" style="41" customWidth="1"/>
    <col min="16" max="16" width="10" style="41" bestFit="1" customWidth="1"/>
    <col min="17" max="17" width="10" style="41" customWidth="1"/>
    <col min="18" max="18" width="9.7109375" style="41" customWidth="1"/>
    <col min="19" max="19" width="10.28515625" style="41" customWidth="1"/>
    <col min="20" max="20" width="10" style="41" bestFit="1" customWidth="1"/>
    <col min="21" max="21" width="10.28515625" style="41" bestFit="1" customWidth="1"/>
    <col min="22" max="16384" width="8.85546875" style="41"/>
  </cols>
  <sheetData>
    <row r="1" spans="1:24" ht="13.35" customHeight="1" x14ac:dyDescent="0.2">
      <c r="A1" s="198"/>
      <c r="B1" s="196" t="s">
        <v>1</v>
      </c>
      <c r="C1" s="51">
        <v>42278</v>
      </c>
      <c r="D1" s="238" t="s">
        <v>8</v>
      </c>
      <c r="E1" s="239"/>
      <c r="F1" s="235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7"/>
    </row>
    <row r="2" spans="1:24" ht="13.35" customHeight="1" x14ac:dyDescent="0.2">
      <c r="A2" s="74"/>
      <c r="B2" s="197" t="s">
        <v>2</v>
      </c>
      <c r="C2" s="51">
        <v>43373</v>
      </c>
      <c r="D2" s="238" t="s">
        <v>9</v>
      </c>
      <c r="E2" s="239"/>
      <c r="F2" s="235" t="s">
        <v>192</v>
      </c>
      <c r="G2" s="236"/>
      <c r="H2" s="236"/>
      <c r="I2" s="236"/>
      <c r="J2" s="236"/>
      <c r="K2" s="236"/>
      <c r="L2" s="236"/>
      <c r="M2" s="237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.0999999999999996" customHeight="1" thickBot="1" x14ac:dyDescent="0.25">
      <c r="C3" s="53"/>
    </row>
    <row r="4" spans="1:24" ht="14.45" customHeight="1" thickBot="1" x14ac:dyDescent="0.25">
      <c r="A4" s="240" t="s">
        <v>4</v>
      </c>
      <c r="B4" s="241"/>
      <c r="C4" s="241"/>
      <c r="D4" s="241"/>
      <c r="E4" s="241"/>
      <c r="F4" s="241"/>
      <c r="G4" s="241"/>
      <c r="H4" s="241"/>
      <c r="I4" s="241"/>
      <c r="J4" s="242"/>
      <c r="K4" s="246" t="s">
        <v>69</v>
      </c>
      <c r="L4" s="247"/>
      <c r="M4" s="248"/>
      <c r="N4" s="55"/>
      <c r="O4" s="54"/>
      <c r="P4" s="269" t="s">
        <v>59</v>
      </c>
      <c r="Q4" s="269"/>
      <c r="R4" s="98" t="s">
        <v>187</v>
      </c>
      <c r="S4" s="207">
        <v>0.03</v>
      </c>
    </row>
    <row r="5" spans="1:24" x14ac:dyDescent="0.2">
      <c r="A5" s="243"/>
      <c r="B5" s="244"/>
      <c r="C5" s="244"/>
      <c r="D5" s="244"/>
      <c r="E5" s="244"/>
      <c r="F5" s="244"/>
      <c r="G5" s="244"/>
      <c r="H5" s="244"/>
      <c r="I5" s="244"/>
      <c r="J5" s="245"/>
      <c r="K5" s="249"/>
      <c r="L5" s="250"/>
      <c r="M5" s="251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 x14ac:dyDescent="0.2">
      <c r="A6" s="195"/>
      <c r="B6" s="56" t="s">
        <v>173</v>
      </c>
      <c r="C6" s="56"/>
      <c r="D6" s="187"/>
      <c r="E6" s="188" t="s">
        <v>172</v>
      </c>
      <c r="F6" s="274" t="s">
        <v>67</v>
      </c>
      <c r="G6" s="275"/>
      <c r="H6" s="275"/>
      <c r="I6" s="275"/>
      <c r="J6" s="275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10/1/15-9/30/16</v>
      </c>
      <c r="O6" s="186" t="str">
        <f>TEXT(Worksheet!D2,"m/d/yy")&amp;"-"&amp;TEXT(Worksheet!D3,"m/d/yy")</f>
        <v>10/1/16-9/30/17</v>
      </c>
      <c r="P6" s="186" t="str">
        <f>TEXT(Worksheet!E2,"m/d/yy")&amp;"-"&amp;TEXT(Worksheet!E3,"m/d/yy")</f>
        <v>10/1/17-9/30/18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10/1/15-9/30/18</v>
      </c>
    </row>
    <row r="7" spans="1:24" x14ac:dyDescent="0.2">
      <c r="A7" s="162">
        <v>1</v>
      </c>
      <c r="B7" s="261" t="s">
        <v>191</v>
      </c>
      <c r="C7" s="261"/>
      <c r="D7" s="262"/>
      <c r="E7" s="183">
        <v>90765.81</v>
      </c>
      <c r="F7" s="105">
        <v>8.3330000000000001E-2</v>
      </c>
      <c r="G7" s="105">
        <v>8.3330000000000001E-2</v>
      </c>
      <c r="H7" s="105">
        <v>8.3330000000000001E-2</v>
      </c>
      <c r="I7" s="105"/>
      <c r="J7" s="105"/>
      <c r="K7" s="58"/>
      <c r="L7" s="58"/>
      <c r="M7" s="163">
        <v>0.03</v>
      </c>
      <c r="N7" s="80">
        <f ca="1"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7849</v>
      </c>
      <c r="O7" s="80">
        <f ca="1"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8084</v>
      </c>
      <c r="P7" s="80">
        <f ca="1"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8327</v>
      </c>
      <c r="Q7" s="80">
        <f ca="1"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 ca="1"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 ca="1">SUM(N7:R7)</f>
        <v>24260</v>
      </c>
      <c r="T7" s="61"/>
      <c r="U7" s="61"/>
      <c r="V7" s="61"/>
      <c r="W7" s="61"/>
      <c r="X7" s="61"/>
    </row>
    <row r="8" spans="1:24" x14ac:dyDescent="0.2">
      <c r="A8" s="162">
        <v>2</v>
      </c>
      <c r="B8" s="261" t="s">
        <v>190</v>
      </c>
      <c r="C8" s="261"/>
      <c r="D8" s="175"/>
      <c r="E8" s="183">
        <v>45300</v>
      </c>
      <c r="F8" s="105">
        <v>0.61287999999999998</v>
      </c>
      <c r="G8" s="105">
        <v>0.61289000000000005</v>
      </c>
      <c r="H8" s="105">
        <v>0.61292000000000002</v>
      </c>
      <c r="I8" s="105"/>
      <c r="J8" s="105"/>
      <c r="K8" s="58"/>
      <c r="L8" s="58"/>
      <c r="M8" s="163">
        <v>0.03</v>
      </c>
      <c r="N8" s="80">
        <f ca="1"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28811</v>
      </c>
      <c r="O8" s="80">
        <f ca="1"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29676</v>
      </c>
      <c r="P8" s="80">
        <f ca="1"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30567</v>
      </c>
      <c r="Q8" s="80">
        <f ca="1"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 ca="1"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ca="1" si="0">SUM(N8:R8)</f>
        <v>89054</v>
      </c>
      <c r="T8" s="61"/>
      <c r="U8" s="61"/>
      <c r="V8" s="61"/>
      <c r="W8" s="61"/>
      <c r="X8" s="61"/>
    </row>
    <row r="9" spans="1:24" x14ac:dyDescent="0.2">
      <c r="A9" s="162">
        <v>3</v>
      </c>
      <c r="B9" s="261"/>
      <c r="C9" s="261"/>
      <c r="D9" s="262"/>
      <c r="E9" s="183"/>
      <c r="F9" s="105"/>
      <c r="G9" s="105"/>
      <c r="H9" s="105"/>
      <c r="I9" s="105"/>
      <c r="J9" s="105"/>
      <c r="K9" s="58"/>
      <c r="L9" s="58"/>
      <c r="M9" s="163">
        <v>0.03</v>
      </c>
      <c r="N9" s="80">
        <f ca="1"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0</v>
      </c>
      <c r="O9" s="80">
        <f ca="1"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0</v>
      </c>
      <c r="P9" s="80">
        <f ca="1"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0</v>
      </c>
      <c r="Q9" s="80">
        <f ca="1"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 ca="1"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ca="1" si="0"/>
        <v>0</v>
      </c>
      <c r="T9" s="61"/>
      <c r="U9" s="61"/>
      <c r="V9" s="61"/>
      <c r="W9" s="61"/>
      <c r="X9" s="61"/>
    </row>
    <row r="10" spans="1:24" x14ac:dyDescent="0.2">
      <c r="A10" s="162">
        <v>4</v>
      </c>
      <c r="B10" s="261"/>
      <c r="C10" s="261"/>
      <c r="D10" s="262"/>
      <c r="E10" s="183"/>
      <c r="F10" s="105"/>
      <c r="G10" s="105"/>
      <c r="H10" s="105"/>
      <c r="I10" s="105"/>
      <c r="J10" s="105"/>
      <c r="K10" s="58"/>
      <c r="L10" s="58"/>
      <c r="M10" s="163">
        <v>0.03</v>
      </c>
      <c r="N10" s="80">
        <f ca="1"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0</v>
      </c>
      <c r="O10" s="80">
        <f ca="1"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0</v>
      </c>
      <c r="P10" s="80">
        <f ca="1"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0</v>
      </c>
      <c r="Q10" s="80">
        <f ca="1"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 ca="1"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ca="1" si="0"/>
        <v>0</v>
      </c>
      <c r="T10" s="61"/>
      <c r="U10" s="61"/>
      <c r="V10" s="61"/>
      <c r="W10" s="61"/>
      <c r="X10" s="61"/>
    </row>
    <row r="11" spans="1:24" x14ac:dyDescent="0.2">
      <c r="A11" s="162">
        <v>5</v>
      </c>
      <c r="B11" s="261"/>
      <c r="C11" s="261"/>
      <c r="D11" s="262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 ca="1"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 ca="1"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 ca="1"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 ca="1"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 ca="1"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ca="1" si="0"/>
        <v>0</v>
      </c>
      <c r="T11" s="61"/>
      <c r="U11" s="61"/>
      <c r="V11" s="61"/>
      <c r="W11" s="61"/>
      <c r="X11" s="61"/>
    </row>
    <row r="12" spans="1:24" x14ac:dyDescent="0.2">
      <c r="A12" s="162">
        <v>6</v>
      </c>
      <c r="B12" s="261"/>
      <c r="C12" s="261"/>
      <c r="D12" s="262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 ca="1"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 ca="1"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 ca="1"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 ca="1"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 ca="1"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ca="1" si="0"/>
        <v>0</v>
      </c>
      <c r="T12" s="61"/>
      <c r="U12" s="61"/>
      <c r="V12" s="61"/>
      <c r="W12" s="61"/>
      <c r="X12" s="61"/>
    </row>
    <row r="13" spans="1:24" x14ac:dyDescent="0.2">
      <c r="A13" s="162">
        <v>7</v>
      </c>
      <c r="B13" s="261"/>
      <c r="C13" s="261"/>
      <c r="D13" s="262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 ca="1"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 ca="1"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 ca="1"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 ca="1"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 ca="1"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ca="1" si="0"/>
        <v>0</v>
      </c>
      <c r="T13" s="61"/>
      <c r="U13" s="61"/>
      <c r="V13" s="61"/>
      <c r="W13" s="61"/>
      <c r="X13" s="61"/>
    </row>
    <row r="14" spans="1:24" x14ac:dyDescent="0.2">
      <c r="A14" s="162">
        <v>8</v>
      </c>
      <c r="B14" s="261"/>
      <c r="C14" s="261"/>
      <c r="D14" s="262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 ca="1"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 ca="1"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 ca="1"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 ca="1"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 ca="1"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ca="1" si="0"/>
        <v>0</v>
      </c>
      <c r="T14" s="61"/>
      <c r="U14" s="61"/>
      <c r="V14" s="61"/>
      <c r="W14" s="61"/>
      <c r="X14" s="61"/>
    </row>
    <row r="15" spans="1:24" hidden="1" x14ac:dyDescent="0.2">
      <c r="A15" s="162">
        <v>9</v>
      </c>
      <c r="B15" s="261"/>
      <c r="C15" s="261"/>
      <c r="D15" s="262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 ca="1"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 ca="1"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 ca="1"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 ca="1"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 ca="1"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ca="1" si="0"/>
        <v>0</v>
      </c>
      <c r="T15" s="61"/>
      <c r="U15" s="61"/>
      <c r="V15" s="61"/>
      <c r="W15" s="61"/>
      <c r="X15" s="61"/>
    </row>
    <row r="16" spans="1:24" ht="11.1" hidden="1" customHeight="1" x14ac:dyDescent="0.2">
      <c r="A16" s="162">
        <v>10</v>
      </c>
      <c r="B16" s="261"/>
      <c r="C16" s="261"/>
      <c r="D16" s="262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 ca="1"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 ca="1"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 ca="1"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 ca="1"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 ca="1"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ca="1" si="0"/>
        <v>0</v>
      </c>
      <c r="T16" s="61"/>
      <c r="U16" s="61"/>
      <c r="V16" s="61"/>
      <c r="W16" s="61"/>
      <c r="X16" s="61"/>
    </row>
    <row r="17" spans="1:24" hidden="1" x14ac:dyDescent="0.2">
      <c r="A17" s="162">
        <v>11</v>
      </c>
      <c r="B17" s="261"/>
      <c r="C17" s="261"/>
      <c r="D17" s="262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 ca="1"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 ca="1"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 ca="1"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 ca="1"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 ca="1"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ca="1" si="0"/>
        <v>0</v>
      </c>
      <c r="T17" s="61"/>
      <c r="U17" s="61"/>
      <c r="V17" s="61"/>
      <c r="W17" s="61"/>
      <c r="X17" s="61"/>
    </row>
    <row r="18" spans="1:24" hidden="1" x14ac:dyDescent="0.2">
      <c r="A18" s="162">
        <v>12</v>
      </c>
      <c r="B18" s="261"/>
      <c r="C18" s="261"/>
      <c r="D18" s="262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 ca="1"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 ca="1"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 ca="1"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 ca="1"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 ca="1"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ca="1" si="0"/>
        <v>0</v>
      </c>
      <c r="T18" s="61"/>
      <c r="U18" s="61"/>
      <c r="V18" s="61"/>
      <c r="W18" s="61"/>
      <c r="X18" s="61"/>
    </row>
    <row r="19" spans="1:24" hidden="1" x14ac:dyDescent="0.2">
      <c r="A19" s="162">
        <v>13</v>
      </c>
      <c r="B19" s="261"/>
      <c r="C19" s="261"/>
      <c r="D19" s="262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 ca="1"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 ca="1"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 ca="1"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 ca="1"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 ca="1"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ca="1" si="0"/>
        <v>0</v>
      </c>
      <c r="T19" s="61"/>
      <c r="U19" s="61"/>
      <c r="V19" s="61"/>
      <c r="W19" s="61"/>
      <c r="X19" s="61"/>
    </row>
    <row r="20" spans="1:24" hidden="1" x14ac:dyDescent="0.2">
      <c r="A20" s="162">
        <v>14</v>
      </c>
      <c r="B20" s="261"/>
      <c r="C20" s="261"/>
      <c r="D20" s="262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 ca="1"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 ca="1"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 ca="1"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 ca="1"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 ca="1"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ca="1" si="0"/>
        <v>0</v>
      </c>
      <c r="T20" s="61"/>
      <c r="U20" s="61"/>
      <c r="V20" s="61"/>
      <c r="W20" s="61"/>
      <c r="X20" s="61"/>
    </row>
    <row r="21" spans="1:24" hidden="1" x14ac:dyDescent="0.2">
      <c r="A21" s="162">
        <v>15</v>
      </c>
      <c r="B21" s="261"/>
      <c r="C21" s="261"/>
      <c r="D21" s="262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 ca="1"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 ca="1"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 ca="1"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 ca="1"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 ca="1"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ca="1" si="0"/>
        <v>0</v>
      </c>
      <c r="T21" s="61"/>
      <c r="U21" s="61"/>
      <c r="V21" s="61"/>
      <c r="W21" s="61"/>
      <c r="X21" s="61"/>
    </row>
    <row r="22" spans="1:24" hidden="1" x14ac:dyDescent="0.2">
      <c r="A22" s="162">
        <v>16</v>
      </c>
      <c r="B22" s="261"/>
      <c r="C22" s="261"/>
      <c r="D22" s="262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 ca="1"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 ca="1"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 ca="1"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 ca="1"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 ca="1"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ca="1" si="0"/>
        <v>0</v>
      </c>
      <c r="T22" s="61"/>
      <c r="U22" s="61"/>
      <c r="V22" s="61"/>
      <c r="W22" s="61"/>
      <c r="X22" s="61"/>
    </row>
    <row r="23" spans="1:24" hidden="1" x14ac:dyDescent="0.2">
      <c r="A23" s="162">
        <v>17</v>
      </c>
      <c r="B23" s="261"/>
      <c r="C23" s="261"/>
      <c r="D23" s="262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 ca="1"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 ca="1"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 ca="1"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 ca="1"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 ca="1"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ca="1" si="0"/>
        <v>0</v>
      </c>
      <c r="T23" s="61"/>
      <c r="U23" s="61"/>
      <c r="V23" s="61"/>
      <c r="W23" s="61"/>
      <c r="X23" s="61"/>
    </row>
    <row r="24" spans="1:24" hidden="1" x14ac:dyDescent="0.2">
      <c r="A24" s="162">
        <v>18</v>
      </c>
      <c r="B24" s="261"/>
      <c r="C24" s="261"/>
      <c r="D24" s="262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 ca="1"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 ca="1"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 ca="1"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 ca="1"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 ca="1"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ca="1" si="0"/>
        <v>0</v>
      </c>
      <c r="T24" s="61"/>
      <c r="U24" s="61"/>
      <c r="V24" s="61"/>
      <c r="W24" s="61"/>
      <c r="X24" s="61"/>
    </row>
    <row r="25" spans="1:24" hidden="1" x14ac:dyDescent="0.2">
      <c r="A25" s="162">
        <v>19</v>
      </c>
      <c r="B25" s="261"/>
      <c r="C25" s="261"/>
      <c r="D25" s="262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 ca="1"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 ca="1"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 ca="1"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 ca="1"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 ca="1"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ca="1" si="0"/>
        <v>0</v>
      </c>
      <c r="T25" s="61"/>
      <c r="U25" s="61"/>
      <c r="V25" s="61"/>
      <c r="W25" s="61"/>
      <c r="X25" s="61"/>
    </row>
    <row r="26" spans="1:24" hidden="1" x14ac:dyDescent="0.2">
      <c r="A26" s="162">
        <v>20</v>
      </c>
      <c r="B26" s="261"/>
      <c r="C26" s="261"/>
      <c r="D26" s="262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 ca="1"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 ca="1"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 ca="1"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 ca="1"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 ca="1"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ca="1" si="0"/>
        <v>0</v>
      </c>
      <c r="T26" s="61"/>
      <c r="U26" s="61"/>
      <c r="V26" s="61"/>
      <c r="W26" s="61"/>
      <c r="X26" s="61"/>
    </row>
    <row r="27" spans="1:24" hidden="1" x14ac:dyDescent="0.2">
      <c r="A27" s="162">
        <v>21</v>
      </c>
      <c r="B27" s="261"/>
      <c r="C27" s="261"/>
      <c r="D27" s="262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 ca="1"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 ca="1"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 ca="1"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 ca="1"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 ca="1"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ca="1" si="0"/>
        <v>0</v>
      </c>
      <c r="T27" s="61"/>
      <c r="U27" s="61"/>
      <c r="V27" s="61"/>
      <c r="W27" s="61"/>
      <c r="X27" s="61"/>
    </row>
    <row r="28" spans="1:24" hidden="1" x14ac:dyDescent="0.2">
      <c r="A28" s="162">
        <v>22</v>
      </c>
      <c r="B28" s="261"/>
      <c r="C28" s="261"/>
      <c r="D28" s="262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 ca="1"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 ca="1"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 ca="1"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 ca="1"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 ca="1"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ca="1" si="0"/>
        <v>0</v>
      </c>
      <c r="T28" s="61"/>
      <c r="U28" s="61"/>
      <c r="V28" s="61"/>
      <c r="W28" s="61"/>
      <c r="X28" s="61"/>
    </row>
    <row r="29" spans="1:24" hidden="1" x14ac:dyDescent="0.2">
      <c r="A29" s="162">
        <v>23</v>
      </c>
      <c r="B29" s="261"/>
      <c r="C29" s="261"/>
      <c r="D29" s="262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 ca="1"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 ca="1"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 ca="1"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 ca="1"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 ca="1"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ca="1" si="0"/>
        <v>0</v>
      </c>
      <c r="T29" s="61"/>
      <c r="U29" s="61"/>
      <c r="V29" s="61"/>
      <c r="W29" s="61"/>
      <c r="X29" s="61"/>
    </row>
    <row r="30" spans="1:24" hidden="1" x14ac:dyDescent="0.2">
      <c r="A30" s="162">
        <v>24</v>
      </c>
      <c r="B30" s="261"/>
      <c r="C30" s="261"/>
      <c r="D30" s="262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 ca="1"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 ca="1"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 ca="1"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 ca="1"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 ca="1"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ca="1" si="0"/>
        <v>0</v>
      </c>
      <c r="T30" s="61"/>
      <c r="U30" s="61"/>
      <c r="V30" s="61"/>
      <c r="W30" s="61"/>
      <c r="X30" s="61"/>
    </row>
    <row r="31" spans="1:24" x14ac:dyDescent="0.2">
      <c r="A31" s="270" t="s">
        <v>5</v>
      </c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2"/>
      <c r="N31" s="158">
        <f ca="1">SUM(N7:N30)</f>
        <v>36660</v>
      </c>
      <c r="O31" s="158">
        <f ca="1">SUM(O7:O30)</f>
        <v>37760</v>
      </c>
      <c r="P31" s="158">
        <f t="shared" ref="P31:Q31" ca="1" si="1">SUM(P7:P30)</f>
        <v>38894</v>
      </c>
      <c r="Q31" s="158">
        <f t="shared" ca="1" si="1"/>
        <v>0</v>
      </c>
      <c r="R31" s="158">
        <f ca="1">SUM(R7:R30)</f>
        <v>0</v>
      </c>
      <c r="S31" s="158">
        <f ca="1">SUM(S7:S30)</f>
        <v>113314</v>
      </c>
    </row>
    <row r="32" spans="1:24" ht="9" customHeight="1" x14ac:dyDescent="0.2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 x14ac:dyDescent="0.2">
      <c r="D33" s="185" t="s">
        <v>66</v>
      </c>
      <c r="E33" s="178" t="str">
        <f>Worksheet!C9&amp;"/"&amp;Worksheet!C10</f>
        <v>9/3</v>
      </c>
      <c r="F33" s="273" t="str">
        <f>Worksheet!D9&amp;"/"&amp;Worksheet!D10</f>
        <v>9/3</v>
      </c>
      <c r="G33" s="273"/>
      <c r="H33" s="273" t="str">
        <f>Worksheet!E9&amp;"/"&amp;Worksheet!E10</f>
        <v>9/3</v>
      </c>
      <c r="I33" s="273"/>
      <c r="J33" s="273" t="str">
        <f>Worksheet!F9&amp;"/"&amp;Worksheet!F10</f>
        <v>0/0</v>
      </c>
      <c r="K33" s="273"/>
      <c r="L33" s="273" t="str">
        <f>Worksheet!G9&amp;"/"&amp;Worksheet!G10</f>
        <v>0/0</v>
      </c>
      <c r="M33" s="273"/>
    </row>
    <row r="34" spans="1:24" x14ac:dyDescent="0.2">
      <c r="A34" s="276" t="s">
        <v>18</v>
      </c>
      <c r="B34" s="277"/>
      <c r="C34" s="278"/>
      <c r="D34" s="177" t="s">
        <v>6</v>
      </c>
      <c r="E34" s="177" t="s">
        <v>19</v>
      </c>
      <c r="F34" s="279" t="s">
        <v>19</v>
      </c>
      <c r="G34" s="280"/>
      <c r="H34" s="279" t="s">
        <v>19</v>
      </c>
      <c r="I34" s="280"/>
      <c r="J34" s="279" t="s">
        <v>19</v>
      </c>
      <c r="K34" s="280"/>
      <c r="L34" s="279" t="s">
        <v>19</v>
      </c>
      <c r="M34" s="280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 x14ac:dyDescent="0.2">
      <c r="A35" s="162">
        <v>1</v>
      </c>
      <c r="B35" s="261" t="str">
        <f t="shared" ref="B35:B58" si="2">B7</f>
        <v>P. Ullrich (PI)</v>
      </c>
      <c r="C35" s="237"/>
      <c r="D35" s="179" t="s">
        <v>179</v>
      </c>
      <c r="E35" s="179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18</v>
      </c>
      <c r="F35" s="267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18.5</v>
      </c>
      <c r="G35" s="268"/>
      <c r="H35" s="281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19.100000000000001</v>
      </c>
      <c r="I35" s="282"/>
      <c r="J35" s="281">
        <f>IF($D35=Worksheet!$A$59,Worksheet!E$59,IF($D35=Worksheet!$A$60,Worksheet!E$60,IF($D35=Worksheet!$A$61,Worksheet!E$61,IF($D35=Worksheet!$A$62,Worksheet!E$62,IF($D35=Worksheet!$A$63,Worksheet!E$63,IF($D35=Worksheet!$A$64,Worksheet!E$64,IF($D35=Worksheet!$A$65,Worksheet!E$65,IF($D35=Worksheet!$A$66,Worksheet!E$66,IF($D35=Worksheet!$A$67,Worksheet!E$67,IF($D35=Worksheet!$A$68,Worksheet!H269,IF($D35=Worksheet!$A$69,Worksheet!H269,IF($D35=Worksheet!$A$70,Worksheet!H269,IF($D35=Worksheet!$A$71,"")))))))))))))</f>
        <v>0</v>
      </c>
      <c r="K35" s="282"/>
      <c r="L35" s="281">
        <f>IF($D35=Worksheet!$A$59,Worksheet!F$59,IF($D35=Worksheet!$A$60,Worksheet!F$60,IF($D35=Worksheet!$A$61,Worksheet!F$61,IF($D35=Worksheet!$A$62,Worksheet!F$62,IF($D35=Worksheet!$A$63,Worksheet!F$63,IF($D35=Worksheet!$A$64,Worksheet!F$64,IF($D35=Worksheet!$A$65,Worksheet!F$65,IF($D35=Worksheet!$A$66,Worksheet!F$66,IF($D35=Worksheet!$A$67,Worksheet!F$67,IF($D35=Worksheet!$A$68,Worksheet!J269,IF($D35=Worksheet!$A$69,Worksheet!J269,IF($D35=Worksheet!$A$70,Worksheet!J269,IF($D35=Worksheet!$A$71,"")))))))))))))</f>
        <v>0</v>
      </c>
      <c r="M35" s="282"/>
      <c r="N35" s="80">
        <f ca="1"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1413</v>
      </c>
      <c r="O35" s="80">
        <f ca="1"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O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1496</v>
      </c>
      <c r="P35" s="80">
        <f ca="1"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P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1590</v>
      </c>
      <c r="Q35" s="80">
        <f ca="1"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H$47,IF(Request!$D35=Worksheet!$A$48,Worksheet!H$48,IF(Request!$D35=Worksheet!$A$49,Worksheet!H$49,IF(Request!$D35=Worksheet!$A$50,Worksheet!H$50,IF(Request!$D35=Worksheet!$A$51,Worksheet!H$51,IF(Request!$D35=Worksheet!$A$52,Worksheet!H$52,IF(Request!$D35=Worksheet!$A$53,Worksheet!H$53,IF(Request!$D35=Worksheet!$A$54,Worksheet!H$54,IF(Request!$D35=Worksheet!$A$55,Worksheet!H$55))))))))))),0)+ROUND(Q7/Worksheet!$C$5*Worksheet!$C$10*(IF(Request!$D35=Worksheet!$A$47,Worksheet!I$47,IF(Request!$D35=Worksheet!$A$48,Worksheet!I$48,IF(Request!$D35=Worksheet!$A$49,Worksheet!I$49,IF(Request!$D35=Worksheet!$A$50,Worksheet!I$50,IF(Request!$D35=Worksheet!$A$51,Worksheet!I$51,IF(Request!$D35=Worksheet!$A$52,Worksheet!I$52,IF(Request!$D35=Worksheet!$A$53,Worksheet!I$53,IF(Request!$D35=Worksheet!$A$54,Worksheet!I$54,IF(Request!$D35=Worksheet!$A$55,Worksheet!I$55)))))))))),0)))))))</f>
        <v>0</v>
      </c>
      <c r="R35" s="80">
        <f ca="1"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J$47,IF(Request!$D35=Worksheet!$A$48,Worksheet!J$48,IF(Request!$D35=Worksheet!$A$49,Worksheet!J$49,IF(Request!$D35=Worksheet!$A$50,Worksheet!J$50,IF(Request!$D35=Worksheet!$A$51,Worksheet!J$51,IF(Request!$D35=Worksheet!$A$52,Worksheet!J$52,IF(Request!$D35=Worksheet!$A$53,Worksheet!J$53,IF(Request!$D35=Worksheet!$A$54,Worksheet!J$54,IF(Request!$D35=Worksheet!$A$55,Worksheet!J$55))))))))))),0)+ROUND(R7/Worksheet!$C$5*Worksheet!$C$10*(IF(Request!$D35=Worksheet!$A$47,Worksheet!K$47,IF(Request!$D35=Worksheet!$A$48,Worksheet!K$48,IF(Request!$D35=Worksheet!$A$49,Worksheet!K$49,IF(Request!$D35=Worksheet!$A$50,Worksheet!K$50,IF(Request!$D35=Worksheet!$A$51,Worksheet!K$51,IF(Request!$D35=Worksheet!$A$52,Worksheet!K$52,IF(Request!$D35=Worksheet!$A$53,Worksheet!K$53,IF(Request!$D35=Worksheet!$A$54,Worksheet!K$54,IF(Request!$D35=Worksheet!$A$55,Worksheet!K$55)))))))))),0)))))))</f>
        <v>0</v>
      </c>
      <c r="S35" s="80">
        <f ca="1">SUM(N35:R35)</f>
        <v>4499</v>
      </c>
      <c r="T35" s="65"/>
      <c r="U35" s="65"/>
      <c r="V35" s="65"/>
      <c r="W35" s="65"/>
      <c r="X35" s="65"/>
    </row>
    <row r="36" spans="1:24" x14ac:dyDescent="0.2">
      <c r="A36" s="162">
        <v>2</v>
      </c>
      <c r="B36" s="261" t="str">
        <f t="shared" si="2"/>
        <v>TBN (GSR IV)</v>
      </c>
      <c r="C36" s="237"/>
      <c r="D36" s="179" t="s">
        <v>33</v>
      </c>
      <c r="E36" s="202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1.3</v>
      </c>
      <c r="F36" s="267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1.3</v>
      </c>
      <c r="G36" s="268"/>
      <c r="H36" s="281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1.3</v>
      </c>
      <c r="I36" s="282"/>
      <c r="J36" s="281" t="str">
        <f>IF($D36=Worksheet!$A$59,Worksheet!E$59,IF($D36=Worksheet!$A$60,Worksheet!E$60,IF($D36=Worksheet!$A$61,Worksheet!E$61,IF($D36=Worksheet!$A$62,Worksheet!E$62,IF($D36=Worksheet!$A$63,Worksheet!E$63,IF($D36=Worksheet!$A$64,Worksheet!E$64,IF($D36=Worksheet!$A$65,Worksheet!E$65,IF($D36=Worksheet!$A$66,Worksheet!E$66,IF($D36=Worksheet!$A$67,Worksheet!E$67,IF($D36=Worksheet!$A$68,Worksheet!H270,IF($D36=Worksheet!$A$69,Worksheet!H270,IF($D36=Worksheet!$A$70,Worksheet!H270,IF($D36=Worksheet!$A$71,"")))))))))))))</f>
        <v/>
      </c>
      <c r="K36" s="282"/>
      <c r="L36" s="281" t="str">
        <f>IF($D36=Worksheet!$A$59,Worksheet!F$59,IF($D36=Worksheet!$A$60,Worksheet!F$60,IF($D36=Worksheet!$A$61,Worksheet!F$61,IF($D36=Worksheet!$A$62,Worksheet!F$62,IF($D36=Worksheet!$A$63,Worksheet!F$63,IF($D36=Worksheet!$A$64,Worksheet!F$64,IF($D36=Worksheet!$A$65,Worksheet!F$65,IF($D36=Worksheet!$A$66,Worksheet!F$66,IF($D36=Worksheet!$A$67,Worksheet!F$67,IF($D36=Worksheet!$A$68,Worksheet!J270,IF($D36=Worksheet!$A$69,Worksheet!J270,IF($D36=Worksheet!$A$70,Worksheet!J270,IF($D36=Worksheet!$A$71,"")))))))))))))</f>
        <v/>
      </c>
      <c r="M36" s="282"/>
      <c r="N36" s="80">
        <f ca="1"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375</v>
      </c>
      <c r="O36" s="80">
        <f ca="1"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O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385</v>
      </c>
      <c r="P36" s="80">
        <f ca="1"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P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397</v>
      </c>
      <c r="Q36" s="80">
        <f ca="1"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H$47,IF(Request!$D36=Worksheet!$A$48,Worksheet!H$48,IF(Request!$D36=Worksheet!$A$49,Worksheet!H$49,IF(Request!$D36=Worksheet!$A$50,Worksheet!H$50,IF(Request!$D36=Worksheet!$A$51,Worksheet!H$51,IF(Request!$D36=Worksheet!$A$52,Worksheet!H$52,IF(Request!$D36=Worksheet!$A$53,Worksheet!H$53,IF(Request!$D36=Worksheet!$A$54,Worksheet!H$54,IF(Request!$D36=Worksheet!$A$55,Worksheet!H$55))))))))))),0)+ROUND(Q8/Worksheet!$C$5*Worksheet!$C$10*(IF(Request!$D36=Worksheet!$A$47,Worksheet!I$47,IF(Request!$D36=Worksheet!$A$48,Worksheet!I$48,IF(Request!$D36=Worksheet!$A$49,Worksheet!I$49,IF(Request!$D36=Worksheet!$A$50,Worksheet!I$50,IF(Request!$D36=Worksheet!$A$51,Worksheet!I$51,IF(Request!$D36=Worksheet!$A$52,Worksheet!I$52,IF(Request!$D36=Worksheet!$A$53,Worksheet!I$53,IF(Request!$D36=Worksheet!$A$54,Worksheet!I$54,IF(Request!$D36=Worksheet!$A$55,Worksheet!I$55)))))))))),0)))))))</f>
        <v>0</v>
      </c>
      <c r="R36" s="80">
        <f ca="1"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J$47,IF(Request!$D36=Worksheet!$A$48,Worksheet!J$48,IF(Request!$D36=Worksheet!$A$49,Worksheet!J$49,IF(Request!$D36=Worksheet!$A$50,Worksheet!J$50,IF(Request!$D36=Worksheet!$A$51,Worksheet!J$51,IF(Request!$D36=Worksheet!$A$52,Worksheet!J$52,IF(Request!$D36=Worksheet!$A$53,Worksheet!J$53,IF(Request!$D36=Worksheet!$A$54,Worksheet!J$54,IF(Request!$D36=Worksheet!$A$55,Worksheet!J$55))))))))))),0)+ROUND(R8/Worksheet!$C$5*Worksheet!$C$10*(IF(Request!$D36=Worksheet!$A$47,Worksheet!K$47,IF(Request!$D36=Worksheet!$A$48,Worksheet!K$48,IF(Request!$D36=Worksheet!$A$49,Worksheet!K$49,IF(Request!$D36=Worksheet!$A$50,Worksheet!K$50,IF(Request!$D36=Worksheet!$A$51,Worksheet!K$51,IF(Request!$D36=Worksheet!$A$52,Worksheet!K$52,IF(Request!$D36=Worksheet!$A$53,Worksheet!K$53,IF(Request!$D36=Worksheet!$A$54,Worksheet!K$54,IF(Request!$D36=Worksheet!$A$55,Worksheet!K$55)))))))))),0)))))))</f>
        <v>0</v>
      </c>
      <c r="S36" s="80">
        <f t="shared" ref="S36:S58" ca="1" si="3">SUM(N36:R36)</f>
        <v>1157</v>
      </c>
      <c r="T36" s="65"/>
      <c r="U36" s="65"/>
      <c r="V36" s="65"/>
      <c r="W36" s="65"/>
      <c r="X36" s="65"/>
    </row>
    <row r="37" spans="1:24" x14ac:dyDescent="0.2">
      <c r="A37" s="162">
        <v>3</v>
      </c>
      <c r="B37" s="261">
        <f t="shared" si="2"/>
        <v>0</v>
      </c>
      <c r="C37" s="237"/>
      <c r="D37" s="179" t="s">
        <v>54</v>
      </c>
      <c r="E37" s="202" t="str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/>
      </c>
      <c r="F37" s="267" t="str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/>
      </c>
      <c r="G37" s="268"/>
      <c r="H37" s="281" t="str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/>
      </c>
      <c r="I37" s="282"/>
      <c r="J37" s="281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82"/>
      <c r="L37" s="281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82"/>
      <c r="N37" s="80">
        <f ca="1"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0</v>
      </c>
      <c r="O37" s="80">
        <f ca="1"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O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0</v>
      </c>
      <c r="P37" s="80">
        <f ca="1"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P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0</v>
      </c>
      <c r="Q37" s="80">
        <f ca="1"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H$47,IF(Request!$D37=Worksheet!$A$48,Worksheet!H$48,IF(Request!$D37=Worksheet!$A$49,Worksheet!H$49,IF(Request!$D37=Worksheet!$A$50,Worksheet!H$50,IF(Request!$D37=Worksheet!$A$51,Worksheet!H$51,IF(Request!$D37=Worksheet!$A$52,Worksheet!H$52,IF(Request!$D37=Worksheet!$A$53,Worksheet!H$53,IF(Request!$D37=Worksheet!$A$54,Worksheet!H$54,IF(Request!$D37=Worksheet!$A$55,Worksheet!H$55))))))))))),0)+ROUND(Q9/Worksheet!$C$5*Worksheet!$C$10*(IF(Request!$D37=Worksheet!$A$47,Worksheet!I$47,IF(Request!$D37=Worksheet!$A$48,Worksheet!I$48,IF(Request!$D37=Worksheet!$A$49,Worksheet!I$49,IF(Request!$D37=Worksheet!$A$50,Worksheet!I$50,IF(Request!$D37=Worksheet!$A$51,Worksheet!I$51,IF(Request!$D37=Worksheet!$A$52,Worksheet!I$52,IF(Request!$D37=Worksheet!$A$53,Worksheet!I$53,IF(Request!$D37=Worksheet!$A$54,Worksheet!I$54,IF(Request!$D37=Worksheet!$A$55,Worksheet!I$55)))))))))),0)))))))</f>
        <v>0</v>
      </c>
      <c r="R37" s="80">
        <f ca="1"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J$47,IF(Request!$D37=Worksheet!$A$48,Worksheet!J$48,IF(Request!$D37=Worksheet!$A$49,Worksheet!J$49,IF(Request!$D37=Worksheet!$A$50,Worksheet!J$50,IF(Request!$D37=Worksheet!$A$51,Worksheet!J$51,IF(Request!$D37=Worksheet!$A$52,Worksheet!J$52,IF(Request!$D37=Worksheet!$A$53,Worksheet!J$53,IF(Request!$D37=Worksheet!$A$54,Worksheet!J$54,IF(Request!$D37=Worksheet!$A$55,Worksheet!J$55))))))))))),0)+ROUND(R9/Worksheet!$C$5*Worksheet!$C$10*(IF(Request!$D37=Worksheet!$A$47,Worksheet!K$47,IF(Request!$D37=Worksheet!$A$48,Worksheet!K$48,IF(Request!$D37=Worksheet!$A$49,Worksheet!K$49,IF(Request!$D37=Worksheet!$A$50,Worksheet!K$50,IF(Request!$D37=Worksheet!$A$51,Worksheet!K$51,IF(Request!$D37=Worksheet!$A$52,Worksheet!K$52,IF(Request!$D37=Worksheet!$A$53,Worksheet!K$53,IF(Request!$D37=Worksheet!$A$54,Worksheet!K$54,IF(Request!$D37=Worksheet!$A$55,Worksheet!K$55)))))))))),0)))))))</f>
        <v>0</v>
      </c>
      <c r="S37" s="80">
        <f t="shared" ca="1" si="3"/>
        <v>0</v>
      </c>
      <c r="T37" s="65"/>
      <c r="U37" s="65"/>
      <c r="V37" s="65"/>
      <c r="W37" s="65"/>
      <c r="X37" s="65"/>
    </row>
    <row r="38" spans="1:24" x14ac:dyDescent="0.2">
      <c r="A38" s="162">
        <v>4</v>
      </c>
      <c r="B38" s="261">
        <f t="shared" si="2"/>
        <v>0</v>
      </c>
      <c r="C38" s="237"/>
      <c r="D38" s="179" t="s">
        <v>54</v>
      </c>
      <c r="E38" s="202" t="str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/>
      </c>
      <c r="F38" s="267" t="str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/>
      </c>
      <c r="G38" s="268"/>
      <c r="H38" s="281" t="str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/>
      </c>
      <c r="I38" s="282"/>
      <c r="J38" s="281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82"/>
      <c r="L38" s="281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82"/>
      <c r="N38" s="80">
        <f ca="1"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0</v>
      </c>
      <c r="O38" s="80">
        <f ca="1"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O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0</v>
      </c>
      <c r="P38" s="80">
        <f ca="1"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P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0</v>
      </c>
      <c r="Q38" s="80">
        <f ca="1"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H$47,IF(Request!$D38=Worksheet!$A$48,Worksheet!H$48,IF(Request!$D38=Worksheet!$A$49,Worksheet!H$49,IF(Request!$D38=Worksheet!$A$50,Worksheet!H$50,IF(Request!$D38=Worksheet!$A$51,Worksheet!H$51,IF(Request!$D38=Worksheet!$A$52,Worksheet!H$52,IF(Request!$D38=Worksheet!$A$53,Worksheet!H$53,IF(Request!$D38=Worksheet!$A$54,Worksheet!H$54,IF(Request!$D38=Worksheet!$A$55,Worksheet!H$55))))))))))),0)+ROUND(Q10/Worksheet!$C$5*Worksheet!$C$10*(IF(Request!$D38=Worksheet!$A$47,Worksheet!I$47,IF(Request!$D38=Worksheet!$A$48,Worksheet!I$48,IF(Request!$D38=Worksheet!$A$49,Worksheet!I$49,IF(Request!$D38=Worksheet!$A$50,Worksheet!I$50,IF(Request!$D38=Worksheet!$A$51,Worksheet!I$51,IF(Request!$D38=Worksheet!$A$52,Worksheet!I$52,IF(Request!$D38=Worksheet!$A$53,Worksheet!I$53,IF(Request!$D38=Worksheet!$A$54,Worksheet!I$54,IF(Request!$D38=Worksheet!$A$55,Worksheet!I$55)))))))))),0)))))))</f>
        <v>0</v>
      </c>
      <c r="R38" s="80">
        <f ca="1"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J$47,IF(Request!$D38=Worksheet!$A$48,Worksheet!J$48,IF(Request!$D38=Worksheet!$A$49,Worksheet!J$49,IF(Request!$D38=Worksheet!$A$50,Worksheet!J$50,IF(Request!$D38=Worksheet!$A$51,Worksheet!J$51,IF(Request!$D38=Worksheet!$A$52,Worksheet!J$52,IF(Request!$D38=Worksheet!$A$53,Worksheet!J$53,IF(Request!$D38=Worksheet!$A$54,Worksheet!J$54,IF(Request!$D38=Worksheet!$A$55,Worksheet!J$55))))))))))),0)+ROUND(R10/Worksheet!$C$5*Worksheet!$C$10*(IF(Request!$D38=Worksheet!$A$47,Worksheet!K$47,IF(Request!$D38=Worksheet!$A$48,Worksheet!K$48,IF(Request!$D38=Worksheet!$A$49,Worksheet!K$49,IF(Request!$D38=Worksheet!$A$50,Worksheet!K$50,IF(Request!$D38=Worksheet!$A$51,Worksheet!K$51,IF(Request!$D38=Worksheet!$A$52,Worksheet!K$52,IF(Request!$D38=Worksheet!$A$53,Worksheet!K$53,IF(Request!$D38=Worksheet!$A$54,Worksheet!K$54,IF(Request!$D38=Worksheet!$A$55,Worksheet!K$55)))))))))),0)))))))</f>
        <v>0</v>
      </c>
      <c r="S38" s="80">
        <f t="shared" ca="1" si="3"/>
        <v>0</v>
      </c>
      <c r="T38" s="65"/>
      <c r="U38" s="65"/>
      <c r="V38" s="65"/>
      <c r="W38" s="65"/>
      <c r="X38" s="65"/>
    </row>
    <row r="39" spans="1:24" x14ac:dyDescent="0.2">
      <c r="A39" s="162">
        <v>5</v>
      </c>
      <c r="B39" s="261">
        <f t="shared" si="2"/>
        <v>0</v>
      </c>
      <c r="C39" s="237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67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68"/>
      <c r="H39" s="281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82"/>
      <c r="J39" s="281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82"/>
      <c r="L39" s="281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82"/>
      <c r="N39" s="80">
        <f ca="1"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 ca="1"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O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P39" s="80">
        <f ca="1"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P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Q39" s="80">
        <f ca="1"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H$47,IF(Request!$D39=Worksheet!$A$48,Worksheet!H$48,IF(Request!$D39=Worksheet!$A$49,Worksheet!H$49,IF(Request!$D39=Worksheet!$A$50,Worksheet!H$50,IF(Request!$D39=Worksheet!$A$51,Worksheet!H$51,IF(Request!$D39=Worksheet!$A$52,Worksheet!H$52,IF(Request!$D39=Worksheet!$A$53,Worksheet!H$53,IF(Request!$D39=Worksheet!$A$54,Worksheet!H$54,IF(Request!$D39=Worksheet!$A$55,Worksheet!H$55))))))))))),0)+ROUND(Q11/Worksheet!$C$5*Worksheet!$C$10*(IF(Request!$D39=Worksheet!$A$47,Worksheet!I$47,IF(Request!$D39=Worksheet!$A$48,Worksheet!I$48,IF(Request!$D39=Worksheet!$A$49,Worksheet!I$49,IF(Request!$D39=Worksheet!$A$50,Worksheet!I$50,IF(Request!$D39=Worksheet!$A$51,Worksheet!I$51,IF(Request!$D39=Worksheet!$A$52,Worksheet!I$52,IF(Request!$D39=Worksheet!$A$53,Worksheet!I$53,IF(Request!$D39=Worksheet!$A$54,Worksheet!I$54,IF(Request!$D39=Worksheet!$A$55,Worksheet!I$55)))))))))),0)))))))</f>
        <v>0</v>
      </c>
      <c r="R39" s="80">
        <f ca="1"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J$47,IF(Request!$D39=Worksheet!$A$48,Worksheet!J$48,IF(Request!$D39=Worksheet!$A$49,Worksheet!J$49,IF(Request!$D39=Worksheet!$A$50,Worksheet!J$50,IF(Request!$D39=Worksheet!$A$51,Worksheet!J$51,IF(Request!$D39=Worksheet!$A$52,Worksheet!J$52,IF(Request!$D39=Worksheet!$A$53,Worksheet!J$53,IF(Request!$D39=Worksheet!$A$54,Worksheet!J$54,IF(Request!$D39=Worksheet!$A$55,Worksheet!J$55))))))))))),0)+ROUND(R11/Worksheet!$C$5*Worksheet!$C$10*(IF(Request!$D39=Worksheet!$A$47,Worksheet!K$47,IF(Request!$D39=Worksheet!$A$48,Worksheet!K$48,IF(Request!$D39=Worksheet!$A$49,Worksheet!K$49,IF(Request!$D39=Worksheet!$A$50,Worksheet!K$50,IF(Request!$D39=Worksheet!$A$51,Worksheet!K$51,IF(Request!$D39=Worksheet!$A$52,Worksheet!K$52,IF(Request!$D39=Worksheet!$A$53,Worksheet!K$53,IF(Request!$D39=Worksheet!$A$54,Worksheet!K$54,IF(Request!$D39=Worksheet!$A$55,Worksheet!K$55)))))))))),0)))))))</f>
        <v>0</v>
      </c>
      <c r="S39" s="80">
        <f t="shared" ca="1" si="3"/>
        <v>0</v>
      </c>
      <c r="T39" s="65"/>
      <c r="U39" s="65"/>
      <c r="V39" s="65"/>
      <c r="W39" s="65"/>
      <c r="X39" s="65"/>
    </row>
    <row r="40" spans="1:24" x14ac:dyDescent="0.2">
      <c r="A40" s="162">
        <v>6</v>
      </c>
      <c r="B40" s="261">
        <f t="shared" si="2"/>
        <v>0</v>
      </c>
      <c r="C40" s="237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67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68"/>
      <c r="H40" s="281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82"/>
      <c r="J40" s="281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82"/>
      <c r="L40" s="281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82"/>
      <c r="N40" s="80">
        <f ca="1"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 ca="1"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O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P40" s="80">
        <f ca="1"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P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Q40" s="80">
        <f ca="1"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H$47,IF(Request!$D40=Worksheet!$A$48,Worksheet!H$48,IF(Request!$D40=Worksheet!$A$49,Worksheet!H$49,IF(Request!$D40=Worksheet!$A$50,Worksheet!H$50,IF(Request!$D40=Worksheet!$A$51,Worksheet!H$51,IF(Request!$D40=Worksheet!$A$52,Worksheet!H$52,IF(Request!$D40=Worksheet!$A$53,Worksheet!H$53,IF(Request!$D40=Worksheet!$A$54,Worksheet!H$54,IF(Request!$D40=Worksheet!$A$55,Worksheet!H$55))))))))))),0)+ROUND(Q12/Worksheet!$C$5*Worksheet!$C$10*(IF(Request!$D40=Worksheet!$A$47,Worksheet!I$47,IF(Request!$D40=Worksheet!$A$48,Worksheet!I$48,IF(Request!$D40=Worksheet!$A$49,Worksheet!I$49,IF(Request!$D40=Worksheet!$A$50,Worksheet!I$50,IF(Request!$D40=Worksheet!$A$51,Worksheet!I$51,IF(Request!$D40=Worksheet!$A$52,Worksheet!I$52,IF(Request!$D40=Worksheet!$A$53,Worksheet!I$53,IF(Request!$D40=Worksheet!$A$54,Worksheet!I$54,IF(Request!$D40=Worksheet!$A$55,Worksheet!I$55)))))))))),0)))))))</f>
        <v>0</v>
      </c>
      <c r="R40" s="80">
        <f ca="1"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J$47,IF(Request!$D40=Worksheet!$A$48,Worksheet!J$48,IF(Request!$D40=Worksheet!$A$49,Worksheet!J$49,IF(Request!$D40=Worksheet!$A$50,Worksheet!J$50,IF(Request!$D40=Worksheet!$A$51,Worksheet!J$51,IF(Request!$D40=Worksheet!$A$52,Worksheet!J$52,IF(Request!$D40=Worksheet!$A$53,Worksheet!J$53,IF(Request!$D40=Worksheet!$A$54,Worksheet!J$54,IF(Request!$D40=Worksheet!$A$55,Worksheet!J$55))))))))))),0)+ROUND(R12/Worksheet!$C$5*Worksheet!$C$10*(IF(Request!$D40=Worksheet!$A$47,Worksheet!K$47,IF(Request!$D40=Worksheet!$A$48,Worksheet!K$48,IF(Request!$D40=Worksheet!$A$49,Worksheet!K$49,IF(Request!$D40=Worksheet!$A$50,Worksheet!K$50,IF(Request!$D40=Worksheet!$A$51,Worksheet!K$51,IF(Request!$D40=Worksheet!$A$52,Worksheet!K$52,IF(Request!$D40=Worksheet!$A$53,Worksheet!K$53,IF(Request!$D40=Worksheet!$A$54,Worksheet!K$54,IF(Request!$D40=Worksheet!$A$55,Worksheet!K$55)))))))))),0)))))))</f>
        <v>0</v>
      </c>
      <c r="S40" s="80">
        <f t="shared" ca="1" si="3"/>
        <v>0</v>
      </c>
      <c r="T40" s="65"/>
      <c r="U40" s="65"/>
      <c r="V40" s="65"/>
      <c r="W40" s="65"/>
      <c r="X40" s="65"/>
    </row>
    <row r="41" spans="1:24" x14ac:dyDescent="0.2">
      <c r="A41" s="162">
        <v>7</v>
      </c>
      <c r="B41" s="261">
        <f t="shared" si="2"/>
        <v>0</v>
      </c>
      <c r="C41" s="237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67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68"/>
      <c r="H41" s="281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82"/>
      <c r="J41" s="281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82"/>
      <c r="L41" s="281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82"/>
      <c r="N41" s="80">
        <f ca="1"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 ca="1"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O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P41" s="80">
        <f ca="1"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P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Q41" s="80">
        <f ca="1"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H$47,IF(Request!$D41=Worksheet!$A$48,Worksheet!H$48,IF(Request!$D41=Worksheet!$A$49,Worksheet!H$49,IF(Request!$D41=Worksheet!$A$50,Worksheet!H$50,IF(Request!$D41=Worksheet!$A$51,Worksheet!H$51,IF(Request!$D41=Worksheet!$A$52,Worksheet!H$52,IF(Request!$D41=Worksheet!$A$53,Worksheet!H$53,IF(Request!$D41=Worksheet!$A$54,Worksheet!H$54,IF(Request!$D41=Worksheet!$A$55,Worksheet!H$55))))))))))),0)+ROUND(Q13/Worksheet!$C$5*Worksheet!$C$10*(IF(Request!$D41=Worksheet!$A$47,Worksheet!I$47,IF(Request!$D41=Worksheet!$A$48,Worksheet!I$48,IF(Request!$D41=Worksheet!$A$49,Worksheet!I$49,IF(Request!$D41=Worksheet!$A$50,Worksheet!I$50,IF(Request!$D41=Worksheet!$A$51,Worksheet!I$51,IF(Request!$D41=Worksheet!$A$52,Worksheet!I$52,IF(Request!$D41=Worksheet!$A$53,Worksheet!I$53,IF(Request!$D41=Worksheet!$A$54,Worksheet!I$54,IF(Request!$D41=Worksheet!$A$55,Worksheet!I$55)))))))))),0)))))))</f>
        <v>0</v>
      </c>
      <c r="R41" s="80">
        <f ca="1"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J$47,IF(Request!$D41=Worksheet!$A$48,Worksheet!J$48,IF(Request!$D41=Worksheet!$A$49,Worksheet!J$49,IF(Request!$D41=Worksheet!$A$50,Worksheet!J$50,IF(Request!$D41=Worksheet!$A$51,Worksheet!J$51,IF(Request!$D41=Worksheet!$A$52,Worksheet!J$52,IF(Request!$D41=Worksheet!$A$53,Worksheet!J$53,IF(Request!$D41=Worksheet!$A$54,Worksheet!J$54,IF(Request!$D41=Worksheet!$A$55,Worksheet!J$55))))))))))),0)+ROUND(R13/Worksheet!$C$5*Worksheet!$C$10*(IF(Request!$D41=Worksheet!$A$47,Worksheet!K$47,IF(Request!$D41=Worksheet!$A$48,Worksheet!K$48,IF(Request!$D41=Worksheet!$A$49,Worksheet!K$49,IF(Request!$D41=Worksheet!$A$50,Worksheet!K$50,IF(Request!$D41=Worksheet!$A$51,Worksheet!K$51,IF(Request!$D41=Worksheet!$A$52,Worksheet!K$52,IF(Request!$D41=Worksheet!$A$53,Worksheet!K$53,IF(Request!$D41=Worksheet!$A$54,Worksheet!K$54,IF(Request!$D41=Worksheet!$A$55,Worksheet!K$55)))))))))),0)))))))</f>
        <v>0</v>
      </c>
      <c r="S41" s="80">
        <f t="shared" ca="1" si="3"/>
        <v>0</v>
      </c>
      <c r="T41" s="65"/>
      <c r="U41" s="65"/>
      <c r="V41" s="65"/>
      <c r="W41" s="65"/>
      <c r="X41" s="65"/>
    </row>
    <row r="42" spans="1:24" x14ac:dyDescent="0.2">
      <c r="A42" s="162">
        <v>8</v>
      </c>
      <c r="B42" s="261">
        <f t="shared" si="2"/>
        <v>0</v>
      </c>
      <c r="C42" s="237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67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68"/>
      <c r="H42" s="281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82"/>
      <c r="J42" s="281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82"/>
      <c r="L42" s="281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82"/>
      <c r="N42" s="80">
        <f ca="1"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 ca="1"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O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P42" s="80">
        <f ca="1"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P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Q42" s="80">
        <f ca="1"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H$47,IF(Request!$D42=Worksheet!$A$48,Worksheet!H$48,IF(Request!$D42=Worksheet!$A$49,Worksheet!H$49,IF(Request!$D42=Worksheet!$A$50,Worksheet!H$50,IF(Request!$D42=Worksheet!$A$51,Worksheet!H$51,IF(Request!$D42=Worksheet!$A$52,Worksheet!H$52,IF(Request!$D42=Worksheet!$A$53,Worksheet!H$53,IF(Request!$D42=Worksheet!$A$54,Worksheet!H$54,IF(Request!$D42=Worksheet!$A$55,Worksheet!H$55))))))))))),0)+ROUND(Q14/Worksheet!$C$5*Worksheet!$C$10*(IF(Request!$D42=Worksheet!$A$47,Worksheet!I$47,IF(Request!$D42=Worksheet!$A$48,Worksheet!I$48,IF(Request!$D42=Worksheet!$A$49,Worksheet!I$49,IF(Request!$D42=Worksheet!$A$50,Worksheet!I$50,IF(Request!$D42=Worksheet!$A$51,Worksheet!I$51,IF(Request!$D42=Worksheet!$A$52,Worksheet!I$52,IF(Request!$D42=Worksheet!$A$53,Worksheet!I$53,IF(Request!$D42=Worksheet!$A$54,Worksheet!I$54,IF(Request!$D42=Worksheet!$A$55,Worksheet!I$55)))))))))),0)))))))</f>
        <v>0</v>
      </c>
      <c r="R42" s="80">
        <f ca="1"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J$47,IF(Request!$D42=Worksheet!$A$48,Worksheet!J$48,IF(Request!$D42=Worksheet!$A$49,Worksheet!J$49,IF(Request!$D42=Worksheet!$A$50,Worksheet!J$50,IF(Request!$D42=Worksheet!$A$51,Worksheet!J$51,IF(Request!$D42=Worksheet!$A$52,Worksheet!J$52,IF(Request!$D42=Worksheet!$A$53,Worksheet!J$53,IF(Request!$D42=Worksheet!$A$54,Worksheet!J$54,IF(Request!$D42=Worksheet!$A$55,Worksheet!J$55))))))))))),0)+ROUND(R14/Worksheet!$C$5*Worksheet!$C$10*(IF(Request!$D42=Worksheet!$A$47,Worksheet!K$47,IF(Request!$D42=Worksheet!$A$48,Worksheet!K$48,IF(Request!$D42=Worksheet!$A$49,Worksheet!K$49,IF(Request!$D42=Worksheet!$A$50,Worksheet!K$50,IF(Request!$D42=Worksheet!$A$51,Worksheet!K$51,IF(Request!$D42=Worksheet!$A$52,Worksheet!K$52,IF(Request!$D42=Worksheet!$A$53,Worksheet!K$53,IF(Request!$D42=Worksheet!$A$54,Worksheet!K$54,IF(Request!$D42=Worksheet!$A$55,Worksheet!K$55)))))))))),0)))))))</f>
        <v>0</v>
      </c>
      <c r="S42" s="80">
        <f t="shared" ca="1" si="3"/>
        <v>0</v>
      </c>
      <c r="T42" s="65"/>
      <c r="U42" s="65"/>
      <c r="V42" s="65"/>
      <c r="W42" s="65"/>
      <c r="X42" s="65"/>
    </row>
    <row r="43" spans="1:24" hidden="1" x14ac:dyDescent="0.2">
      <c r="A43" s="162">
        <v>9</v>
      </c>
      <c r="B43" s="261">
        <f t="shared" si="2"/>
        <v>0</v>
      </c>
      <c r="C43" s="237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67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68"/>
      <c r="H43" s="281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82"/>
      <c r="J43" s="281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82"/>
      <c r="L43" s="281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82"/>
      <c r="N43" s="80">
        <f ca="1"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 ca="1"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O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P43" s="80">
        <f ca="1"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P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Q43" s="80">
        <f ca="1"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H$47,IF(Request!$D43=Worksheet!$A$48,Worksheet!H$48,IF(Request!$D43=Worksheet!$A$49,Worksheet!H$49,IF(Request!$D43=Worksheet!$A$50,Worksheet!H$50,IF(Request!$D43=Worksheet!$A$51,Worksheet!H$51,IF(Request!$D43=Worksheet!$A$52,Worksheet!H$52,IF(Request!$D43=Worksheet!$A$53,Worksheet!H$53,IF(Request!$D43=Worksheet!$A$54,Worksheet!H$54,IF(Request!$D43=Worksheet!$A$55,Worksheet!H$55))))))))))),0)+ROUND(Q15/Worksheet!$C$5*Worksheet!$C$10*(IF(Request!$D43=Worksheet!$A$47,Worksheet!I$47,IF(Request!$D43=Worksheet!$A$48,Worksheet!I$48,IF(Request!$D43=Worksheet!$A$49,Worksheet!I$49,IF(Request!$D43=Worksheet!$A$50,Worksheet!I$50,IF(Request!$D43=Worksheet!$A$51,Worksheet!I$51,IF(Request!$D43=Worksheet!$A$52,Worksheet!I$52,IF(Request!$D43=Worksheet!$A$53,Worksheet!I$53,IF(Request!$D43=Worksheet!$A$54,Worksheet!I$54,IF(Request!$D43=Worksheet!$A$55,Worksheet!I$55)))))))))),0)))))))</f>
        <v>0</v>
      </c>
      <c r="R43" s="80">
        <f ca="1"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J$47,IF(Request!$D43=Worksheet!$A$48,Worksheet!J$48,IF(Request!$D43=Worksheet!$A$49,Worksheet!J$49,IF(Request!$D43=Worksheet!$A$50,Worksheet!J$50,IF(Request!$D43=Worksheet!$A$51,Worksheet!J$51,IF(Request!$D43=Worksheet!$A$52,Worksheet!J$52,IF(Request!$D43=Worksheet!$A$53,Worksheet!J$53,IF(Request!$D43=Worksheet!$A$54,Worksheet!J$54,IF(Request!$D43=Worksheet!$A$55,Worksheet!J$55))))))))))),0)+ROUND(R15/Worksheet!$C$5*Worksheet!$C$10*(IF(Request!$D43=Worksheet!$A$47,Worksheet!K$47,IF(Request!$D43=Worksheet!$A$48,Worksheet!K$48,IF(Request!$D43=Worksheet!$A$49,Worksheet!K$49,IF(Request!$D43=Worksheet!$A$50,Worksheet!K$50,IF(Request!$D43=Worksheet!$A$51,Worksheet!K$51,IF(Request!$D43=Worksheet!$A$52,Worksheet!K$52,IF(Request!$D43=Worksheet!$A$53,Worksheet!K$53,IF(Request!$D43=Worksheet!$A$54,Worksheet!K$54,IF(Request!$D43=Worksheet!$A$55,Worksheet!K$55)))))))))),0)))))))</f>
        <v>0</v>
      </c>
      <c r="S43" s="80">
        <f t="shared" ca="1" si="3"/>
        <v>0</v>
      </c>
      <c r="T43" s="65"/>
      <c r="U43" s="65"/>
      <c r="V43" s="65"/>
      <c r="W43" s="65"/>
      <c r="X43" s="65"/>
    </row>
    <row r="44" spans="1:24" hidden="1" x14ac:dyDescent="0.2">
      <c r="A44" s="162">
        <v>10</v>
      </c>
      <c r="B44" s="261">
        <f t="shared" si="2"/>
        <v>0</v>
      </c>
      <c r="C44" s="237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67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68"/>
      <c r="H44" s="281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82"/>
      <c r="J44" s="281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82"/>
      <c r="L44" s="281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82"/>
      <c r="N44" s="80">
        <f ca="1"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 ca="1"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O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P44" s="80">
        <f ca="1"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P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Q44" s="80">
        <f ca="1"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H$47,IF(Request!$D44=Worksheet!$A$48,Worksheet!H$48,IF(Request!$D44=Worksheet!$A$49,Worksheet!H$49,IF(Request!$D44=Worksheet!$A$50,Worksheet!H$50,IF(Request!$D44=Worksheet!$A$51,Worksheet!H$51,IF(Request!$D44=Worksheet!$A$52,Worksheet!H$52,IF(Request!$D44=Worksheet!$A$53,Worksheet!H$53,IF(Request!$D44=Worksheet!$A$54,Worksheet!H$54,IF(Request!$D44=Worksheet!$A$55,Worksheet!H$55))))))))))),0)+ROUND(Q16/Worksheet!$C$5*Worksheet!$C$10*(IF(Request!$D44=Worksheet!$A$47,Worksheet!I$47,IF(Request!$D44=Worksheet!$A$48,Worksheet!I$48,IF(Request!$D44=Worksheet!$A$49,Worksheet!I$49,IF(Request!$D44=Worksheet!$A$50,Worksheet!I$50,IF(Request!$D44=Worksheet!$A$51,Worksheet!I$51,IF(Request!$D44=Worksheet!$A$52,Worksheet!I$52,IF(Request!$D44=Worksheet!$A$53,Worksheet!I$53,IF(Request!$D44=Worksheet!$A$54,Worksheet!I$54,IF(Request!$D44=Worksheet!$A$55,Worksheet!I$55)))))))))),0)))))))</f>
        <v>0</v>
      </c>
      <c r="R44" s="80">
        <f ca="1"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J$47,IF(Request!$D44=Worksheet!$A$48,Worksheet!J$48,IF(Request!$D44=Worksheet!$A$49,Worksheet!J$49,IF(Request!$D44=Worksheet!$A$50,Worksheet!J$50,IF(Request!$D44=Worksheet!$A$51,Worksheet!J$51,IF(Request!$D44=Worksheet!$A$52,Worksheet!J$52,IF(Request!$D44=Worksheet!$A$53,Worksheet!J$53,IF(Request!$D44=Worksheet!$A$54,Worksheet!J$54,IF(Request!$D44=Worksheet!$A$55,Worksheet!J$55))))))))))),0)+ROUND(R16/Worksheet!$C$5*Worksheet!$C$10*(IF(Request!$D44=Worksheet!$A$47,Worksheet!K$47,IF(Request!$D44=Worksheet!$A$48,Worksheet!K$48,IF(Request!$D44=Worksheet!$A$49,Worksheet!K$49,IF(Request!$D44=Worksheet!$A$50,Worksheet!K$50,IF(Request!$D44=Worksheet!$A$51,Worksheet!K$51,IF(Request!$D44=Worksheet!$A$52,Worksheet!K$52,IF(Request!$D44=Worksheet!$A$53,Worksheet!K$53,IF(Request!$D44=Worksheet!$A$54,Worksheet!K$54,IF(Request!$D44=Worksheet!$A$55,Worksheet!K$55)))))))))),0)))))))</f>
        <v>0</v>
      </c>
      <c r="S44" s="80">
        <f t="shared" ca="1" si="3"/>
        <v>0</v>
      </c>
      <c r="T44" s="65"/>
      <c r="U44" s="65"/>
      <c r="V44" s="65"/>
      <c r="W44" s="65"/>
      <c r="X44" s="65"/>
    </row>
    <row r="45" spans="1:24" hidden="1" x14ac:dyDescent="0.2">
      <c r="A45" s="162">
        <v>11</v>
      </c>
      <c r="B45" s="261">
        <f t="shared" si="2"/>
        <v>0</v>
      </c>
      <c r="C45" s="237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67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68"/>
      <c r="H45" s="281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82"/>
      <c r="J45" s="281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82"/>
      <c r="L45" s="281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82"/>
      <c r="N45" s="80">
        <f ca="1"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 ca="1"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O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P45" s="80">
        <f ca="1"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P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Q45" s="80">
        <f ca="1"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H$47,IF(Request!$D45=Worksheet!$A$48,Worksheet!H$48,IF(Request!$D45=Worksheet!$A$49,Worksheet!H$49,IF(Request!$D45=Worksheet!$A$50,Worksheet!H$50,IF(Request!$D45=Worksheet!$A$51,Worksheet!H$51,IF(Request!$D45=Worksheet!$A$52,Worksheet!H$52,IF(Request!$D45=Worksheet!$A$53,Worksheet!H$53,IF(Request!$D45=Worksheet!$A$54,Worksheet!H$54,IF(Request!$D45=Worksheet!$A$55,Worksheet!H$55))))))))))),0)+ROUND(Q17/Worksheet!$C$5*Worksheet!$C$10*(IF(Request!$D45=Worksheet!$A$47,Worksheet!I$47,IF(Request!$D45=Worksheet!$A$48,Worksheet!I$48,IF(Request!$D45=Worksheet!$A$49,Worksheet!I$49,IF(Request!$D45=Worksheet!$A$50,Worksheet!I$50,IF(Request!$D45=Worksheet!$A$51,Worksheet!I$51,IF(Request!$D45=Worksheet!$A$52,Worksheet!I$52,IF(Request!$D45=Worksheet!$A$53,Worksheet!I$53,IF(Request!$D45=Worksheet!$A$54,Worksheet!I$54,IF(Request!$D45=Worksheet!$A$55,Worksheet!I$55)))))))))),0)))))))</f>
        <v>0</v>
      </c>
      <c r="R45" s="80">
        <f ca="1"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J$47,IF(Request!$D45=Worksheet!$A$48,Worksheet!J$48,IF(Request!$D45=Worksheet!$A$49,Worksheet!J$49,IF(Request!$D45=Worksheet!$A$50,Worksheet!J$50,IF(Request!$D45=Worksheet!$A$51,Worksheet!J$51,IF(Request!$D45=Worksheet!$A$52,Worksheet!J$52,IF(Request!$D45=Worksheet!$A$53,Worksheet!J$53,IF(Request!$D45=Worksheet!$A$54,Worksheet!J$54,IF(Request!$D45=Worksheet!$A$55,Worksheet!J$55))))))))))),0)+ROUND(R17/Worksheet!$C$5*Worksheet!$C$10*(IF(Request!$D45=Worksheet!$A$47,Worksheet!K$47,IF(Request!$D45=Worksheet!$A$48,Worksheet!K$48,IF(Request!$D45=Worksheet!$A$49,Worksheet!K$49,IF(Request!$D45=Worksheet!$A$50,Worksheet!K$50,IF(Request!$D45=Worksheet!$A$51,Worksheet!K$51,IF(Request!$D45=Worksheet!$A$52,Worksheet!K$52,IF(Request!$D45=Worksheet!$A$53,Worksheet!K$53,IF(Request!$D45=Worksheet!$A$54,Worksheet!K$54,IF(Request!$D45=Worksheet!$A$55,Worksheet!K$55)))))))))),0)))))))</f>
        <v>0</v>
      </c>
      <c r="S45" s="80">
        <f t="shared" ca="1" si="3"/>
        <v>0</v>
      </c>
      <c r="T45" s="65"/>
      <c r="U45" s="65"/>
      <c r="V45" s="65"/>
      <c r="W45" s="65"/>
      <c r="X45" s="65"/>
    </row>
    <row r="46" spans="1:24" hidden="1" x14ac:dyDescent="0.2">
      <c r="A46" s="162">
        <v>12</v>
      </c>
      <c r="B46" s="261">
        <f t="shared" si="2"/>
        <v>0</v>
      </c>
      <c r="C46" s="237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67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68"/>
      <c r="H46" s="281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82"/>
      <c r="J46" s="281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82"/>
      <c r="L46" s="281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82"/>
      <c r="N46" s="80">
        <f ca="1"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 ca="1"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O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P46" s="80">
        <f ca="1"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P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Q46" s="80">
        <f ca="1"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H$47,IF(Request!$D46=Worksheet!$A$48,Worksheet!H$48,IF(Request!$D46=Worksheet!$A$49,Worksheet!H$49,IF(Request!$D46=Worksheet!$A$50,Worksheet!H$50,IF(Request!$D46=Worksheet!$A$51,Worksheet!H$51,IF(Request!$D46=Worksheet!$A$52,Worksheet!H$52,IF(Request!$D46=Worksheet!$A$53,Worksheet!H$53,IF(Request!$D46=Worksheet!$A$54,Worksheet!H$54,IF(Request!$D46=Worksheet!$A$55,Worksheet!H$55))))))))))),0)+ROUND(Q18/Worksheet!$C$5*Worksheet!$C$10*(IF(Request!$D46=Worksheet!$A$47,Worksheet!I$47,IF(Request!$D46=Worksheet!$A$48,Worksheet!I$48,IF(Request!$D46=Worksheet!$A$49,Worksheet!I$49,IF(Request!$D46=Worksheet!$A$50,Worksheet!I$50,IF(Request!$D46=Worksheet!$A$51,Worksheet!I$51,IF(Request!$D46=Worksheet!$A$52,Worksheet!I$52,IF(Request!$D46=Worksheet!$A$53,Worksheet!I$53,IF(Request!$D46=Worksheet!$A$54,Worksheet!I$54,IF(Request!$D46=Worksheet!$A$55,Worksheet!I$55)))))))))),0)))))))</f>
        <v>0</v>
      </c>
      <c r="R46" s="80">
        <f ca="1"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J$47,IF(Request!$D46=Worksheet!$A$48,Worksheet!J$48,IF(Request!$D46=Worksheet!$A$49,Worksheet!J$49,IF(Request!$D46=Worksheet!$A$50,Worksheet!J$50,IF(Request!$D46=Worksheet!$A$51,Worksheet!J$51,IF(Request!$D46=Worksheet!$A$52,Worksheet!J$52,IF(Request!$D46=Worksheet!$A$53,Worksheet!J$53,IF(Request!$D46=Worksheet!$A$54,Worksheet!J$54,IF(Request!$D46=Worksheet!$A$55,Worksheet!J$55))))))))))),0)+ROUND(R18/Worksheet!$C$5*Worksheet!$C$10*(IF(Request!$D46=Worksheet!$A$47,Worksheet!K$47,IF(Request!$D46=Worksheet!$A$48,Worksheet!K$48,IF(Request!$D46=Worksheet!$A$49,Worksheet!K$49,IF(Request!$D46=Worksheet!$A$50,Worksheet!K$50,IF(Request!$D46=Worksheet!$A$51,Worksheet!K$51,IF(Request!$D46=Worksheet!$A$52,Worksheet!K$52,IF(Request!$D46=Worksheet!$A$53,Worksheet!K$53,IF(Request!$D46=Worksheet!$A$54,Worksheet!K$54,IF(Request!$D46=Worksheet!$A$55,Worksheet!K$55)))))))))),0)))))))</f>
        <v>0</v>
      </c>
      <c r="S46" s="80">
        <f t="shared" ca="1" si="3"/>
        <v>0</v>
      </c>
      <c r="T46" s="65"/>
      <c r="U46" s="65"/>
      <c r="V46" s="65"/>
      <c r="W46" s="65"/>
      <c r="X46" s="65"/>
    </row>
    <row r="47" spans="1:24" hidden="1" x14ac:dyDescent="0.2">
      <c r="A47" s="162">
        <v>13</v>
      </c>
      <c r="B47" s="261">
        <f t="shared" si="2"/>
        <v>0</v>
      </c>
      <c r="C47" s="237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67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68"/>
      <c r="H47" s="281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82"/>
      <c r="J47" s="281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82"/>
      <c r="L47" s="281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82"/>
      <c r="N47" s="80">
        <f ca="1"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 ca="1"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O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P47" s="80">
        <f ca="1"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P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Q47" s="80">
        <f ca="1"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H$47,IF(Request!$D47=Worksheet!$A$48,Worksheet!H$48,IF(Request!$D47=Worksheet!$A$49,Worksheet!H$49,IF(Request!$D47=Worksheet!$A$50,Worksheet!H$50,IF(Request!$D47=Worksheet!$A$51,Worksheet!H$51,IF(Request!$D47=Worksheet!$A$52,Worksheet!H$52,IF(Request!$D47=Worksheet!$A$53,Worksheet!H$53,IF(Request!$D47=Worksheet!$A$54,Worksheet!H$54,IF(Request!$D47=Worksheet!$A$55,Worksheet!H$55))))))))))),0)+ROUND(Q19/Worksheet!$C$5*Worksheet!$C$10*(IF(Request!$D47=Worksheet!$A$47,Worksheet!I$47,IF(Request!$D47=Worksheet!$A$48,Worksheet!I$48,IF(Request!$D47=Worksheet!$A$49,Worksheet!I$49,IF(Request!$D47=Worksheet!$A$50,Worksheet!I$50,IF(Request!$D47=Worksheet!$A$51,Worksheet!I$51,IF(Request!$D47=Worksheet!$A$52,Worksheet!I$52,IF(Request!$D47=Worksheet!$A$53,Worksheet!I$53,IF(Request!$D47=Worksheet!$A$54,Worksheet!I$54,IF(Request!$D47=Worksheet!$A$55,Worksheet!I$55)))))))))),0)))))))</f>
        <v>0</v>
      </c>
      <c r="R47" s="80">
        <f ca="1"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J$47,IF(Request!$D47=Worksheet!$A$48,Worksheet!J$48,IF(Request!$D47=Worksheet!$A$49,Worksheet!J$49,IF(Request!$D47=Worksheet!$A$50,Worksheet!J$50,IF(Request!$D47=Worksheet!$A$51,Worksheet!J$51,IF(Request!$D47=Worksheet!$A$52,Worksheet!J$52,IF(Request!$D47=Worksheet!$A$53,Worksheet!J$53,IF(Request!$D47=Worksheet!$A$54,Worksheet!J$54,IF(Request!$D47=Worksheet!$A$55,Worksheet!J$55))))))))))),0)+ROUND(R19/Worksheet!$C$5*Worksheet!$C$10*(IF(Request!$D47=Worksheet!$A$47,Worksheet!K$47,IF(Request!$D47=Worksheet!$A$48,Worksheet!K$48,IF(Request!$D47=Worksheet!$A$49,Worksheet!K$49,IF(Request!$D47=Worksheet!$A$50,Worksheet!K$50,IF(Request!$D47=Worksheet!$A$51,Worksheet!K$51,IF(Request!$D47=Worksheet!$A$52,Worksheet!K$52,IF(Request!$D47=Worksheet!$A$53,Worksheet!K$53,IF(Request!$D47=Worksheet!$A$54,Worksheet!K$54,IF(Request!$D47=Worksheet!$A$55,Worksheet!K$55)))))))))),0)))))))</f>
        <v>0</v>
      </c>
      <c r="S47" s="80">
        <f t="shared" ca="1" si="3"/>
        <v>0</v>
      </c>
      <c r="T47" s="65"/>
      <c r="U47" s="65"/>
      <c r="V47" s="65"/>
      <c r="W47" s="65"/>
      <c r="X47" s="65"/>
    </row>
    <row r="48" spans="1:24" hidden="1" x14ac:dyDescent="0.2">
      <c r="A48" s="162">
        <v>14</v>
      </c>
      <c r="B48" s="261">
        <f t="shared" si="2"/>
        <v>0</v>
      </c>
      <c r="C48" s="237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67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68"/>
      <c r="H48" s="281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82"/>
      <c r="J48" s="281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82"/>
      <c r="L48" s="281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82"/>
      <c r="N48" s="80">
        <f ca="1"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 ca="1"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O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P48" s="80">
        <f ca="1"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P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Q48" s="80">
        <f ca="1"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H$47,IF(Request!$D48=Worksheet!$A$48,Worksheet!H$48,IF(Request!$D48=Worksheet!$A$49,Worksheet!H$49,IF(Request!$D48=Worksheet!$A$50,Worksheet!H$50,IF(Request!$D48=Worksheet!$A$51,Worksheet!H$51,IF(Request!$D48=Worksheet!$A$52,Worksheet!H$52,IF(Request!$D48=Worksheet!$A$53,Worksheet!H$53,IF(Request!$D48=Worksheet!$A$54,Worksheet!H$54,IF(Request!$D48=Worksheet!$A$55,Worksheet!H$55))))))))))),0)+ROUND(Q20/Worksheet!$C$5*Worksheet!$C$10*(IF(Request!$D48=Worksheet!$A$47,Worksheet!I$47,IF(Request!$D48=Worksheet!$A$48,Worksheet!I$48,IF(Request!$D48=Worksheet!$A$49,Worksheet!I$49,IF(Request!$D48=Worksheet!$A$50,Worksheet!I$50,IF(Request!$D48=Worksheet!$A$51,Worksheet!I$51,IF(Request!$D48=Worksheet!$A$52,Worksheet!I$52,IF(Request!$D48=Worksheet!$A$53,Worksheet!I$53,IF(Request!$D48=Worksheet!$A$54,Worksheet!I$54,IF(Request!$D48=Worksheet!$A$55,Worksheet!I$55)))))))))),0)))))))</f>
        <v>0</v>
      </c>
      <c r="R48" s="80">
        <f ca="1"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J$47,IF(Request!$D48=Worksheet!$A$48,Worksheet!J$48,IF(Request!$D48=Worksheet!$A$49,Worksheet!J$49,IF(Request!$D48=Worksheet!$A$50,Worksheet!J$50,IF(Request!$D48=Worksheet!$A$51,Worksheet!J$51,IF(Request!$D48=Worksheet!$A$52,Worksheet!J$52,IF(Request!$D48=Worksheet!$A$53,Worksheet!J$53,IF(Request!$D48=Worksheet!$A$54,Worksheet!J$54,IF(Request!$D48=Worksheet!$A$55,Worksheet!J$55))))))))))),0)+ROUND(R20/Worksheet!$C$5*Worksheet!$C$10*(IF(Request!$D48=Worksheet!$A$47,Worksheet!K$47,IF(Request!$D48=Worksheet!$A$48,Worksheet!K$48,IF(Request!$D48=Worksheet!$A$49,Worksheet!K$49,IF(Request!$D48=Worksheet!$A$50,Worksheet!K$50,IF(Request!$D48=Worksheet!$A$51,Worksheet!K$51,IF(Request!$D48=Worksheet!$A$52,Worksheet!K$52,IF(Request!$D48=Worksheet!$A$53,Worksheet!K$53,IF(Request!$D48=Worksheet!$A$54,Worksheet!K$54,IF(Request!$D48=Worksheet!$A$55,Worksheet!K$55)))))))))),0)))))))</f>
        <v>0</v>
      </c>
      <c r="S48" s="80">
        <f t="shared" ca="1" si="3"/>
        <v>0</v>
      </c>
      <c r="T48" s="65"/>
      <c r="U48" s="65"/>
      <c r="V48" s="65"/>
      <c r="W48" s="65"/>
      <c r="X48" s="65"/>
    </row>
    <row r="49" spans="1:24" hidden="1" x14ac:dyDescent="0.2">
      <c r="A49" s="162">
        <v>15</v>
      </c>
      <c r="B49" s="261">
        <f t="shared" si="2"/>
        <v>0</v>
      </c>
      <c r="C49" s="237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67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68"/>
      <c r="H49" s="281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82"/>
      <c r="J49" s="281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82"/>
      <c r="L49" s="281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82"/>
      <c r="N49" s="80">
        <f ca="1"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 ca="1"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O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P49" s="80">
        <f ca="1"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P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Q49" s="80">
        <f ca="1"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H$47,IF(Request!$D49=Worksheet!$A$48,Worksheet!H$48,IF(Request!$D49=Worksheet!$A$49,Worksheet!H$49,IF(Request!$D49=Worksheet!$A$50,Worksheet!H$50,IF(Request!$D49=Worksheet!$A$51,Worksheet!H$51,IF(Request!$D49=Worksheet!$A$52,Worksheet!H$52,IF(Request!$D49=Worksheet!$A$53,Worksheet!H$53,IF(Request!$D49=Worksheet!$A$54,Worksheet!H$54,IF(Request!$D49=Worksheet!$A$55,Worksheet!H$55))))))))))),0)+ROUND(Q21/Worksheet!$C$5*Worksheet!$C$10*(IF(Request!$D49=Worksheet!$A$47,Worksheet!I$47,IF(Request!$D49=Worksheet!$A$48,Worksheet!I$48,IF(Request!$D49=Worksheet!$A$49,Worksheet!I$49,IF(Request!$D49=Worksheet!$A$50,Worksheet!I$50,IF(Request!$D49=Worksheet!$A$51,Worksheet!I$51,IF(Request!$D49=Worksheet!$A$52,Worksheet!I$52,IF(Request!$D49=Worksheet!$A$53,Worksheet!I$53,IF(Request!$D49=Worksheet!$A$54,Worksheet!I$54,IF(Request!$D49=Worksheet!$A$55,Worksheet!I$55)))))))))),0)))))))</f>
        <v>0</v>
      </c>
      <c r="R49" s="80">
        <f ca="1"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J$47,IF(Request!$D49=Worksheet!$A$48,Worksheet!J$48,IF(Request!$D49=Worksheet!$A$49,Worksheet!J$49,IF(Request!$D49=Worksheet!$A$50,Worksheet!J$50,IF(Request!$D49=Worksheet!$A$51,Worksheet!J$51,IF(Request!$D49=Worksheet!$A$52,Worksheet!J$52,IF(Request!$D49=Worksheet!$A$53,Worksheet!J$53,IF(Request!$D49=Worksheet!$A$54,Worksheet!J$54,IF(Request!$D49=Worksheet!$A$55,Worksheet!J$55))))))))))),0)+ROUND(R21/Worksheet!$C$5*Worksheet!$C$10*(IF(Request!$D49=Worksheet!$A$47,Worksheet!K$47,IF(Request!$D49=Worksheet!$A$48,Worksheet!K$48,IF(Request!$D49=Worksheet!$A$49,Worksheet!K$49,IF(Request!$D49=Worksheet!$A$50,Worksheet!K$50,IF(Request!$D49=Worksheet!$A$51,Worksheet!K$51,IF(Request!$D49=Worksheet!$A$52,Worksheet!K$52,IF(Request!$D49=Worksheet!$A$53,Worksheet!K$53,IF(Request!$D49=Worksheet!$A$54,Worksheet!K$54,IF(Request!$D49=Worksheet!$A$55,Worksheet!K$55)))))))))),0)))))))</f>
        <v>0</v>
      </c>
      <c r="S49" s="80">
        <f t="shared" ca="1" si="3"/>
        <v>0</v>
      </c>
      <c r="T49" s="65"/>
      <c r="U49" s="65"/>
      <c r="V49" s="65"/>
      <c r="W49" s="65"/>
      <c r="X49" s="65"/>
    </row>
    <row r="50" spans="1:24" hidden="1" x14ac:dyDescent="0.2">
      <c r="A50" s="162">
        <v>16</v>
      </c>
      <c r="B50" s="261">
        <f t="shared" si="2"/>
        <v>0</v>
      </c>
      <c r="C50" s="237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67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68"/>
      <c r="H50" s="281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82"/>
      <c r="J50" s="281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82"/>
      <c r="L50" s="281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82"/>
      <c r="N50" s="80">
        <f ca="1"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 ca="1"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O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P50" s="80">
        <f ca="1"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P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Q50" s="80">
        <f ca="1"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H$47,IF(Request!$D50=Worksheet!$A$48,Worksheet!H$48,IF(Request!$D50=Worksheet!$A$49,Worksheet!H$49,IF(Request!$D50=Worksheet!$A$50,Worksheet!H$50,IF(Request!$D50=Worksheet!$A$51,Worksheet!H$51,IF(Request!$D50=Worksheet!$A$52,Worksheet!H$52,IF(Request!$D50=Worksheet!$A$53,Worksheet!H$53,IF(Request!$D50=Worksheet!$A$54,Worksheet!H$54,IF(Request!$D50=Worksheet!$A$55,Worksheet!H$55))))))))))),0)+ROUND(Q22/Worksheet!$C$5*Worksheet!$C$10*(IF(Request!$D50=Worksheet!$A$47,Worksheet!I$47,IF(Request!$D50=Worksheet!$A$48,Worksheet!I$48,IF(Request!$D50=Worksheet!$A$49,Worksheet!I$49,IF(Request!$D50=Worksheet!$A$50,Worksheet!I$50,IF(Request!$D50=Worksheet!$A$51,Worksheet!I$51,IF(Request!$D50=Worksheet!$A$52,Worksheet!I$52,IF(Request!$D50=Worksheet!$A$53,Worksheet!I$53,IF(Request!$D50=Worksheet!$A$54,Worksheet!I$54,IF(Request!$D50=Worksheet!$A$55,Worksheet!I$55)))))))))),0)))))))</f>
        <v>0</v>
      </c>
      <c r="R50" s="80">
        <f ca="1"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J$47,IF(Request!$D50=Worksheet!$A$48,Worksheet!J$48,IF(Request!$D50=Worksheet!$A$49,Worksheet!J$49,IF(Request!$D50=Worksheet!$A$50,Worksheet!J$50,IF(Request!$D50=Worksheet!$A$51,Worksheet!J$51,IF(Request!$D50=Worksheet!$A$52,Worksheet!J$52,IF(Request!$D50=Worksheet!$A$53,Worksheet!J$53,IF(Request!$D50=Worksheet!$A$54,Worksheet!J$54,IF(Request!$D50=Worksheet!$A$55,Worksheet!J$55))))))))))),0)+ROUND(R22/Worksheet!$C$5*Worksheet!$C$10*(IF(Request!$D50=Worksheet!$A$47,Worksheet!K$47,IF(Request!$D50=Worksheet!$A$48,Worksheet!K$48,IF(Request!$D50=Worksheet!$A$49,Worksheet!K$49,IF(Request!$D50=Worksheet!$A$50,Worksheet!K$50,IF(Request!$D50=Worksheet!$A$51,Worksheet!K$51,IF(Request!$D50=Worksheet!$A$52,Worksheet!K$52,IF(Request!$D50=Worksheet!$A$53,Worksheet!K$53,IF(Request!$D50=Worksheet!$A$54,Worksheet!K$54,IF(Request!$D50=Worksheet!$A$55,Worksheet!K$55)))))))))),0)))))))</f>
        <v>0</v>
      </c>
      <c r="S50" s="80">
        <f t="shared" ca="1" si="3"/>
        <v>0</v>
      </c>
      <c r="T50" s="65"/>
      <c r="U50" s="65"/>
      <c r="V50" s="65"/>
      <c r="W50" s="65"/>
      <c r="X50" s="65"/>
    </row>
    <row r="51" spans="1:24" hidden="1" x14ac:dyDescent="0.2">
      <c r="A51" s="162">
        <v>17</v>
      </c>
      <c r="B51" s="261">
        <f t="shared" si="2"/>
        <v>0</v>
      </c>
      <c r="C51" s="237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67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68"/>
      <c r="H51" s="281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82"/>
      <c r="J51" s="281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82"/>
      <c r="L51" s="281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82"/>
      <c r="N51" s="80">
        <f ca="1"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 ca="1"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O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P51" s="80">
        <f ca="1"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P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Q51" s="80">
        <f ca="1"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H$47,IF(Request!$D51=Worksheet!$A$48,Worksheet!H$48,IF(Request!$D51=Worksheet!$A$49,Worksheet!H$49,IF(Request!$D51=Worksheet!$A$50,Worksheet!H$50,IF(Request!$D51=Worksheet!$A$51,Worksheet!H$51,IF(Request!$D51=Worksheet!$A$52,Worksheet!H$52,IF(Request!$D51=Worksheet!$A$53,Worksheet!H$53,IF(Request!$D51=Worksheet!$A$54,Worksheet!H$54,IF(Request!$D51=Worksheet!$A$55,Worksheet!H$55))))))))))),0)+ROUND(Q23/Worksheet!$C$5*Worksheet!$C$10*(IF(Request!$D51=Worksheet!$A$47,Worksheet!I$47,IF(Request!$D51=Worksheet!$A$48,Worksheet!I$48,IF(Request!$D51=Worksheet!$A$49,Worksheet!I$49,IF(Request!$D51=Worksheet!$A$50,Worksheet!I$50,IF(Request!$D51=Worksheet!$A$51,Worksheet!I$51,IF(Request!$D51=Worksheet!$A$52,Worksheet!I$52,IF(Request!$D51=Worksheet!$A$53,Worksheet!I$53,IF(Request!$D51=Worksheet!$A$54,Worksheet!I$54,IF(Request!$D51=Worksheet!$A$55,Worksheet!I$55)))))))))),0)))))))</f>
        <v>0</v>
      </c>
      <c r="R51" s="80">
        <f ca="1"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J$47,IF(Request!$D51=Worksheet!$A$48,Worksheet!J$48,IF(Request!$D51=Worksheet!$A$49,Worksheet!J$49,IF(Request!$D51=Worksheet!$A$50,Worksheet!J$50,IF(Request!$D51=Worksheet!$A$51,Worksheet!J$51,IF(Request!$D51=Worksheet!$A$52,Worksheet!J$52,IF(Request!$D51=Worksheet!$A$53,Worksheet!J$53,IF(Request!$D51=Worksheet!$A$54,Worksheet!J$54,IF(Request!$D51=Worksheet!$A$55,Worksheet!J$55))))))))))),0)+ROUND(R23/Worksheet!$C$5*Worksheet!$C$10*(IF(Request!$D51=Worksheet!$A$47,Worksheet!K$47,IF(Request!$D51=Worksheet!$A$48,Worksheet!K$48,IF(Request!$D51=Worksheet!$A$49,Worksheet!K$49,IF(Request!$D51=Worksheet!$A$50,Worksheet!K$50,IF(Request!$D51=Worksheet!$A$51,Worksheet!K$51,IF(Request!$D51=Worksheet!$A$52,Worksheet!K$52,IF(Request!$D51=Worksheet!$A$53,Worksheet!K$53,IF(Request!$D51=Worksheet!$A$54,Worksheet!K$54,IF(Request!$D51=Worksheet!$A$55,Worksheet!K$55)))))))))),0)))))))</f>
        <v>0</v>
      </c>
      <c r="S51" s="80">
        <f t="shared" ca="1" si="3"/>
        <v>0</v>
      </c>
      <c r="T51" s="65"/>
      <c r="U51" s="65"/>
      <c r="V51" s="65"/>
      <c r="W51" s="65"/>
      <c r="X51" s="65"/>
    </row>
    <row r="52" spans="1:24" hidden="1" x14ac:dyDescent="0.2">
      <c r="A52" s="162">
        <v>18</v>
      </c>
      <c r="B52" s="261">
        <f t="shared" si="2"/>
        <v>0</v>
      </c>
      <c r="C52" s="237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67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68"/>
      <c r="H52" s="281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82"/>
      <c r="J52" s="281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82"/>
      <c r="L52" s="281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82"/>
      <c r="N52" s="80">
        <f ca="1"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 ca="1"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O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P52" s="80">
        <f ca="1"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P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Q52" s="80">
        <f ca="1"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H$47,IF(Request!$D52=Worksheet!$A$48,Worksheet!H$48,IF(Request!$D52=Worksheet!$A$49,Worksheet!H$49,IF(Request!$D52=Worksheet!$A$50,Worksheet!H$50,IF(Request!$D52=Worksheet!$A$51,Worksheet!H$51,IF(Request!$D52=Worksheet!$A$52,Worksheet!H$52,IF(Request!$D52=Worksheet!$A$53,Worksheet!H$53,IF(Request!$D52=Worksheet!$A$54,Worksheet!H$54,IF(Request!$D52=Worksheet!$A$55,Worksheet!H$55))))))))))),0)+ROUND(Q24/Worksheet!$C$5*Worksheet!$C$10*(IF(Request!$D52=Worksheet!$A$47,Worksheet!I$47,IF(Request!$D52=Worksheet!$A$48,Worksheet!I$48,IF(Request!$D52=Worksheet!$A$49,Worksheet!I$49,IF(Request!$D52=Worksheet!$A$50,Worksheet!I$50,IF(Request!$D52=Worksheet!$A$51,Worksheet!I$51,IF(Request!$D52=Worksheet!$A$52,Worksheet!I$52,IF(Request!$D52=Worksheet!$A$53,Worksheet!I$53,IF(Request!$D52=Worksheet!$A$54,Worksheet!I$54,IF(Request!$D52=Worksheet!$A$55,Worksheet!I$55)))))))))),0)))))))</f>
        <v>0</v>
      </c>
      <c r="R52" s="80">
        <f ca="1"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J$47,IF(Request!$D52=Worksheet!$A$48,Worksheet!J$48,IF(Request!$D52=Worksheet!$A$49,Worksheet!J$49,IF(Request!$D52=Worksheet!$A$50,Worksheet!J$50,IF(Request!$D52=Worksheet!$A$51,Worksheet!J$51,IF(Request!$D52=Worksheet!$A$52,Worksheet!J$52,IF(Request!$D52=Worksheet!$A$53,Worksheet!J$53,IF(Request!$D52=Worksheet!$A$54,Worksheet!J$54,IF(Request!$D52=Worksheet!$A$55,Worksheet!J$55))))))))))),0)+ROUND(R24/Worksheet!$C$5*Worksheet!$C$10*(IF(Request!$D52=Worksheet!$A$47,Worksheet!K$47,IF(Request!$D52=Worksheet!$A$48,Worksheet!K$48,IF(Request!$D52=Worksheet!$A$49,Worksheet!K$49,IF(Request!$D52=Worksheet!$A$50,Worksheet!K$50,IF(Request!$D52=Worksheet!$A$51,Worksheet!K$51,IF(Request!$D52=Worksheet!$A$52,Worksheet!K$52,IF(Request!$D52=Worksheet!$A$53,Worksheet!K$53,IF(Request!$D52=Worksheet!$A$54,Worksheet!K$54,IF(Request!$D52=Worksheet!$A$55,Worksheet!K$55)))))))))),0)))))))</f>
        <v>0</v>
      </c>
      <c r="S52" s="80">
        <f t="shared" ca="1" si="3"/>
        <v>0</v>
      </c>
      <c r="T52" s="65"/>
      <c r="U52" s="65"/>
      <c r="V52" s="65"/>
      <c r="W52" s="65"/>
      <c r="X52" s="65"/>
    </row>
    <row r="53" spans="1:24" hidden="1" x14ac:dyDescent="0.2">
      <c r="A53" s="162">
        <v>19</v>
      </c>
      <c r="B53" s="261">
        <f t="shared" si="2"/>
        <v>0</v>
      </c>
      <c r="C53" s="237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67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68"/>
      <c r="H53" s="281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82"/>
      <c r="J53" s="281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82"/>
      <c r="L53" s="281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82"/>
      <c r="N53" s="80">
        <f ca="1"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 ca="1"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O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P53" s="80">
        <f ca="1"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P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Q53" s="80">
        <f ca="1"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H$47,IF(Request!$D53=Worksheet!$A$48,Worksheet!H$48,IF(Request!$D53=Worksheet!$A$49,Worksheet!H$49,IF(Request!$D53=Worksheet!$A$50,Worksheet!H$50,IF(Request!$D53=Worksheet!$A$51,Worksheet!H$51,IF(Request!$D53=Worksheet!$A$52,Worksheet!H$52,IF(Request!$D53=Worksheet!$A$53,Worksheet!H$53,IF(Request!$D53=Worksheet!$A$54,Worksheet!H$54,IF(Request!$D53=Worksheet!$A$55,Worksheet!H$55))))))))))),0)+ROUND(Q25/Worksheet!$C$5*Worksheet!$C$10*(IF(Request!$D53=Worksheet!$A$47,Worksheet!I$47,IF(Request!$D53=Worksheet!$A$48,Worksheet!I$48,IF(Request!$D53=Worksheet!$A$49,Worksheet!I$49,IF(Request!$D53=Worksheet!$A$50,Worksheet!I$50,IF(Request!$D53=Worksheet!$A$51,Worksheet!I$51,IF(Request!$D53=Worksheet!$A$52,Worksheet!I$52,IF(Request!$D53=Worksheet!$A$53,Worksheet!I$53,IF(Request!$D53=Worksheet!$A$54,Worksheet!I$54,IF(Request!$D53=Worksheet!$A$55,Worksheet!I$55)))))))))),0)))))))</f>
        <v>0</v>
      </c>
      <c r="R53" s="80">
        <f ca="1"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J$47,IF(Request!$D53=Worksheet!$A$48,Worksheet!J$48,IF(Request!$D53=Worksheet!$A$49,Worksheet!J$49,IF(Request!$D53=Worksheet!$A$50,Worksheet!J$50,IF(Request!$D53=Worksheet!$A$51,Worksheet!J$51,IF(Request!$D53=Worksheet!$A$52,Worksheet!J$52,IF(Request!$D53=Worksheet!$A$53,Worksheet!J$53,IF(Request!$D53=Worksheet!$A$54,Worksheet!J$54,IF(Request!$D53=Worksheet!$A$55,Worksheet!J$55))))))))))),0)+ROUND(R25/Worksheet!$C$5*Worksheet!$C$10*(IF(Request!$D53=Worksheet!$A$47,Worksheet!K$47,IF(Request!$D53=Worksheet!$A$48,Worksheet!K$48,IF(Request!$D53=Worksheet!$A$49,Worksheet!K$49,IF(Request!$D53=Worksheet!$A$50,Worksheet!K$50,IF(Request!$D53=Worksheet!$A$51,Worksheet!K$51,IF(Request!$D53=Worksheet!$A$52,Worksheet!K$52,IF(Request!$D53=Worksheet!$A$53,Worksheet!K$53,IF(Request!$D53=Worksheet!$A$54,Worksheet!K$54,IF(Request!$D53=Worksheet!$A$55,Worksheet!K$55)))))))))),0)))))))</f>
        <v>0</v>
      </c>
      <c r="S53" s="80">
        <f t="shared" ca="1" si="3"/>
        <v>0</v>
      </c>
      <c r="T53" s="65"/>
      <c r="U53" s="65"/>
      <c r="V53" s="65"/>
      <c r="W53" s="65"/>
      <c r="X53" s="65"/>
    </row>
    <row r="54" spans="1:24" hidden="1" x14ac:dyDescent="0.2">
      <c r="A54" s="162">
        <v>20</v>
      </c>
      <c r="B54" s="261">
        <f t="shared" si="2"/>
        <v>0</v>
      </c>
      <c r="C54" s="237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67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68"/>
      <c r="H54" s="281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82"/>
      <c r="J54" s="281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82"/>
      <c r="L54" s="281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82"/>
      <c r="N54" s="80">
        <f ca="1"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 ca="1"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O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P54" s="80">
        <f ca="1"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P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Q54" s="80">
        <f ca="1"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H$47,IF(Request!$D54=Worksheet!$A$48,Worksheet!H$48,IF(Request!$D54=Worksheet!$A$49,Worksheet!H$49,IF(Request!$D54=Worksheet!$A$50,Worksheet!H$50,IF(Request!$D54=Worksheet!$A$51,Worksheet!H$51,IF(Request!$D54=Worksheet!$A$52,Worksheet!H$52,IF(Request!$D54=Worksheet!$A$53,Worksheet!H$53,IF(Request!$D54=Worksheet!$A$54,Worksheet!H$54,IF(Request!$D54=Worksheet!$A$55,Worksheet!H$55))))))))))),0)+ROUND(Q26/Worksheet!$C$5*Worksheet!$C$10*(IF(Request!$D54=Worksheet!$A$47,Worksheet!I$47,IF(Request!$D54=Worksheet!$A$48,Worksheet!I$48,IF(Request!$D54=Worksheet!$A$49,Worksheet!I$49,IF(Request!$D54=Worksheet!$A$50,Worksheet!I$50,IF(Request!$D54=Worksheet!$A$51,Worksheet!I$51,IF(Request!$D54=Worksheet!$A$52,Worksheet!I$52,IF(Request!$D54=Worksheet!$A$53,Worksheet!I$53,IF(Request!$D54=Worksheet!$A$54,Worksheet!I$54,IF(Request!$D54=Worksheet!$A$55,Worksheet!I$55)))))))))),0)))))))</f>
        <v>0</v>
      </c>
      <c r="R54" s="80">
        <f ca="1"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J$47,IF(Request!$D54=Worksheet!$A$48,Worksheet!J$48,IF(Request!$D54=Worksheet!$A$49,Worksheet!J$49,IF(Request!$D54=Worksheet!$A$50,Worksheet!J$50,IF(Request!$D54=Worksheet!$A$51,Worksheet!J$51,IF(Request!$D54=Worksheet!$A$52,Worksheet!J$52,IF(Request!$D54=Worksheet!$A$53,Worksheet!J$53,IF(Request!$D54=Worksheet!$A$54,Worksheet!J$54,IF(Request!$D54=Worksheet!$A$55,Worksheet!J$55))))))))))),0)+ROUND(R26/Worksheet!$C$5*Worksheet!$C$10*(IF(Request!$D54=Worksheet!$A$47,Worksheet!K$47,IF(Request!$D54=Worksheet!$A$48,Worksheet!K$48,IF(Request!$D54=Worksheet!$A$49,Worksheet!K$49,IF(Request!$D54=Worksheet!$A$50,Worksheet!K$50,IF(Request!$D54=Worksheet!$A$51,Worksheet!K$51,IF(Request!$D54=Worksheet!$A$52,Worksheet!K$52,IF(Request!$D54=Worksheet!$A$53,Worksheet!K$53,IF(Request!$D54=Worksheet!$A$54,Worksheet!K$54,IF(Request!$D54=Worksheet!$A$55,Worksheet!K$55)))))))))),0)))))))</f>
        <v>0</v>
      </c>
      <c r="S54" s="80">
        <f t="shared" ca="1" si="3"/>
        <v>0</v>
      </c>
      <c r="T54" s="65"/>
      <c r="U54" s="65"/>
      <c r="V54" s="65"/>
      <c r="W54" s="65"/>
      <c r="X54" s="65"/>
    </row>
    <row r="55" spans="1:24" hidden="1" x14ac:dyDescent="0.2">
      <c r="A55" s="162">
        <v>21</v>
      </c>
      <c r="B55" s="261">
        <f t="shared" si="2"/>
        <v>0</v>
      </c>
      <c r="C55" s="237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67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68"/>
      <c r="H55" s="281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82"/>
      <c r="J55" s="281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82"/>
      <c r="L55" s="281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82"/>
      <c r="N55" s="80">
        <f ca="1"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 ca="1"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O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P55" s="80">
        <f ca="1"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P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Q55" s="80">
        <f ca="1"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H$47,IF(Request!$D55=Worksheet!$A$48,Worksheet!H$48,IF(Request!$D55=Worksheet!$A$49,Worksheet!H$49,IF(Request!$D55=Worksheet!$A$50,Worksheet!H$50,IF(Request!$D55=Worksheet!$A$51,Worksheet!H$51,IF(Request!$D55=Worksheet!$A$52,Worksheet!H$52,IF(Request!$D55=Worksheet!$A$53,Worksheet!H$53,IF(Request!$D55=Worksheet!$A$54,Worksheet!H$54,IF(Request!$D55=Worksheet!$A$55,Worksheet!H$55))))))))))),0)+ROUND(Q27/Worksheet!$C$5*Worksheet!$C$10*(IF(Request!$D55=Worksheet!$A$47,Worksheet!I$47,IF(Request!$D55=Worksheet!$A$48,Worksheet!I$48,IF(Request!$D55=Worksheet!$A$49,Worksheet!I$49,IF(Request!$D55=Worksheet!$A$50,Worksheet!I$50,IF(Request!$D55=Worksheet!$A$51,Worksheet!I$51,IF(Request!$D55=Worksheet!$A$52,Worksheet!I$52,IF(Request!$D55=Worksheet!$A$53,Worksheet!I$53,IF(Request!$D55=Worksheet!$A$54,Worksheet!I$54,IF(Request!$D55=Worksheet!$A$55,Worksheet!I$55)))))))))),0)))))))</f>
        <v>0</v>
      </c>
      <c r="R55" s="80">
        <f ca="1"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J$47,IF(Request!$D55=Worksheet!$A$48,Worksheet!J$48,IF(Request!$D55=Worksheet!$A$49,Worksheet!J$49,IF(Request!$D55=Worksheet!$A$50,Worksheet!J$50,IF(Request!$D55=Worksheet!$A$51,Worksheet!J$51,IF(Request!$D55=Worksheet!$A$52,Worksheet!J$52,IF(Request!$D55=Worksheet!$A$53,Worksheet!J$53,IF(Request!$D55=Worksheet!$A$54,Worksheet!J$54,IF(Request!$D55=Worksheet!$A$55,Worksheet!J$55))))))))))),0)+ROUND(R27/Worksheet!$C$5*Worksheet!$C$10*(IF(Request!$D55=Worksheet!$A$47,Worksheet!K$47,IF(Request!$D55=Worksheet!$A$48,Worksheet!K$48,IF(Request!$D55=Worksheet!$A$49,Worksheet!K$49,IF(Request!$D55=Worksheet!$A$50,Worksheet!K$50,IF(Request!$D55=Worksheet!$A$51,Worksheet!K$51,IF(Request!$D55=Worksheet!$A$52,Worksheet!K$52,IF(Request!$D55=Worksheet!$A$53,Worksheet!K$53,IF(Request!$D55=Worksheet!$A$54,Worksheet!K$54,IF(Request!$D55=Worksheet!$A$55,Worksheet!K$55)))))))))),0)))))))</f>
        <v>0</v>
      </c>
      <c r="S55" s="80">
        <f t="shared" ca="1" si="3"/>
        <v>0</v>
      </c>
      <c r="T55" s="65"/>
      <c r="U55" s="65"/>
      <c r="V55" s="65"/>
      <c r="W55" s="65"/>
      <c r="X55" s="65"/>
    </row>
    <row r="56" spans="1:24" hidden="1" x14ac:dyDescent="0.2">
      <c r="A56" s="162">
        <v>22</v>
      </c>
      <c r="B56" s="261">
        <f t="shared" si="2"/>
        <v>0</v>
      </c>
      <c r="C56" s="237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67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68"/>
      <c r="H56" s="281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82"/>
      <c r="J56" s="281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82"/>
      <c r="L56" s="281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82"/>
      <c r="N56" s="80">
        <f ca="1"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 ca="1"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O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P56" s="80">
        <f ca="1"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P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Q56" s="80">
        <f ca="1"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H$47,IF(Request!$D56=Worksheet!$A$48,Worksheet!H$48,IF(Request!$D56=Worksheet!$A$49,Worksheet!H$49,IF(Request!$D56=Worksheet!$A$50,Worksheet!H$50,IF(Request!$D56=Worksheet!$A$51,Worksheet!H$51,IF(Request!$D56=Worksheet!$A$52,Worksheet!H$52,IF(Request!$D56=Worksheet!$A$53,Worksheet!H$53,IF(Request!$D56=Worksheet!$A$54,Worksheet!H$54,IF(Request!$D56=Worksheet!$A$55,Worksheet!H$55))))))))))),0)+ROUND(Q28/Worksheet!$C$5*Worksheet!$C$10*(IF(Request!$D56=Worksheet!$A$47,Worksheet!I$47,IF(Request!$D56=Worksheet!$A$48,Worksheet!I$48,IF(Request!$D56=Worksheet!$A$49,Worksheet!I$49,IF(Request!$D56=Worksheet!$A$50,Worksheet!I$50,IF(Request!$D56=Worksheet!$A$51,Worksheet!I$51,IF(Request!$D56=Worksheet!$A$52,Worksheet!I$52,IF(Request!$D56=Worksheet!$A$53,Worksheet!I$53,IF(Request!$D56=Worksheet!$A$54,Worksheet!I$54,IF(Request!$D56=Worksheet!$A$55,Worksheet!I$55)))))))))),0)))))))</f>
        <v>0</v>
      </c>
      <c r="R56" s="80">
        <f ca="1"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J$47,IF(Request!$D56=Worksheet!$A$48,Worksheet!J$48,IF(Request!$D56=Worksheet!$A$49,Worksheet!J$49,IF(Request!$D56=Worksheet!$A$50,Worksheet!J$50,IF(Request!$D56=Worksheet!$A$51,Worksheet!J$51,IF(Request!$D56=Worksheet!$A$52,Worksheet!J$52,IF(Request!$D56=Worksheet!$A$53,Worksheet!J$53,IF(Request!$D56=Worksheet!$A$54,Worksheet!J$54,IF(Request!$D56=Worksheet!$A$55,Worksheet!J$55))))))))))),0)+ROUND(R28/Worksheet!$C$5*Worksheet!$C$10*(IF(Request!$D56=Worksheet!$A$47,Worksheet!K$47,IF(Request!$D56=Worksheet!$A$48,Worksheet!K$48,IF(Request!$D56=Worksheet!$A$49,Worksheet!K$49,IF(Request!$D56=Worksheet!$A$50,Worksheet!K$50,IF(Request!$D56=Worksheet!$A$51,Worksheet!K$51,IF(Request!$D56=Worksheet!$A$52,Worksheet!K$52,IF(Request!$D56=Worksheet!$A$53,Worksheet!K$53,IF(Request!$D56=Worksheet!$A$54,Worksheet!K$54,IF(Request!$D56=Worksheet!$A$55,Worksheet!K$55)))))))))),0)))))))</f>
        <v>0</v>
      </c>
      <c r="S56" s="80">
        <f t="shared" ca="1" si="3"/>
        <v>0</v>
      </c>
      <c r="T56" s="65"/>
      <c r="U56" s="65"/>
      <c r="V56" s="65"/>
      <c r="W56" s="65"/>
      <c r="X56" s="65"/>
    </row>
    <row r="57" spans="1:24" hidden="1" x14ac:dyDescent="0.2">
      <c r="A57" s="162">
        <v>23</v>
      </c>
      <c r="B57" s="261">
        <f t="shared" si="2"/>
        <v>0</v>
      </c>
      <c r="C57" s="237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67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68"/>
      <c r="H57" s="281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82"/>
      <c r="J57" s="281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82"/>
      <c r="L57" s="281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82"/>
      <c r="N57" s="80">
        <f ca="1"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 ca="1"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O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P57" s="80">
        <f ca="1"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P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Q57" s="80">
        <f ca="1"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H$47,IF(Request!$D57=Worksheet!$A$48,Worksheet!H$48,IF(Request!$D57=Worksheet!$A$49,Worksheet!H$49,IF(Request!$D57=Worksheet!$A$50,Worksheet!H$50,IF(Request!$D57=Worksheet!$A$51,Worksheet!H$51,IF(Request!$D57=Worksheet!$A$52,Worksheet!H$52,IF(Request!$D57=Worksheet!$A$53,Worksheet!H$53,IF(Request!$D57=Worksheet!$A$54,Worksheet!H$54,IF(Request!$D57=Worksheet!$A$55,Worksheet!H$55))))))))))),0)+ROUND(Q29/Worksheet!$C$5*Worksheet!$C$10*(IF(Request!$D57=Worksheet!$A$47,Worksheet!I$47,IF(Request!$D57=Worksheet!$A$48,Worksheet!I$48,IF(Request!$D57=Worksheet!$A$49,Worksheet!I$49,IF(Request!$D57=Worksheet!$A$50,Worksheet!I$50,IF(Request!$D57=Worksheet!$A$51,Worksheet!I$51,IF(Request!$D57=Worksheet!$A$52,Worksheet!I$52,IF(Request!$D57=Worksheet!$A$53,Worksheet!I$53,IF(Request!$D57=Worksheet!$A$54,Worksheet!I$54,IF(Request!$D57=Worksheet!$A$55,Worksheet!I$55)))))))))),0)))))))</f>
        <v>0</v>
      </c>
      <c r="R57" s="80">
        <f ca="1"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J$47,IF(Request!$D57=Worksheet!$A$48,Worksheet!J$48,IF(Request!$D57=Worksheet!$A$49,Worksheet!J$49,IF(Request!$D57=Worksheet!$A$50,Worksheet!J$50,IF(Request!$D57=Worksheet!$A$51,Worksheet!J$51,IF(Request!$D57=Worksheet!$A$52,Worksheet!J$52,IF(Request!$D57=Worksheet!$A$53,Worksheet!J$53,IF(Request!$D57=Worksheet!$A$54,Worksheet!J$54,IF(Request!$D57=Worksheet!$A$55,Worksheet!J$55))))))))))),0)+ROUND(R29/Worksheet!$C$5*Worksheet!$C$10*(IF(Request!$D57=Worksheet!$A$47,Worksheet!K$47,IF(Request!$D57=Worksheet!$A$48,Worksheet!K$48,IF(Request!$D57=Worksheet!$A$49,Worksheet!K$49,IF(Request!$D57=Worksheet!$A$50,Worksheet!K$50,IF(Request!$D57=Worksheet!$A$51,Worksheet!K$51,IF(Request!$D57=Worksheet!$A$52,Worksheet!K$52,IF(Request!$D57=Worksheet!$A$53,Worksheet!K$53,IF(Request!$D57=Worksheet!$A$54,Worksheet!K$54,IF(Request!$D57=Worksheet!$A$55,Worksheet!K$55)))))))))),0)))))))</f>
        <v>0</v>
      </c>
      <c r="S57" s="80">
        <f t="shared" ca="1" si="3"/>
        <v>0</v>
      </c>
      <c r="T57" s="65"/>
      <c r="U57" s="65"/>
      <c r="V57" s="65"/>
      <c r="W57" s="65"/>
      <c r="X57" s="65"/>
    </row>
    <row r="58" spans="1:24" hidden="1" x14ac:dyDescent="0.2">
      <c r="A58" s="162">
        <v>24</v>
      </c>
      <c r="B58" s="261">
        <f t="shared" si="2"/>
        <v>0</v>
      </c>
      <c r="C58" s="237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67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68"/>
      <c r="H58" s="281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82"/>
      <c r="J58" s="281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82"/>
      <c r="L58" s="281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82"/>
      <c r="N58" s="80">
        <f ca="1"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 ca="1"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O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P58" s="80">
        <f ca="1"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P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Q58" s="80">
        <f ca="1"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H$47,IF(Request!$D58=Worksheet!$A$48,Worksheet!H$48,IF(Request!$D58=Worksheet!$A$49,Worksheet!H$49,IF(Request!$D58=Worksheet!$A$50,Worksheet!H$50,IF(Request!$D58=Worksheet!$A$51,Worksheet!H$51,IF(Request!$D58=Worksheet!$A$52,Worksheet!H$52,IF(Request!$D58=Worksheet!$A$53,Worksheet!H$53,IF(Request!$D58=Worksheet!$A$54,Worksheet!H$54,IF(Request!$D58=Worksheet!$A$55,Worksheet!H$55))))))))))),0)+ROUND(Q30/Worksheet!$C$5*Worksheet!$C$10*(IF(Request!$D58=Worksheet!$A$47,Worksheet!I$47,IF(Request!$D58=Worksheet!$A$48,Worksheet!I$48,IF(Request!$D58=Worksheet!$A$49,Worksheet!I$49,IF(Request!$D58=Worksheet!$A$50,Worksheet!I$50,IF(Request!$D58=Worksheet!$A$51,Worksheet!I$51,IF(Request!$D58=Worksheet!$A$52,Worksheet!I$52,IF(Request!$D58=Worksheet!$A$53,Worksheet!I$53,IF(Request!$D58=Worksheet!$A$54,Worksheet!I$54,IF(Request!$D58=Worksheet!$A$55,Worksheet!I$55)))))))))),0)))))))</f>
        <v>0</v>
      </c>
      <c r="R58" s="80">
        <f ca="1"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J$47,IF(Request!$D58=Worksheet!$A$48,Worksheet!J$48,IF(Request!$D58=Worksheet!$A$49,Worksheet!J$49,IF(Request!$D58=Worksheet!$A$50,Worksheet!J$50,IF(Request!$D58=Worksheet!$A$51,Worksheet!J$51,IF(Request!$D58=Worksheet!$A$52,Worksheet!J$52,IF(Request!$D58=Worksheet!$A$53,Worksheet!J$53,IF(Request!$D58=Worksheet!$A$54,Worksheet!J$54,IF(Request!$D58=Worksheet!$A$55,Worksheet!J$55))))))))))),0)+ROUND(R30/Worksheet!$C$5*Worksheet!$C$10*(IF(Request!$D58=Worksheet!$A$47,Worksheet!K$47,IF(Request!$D58=Worksheet!$A$48,Worksheet!K$48,IF(Request!$D58=Worksheet!$A$49,Worksheet!K$49,IF(Request!$D58=Worksheet!$A$50,Worksheet!K$50,IF(Request!$D58=Worksheet!$A$51,Worksheet!K$51,IF(Request!$D58=Worksheet!$A$52,Worksheet!K$52,IF(Request!$D58=Worksheet!$A$53,Worksheet!K$53,IF(Request!$D58=Worksheet!$A$54,Worksheet!K$54,IF(Request!$D58=Worksheet!$A$55,Worksheet!K$55)))))))))),0)))))))</f>
        <v>0</v>
      </c>
      <c r="S58" s="80">
        <f t="shared" ca="1" si="3"/>
        <v>0</v>
      </c>
      <c r="T58" s="65"/>
      <c r="U58" s="65"/>
      <c r="V58" s="65"/>
      <c r="W58" s="65"/>
      <c r="X58" s="65"/>
    </row>
    <row r="59" spans="1:24" x14ac:dyDescent="0.2">
      <c r="A59" s="270" t="s">
        <v>7</v>
      </c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2"/>
      <c r="N59" s="171">
        <f ca="1">ROUND(SUM(N35:N58),0)</f>
        <v>1788</v>
      </c>
      <c r="O59" s="171">
        <f t="shared" ref="O59:S59" ca="1" si="4">SUM(O35:O58)</f>
        <v>1881</v>
      </c>
      <c r="P59" s="171">
        <f t="shared" ca="1" si="4"/>
        <v>1987</v>
      </c>
      <c r="Q59" s="171">
        <f t="shared" ca="1" si="4"/>
        <v>0</v>
      </c>
      <c r="R59" s="171">
        <f t="shared" ca="1" si="4"/>
        <v>0</v>
      </c>
      <c r="S59" s="171">
        <f t="shared" ca="1" si="4"/>
        <v>5656</v>
      </c>
    </row>
    <row r="60" spans="1:24" x14ac:dyDescent="0.2">
      <c r="A60" s="270" t="s">
        <v>22</v>
      </c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2"/>
      <c r="N60" s="171">
        <f t="shared" ref="N60:S60" ca="1" si="5">N31+N59</f>
        <v>38448</v>
      </c>
      <c r="O60" s="171">
        <f t="shared" ca="1" si="5"/>
        <v>39641</v>
      </c>
      <c r="P60" s="171">
        <f t="shared" ca="1" si="5"/>
        <v>40881</v>
      </c>
      <c r="Q60" s="171">
        <f t="shared" ca="1" si="5"/>
        <v>0</v>
      </c>
      <c r="R60" s="171">
        <f t="shared" ca="1" si="5"/>
        <v>0</v>
      </c>
      <c r="S60" s="171">
        <f t="shared" ca="1" si="5"/>
        <v>118970</v>
      </c>
    </row>
    <row r="62" spans="1:24" x14ac:dyDescent="0.2">
      <c r="A62" s="263" t="s">
        <v>70</v>
      </c>
      <c r="B62" s="264"/>
      <c r="C62" s="264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 x14ac:dyDescent="0.2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 x14ac:dyDescent="0.2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 x14ac:dyDescent="0.2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 x14ac:dyDescent="0.2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 x14ac:dyDescent="0.2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 x14ac:dyDescent="0.2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 x14ac:dyDescent="0.2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 x14ac:dyDescent="0.2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 x14ac:dyDescent="0.2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 x14ac:dyDescent="0.2">
      <c r="A72" s="263" t="s">
        <v>71</v>
      </c>
      <c r="B72" s="264"/>
      <c r="C72" s="264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 x14ac:dyDescent="0.2">
      <c r="A73" s="164"/>
      <c r="B73" s="77"/>
      <c r="C73" s="77"/>
    </row>
    <row r="74" spans="1:19" x14ac:dyDescent="0.2">
      <c r="A74" s="263" t="s">
        <v>72</v>
      </c>
      <c r="B74" s="264"/>
      <c r="C74" s="264"/>
      <c r="D74" s="66"/>
      <c r="E74" s="66"/>
      <c r="F74" s="66"/>
      <c r="G74" s="66"/>
      <c r="H74" s="66"/>
      <c r="I74" s="66"/>
      <c r="J74" s="66"/>
      <c r="K74" s="252" t="s">
        <v>175</v>
      </c>
      <c r="L74" s="252"/>
      <c r="M74" s="253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 ht="11.45" customHeight="1" x14ac:dyDescent="0.2">
      <c r="A75" s="161"/>
      <c r="B75" s="213" t="s">
        <v>195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189</v>
      </c>
      <c r="N75" s="152"/>
      <c r="O75" s="152">
        <v>4400</v>
      </c>
      <c r="P75" s="152"/>
      <c r="Q75" s="152"/>
      <c r="R75" s="152"/>
      <c r="S75" s="151">
        <f>SUM(N75:R75)</f>
        <v>4400</v>
      </c>
    </row>
    <row r="76" spans="1:19" x14ac:dyDescent="0.2">
      <c r="A76" s="161"/>
      <c r="B76" s="211" t="s">
        <v>196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189</v>
      </c>
      <c r="N76" s="152">
        <v>4400</v>
      </c>
      <c r="O76" s="152"/>
      <c r="P76" s="152">
        <v>4400</v>
      </c>
      <c r="Q76" s="152"/>
      <c r="R76" s="152"/>
      <c r="S76" s="151">
        <f t="shared" ref="S76:S83" si="10">SUM(N76:R76)</f>
        <v>8800</v>
      </c>
    </row>
    <row r="77" spans="1:19" x14ac:dyDescent="0.2">
      <c r="A77" s="161"/>
      <c r="B77" s="213" t="s">
        <v>197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>
        <v>2800</v>
      </c>
      <c r="O77" s="152">
        <v>2800</v>
      </c>
      <c r="P77" s="152">
        <v>2800</v>
      </c>
      <c r="Q77" s="152"/>
      <c r="R77" s="152"/>
      <c r="S77" s="151">
        <f t="shared" si="10"/>
        <v>8400</v>
      </c>
    </row>
    <row r="78" spans="1:19" x14ac:dyDescent="0.2">
      <c r="A78" s="161"/>
      <c r="B78" s="213" t="s">
        <v>199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212" t="s">
        <v>177</v>
      </c>
      <c r="N78" s="152">
        <v>1800</v>
      </c>
      <c r="O78" s="152">
        <v>1800</v>
      </c>
      <c r="P78" s="152">
        <v>1800</v>
      </c>
      <c r="Q78" s="152"/>
      <c r="R78" s="152"/>
      <c r="S78" s="151">
        <f t="shared" si="10"/>
        <v>5400</v>
      </c>
    </row>
    <row r="79" spans="1:19" hidden="1" x14ac:dyDescent="0.2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 x14ac:dyDescent="0.2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 x14ac:dyDescent="0.2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 x14ac:dyDescent="0.2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idden="1" x14ac:dyDescent="0.2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 x14ac:dyDescent="0.2">
      <c r="A84" s="263" t="s">
        <v>73</v>
      </c>
      <c r="B84" s="264"/>
      <c r="C84" s="264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9000</v>
      </c>
      <c r="O84" s="154">
        <f t="shared" ref="O84" si="11">SUM(O75:O83)</f>
        <v>9000</v>
      </c>
      <c r="P84" s="154">
        <f t="shared" ref="P84" si="12">SUM(P75:P83)</f>
        <v>9000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27000</v>
      </c>
    </row>
    <row r="86" spans="1:19" x14ac:dyDescent="0.2">
      <c r="A86" s="263" t="s">
        <v>74</v>
      </c>
      <c r="B86" s="264"/>
      <c r="C86" s="264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 x14ac:dyDescent="0.2">
      <c r="A87" s="161"/>
      <c r="B87" s="210" t="s">
        <v>193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>
        <v>3000</v>
      </c>
      <c r="O87" s="80"/>
      <c r="P87" s="80"/>
      <c r="Q87" s="80"/>
      <c r="R87" s="80"/>
      <c r="S87" s="151">
        <f>SUM(N87:R87)</f>
        <v>3000</v>
      </c>
    </row>
    <row r="88" spans="1:19" x14ac:dyDescent="0.2">
      <c r="A88" s="161"/>
      <c r="B88" s="68" t="s">
        <v>194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>
        <v>606</v>
      </c>
      <c r="O88" s="80">
        <v>606</v>
      </c>
      <c r="P88" s="80">
        <v>606</v>
      </c>
      <c r="Q88" s="80"/>
      <c r="R88" s="80"/>
      <c r="S88" s="151">
        <f t="shared" ref="S88:S95" si="16">SUM(N88:R88)</f>
        <v>1818</v>
      </c>
    </row>
    <row r="89" spans="1:19" x14ac:dyDescent="0.2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 x14ac:dyDescent="0.2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 x14ac:dyDescent="0.2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 x14ac:dyDescent="0.2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 x14ac:dyDescent="0.2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 x14ac:dyDescent="0.2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 x14ac:dyDescent="0.2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 x14ac:dyDescent="0.2">
      <c r="A96" s="263" t="s">
        <v>75</v>
      </c>
      <c r="B96" s="264"/>
      <c r="C96" s="264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3606</v>
      </c>
      <c r="O96" s="154">
        <f t="shared" ref="O96" si="17">SUM(O87:O95)</f>
        <v>606</v>
      </c>
      <c r="P96" s="154">
        <f t="shared" ref="P96" si="18">SUM(P87:P95)</f>
        <v>606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4818</v>
      </c>
    </row>
    <row r="98" spans="1:19" x14ac:dyDescent="0.2">
      <c r="A98" s="263" t="s">
        <v>76</v>
      </c>
      <c r="B98" s="264"/>
      <c r="C98" s="264"/>
      <c r="D98" s="66"/>
      <c r="E98" s="66"/>
      <c r="F98" s="66"/>
      <c r="G98" s="66"/>
      <c r="H98" s="66"/>
      <c r="I98" s="66"/>
      <c r="J98" s="66"/>
      <c r="K98" s="298" t="s">
        <v>78</v>
      </c>
      <c r="L98" s="299"/>
      <c r="M98" s="300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 x14ac:dyDescent="0.2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67" t="s">
        <v>129</v>
      </c>
      <c r="L99" s="301"/>
      <c r="M99" s="268"/>
      <c r="N99" s="151"/>
      <c r="O99" s="151"/>
      <c r="P99" s="151"/>
      <c r="Q99" s="151"/>
      <c r="R99" s="151"/>
      <c r="S99" s="151">
        <f>SUM(N99:R99)</f>
        <v>0</v>
      </c>
    </row>
    <row r="100" spans="1:19" x14ac:dyDescent="0.2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67" t="s">
        <v>129</v>
      </c>
      <c r="L100" s="301"/>
      <c r="M100" s="268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 x14ac:dyDescent="0.2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83" t="s">
        <v>129</v>
      </c>
      <c r="L101" s="284"/>
      <c r="M101" s="285"/>
      <c r="N101" s="151"/>
      <c r="O101" s="151"/>
      <c r="P101" s="151"/>
      <c r="Q101" s="151"/>
      <c r="R101" s="151"/>
      <c r="S101" s="151">
        <f t="shared" si="22"/>
        <v>0</v>
      </c>
    </row>
    <row r="102" spans="1:19" x14ac:dyDescent="0.2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83" t="s">
        <v>129</v>
      </c>
      <c r="L102" s="284"/>
      <c r="M102" s="285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 x14ac:dyDescent="0.2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83" t="s">
        <v>129</v>
      </c>
      <c r="L103" s="284"/>
      <c r="M103" s="285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 x14ac:dyDescent="0.2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83" t="s">
        <v>129</v>
      </c>
      <c r="L104" s="284"/>
      <c r="M104" s="285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 x14ac:dyDescent="0.2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83" t="s">
        <v>128</v>
      </c>
      <c r="L105" s="284"/>
      <c r="M105" s="285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 x14ac:dyDescent="0.2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83" t="s">
        <v>129</v>
      </c>
      <c r="L106" s="284"/>
      <c r="M106" s="285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 x14ac:dyDescent="0.2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83" t="s">
        <v>129</v>
      </c>
      <c r="L107" s="284"/>
      <c r="M107" s="285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 x14ac:dyDescent="0.2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83" t="s">
        <v>129</v>
      </c>
      <c r="L108" s="284"/>
      <c r="M108" s="285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 x14ac:dyDescent="0.2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83" t="s">
        <v>128</v>
      </c>
      <c r="L109" s="284"/>
      <c r="M109" s="285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 x14ac:dyDescent="0.2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83" t="s">
        <v>129</v>
      </c>
      <c r="L110" s="284"/>
      <c r="M110" s="285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 x14ac:dyDescent="0.2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83" t="s">
        <v>128</v>
      </c>
      <c r="L111" s="284"/>
      <c r="M111" s="285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 x14ac:dyDescent="0.2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83" t="s">
        <v>129</v>
      </c>
      <c r="L112" s="284"/>
      <c r="M112" s="285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 x14ac:dyDescent="0.2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83" t="s">
        <v>128</v>
      </c>
      <c r="L113" s="284"/>
      <c r="M113" s="285"/>
      <c r="N113" s="151"/>
      <c r="O113" s="151"/>
      <c r="P113" s="151"/>
      <c r="Q113" s="151"/>
      <c r="R113" s="151"/>
      <c r="S113" s="151">
        <f t="shared" si="22"/>
        <v>0</v>
      </c>
    </row>
    <row r="114" spans="1:19" x14ac:dyDescent="0.2">
      <c r="A114" s="263" t="s">
        <v>77</v>
      </c>
      <c r="B114" s="264"/>
      <c r="C114" s="264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6" spans="1:19" x14ac:dyDescent="0.2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 x14ac:dyDescent="0.2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 x14ac:dyDescent="0.2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idden="1" x14ac:dyDescent="0.2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 x14ac:dyDescent="0.2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 x14ac:dyDescent="0.2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 x14ac:dyDescent="0.2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 x14ac:dyDescent="0.2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 x14ac:dyDescent="0.2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 x14ac:dyDescent="0.2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 x14ac:dyDescent="0.2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 x14ac:dyDescent="0.2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0</v>
      </c>
      <c r="O127" s="154">
        <f t="shared" ref="O127:S127" si="33">O114+O126</f>
        <v>0</v>
      </c>
      <c r="P127" s="154">
        <f t="shared" si="33"/>
        <v>0</v>
      </c>
      <c r="Q127" s="154">
        <f t="shared" si="33"/>
        <v>0</v>
      </c>
      <c r="R127" s="154">
        <f t="shared" si="33"/>
        <v>0</v>
      </c>
      <c r="S127" s="156">
        <f t="shared" si="33"/>
        <v>0</v>
      </c>
    </row>
    <row r="129" spans="1:20" x14ac:dyDescent="0.2">
      <c r="A129" s="263" t="s">
        <v>82</v>
      </c>
      <c r="B129" s="264"/>
      <c r="C129" s="264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 x14ac:dyDescent="0.2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 x14ac:dyDescent="0.2">
      <c r="A131" s="258" t="s">
        <v>88</v>
      </c>
      <c r="B131" s="259"/>
      <c r="C131" s="259"/>
      <c r="D131" s="260"/>
      <c r="E131" s="182" t="s">
        <v>85</v>
      </c>
      <c r="F131" s="181" t="s">
        <v>15</v>
      </c>
      <c r="G131" s="297" t="s">
        <v>86</v>
      </c>
      <c r="H131" s="297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 ca="1">SUM(N132:N134)</f>
        <v>18194.66</v>
      </c>
      <c r="O131" s="170">
        <f t="shared" ref="O131:R131" ca="1" si="34">SUM(O132:O134)</f>
        <v>20014.13</v>
      </c>
      <c r="P131" s="170">
        <f t="shared" ca="1" si="34"/>
        <v>22015.54</v>
      </c>
      <c r="Q131" s="170">
        <f t="shared" ca="1" si="34"/>
        <v>0</v>
      </c>
      <c r="R131" s="170">
        <f t="shared" ca="1" si="34"/>
        <v>0</v>
      </c>
      <c r="S131" s="157">
        <f ca="1">SUM(N131:R131)</f>
        <v>60224.33</v>
      </c>
    </row>
    <row r="132" spans="1:20" x14ac:dyDescent="0.2">
      <c r="A132" s="74"/>
      <c r="B132" s="75" t="s">
        <v>83</v>
      </c>
      <c r="C132" s="76"/>
      <c r="D132" s="255" t="s">
        <v>189</v>
      </c>
      <c r="E132" s="176">
        <v>0.1</v>
      </c>
      <c r="F132" s="255" t="s">
        <v>153</v>
      </c>
      <c r="G132" s="265">
        <v>16541</v>
      </c>
      <c r="H132" s="266"/>
      <c r="I132" s="60"/>
      <c r="J132" s="60"/>
      <c r="K132" s="60"/>
      <c r="L132" s="60"/>
      <c r="M132" s="60"/>
      <c r="N132" s="80">
        <v>18194.66</v>
      </c>
      <c r="O132" s="80">
        <v>20014.13</v>
      </c>
      <c r="P132" s="80">
        <v>22015.54</v>
      </c>
      <c r="Q132" s="80">
        <f ca="1"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 ca="1"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 ca="1">SUM(N132:R132)</f>
        <v>60224.33</v>
      </c>
      <c r="T132" s="59"/>
    </row>
    <row r="133" spans="1:20" x14ac:dyDescent="0.2">
      <c r="A133" s="74"/>
      <c r="B133" s="236" t="s">
        <v>84</v>
      </c>
      <c r="C133" s="237"/>
      <c r="D133" s="256"/>
      <c r="E133" s="176">
        <v>0.1</v>
      </c>
      <c r="F133" s="256"/>
      <c r="G133" s="265">
        <v>31643</v>
      </c>
      <c r="H133" s="266"/>
      <c r="I133" s="60"/>
      <c r="J133" s="60"/>
      <c r="K133" s="60"/>
      <c r="L133" s="60"/>
      <c r="M133" s="60"/>
      <c r="N133" s="80">
        <f ca="1">IF(AND($D$132="YES",$F$132="PY"),ROUND($G133*0.75*I133/9*(Worksheet!C27+Worksheet!C28),0),(IF(AND($D$132="NO",$F$132="PY"),ROUND($G133*I133/9*(Worksheet!C27+Worksheet!C28),0),Worksheet!E166)))</f>
        <v>0</v>
      </c>
      <c r="O133" s="80">
        <f ca="1"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 ca="1"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 ca="1"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 ca="1"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ca="1" si="35">SUM(N133:R133)</f>
        <v>0</v>
      </c>
    </row>
    <row r="134" spans="1:20" x14ac:dyDescent="0.2">
      <c r="A134" s="74"/>
      <c r="B134" s="236" t="s">
        <v>94</v>
      </c>
      <c r="C134" s="237"/>
      <c r="D134" s="257"/>
      <c r="E134" s="176">
        <v>0.1</v>
      </c>
      <c r="F134" s="257"/>
      <c r="G134" s="265">
        <f>16541/2</f>
        <v>8270.5</v>
      </c>
      <c r="H134" s="266"/>
      <c r="I134" s="60"/>
      <c r="J134" s="60"/>
      <c r="K134" s="60"/>
      <c r="L134" s="60"/>
      <c r="M134" s="60"/>
      <c r="N134" s="80">
        <f ca="1">IF(AND($D$132="YES",$F$132="PY"),ROUND($G134*0.75*I134/9*(Worksheet!C27+Worksheet!C28),0),(IF(AND($D$132="NO",$F$132="PY"),ROUND($G134*I134/9*(Worksheet!C27+Worksheet!C28),0),Worksheet!E167)))</f>
        <v>0</v>
      </c>
      <c r="O134" s="80">
        <f ca="1"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 ca="1"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 ca="1"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 ca="1"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 ca="1">SUM(N134:R134)</f>
        <v>0</v>
      </c>
    </row>
    <row r="135" spans="1:20" x14ac:dyDescent="0.2">
      <c r="A135" s="165" t="s">
        <v>176</v>
      </c>
      <c r="B135" s="66"/>
      <c r="C135" s="66"/>
      <c r="D135" s="66"/>
      <c r="E135" s="66"/>
      <c r="F135" s="66"/>
      <c r="G135" s="295" t="s">
        <v>135</v>
      </c>
      <c r="H135" s="296"/>
      <c r="I135" s="286" t="s">
        <v>188</v>
      </c>
      <c r="J135" s="287"/>
      <c r="K135" s="287"/>
      <c r="L135" s="287"/>
      <c r="M135" s="288"/>
      <c r="N135" s="67"/>
      <c r="O135" s="67"/>
      <c r="P135" s="67"/>
      <c r="Q135" s="67"/>
      <c r="R135" s="67"/>
      <c r="S135" s="67"/>
    </row>
    <row r="136" spans="1:20" x14ac:dyDescent="0.2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 x14ac:dyDescent="0.2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 x14ac:dyDescent="0.2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 x14ac:dyDescent="0.2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 x14ac:dyDescent="0.2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 x14ac:dyDescent="0.2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 x14ac:dyDescent="0.2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 x14ac:dyDescent="0.2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 x14ac:dyDescent="0.2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 x14ac:dyDescent="0.2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 x14ac:dyDescent="0.2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 x14ac:dyDescent="0.2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 x14ac:dyDescent="0.2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 x14ac:dyDescent="0.2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 x14ac:dyDescent="0.2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 x14ac:dyDescent="0.2">
      <c r="A151" s="161"/>
      <c r="B151" s="68" t="s">
        <v>198</v>
      </c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>
        <v>2000</v>
      </c>
      <c r="O151" s="152">
        <v>2000</v>
      </c>
      <c r="P151" s="152">
        <v>2000</v>
      </c>
      <c r="Q151" s="152"/>
      <c r="R151" s="152"/>
      <c r="S151" s="155">
        <f t="shared" ref="S151:S159" si="37">SUM(N151:R151)</f>
        <v>6000</v>
      </c>
    </row>
    <row r="152" spans="1:19" x14ac:dyDescent="0.2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 x14ac:dyDescent="0.2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 x14ac:dyDescent="0.2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 x14ac:dyDescent="0.2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 x14ac:dyDescent="0.2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 x14ac:dyDescent="0.2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 x14ac:dyDescent="0.2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 x14ac:dyDescent="0.2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 ca="1">SUM(N132:N158)</f>
        <v>20194.66</v>
      </c>
      <c r="O159" s="158">
        <f t="shared" ref="O159:R159" ca="1" si="38">SUM(O132:O158)</f>
        <v>22014.13</v>
      </c>
      <c r="P159" s="158">
        <f t="shared" ca="1" si="38"/>
        <v>24015.54</v>
      </c>
      <c r="Q159" s="158">
        <f t="shared" ca="1" si="38"/>
        <v>0</v>
      </c>
      <c r="R159" s="158">
        <f t="shared" ca="1" si="38"/>
        <v>0</v>
      </c>
      <c r="S159" s="171">
        <f t="shared" ca="1" si="37"/>
        <v>66224.33</v>
      </c>
    </row>
    <row r="161" spans="1:19" x14ac:dyDescent="0.2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 ca="1">N60+N72+N84+N96+N114+N126+N159</f>
        <v>71248.66</v>
      </c>
      <c r="O161" s="78">
        <f t="shared" ref="O161:R161" ca="1" si="39">O60+O72+O84+O96+O114+O126+O159</f>
        <v>71261.13</v>
      </c>
      <c r="P161" s="78">
        <f t="shared" ca="1" si="39"/>
        <v>74502.540000000008</v>
      </c>
      <c r="Q161" s="78">
        <f t="shared" ca="1" si="39"/>
        <v>0</v>
      </c>
      <c r="R161" s="78">
        <f t="shared" ca="1" si="39"/>
        <v>0</v>
      </c>
      <c r="S161" s="78">
        <f ca="1">SUM(N161:R161)</f>
        <v>217012.33000000002</v>
      </c>
    </row>
    <row r="162" spans="1:19" x14ac:dyDescent="0.2">
      <c r="A162" s="79" t="s">
        <v>100</v>
      </c>
      <c r="B162" s="68"/>
      <c r="C162" s="68"/>
      <c r="D162" s="239" t="s">
        <v>103</v>
      </c>
      <c r="E162" s="254"/>
      <c r="F162" s="235" t="s">
        <v>105</v>
      </c>
      <c r="G162" s="236"/>
      <c r="H162" s="236"/>
      <c r="I162" s="236"/>
      <c r="J162" s="236"/>
      <c r="K162" s="236"/>
      <c r="L162" s="236"/>
      <c r="M162" s="237"/>
      <c r="N162" s="80">
        <f ca="1">IF($H$164&lt;&gt;"Custom",(IF(F162&lt;&gt;Worksheet!A91,Worksheet!C157,IF(Request!H164="MTDC",Worksheet!C157,IF(Request!H164="TDC",Worksheet!C158,IF(Request!H164="TC",Worksheet!C159))))),0)</f>
        <v>53054</v>
      </c>
      <c r="O162" s="80">
        <f ca="1">IF($H$164&lt;&gt;"Custom",IF($F$162&lt;&gt;Worksheet!$A$91,Worksheet!D157,IF(Request!$H$164="MTDC",Worksheet!D157,IF(Request!$H$164="TDC",Worksheet!D158,IF(Request!$H$164="TC",Worksheet!D159)))),0)</f>
        <v>51247</v>
      </c>
      <c r="P162" s="80">
        <f ca="1">IF($H$164&lt;&gt;"Custom",IF($F$162&lt;&gt;Worksheet!$A$91,Worksheet!E157,IF(Request!$H$164="MTDC",Worksheet!E157,IF(Request!$H$164="TDC",Worksheet!E158,IF(Request!$H$164="TC",Worksheet!E159)))),0)</f>
        <v>52487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 ca="1">SUM(N162:R162)</f>
        <v>156788</v>
      </c>
    </row>
    <row r="163" spans="1:19" hidden="1" x14ac:dyDescent="0.2">
      <c r="A163" s="167" t="s">
        <v>118</v>
      </c>
      <c r="D163" s="81"/>
      <c r="E163" s="292" t="s">
        <v>119</v>
      </c>
      <c r="F163" s="293"/>
      <c r="G163" s="293"/>
      <c r="H163" s="293"/>
      <c r="I163" s="293"/>
      <c r="J163" s="293"/>
      <c r="K163" s="293"/>
      <c r="L163" s="293"/>
      <c r="M163" s="294"/>
      <c r="N163" s="190"/>
      <c r="O163" s="190"/>
      <c r="P163" s="190"/>
      <c r="Q163" s="190"/>
      <c r="R163" s="190"/>
      <c r="S163" s="152">
        <f>SUM(N163:R163)</f>
        <v>0</v>
      </c>
    </row>
    <row r="164" spans="1:19" x14ac:dyDescent="0.2">
      <c r="A164" s="168" t="s">
        <v>101</v>
      </c>
      <c r="B164" s="82"/>
      <c r="C164" s="184"/>
      <c r="D164" s="184"/>
      <c r="E164" s="238" t="s">
        <v>114</v>
      </c>
      <c r="F164" s="239"/>
      <c r="G164" s="254"/>
      <c r="H164" s="290" t="s">
        <v>115</v>
      </c>
      <c r="I164" s="291"/>
      <c r="J164" s="238" t="s">
        <v>117</v>
      </c>
      <c r="K164" s="239"/>
      <c r="L164" s="289">
        <v>0.2</v>
      </c>
      <c r="M164" s="268"/>
      <c r="N164" s="83">
        <f ca="1"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30042</v>
      </c>
      <c r="O164" s="83">
        <f ca="1"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29211</v>
      </c>
      <c r="P164" s="83">
        <f ca="1"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29918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 ca="1">SUM(N164:R164)</f>
        <v>89171</v>
      </c>
    </row>
    <row r="165" spans="1:19" x14ac:dyDescent="0.2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ca="1" si="40">N161+N164</f>
        <v>101290.66</v>
      </c>
      <c r="O165" s="86">
        <f t="shared" ca="1" si="40"/>
        <v>100472.13</v>
      </c>
      <c r="P165" s="86">
        <f t="shared" ca="1" si="40"/>
        <v>104420.54000000001</v>
      </c>
      <c r="Q165" s="86">
        <f t="shared" ca="1" si="40"/>
        <v>0</v>
      </c>
      <c r="R165" s="86">
        <f t="shared" ca="1" si="40"/>
        <v>0</v>
      </c>
      <c r="S165" s="86">
        <f t="shared" ca="1" si="40"/>
        <v>306183.33</v>
      </c>
    </row>
    <row r="166" spans="1:19" x14ac:dyDescent="0.2">
      <c r="N166" s="59"/>
      <c r="O166" s="59"/>
      <c r="P166" s="59"/>
      <c r="Q166" s="59"/>
      <c r="R166" s="59"/>
    </row>
    <row r="167" spans="1:19" x14ac:dyDescent="0.2">
      <c r="N167" s="61"/>
      <c r="O167" s="61"/>
      <c r="P167" s="61"/>
      <c r="Q167" s="61"/>
      <c r="R167" s="61"/>
    </row>
    <row r="168" spans="1:19" x14ac:dyDescent="0.2">
      <c r="N168" s="61"/>
      <c r="O168" s="61"/>
      <c r="P168" s="61"/>
      <c r="Q168" s="61"/>
      <c r="R168" s="61"/>
    </row>
    <row r="169" spans="1:19" x14ac:dyDescent="0.2">
      <c r="O169" s="61"/>
    </row>
    <row r="170" spans="1:19" x14ac:dyDescent="0.2">
      <c r="N170" s="61"/>
    </row>
  </sheetData>
  <mergeCells count="208"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G27" sqref="G27"/>
    </sheetView>
  </sheetViews>
  <sheetFormatPr defaultColWidth="8.85546875" defaultRowHeight="14.25" x14ac:dyDescent="0.2"/>
  <cols>
    <col min="1" max="1" width="8.85546875" style="1"/>
    <col min="2" max="2" width="14.7109375" style="1" bestFit="1" customWidth="1"/>
    <col min="3" max="3" width="12" style="1" customWidth="1"/>
    <col min="4" max="4" width="8.85546875" style="1"/>
    <col min="5" max="5" width="5.42578125" style="1" customWidth="1"/>
    <col min="6" max="6" width="9.140625" style="1" bestFit="1" customWidth="1"/>
    <col min="7" max="10" width="8.85546875" style="1"/>
    <col min="11" max="11" width="10" style="1" bestFit="1" customWidth="1"/>
    <col min="12" max="13" width="8.85546875" style="1"/>
    <col min="14" max="14" width="11.28515625" style="1" bestFit="1" customWidth="1"/>
    <col min="15" max="16384" width="8.85546875" style="1"/>
  </cols>
  <sheetData>
    <row r="2" spans="2:14" x14ac:dyDescent="0.2">
      <c r="B2" s="309" t="s">
        <v>154</v>
      </c>
      <c r="C2" s="310"/>
      <c r="D2" s="310"/>
      <c r="E2" s="310"/>
      <c r="F2" s="310"/>
      <c r="G2" s="106"/>
      <c r="H2" s="106"/>
      <c r="I2" s="106"/>
      <c r="J2" s="106"/>
      <c r="K2" s="106"/>
      <c r="L2" s="106"/>
      <c r="M2" s="107"/>
    </row>
    <row r="3" spans="2:14" x14ac:dyDescent="0.2">
      <c r="B3" s="108" t="s">
        <v>155</v>
      </c>
      <c r="C3" s="311" t="s">
        <v>156</v>
      </c>
      <c r="D3" s="311"/>
      <c r="E3" s="109"/>
      <c r="F3" s="311" t="s">
        <v>157</v>
      </c>
      <c r="G3" s="311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 x14ac:dyDescent="0.2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 x14ac:dyDescent="0.2">
      <c r="B5" s="115" t="s">
        <v>163</v>
      </c>
      <c r="C5" s="304">
        <f>Request!C1</f>
        <v>42278</v>
      </c>
      <c r="D5" s="304"/>
      <c r="E5" s="147"/>
      <c r="F5" s="312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12"/>
      <c r="H5" s="313">
        <f ca="1">IF(AND(F5&lt;&gt;"",F5&lt;Worksheet!C3),(Request!N162-SUM(Request!N136:'Request'!N140))/Worksheet!C5*Worksheet!C6,Request!N162-SUM(Request!N136:'Request'!N140))</f>
        <v>39790.5</v>
      </c>
      <c r="I5" s="313"/>
      <c r="J5" s="118">
        <f>Worksheet!B97</f>
        <v>0.56499999999999995</v>
      </c>
      <c r="K5" s="119">
        <f ca="1">ROUND(H5*J5,0)</f>
        <v>22482</v>
      </c>
      <c r="L5" s="120" t="str">
        <f>IF(Request!F162=Worksheet!A91,Request!H164,"MTDC")</f>
        <v>MTDC</v>
      </c>
      <c r="M5" s="121" t="b">
        <f ca="1">H5+H6+H7=Request!N162</f>
        <v>1</v>
      </c>
    </row>
    <row r="6" spans="2:14" x14ac:dyDescent="0.2">
      <c r="B6" s="115" t="s">
        <v>164</v>
      </c>
      <c r="C6" s="304">
        <f>IF(F5&lt;Worksheet!C3,DATE(YEAR('F&amp;A Details'!F5),MONTH('F&amp;A Details'!F5),DAY('F&amp;A Details'!F5)+1),"")</f>
        <v>42552</v>
      </c>
      <c r="D6" s="304"/>
      <c r="E6" s="116"/>
      <c r="F6" s="314">
        <f>IF(F5&lt;Worksheet!C3,Worksheet!C3,"")</f>
        <v>42643</v>
      </c>
      <c r="G6" s="314"/>
      <c r="H6" s="315">
        <f ca="1">IF(F5&lt;Worksheet!C3,Request!N162-'F&amp;A Details'!H7-'F&amp;A Details'!H5,0)</f>
        <v>13263.5</v>
      </c>
      <c r="I6" s="315"/>
      <c r="J6" s="118">
        <f ca="1">IF(H6&lt;&gt;0,Worksheet!C97,"")</f>
        <v>0.56999999999999995</v>
      </c>
      <c r="K6" s="119">
        <f ca="1">IF(H6&lt;&gt;0,Request!N164-'F&amp;A Details'!K5-'F&amp;A Details'!K7,0)</f>
        <v>7560</v>
      </c>
      <c r="L6" s="120" t="str">
        <f ca="1">IF(K6&lt;&gt;0,L5,"")</f>
        <v>MTDC</v>
      </c>
      <c r="M6" s="121" t="b">
        <f ca="1">K5+K6+K7=Request!N164</f>
        <v>1</v>
      </c>
    </row>
    <row r="7" spans="2:14" ht="24" x14ac:dyDescent="0.2">
      <c r="B7" s="122" t="s">
        <v>165</v>
      </c>
      <c r="C7" s="123"/>
      <c r="D7" s="124">
        <f>C5</f>
        <v>42278</v>
      </c>
      <c r="E7" s="123"/>
      <c r="F7" s="316">
        <f>Worksheet!C3</f>
        <v>42643</v>
      </c>
      <c r="G7" s="316"/>
      <c r="H7" s="323">
        <f>SUM(Request!N136:N140)</f>
        <v>0</v>
      </c>
      <c r="I7" s="323"/>
      <c r="J7" s="125">
        <f>IF(Request!I135="Federal",Worksheet!B92,Worksheet!B93)</f>
        <v>0.54400000000000004</v>
      </c>
      <c r="K7" s="126">
        <f>ROUND(H7*J7,0)</f>
        <v>0</v>
      </c>
      <c r="L7" s="127"/>
      <c r="M7" s="128"/>
    </row>
    <row r="8" spans="2:14" x14ac:dyDescent="0.2">
      <c r="B8" s="129" t="s">
        <v>11</v>
      </c>
      <c r="C8" s="130"/>
      <c r="D8" s="117"/>
      <c r="E8" s="116"/>
      <c r="F8" s="324"/>
      <c r="G8" s="324"/>
      <c r="H8" s="131"/>
      <c r="I8" s="131"/>
      <c r="K8" s="130"/>
      <c r="L8" s="120"/>
      <c r="M8" s="133"/>
    </row>
    <row r="9" spans="2:14" x14ac:dyDescent="0.2">
      <c r="B9" s="115" t="s">
        <v>163</v>
      </c>
      <c r="C9" s="116"/>
      <c r="D9" s="117">
        <f>IF(Worksheet!D2&lt;&gt;"",Worksheet!D2,"")</f>
        <v>42644</v>
      </c>
      <c r="E9" s="116"/>
      <c r="F9" s="304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43008</v>
      </c>
      <c r="G9" s="304"/>
      <c r="H9" s="315">
        <f ca="1">IF(AND(F9&lt;&gt;"",F9&lt;Worksheet!D3),(Request!O162-SUM(Request!O136:O140))/Worksheet!D5*Worksheet!D6,Request!O162-SUM(Request!O136:O140))</f>
        <v>51247</v>
      </c>
      <c r="I9" s="315"/>
      <c r="J9" s="148">
        <f>Worksheet!D97</f>
        <v>0.56999999999999995</v>
      </c>
      <c r="K9" s="119">
        <f ca="1">ROUND(H9*J9,0)</f>
        <v>29211</v>
      </c>
      <c r="L9" s="120" t="str">
        <f>IF(Request!F162=Worksheet!A91,Request!H164,"MTDC")</f>
        <v>MTDC</v>
      </c>
      <c r="M9" s="121" t="b">
        <f ca="1">H9+H10+H11=Request!O162</f>
        <v>1</v>
      </c>
    </row>
    <row r="10" spans="2:14" x14ac:dyDescent="0.2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4" t="str">
        <f>IF(F9&lt;Worksheet!D3,Worksheet!D3,"")</f>
        <v/>
      </c>
      <c r="G10" s="304"/>
      <c r="H10" s="308">
        <f>IF(F9&lt;Worksheet!D3,Request!O162-'F&amp;A Details'!H11-'F&amp;A Details'!H9,0)</f>
        <v>0</v>
      </c>
      <c r="I10" s="308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 ca="1">K9+K10+K11=Request!O164</f>
        <v>1</v>
      </c>
    </row>
    <row r="11" spans="2:14" ht="24" x14ac:dyDescent="0.2">
      <c r="B11" s="122" t="s">
        <v>165</v>
      </c>
      <c r="C11" s="123"/>
      <c r="D11" s="124">
        <f>IF(D9&lt;&gt;"",D9,"")</f>
        <v>42644</v>
      </c>
      <c r="E11" s="123"/>
      <c r="F11" s="306">
        <f>Worksheet!D3</f>
        <v>43008</v>
      </c>
      <c r="G11" s="306"/>
      <c r="H11" s="307">
        <f>SUM(Request!O136:O140)</f>
        <v>0</v>
      </c>
      <c r="I11" s="307"/>
      <c r="J11" s="125">
        <f>IF(Request!I135="Federal",Worksheet!E92,Worksheet!E93)</f>
        <v>0.54400000000000004</v>
      </c>
      <c r="K11" s="126">
        <f>ROUND(H11*J11,0)</f>
        <v>0</v>
      </c>
      <c r="L11" s="127"/>
      <c r="M11" s="128"/>
    </row>
    <row r="12" spans="2:14" x14ac:dyDescent="0.2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 x14ac:dyDescent="0.2">
      <c r="B13" s="115" t="s">
        <v>163</v>
      </c>
      <c r="C13" s="116"/>
      <c r="D13" s="117">
        <f>IF(Worksheet!E2&lt;&gt;"",Worksheet!E2,"")</f>
        <v>43009</v>
      </c>
      <c r="E13" s="116"/>
      <c r="F13" s="304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43373</v>
      </c>
      <c r="G13" s="304"/>
      <c r="H13" s="319">
        <f ca="1">IF(AND(F13&lt;&gt;"",F13&lt;Worksheet!E3),(Request!P162-SUM(Request!P136:P140))/Worksheet!E5*Worksheet!E6,Request!P162-SUM(Request!P136:P140))</f>
        <v>52487</v>
      </c>
      <c r="I13" s="319"/>
      <c r="J13" s="118">
        <f>Worksheet!F97</f>
        <v>0.56999999999999995</v>
      </c>
      <c r="K13" s="119">
        <f ca="1">ROUND(H13*J13,0)</f>
        <v>29918</v>
      </c>
      <c r="L13" s="120" t="str">
        <f>IF(Request!F162=Worksheet!A91,Request!H164,"MTDC")</f>
        <v>MTDC</v>
      </c>
      <c r="M13" s="121" t="b">
        <f ca="1">H13+H14+H15=Request!P162</f>
        <v>1</v>
      </c>
    </row>
    <row r="14" spans="2:14" x14ac:dyDescent="0.2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4" t="str">
        <f>IF(F13&lt;Worksheet!E3,Worksheet!E3,"")</f>
        <v/>
      </c>
      <c r="G14" s="304"/>
      <c r="H14" s="319">
        <f>IF(F13&lt;Worksheet!E3,Request!P162-'F&amp;A Details'!H15-'F&amp;A Details'!H13,0)</f>
        <v>0</v>
      </c>
      <c r="I14" s="319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 ca="1">K13+K14+K15=Request!P164</f>
        <v>1</v>
      </c>
    </row>
    <row r="15" spans="2:14" ht="24" x14ac:dyDescent="0.2">
      <c r="B15" s="122" t="s">
        <v>165</v>
      </c>
      <c r="C15" s="123"/>
      <c r="D15" s="124">
        <f>IF(D13&lt;&gt;"",D13,"")</f>
        <v>43009</v>
      </c>
      <c r="E15" s="123"/>
      <c r="F15" s="306">
        <f>Worksheet!E3</f>
        <v>43373</v>
      </c>
      <c r="G15" s="306"/>
      <c r="H15" s="320">
        <f>SUM(Request!P136:P140)</f>
        <v>0</v>
      </c>
      <c r="I15" s="320"/>
      <c r="J15" s="125">
        <f>IF(Request!I135="Federal",Worksheet!E92,Worksheet!E93)</f>
        <v>0.54400000000000004</v>
      </c>
      <c r="K15" s="126">
        <f>ROUND(H15*J15,0)</f>
        <v>0</v>
      </c>
      <c r="L15" s="127"/>
      <c r="M15" s="128"/>
    </row>
    <row r="16" spans="2:14" x14ac:dyDescent="0.2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 x14ac:dyDescent="0.2">
      <c r="B17" s="135" t="s">
        <v>163</v>
      </c>
      <c r="C17" s="130"/>
      <c r="D17" s="134" t="str">
        <f>IF(Worksheet!F2&lt;&gt;"",Worksheet!F2,"")</f>
        <v/>
      </c>
      <c r="E17" s="116"/>
      <c r="F17" s="321" t="str">
        <f>IF(Worksheet!F3&lt;&gt;"",Worksheet!F3,"")</f>
        <v/>
      </c>
      <c r="G17" s="322"/>
      <c r="H17" s="305">
        <f>Request!Q162-'F&amp;A Details'!H18</f>
        <v>0</v>
      </c>
      <c r="I17" s="305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 x14ac:dyDescent="0.2">
      <c r="B18" s="137" t="s">
        <v>165</v>
      </c>
      <c r="C18" s="138"/>
      <c r="D18" s="139" t="str">
        <f>D17</f>
        <v/>
      </c>
      <c r="E18" s="123"/>
      <c r="F18" s="302" t="str">
        <f>Worksheet!F3</f>
        <v/>
      </c>
      <c r="G18" s="302"/>
      <c r="H18" s="303">
        <f>SUM(Request!Q136:Q140)</f>
        <v>0</v>
      </c>
      <c r="I18" s="303"/>
      <c r="J18" s="140">
        <f>IF(Request!I135="Federal",Worksheet!E92,Worksheet!E93)</f>
        <v>0.54400000000000004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 x14ac:dyDescent="0.2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 x14ac:dyDescent="0.2">
      <c r="B20" s="135" t="s">
        <v>163</v>
      </c>
      <c r="C20" s="130"/>
      <c r="D20" s="134" t="str">
        <f>IF(Worksheet!G2&lt;&gt;"",Worksheet!G2,"")</f>
        <v/>
      </c>
      <c r="E20" s="116"/>
      <c r="F20" s="304" t="str">
        <f>IF(Worksheet!G3&lt;&gt;"",Worksheet!G3,"")</f>
        <v/>
      </c>
      <c r="G20" s="304"/>
      <c r="H20" s="305">
        <f>Request!R162-'F&amp;A Details'!H21</f>
        <v>0</v>
      </c>
      <c r="I20" s="305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 x14ac:dyDescent="0.2">
      <c r="B21" s="137" t="s">
        <v>165</v>
      </c>
      <c r="C21" s="138"/>
      <c r="D21" s="139" t="str">
        <f>D20</f>
        <v/>
      </c>
      <c r="E21" s="123"/>
      <c r="F21" s="306" t="str">
        <f>Worksheet!G3</f>
        <v/>
      </c>
      <c r="G21" s="306"/>
      <c r="H21" s="303">
        <f>SUM(Request!R136:R140)</f>
        <v>0</v>
      </c>
      <c r="I21" s="303"/>
      <c r="J21" s="140">
        <f>IF(Request!I135="Federal",Worksheet!E92,Worksheet!E93)</f>
        <v>0.54400000000000004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 x14ac:dyDescent="0.2">
      <c r="B22" s="317" t="s">
        <v>166</v>
      </c>
      <c r="C22" s="318"/>
      <c r="D22" s="318"/>
      <c r="E22" s="318"/>
      <c r="F22" s="318"/>
      <c r="G22" s="318"/>
      <c r="H22" s="318"/>
      <c r="I22" s="318"/>
      <c r="J22" s="318"/>
      <c r="K22" s="149">
        <f ca="1">SUM(K5:K21)</f>
        <v>89171</v>
      </c>
      <c r="L22" s="150"/>
      <c r="M22" s="144" t="b">
        <f ca="1">K22=Request!S164</f>
        <v>1</v>
      </c>
    </row>
    <row r="27" spans="2:13" x14ac:dyDescent="0.2">
      <c r="E27" s="201"/>
    </row>
  </sheetData>
  <mergeCells count="33"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18:G18"/>
    <mergeCell ref="H18:I18"/>
    <mergeCell ref="F20:G20"/>
    <mergeCell ref="H20:I20"/>
    <mergeCell ref="F11:G11"/>
    <mergeCell ref="H11:I11"/>
    <mergeCell ref="F13:G13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</vt:lpstr>
      <vt:lpstr>Request</vt:lpstr>
      <vt:lpstr>F&amp;A Details</vt:lpstr>
      <vt:lpstr>G</vt:lpstr>
      <vt:lpstr>Request!Print_Area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Wendall Nicholson</cp:lastModifiedBy>
  <cp:lastPrinted>2014-12-05T00:06:56Z</cp:lastPrinted>
  <dcterms:created xsi:type="dcterms:W3CDTF">2014-08-22T18:00:39Z</dcterms:created>
  <dcterms:modified xsi:type="dcterms:W3CDTF">2015-03-23T20:24:14Z</dcterms:modified>
</cp:coreProperties>
</file>