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showPivotChartFilter="1"/>
  <bookViews>
    <workbookView xWindow="0" yWindow="0" windowWidth="15345" windowHeight="6705" firstSheet="3" activeTab="3"/>
  </bookViews>
  <sheets>
    <sheet name="Home" sheetId="1" state="hidden" r:id="rId1"/>
    <sheet name="Dashboard" sheetId="3" state="hidden" r:id="rId2"/>
    <sheet name="Generic Test Cases" sheetId="2" state="hidden" r:id="rId3"/>
    <sheet name="Defect Sheet" sheetId="5" r:id="rId4"/>
  </sheets>
  <definedNames>
    <definedName name="_xlnm._FilterDatabase" localSheetId="2" hidden="1">'Generic Test Cases'!$A$8:$G$75</definedName>
  </definedNames>
  <calcPr calcId="145621"/>
</workbook>
</file>

<file path=xl/calcChain.xml><?xml version="1.0" encoding="utf-8"?>
<calcChain xmlns="http://schemas.openxmlformats.org/spreadsheetml/2006/main">
  <c r="N15" i="5" l="1"/>
  <c r="N8" i="5"/>
  <c r="N10" i="5"/>
  <c r="N11" i="5"/>
  <c r="N12" i="5"/>
  <c r="N17" i="5"/>
  <c r="N13" i="5"/>
  <c r="N14"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7" i="5"/>
  <c r="Q31" i="3"/>
  <c r="P31" i="3"/>
  <c r="O31" i="3"/>
  <c r="N31" i="3"/>
  <c r="M31" i="3"/>
  <c r="L31" i="3"/>
  <c r="K31" i="3"/>
  <c r="J31" i="3"/>
  <c r="I31" i="3"/>
  <c r="H31" i="3"/>
  <c r="G31" i="3"/>
  <c r="F31" i="3"/>
  <c r="E31" i="3"/>
  <c r="D31" i="3"/>
  <c r="C31" i="3"/>
  <c r="Q30" i="3"/>
  <c r="P30" i="3"/>
  <c r="O30" i="3"/>
  <c r="N30" i="3"/>
  <c r="M30" i="3"/>
  <c r="L30" i="3"/>
  <c r="K30" i="3"/>
  <c r="J30" i="3"/>
  <c r="I30" i="3"/>
  <c r="H30" i="3"/>
  <c r="G30" i="3"/>
  <c r="F30" i="3"/>
  <c r="E30" i="3"/>
  <c r="D30" i="3"/>
  <c r="C30" i="3"/>
  <c r="Q29" i="3"/>
  <c r="P29" i="3"/>
  <c r="O29" i="3"/>
  <c r="N29" i="3"/>
  <c r="M29" i="3"/>
  <c r="L29" i="3"/>
  <c r="K29" i="3"/>
  <c r="J29" i="3"/>
  <c r="I29" i="3"/>
  <c r="H29" i="3"/>
  <c r="G29" i="3"/>
  <c r="F29" i="3"/>
  <c r="E29" i="3"/>
  <c r="D29" i="3"/>
  <c r="C29" i="3"/>
  <c r="Q28" i="3"/>
  <c r="P28" i="3"/>
  <c r="O28" i="3"/>
  <c r="N28" i="3"/>
  <c r="M28" i="3"/>
  <c r="L28" i="3"/>
  <c r="K28" i="3"/>
  <c r="J28" i="3"/>
  <c r="I28" i="3"/>
  <c r="H28" i="3"/>
  <c r="G28" i="3"/>
  <c r="F28" i="3"/>
  <c r="E28" i="3"/>
  <c r="D28" i="3"/>
  <c r="C28" i="3"/>
  <c r="Q27" i="3"/>
  <c r="P27" i="3"/>
  <c r="O27" i="3"/>
  <c r="N27" i="3"/>
  <c r="M27" i="3"/>
  <c r="L27" i="3"/>
  <c r="K27" i="3"/>
  <c r="J27" i="3"/>
  <c r="I27" i="3"/>
  <c r="H27" i="3"/>
  <c r="G27" i="3"/>
  <c r="F27" i="3"/>
  <c r="E27" i="3"/>
  <c r="D27" i="3"/>
  <c r="C27" i="3"/>
  <c r="Q26" i="3"/>
  <c r="P26" i="3"/>
  <c r="O26" i="3"/>
  <c r="N26" i="3"/>
  <c r="M26" i="3"/>
  <c r="L26" i="3"/>
  <c r="K26" i="3"/>
  <c r="J26" i="3"/>
  <c r="I26" i="3"/>
  <c r="H26" i="3"/>
  <c r="G26" i="3"/>
  <c r="F26" i="3"/>
  <c r="E26" i="3"/>
  <c r="D26" i="3"/>
  <c r="C26" i="3"/>
  <c r="Q25" i="3"/>
  <c r="P25" i="3"/>
  <c r="O25" i="3"/>
  <c r="N25" i="3"/>
  <c r="M25" i="3"/>
  <c r="L25" i="3"/>
  <c r="K25" i="3"/>
  <c r="J25" i="3"/>
  <c r="I25" i="3"/>
  <c r="H25" i="3"/>
  <c r="G25" i="3"/>
  <c r="F25" i="3"/>
  <c r="E25" i="3"/>
  <c r="D25" i="3"/>
  <c r="C25" i="3"/>
  <c r="Q24" i="3"/>
  <c r="P24" i="3"/>
  <c r="O24" i="3"/>
  <c r="N24" i="3"/>
  <c r="M24" i="3"/>
  <c r="L24" i="3"/>
  <c r="K24" i="3"/>
  <c r="J24" i="3"/>
  <c r="I24" i="3"/>
  <c r="H24" i="3"/>
  <c r="G24" i="3"/>
  <c r="F24" i="3"/>
  <c r="E24" i="3"/>
  <c r="D24" i="3"/>
  <c r="C24" i="3"/>
  <c r="Q23" i="3"/>
  <c r="P23" i="3"/>
  <c r="O23" i="3"/>
  <c r="N23" i="3"/>
  <c r="M23" i="3"/>
  <c r="L23" i="3"/>
  <c r="K23" i="3"/>
  <c r="J23" i="3"/>
  <c r="I23" i="3"/>
  <c r="H23" i="3"/>
  <c r="G23" i="3"/>
  <c r="F23" i="3"/>
  <c r="E23" i="3"/>
  <c r="D23" i="3"/>
  <c r="C23" i="3"/>
  <c r="Q22" i="3"/>
  <c r="P22" i="3"/>
  <c r="O22" i="3"/>
  <c r="N22" i="3"/>
  <c r="M22" i="3"/>
  <c r="L22" i="3"/>
  <c r="K22" i="3"/>
  <c r="J22" i="3"/>
  <c r="I22" i="3"/>
  <c r="H22" i="3"/>
  <c r="G22" i="3"/>
  <c r="F22" i="3"/>
  <c r="E22" i="3"/>
  <c r="D22" i="3"/>
  <c r="C22" i="3"/>
  <c r="G92" i="2" l="1"/>
  <c r="F92" i="2"/>
  <c r="E92" i="2"/>
  <c r="D92" i="2"/>
  <c r="G91" i="2"/>
  <c r="F91" i="2"/>
  <c r="E91" i="2"/>
  <c r="D91" i="2"/>
  <c r="G90" i="2"/>
  <c r="F90" i="2"/>
  <c r="E90" i="2"/>
  <c r="D90" i="2"/>
  <c r="G89" i="2"/>
  <c r="F89" i="2"/>
  <c r="E89" i="2"/>
  <c r="D89" i="2"/>
  <c r="G88" i="2"/>
  <c r="F88" i="2"/>
  <c r="E88" i="2"/>
  <c r="D88" i="2"/>
  <c r="G87" i="2"/>
  <c r="F87" i="2"/>
  <c r="E87" i="2"/>
  <c r="D87" i="2"/>
  <c r="H94" i="2"/>
  <c r="H93" i="2"/>
  <c r="H92" i="2"/>
  <c r="H91" i="2"/>
  <c r="H90" i="2"/>
  <c r="H89" i="2"/>
  <c r="H88" i="2"/>
  <c r="H87" i="2"/>
  <c r="C87" i="2"/>
  <c r="C88" i="2"/>
  <c r="C89" i="2"/>
  <c r="C90" i="2"/>
  <c r="F7" i="3" s="1"/>
  <c r="C91" i="2"/>
  <c r="C92" i="2"/>
  <c r="C93" i="2"/>
  <c r="D93" i="2"/>
  <c r="E93" i="2"/>
  <c r="F93" i="2"/>
  <c r="G93" i="2"/>
  <c r="C94" i="2"/>
  <c r="J7" i="3" s="1"/>
  <c r="D94" i="2"/>
  <c r="E94" i="2"/>
  <c r="F94" i="2"/>
  <c r="G94" i="2"/>
  <c r="C50" i="3"/>
  <c r="C49" i="3"/>
  <c r="C48" i="3"/>
  <c r="C47" i="3"/>
  <c r="C46" i="3"/>
  <c r="C45" i="3"/>
  <c r="C44" i="3"/>
  <c r="C43" i="3"/>
  <c r="C42" i="3"/>
  <c r="C41" i="3"/>
  <c r="C40" i="3"/>
  <c r="C39" i="3"/>
  <c r="C38" i="3"/>
  <c r="C37" i="3"/>
  <c r="C110" i="3"/>
  <c r="C109" i="3"/>
  <c r="C93" i="3"/>
  <c r="C108" i="3"/>
  <c r="C92" i="3"/>
  <c r="C61" i="3"/>
  <c r="C107" i="3"/>
  <c r="C91" i="3"/>
  <c r="C76" i="3"/>
  <c r="C60" i="3"/>
  <c r="C106" i="3"/>
  <c r="C90" i="3"/>
  <c r="C75" i="3"/>
  <c r="C59" i="3"/>
  <c r="C105" i="3"/>
  <c r="C89" i="3"/>
  <c r="C74" i="3"/>
  <c r="C58" i="3"/>
  <c r="C36" i="3"/>
  <c r="C16" i="3"/>
  <c r="C15" i="3"/>
  <c r="C14" i="3"/>
  <c r="C13" i="3"/>
  <c r="D7" i="3"/>
  <c r="G7" i="3" l="1"/>
  <c r="E7" i="3"/>
  <c r="I7" i="3"/>
  <c r="C7" i="3"/>
  <c r="H7" i="3"/>
  <c r="D95" i="2"/>
  <c r="E95" i="2"/>
  <c r="G95" i="2"/>
  <c r="F95" i="2"/>
  <c r="C95" i="2"/>
  <c r="K7" i="3" l="1"/>
  <c r="C17" i="3" s="1"/>
  <c r="D13" i="3" s="1"/>
</calcChain>
</file>

<file path=xl/sharedStrings.xml><?xml version="1.0" encoding="utf-8"?>
<sst xmlns="http://schemas.openxmlformats.org/spreadsheetml/2006/main" count="528" uniqueCount="275">
  <si>
    <t>Name</t>
  </si>
  <si>
    <t>Version</t>
  </si>
  <si>
    <t>Created by</t>
  </si>
  <si>
    <t>Muthuramalingam</t>
  </si>
  <si>
    <t>Reviewed By</t>
  </si>
  <si>
    <t>Created On</t>
  </si>
  <si>
    <t>Reviewed On</t>
  </si>
  <si>
    <t>Last updated on</t>
  </si>
  <si>
    <t>Help</t>
  </si>
  <si>
    <t>Environment</t>
  </si>
  <si>
    <t>Status</t>
  </si>
  <si>
    <t>Pass</t>
  </si>
  <si>
    <t>Test case Passed without any Defects</t>
  </si>
  <si>
    <t xml:space="preserve">Fail </t>
  </si>
  <si>
    <t>Test case Failed with Defects</t>
  </si>
  <si>
    <t>NA</t>
  </si>
  <si>
    <t>Test case is not applicable for the Course</t>
  </si>
  <si>
    <t>Pending</t>
  </si>
  <si>
    <t>Course Name</t>
  </si>
  <si>
    <t>Course deep link</t>
  </si>
  <si>
    <t>Tested By</t>
  </si>
  <si>
    <t>RM</t>
  </si>
  <si>
    <t>S.no</t>
  </si>
  <si>
    <t>Action</t>
  </si>
  <si>
    <t>Expected Result</t>
  </si>
  <si>
    <t>Severity </t>
  </si>
  <si>
    <t>Comments if Any</t>
  </si>
  <si>
    <t>Launch the Course and check for Copy right text</t>
  </si>
  <si>
    <t>Minor</t>
  </si>
  <si>
    <t>Launch the Course and check for the Course UI/templates competes to the SCB Standards</t>
  </si>
  <si>
    <r>
      <rPr>
        <b/>
        <sz val="10"/>
        <rFont val="Calibri"/>
        <family val="2"/>
      </rPr>
      <t>Top Section</t>
    </r>
    <r>
      <rPr>
        <sz val="10"/>
        <rFont val="Calibri"/>
        <family val="2"/>
      </rPr>
      <t xml:space="preserve">
 Corporate logo has to be positioned on the right side
 Colour stripe Visual Identity Band (VIB) of 15px in height below it
 No text or graphic should be placed alongside with the logo or within the white space
</t>
    </r>
    <r>
      <rPr>
        <b/>
        <sz val="10"/>
        <rFont val="Calibri"/>
        <family val="2"/>
      </rPr>
      <t>Middle Section</t>
    </r>
    <r>
      <rPr>
        <sz val="10"/>
        <rFont val="Calibri"/>
        <family val="2"/>
      </rPr>
      <t xml:space="preserve">
 This area is reserved for the course content
</t>
    </r>
    <r>
      <rPr>
        <b/>
        <sz val="10"/>
        <rFont val="Calibri"/>
        <family val="2"/>
      </rPr>
      <t>Bottom Section</t>
    </r>
    <r>
      <rPr>
        <sz val="10"/>
        <rFont val="Calibri"/>
        <family val="2"/>
      </rPr>
      <t xml:space="preserve">
This area of 45px in height is reserve for the course title (left side) and navigation elements (right side) consisting of the five mandatory buttons</t>
    </r>
  </si>
  <si>
    <t>Major</t>
  </si>
  <si>
    <t>Mandatory Buttons on Bottom</t>
  </si>
  <si>
    <t>Exit, Help, Menu, Previous, Next buttons should be at the bottom of every course.</t>
  </si>
  <si>
    <t>Moderate</t>
  </si>
  <si>
    <t>Mandatory buttons style</t>
  </si>
  <si>
    <r>
      <t xml:space="preserve"> Avoid using images/icons for buttons; use text buttons instead, Text buttons are a must for mobile device navigation. 
 Place buttons like Submit and Cancel far away from each other )at the very least, 10px
 Make your buttons bright, bold and highly visible.
 Use clear and very descriptive action verbs on your buttons. 
</t>
    </r>
    <r>
      <rPr>
        <b/>
        <sz val="10"/>
        <rFont val="Calibri"/>
        <family val="2"/>
      </rPr>
      <t xml:space="preserve"> Keep the input fields to a minimum (try to use large checkboxes or radio buttons instead). </t>
    </r>
    <r>
      <rPr>
        <sz val="10"/>
        <rFont val="Calibri"/>
        <family val="2"/>
      </rPr>
      <t xml:space="preserve">
 All interactive links/pop-ups/click text etc should have visited and not visited state.</t>
    </r>
  </si>
  <si>
    <t>Cosmetic</t>
  </si>
  <si>
    <t>Global - Typography</t>
  </si>
  <si>
    <r>
      <t xml:space="preserve">Check the font, Fontstyle Globally. It should be
</t>
    </r>
    <r>
      <rPr>
        <b/>
        <sz val="10"/>
        <rFont val="Calibri"/>
        <family val="2"/>
      </rPr>
      <t>For content</t>
    </r>
    <r>
      <rPr>
        <sz val="10"/>
        <rFont val="Calibri"/>
        <family val="2"/>
      </rPr>
      <t xml:space="preserve">
Font: Arial
Font Style: Normal
Font Size: 14 px
Font Color: Black
</t>
    </r>
    <r>
      <rPr>
        <b/>
        <sz val="10"/>
        <rFont val="Calibri"/>
        <family val="2"/>
      </rPr>
      <t xml:space="preserve">
For Title/Header content
</t>
    </r>
    <r>
      <rPr>
        <sz val="10"/>
        <rFont val="Calibri"/>
        <family val="2"/>
      </rPr>
      <t xml:space="preserve">Font: Arial
Font Style: Normal
Font Size: 16 px Bold
Font Color: Black
</t>
    </r>
    <r>
      <rPr>
        <b/>
        <sz val="10"/>
        <rFont val="Calibri"/>
        <family val="2"/>
      </rPr>
      <t xml:space="preserve">For Internal Links
</t>
    </r>
    <r>
      <rPr>
        <sz val="10"/>
        <rFont val="Calibri"/>
        <family val="2"/>
      </rPr>
      <t>Font: Arial
Font Style: Normal
Font Size: 14 px italics
Font Color: Black
Font size mentioned here in pixels, if 14px is not available use the equivalent size in points for example 10/11pts in Lectora</t>
    </r>
  </si>
  <si>
    <t>The use of images and graphics</t>
  </si>
  <si>
    <t>Use of Microsoft Office or other clip art libraries and random downloads from internet is not acceptable
No media can be used which can lead to associated with other brands (e.g. “Just Do It”)
Cartoon illustrations either static or animated must be fully-optimized for performance and only used if there is no other alternative to create maximum impact of the learning point
Photographs must be selected carefully with relevance to the theme of the subject and legally purchased or authorized for use in our content
Image resolution must be at least 72dpi or higher and proportionat
Do not overlay any text/graphic on the Corporate Logo, Visual Identity Band (VIB) and the Trustmark</t>
  </si>
  <si>
    <t>check the whole course content and make sure there should not be any Flash/plug-in. There sould not be any flash based files within the content.</t>
  </si>
  <si>
    <t>Critical</t>
  </si>
  <si>
    <t>Launch the Course and check for the Course name/Module names</t>
  </si>
  <si>
    <t>Launch the course and check the course dimention.</t>
  </si>
  <si>
    <t>The course should be launched and it should be fit with in 1000x650 px.</t>
  </si>
  <si>
    <t>Launch the course and check Content format and compatible devices.</t>
  </si>
  <si>
    <t>content Format : HTML 5 
Compatible devices : Chrome 47+ &amp; Safari iphone 5s+, ipad 2+
Media : MP4, Mp3 – 64 or 128 kbps</t>
  </si>
  <si>
    <t>content Format : HTML/HTML5
Compatible devices : IE8 in IE7 comp mode + and Chrome 28+
Media : WMV, Mp3 Mono</t>
  </si>
  <si>
    <t xml:space="preserve">Check For linear navigation. The user should have completes the course in sequence. </t>
  </si>
  <si>
    <t>Random navigations should be restricted.
1. Check of Audio/Video/Links/ any other interactivity in the pages and those activities should be completed to navigate to the next page.</t>
  </si>
  <si>
    <t>Check for linear navigation in subpages.</t>
  </si>
  <si>
    <t>Check for linear navigation on Revisiting the Visited pages.</t>
  </si>
  <si>
    <t>Linear navigation should not be required for the visited pages. The user can be able to move to any visited pages randomly.
Check with the team for more clarification on Revisiting the subpages in the module/Lesson.</t>
  </si>
  <si>
    <t>Check for the Special keys usages in the course.</t>
  </si>
  <si>
    <t>The usage of special keys should be restricted. TAB, Enter, Backspace, Space, Arrow keys, Funtion keys Should be restricted to use unless/until it is required to use in the course.</t>
  </si>
  <si>
    <t>The content/images in the Course should not overlaps or showing out of the visible area.</t>
  </si>
  <si>
    <t>Check for spaces around the course. Check this by maximise and minimise the course windown. Drag the window corner to resize; Zoom in/zoom out the course</t>
  </si>
  <si>
    <t>There should not be any extra spaces around the course.</t>
  </si>
  <si>
    <t>Check bookmark</t>
  </si>
  <si>
    <t>Exit the course and Re-launch it again. Check if the alert is appearing to view the visited page of where we closed.
1. Press OK to the alert. Check if you can view the last visited page.
2. Press Cancel to the alert. Check if you can view the home screen of the Course.</t>
  </si>
  <si>
    <t>The bookmark should be communicated to the LMS when the user Click on the next/Back button. So Each time when the user presses the next/back buttons the page reference should be communicated to the LMS. When the user lauches the course again and press ok to bookmark alert, then the user should redirect to the last visited page.</t>
  </si>
  <si>
    <t>Check bookmark when the user closed the course in the middle of assessment.</t>
  </si>
  <si>
    <t>Close the course window in the middle of the assessment. Relaunch the course again. It should open the Assessment's first page or assessment's objectives page.</t>
  </si>
  <si>
    <t>Check bookmark alert Title</t>
  </si>
  <si>
    <t>The Title should be Bookmark</t>
  </si>
  <si>
    <t>Check bookmark Alert message</t>
  </si>
  <si>
    <t>Do you want to go to the last visited Page? Yes / Cancel</t>
  </si>
  <si>
    <t>On exit the course The close window along with all the child windows.</t>
  </si>
  <si>
    <t>Check Exit alert Title</t>
  </si>
  <si>
    <t>The title of the exit alert should be Exit.</t>
  </si>
  <si>
    <t>Check Exit alert Message</t>
  </si>
  <si>
    <t>Do you really want to exit the course? Yes / Continue</t>
  </si>
  <si>
    <t>Check Video</t>
  </si>
  <si>
    <t>1. video should play automatically/manually (business decision)
2. Audio transcript should match with the video.
3. Check is the seekbar/player's buttons (if any) are working.
4. Check the property of the file for the pitch, bit rate and audio/video quality. it should be same for cloud, Standalone.</t>
  </si>
  <si>
    <t>Check Audio</t>
  </si>
  <si>
    <t>1. Audio should be playing automatically/manually as per the business decision.
2. Video transcript should match with the audio.
3. Check is the seekbar/player's buttons (if any) are working.
4. Check the property of the audio file for the pitch, bit rate and audio quality. it should be same for cloud, and standalone.</t>
  </si>
  <si>
    <t>Check the mailto links</t>
  </si>
  <si>
    <t>Click on the mailto links in all the pages. The same mail to link should open in the outlook's new mail window and make sure there should not be any new window left open after the mail to link is copied in to the new outlook mail window</t>
  </si>
  <si>
    <t>Check External links</t>
  </si>
  <si>
    <t>Content should fit in the Course window.</t>
  </si>
  <si>
    <t>The content should Fit within the course window. There should not be any vertical/horizontal Scroll bars in any of the pages.</t>
  </si>
  <si>
    <t>Mouse icons on hover on hotspots</t>
  </si>
  <si>
    <t>check if the hover icon is showing when mouse over on the hotspots. (Hand cursor icon)</t>
  </si>
  <si>
    <t>Click instruction should appear after the clickable are available</t>
  </si>
  <si>
    <t>check if the click instruction text appears after the clickable are visible in the screen</t>
  </si>
  <si>
    <t>All the questions should have correct answers.</t>
  </si>
  <si>
    <t>Check the Results summary Page if the user has passed in the assessment</t>
  </si>
  <si>
    <t>Check the Results summary Page if the user has Failed in the assessment</t>
  </si>
  <si>
    <t xml:space="preserve">The user should have notified with his scores in numeric with the number of correct Answers out of total number of question presented to him.
Retake assessment button and Retake Corse buttons should be presented.
Retake Assessment
1. Fail in the assessemnt. 
2. click on the Retake Assessment button.
3. Observe that the user has presented with the new set of random questions in the assessment.
</t>
  </si>
  <si>
    <t xml:space="preserve">The user should have notified with his scores in numeric with the number of correct Answers out of total number of question presented to him.
Retake assessment button and Retake Corse buttons should be presented.
Retake Course:
1. Fail in the assessemnt. 
2. click on the Retake Course button.
3. Observe that the user has redirected to the First page of the course.
</t>
  </si>
  <si>
    <t xml:space="preserve">The maximim score for an assessment is 100 </t>
  </si>
  <si>
    <t>Take and get Fail score in the assessment. Click on the Re-take button. Again fail in the assessement. Check the score obtained. The assessment score should also have reset and the score should not be more than 100. make sure the scores in each attempt are not adding with the previous attempt scores.</t>
  </si>
  <si>
    <t>Content communication Log</t>
  </si>
  <si>
    <t>Enable content communication log and attach once completed testing the course.</t>
  </si>
  <si>
    <t>Course Launch Status</t>
  </si>
  <si>
    <t>SABA Status : Not Evaluated ; Attach Screenshot.</t>
  </si>
  <si>
    <t>User has launched the learning object (navigate 2 or 3 screens) and closed</t>
  </si>
  <si>
    <t>SABA Status : Inprogress ; Attach Screenshot.</t>
  </si>
  <si>
    <t>User has launched the learning object and navigate all the screens except the Assessment</t>
  </si>
  <si>
    <t>User has launched the learning object and navigate through the screens. User has failed in the assessment</t>
  </si>
  <si>
    <t>SABA Status : Completed Unsuccessfully ; Attach Screenshot.</t>
  </si>
  <si>
    <t>Passing the tutorial assessment (if applicable) with a score of ≥80%</t>
  </si>
  <si>
    <t>SABA Status : Completed Successfully ; Attach Screenshot.</t>
  </si>
  <si>
    <t>Completed a tutorial that does not have a assessment by some other method (viewing all pages, clicking on last page etc.)</t>
  </si>
  <si>
    <t>Check Attempts and Results in SABA.</t>
  </si>
  <si>
    <t>Click on the Result link in SABA after completed testing. Click on View link to view attempts and results; Attach screenshot.</t>
  </si>
  <si>
    <t>Check if the maximum score is showing in SABA</t>
  </si>
  <si>
    <t>When ever the user get the maximum score than his previous attempts, his maximum score will be updated with the earlier scores.</t>
  </si>
  <si>
    <t>Disconnect the internet and work on the course</t>
  </si>
  <si>
    <t>The course should not work without internet connection. Check the following scenario.
a) Launch the Course; then disconnect the internet b). Check the navigation from the spalash screen.
In the above scenario the Course should not work and the Results should not be passes to the LMS.</t>
  </si>
  <si>
    <t>The course should not work without internet connection. Check the following scenarios.
a) Launch the course and navigate all the pages b) disconect internet  c) Try to acess the assessment.
In the above scenario the Course should not work and the Results should not be passes to the LMS.</t>
  </si>
  <si>
    <t>The course should not work without internet connection. Check the following scenario.
 a) Launch the course and navigate all the pages; then complete the assessment. b) disconect the internet before loading the certificate page
In the above scenario the Course should not work and the Results should not be passes to the LMS.</t>
  </si>
  <si>
    <t>The course should not work without internet connection. Check the following scenario.
a) Launch the course and navigate all the pages; then complete the assessment. b) disconect the internet before loading the certificate page
In the above scenario the Course should not work and the Results should not be passes to the LMS.</t>
  </si>
  <si>
    <t>Disconnect the internet after completing all the questions in the assessment. Try to acess the certificate page.</t>
  </si>
  <si>
    <t xml:space="preserve">The Communication should be passed to the LMS for the following scenario
1. a) Launch the course and navigate all the pages; then complete the assessment and get the passing score .
 b) View certificate and now disconnet the internet  - check for the completed status.
The completed status and the Assessment score should be passed to the LMS
</t>
  </si>
  <si>
    <t>Get all posibility of Passing scores. Ie. If the passing Score is &gt; 80. Get 80, 90 and 100% once.</t>
  </si>
  <si>
    <t xml:space="preserve">Pass the assessment with 80%
Pass the assessment with 90%
Pass the assessment with 100%
</t>
  </si>
  <si>
    <t>Check the passing score in the SABA Result page. And in the immanifest.xml file in the package.</t>
  </si>
  <si>
    <t>The passing score should be 80. (depends on the course)</t>
  </si>
  <si>
    <t>Certificate</t>
  </si>
  <si>
    <t>Check if the certificate's preview is opening in the same window.</t>
  </si>
  <si>
    <t>On click on the Print certificate button, the preview should open in the same window. It should not open in new window.</t>
  </si>
  <si>
    <t>The watermark of Standard Chartered logo should be presented in the certificate and the appearance of the logo should not be more visible than the text in the certificate.</t>
  </si>
  <si>
    <t>Check the Date in the Certificate</t>
  </si>
  <si>
    <t xml:space="preserve">check the date in the certificate. The Certificate date should show, the first time Passing score.
1. Pass in the assessment
2. View Certificate and note the passing score
3. Close the course window.
4. Change the system date
5. Open the course. Press OK to bookmark.
6. Observe.
The date printed in the certificate should be the first time passing date by the user. The date should not show the changed system date.
</t>
  </si>
  <si>
    <t>Check the alert message when LMS communication is Failed</t>
  </si>
  <si>
    <t>Check the alert message when LMS communication is Passed</t>
  </si>
  <si>
    <t>Copy right must appear at the bottom of the splash page.
Copyright © [YEAR]. Standard Chartered Bank. All rights reserved.
The font details are as follow:
Font: Arial
Font Style: Normal
Font Size: 10px - Lectora 8pt
Font Color: Black/White (based on the Background used)</t>
  </si>
  <si>
    <t>Functional Area</t>
  </si>
  <si>
    <t>Template</t>
  </si>
  <si>
    <t>Content</t>
  </si>
  <si>
    <t>Navigation</t>
  </si>
  <si>
    <t>Check of content/images for overlapping</t>
  </si>
  <si>
    <t>eLearning</t>
  </si>
  <si>
    <t>Bookmark</t>
  </si>
  <si>
    <t>eAssessment</t>
  </si>
  <si>
    <t>Communication</t>
  </si>
  <si>
    <t>Dashboard Data for &lt;Project Name Here&gt;</t>
  </si>
  <si>
    <t>Area</t>
  </si>
  <si>
    <t xml:space="preserve">Template </t>
  </si>
  <si>
    <t>Number</t>
  </si>
  <si>
    <t>Iteration 1</t>
  </si>
  <si>
    <t>Total Number of Test Cases Passed, Failed, NA and Pending</t>
  </si>
  <si>
    <t>Iterations</t>
  </si>
  <si>
    <t>Passed</t>
  </si>
  <si>
    <t>Failed</t>
  </si>
  <si>
    <t>Closed</t>
  </si>
  <si>
    <t>Click Exit in the course. Check if you can get the alert message.
Check if the exit is alert is showing when the browser is closed directly by pressing Close button or ALT+ F4 and make sure  the course window is closed along with all the child windows.</t>
  </si>
  <si>
    <t>Click Exit in the course. Check if you can get the alert message.
1. Press Continue button in alert message and Check if you can able to continue in the course.
2. Press OK and check the course window is closed along with all the child windows.</t>
  </si>
  <si>
    <t>Number of Test Conditions  v Functional Areas/Requirements</t>
  </si>
  <si>
    <t>Check for Flash based files in the course.</t>
  </si>
  <si>
    <t xml:space="preserve">The communications from the LMS is sucessful upon getting the data, such as Name, Bank ID, Score and Date from LMS on generating certificate. 
If the communication is fine to get these data, generate the certificate and present it to the user.
</t>
  </si>
  <si>
    <t xml:space="preserve">The communications from the LMS is sucessful upon getting the data, such as Name, Bank ID, Score and Date from LMS on generating certificate. 
If the communication is failes to get these data, show a prompt message stating
“Retrieval of data failed, this may be due to
a) Failure in internet connection
b) Failure in VPN connection
c) Session Timeout
Please check all the above and re-take the assessment/course for successful completion
Note: Bookmark will help you to go to the last page you visited.”
If the communication is fine to get these data, generate the certificate and present it to the user.
</t>
  </si>
  <si>
    <t>Test Cases Vs Funtional Area</t>
  </si>
  <si>
    <t>Total</t>
  </si>
  <si>
    <t>Total cases in Functional Area</t>
  </si>
  <si>
    <t>Date</t>
  </si>
  <si>
    <t>Course deeplink</t>
  </si>
  <si>
    <t>Reported By</t>
  </si>
  <si>
    <t>Vendor</t>
  </si>
  <si>
    <t>Iteration</t>
  </si>
  <si>
    <t>Description of the Defect</t>
  </si>
  <si>
    <t>Screenshot</t>
  </si>
  <si>
    <t>Type of Issue</t>
  </si>
  <si>
    <t>Severity</t>
  </si>
  <si>
    <t>Comments</t>
  </si>
  <si>
    <t>Open</t>
  </si>
  <si>
    <t>Priority</t>
  </si>
  <si>
    <t>Low</t>
  </si>
  <si>
    <t>Medium</t>
  </si>
  <si>
    <t>High</t>
  </si>
  <si>
    <t>Re-Open</t>
  </si>
  <si>
    <t>Not Reproucible</t>
  </si>
  <si>
    <t>Deffered</t>
  </si>
  <si>
    <t>Fixed</t>
  </si>
  <si>
    <t>Joe</t>
  </si>
  <si>
    <t>Ravi</t>
  </si>
  <si>
    <t>Silas</t>
  </si>
  <si>
    <t>Gopi</t>
  </si>
  <si>
    <t>Muthu</t>
  </si>
  <si>
    <t>Surya</t>
  </si>
  <si>
    <t>Reports from Defect sheet</t>
  </si>
  <si>
    <t>Reports from Test Case</t>
  </si>
  <si>
    <t>Issues Reported</t>
  </si>
  <si>
    <r>
      <t xml:space="preserve">1. Module/Lesson names should be placed below to the Colour stripe Visual Identity Band (VIB).
2. The course name should be placed in the footer.
3. The course name in the spalash screen and in the footer should be given the same name as in the course fact sheet.
</t>
    </r>
    <r>
      <rPr>
        <b/>
        <sz val="10"/>
        <rFont val="Calibri"/>
        <family val="2"/>
      </rPr>
      <t xml:space="preserve">Abbreviations in the course title </t>
    </r>
    <r>
      <rPr>
        <sz val="10"/>
        <rFont val="Calibri"/>
        <family val="2"/>
      </rPr>
      <t xml:space="preserve">- if used - must be in brackets followed by expansion
</t>
    </r>
    <r>
      <rPr>
        <b/>
        <sz val="10"/>
        <rFont val="Calibri"/>
        <family val="2"/>
      </rPr>
      <t>Example:
SCORM version:</t>
    </r>
    <r>
      <rPr>
        <sz val="10"/>
        <rFont val="Calibri"/>
        <family val="2"/>
      </rPr>
      <t xml:space="preserve"> &lt;Course title&gt; &lt;Language if not English&gt; – e-Learning/e-Assessment
</t>
    </r>
    <r>
      <rPr>
        <b/>
        <sz val="10"/>
        <rFont val="Calibri"/>
        <family val="2"/>
      </rPr>
      <t>CD or standalone version:</t>
    </r>
    <r>
      <rPr>
        <sz val="10"/>
        <rFont val="Calibri"/>
        <family val="2"/>
      </rPr>
      <t xml:space="preserve"> &lt;Course title&gt; &lt;Language if not English&gt;– Standalone version
</t>
    </r>
  </si>
  <si>
    <t>Check where bookmark is communicated to the LMS</t>
  </si>
  <si>
    <t>Check all the questions in the assessment without randomize the questions and select the correct answers for those questions. Compare the answers with the Assessment's answer keys.</t>
  </si>
  <si>
    <r>
      <t xml:space="preserve">The user should have notified with his scores in numeric with the number of correct Answers out of total number of question presented to him.
</t>
    </r>
    <r>
      <rPr>
        <b/>
        <sz val="10"/>
        <rFont val="Calibri"/>
        <family val="2"/>
      </rPr>
      <t>Print Button</t>
    </r>
    <r>
      <rPr>
        <sz val="10"/>
        <rFont val="Calibri"/>
        <family val="2"/>
      </rPr>
      <t xml:space="preserve">:- The user can be able to Print the cerificate by click on the button
</t>
    </r>
  </si>
  <si>
    <t>Check Certificate details</t>
  </si>
  <si>
    <t>Check Watermark logo in the Certificate</t>
  </si>
  <si>
    <r>
      <t xml:space="preserve">Certificate of Completion
This certificate is Presented in recognition of 
</t>
    </r>
    <r>
      <rPr>
        <b/>
        <sz val="10"/>
        <rFont val="Arial"/>
        <family val="2"/>
        <scheme val="minor"/>
      </rPr>
      <t xml:space="preserve">
&lt;First name&gt;, &lt;Last name&gt;</t>
    </r>
    <r>
      <rPr>
        <sz val="10"/>
        <rFont val="Arial"/>
        <family val="2"/>
        <scheme val="minor"/>
      </rPr>
      <t xml:space="preserve">
</t>
    </r>
    <r>
      <rPr>
        <b/>
        <sz val="10"/>
        <rFont val="Arial"/>
        <family val="2"/>
        <scheme val="minor"/>
      </rPr>
      <t>&lt;BankID&gt;</t>
    </r>
    <r>
      <rPr>
        <sz val="10"/>
        <rFont val="Arial"/>
        <family val="2"/>
        <scheme val="minor"/>
      </rPr>
      <t xml:space="preserve">
For having successfully completed the 
for eLearning and eAssessment
</t>
    </r>
    <r>
      <rPr>
        <b/>
        <sz val="10"/>
        <rFont val="Arial"/>
        <family val="2"/>
        <scheme val="minor"/>
      </rPr>
      <t>&lt;Course Name&gt;  (language) (e-Learning)/(e-Assessment)</t>
    </r>
    <r>
      <rPr>
        <sz val="10"/>
        <rFont val="Arial"/>
        <family val="2"/>
        <scheme val="minor"/>
      </rPr>
      <t xml:space="preserve">
for Standalone</t>
    </r>
    <r>
      <rPr>
        <b/>
        <sz val="10"/>
        <rFont val="Arial"/>
        <family val="2"/>
        <scheme val="minor"/>
      </rPr>
      <t xml:space="preserve">
&lt;Course Name&gt;  (language) (Standalone version)</t>
    </r>
    <r>
      <rPr>
        <sz val="10"/>
        <rFont val="Arial"/>
        <family val="2"/>
        <scheme val="minor"/>
      </rPr>
      <t xml:space="preserve">
with a score of </t>
    </r>
    <r>
      <rPr>
        <b/>
        <sz val="10"/>
        <rFont val="Arial"/>
        <family val="2"/>
        <scheme val="minor"/>
      </rPr>
      <t>&lt;score&gt;</t>
    </r>
    <r>
      <rPr>
        <sz val="10"/>
        <rFont val="Arial"/>
        <family val="2"/>
        <scheme val="minor"/>
      </rPr>
      <t xml:space="preserve">%, on </t>
    </r>
    <r>
      <rPr>
        <b/>
        <sz val="10"/>
        <rFont val="Arial"/>
        <family val="2"/>
        <scheme val="minor"/>
      </rPr>
      <t>&lt;dd-MMM-yyyy&gt;</t>
    </r>
    <r>
      <rPr>
        <sz val="10"/>
        <rFont val="Arial"/>
        <family val="2"/>
        <scheme val="minor"/>
      </rPr>
      <t xml:space="preserve">
</t>
    </r>
    <r>
      <rPr>
        <b/>
        <sz val="10"/>
        <rFont val="Arial"/>
        <family val="2"/>
        <scheme val="minor"/>
      </rPr>
      <t>(language)</t>
    </r>
    <r>
      <rPr>
        <sz val="10"/>
        <rFont val="Arial"/>
        <family val="2"/>
        <scheme val="minor"/>
      </rPr>
      <t xml:space="preserve"> - Needs to be mentioned for all languages, Except English.
</t>
    </r>
    <r>
      <rPr>
        <b/>
        <sz val="10"/>
        <rFont val="Arial"/>
        <family val="2"/>
        <scheme val="minor"/>
      </rPr>
      <t>(Standalone version)</t>
    </r>
    <r>
      <rPr>
        <sz val="10"/>
        <rFont val="Arial"/>
        <family val="2"/>
        <scheme val="minor"/>
      </rPr>
      <t xml:space="preserve"> - must be mentioned for Standalone versions
</t>
    </r>
  </si>
  <si>
    <t>Date format in the certificate as per guideline</t>
  </si>
  <si>
    <t>Check all  must available buttons in the certificate</t>
  </si>
  <si>
    <r>
      <rPr>
        <b/>
        <sz val="10"/>
        <rFont val="Arial"/>
        <family val="2"/>
        <scheme val="minor"/>
      </rPr>
      <t>Close -</t>
    </r>
    <r>
      <rPr>
        <sz val="10"/>
        <rFont val="Arial"/>
        <family val="2"/>
        <scheme val="minor"/>
      </rPr>
      <t xml:space="preserve"> On press the close button the certificate must be closed and the user should redirect to the Results Summary page.
</t>
    </r>
    <r>
      <rPr>
        <b/>
        <sz val="10"/>
        <rFont val="Arial"/>
        <family val="2"/>
        <scheme val="minor"/>
      </rPr>
      <t>Print</t>
    </r>
    <r>
      <rPr>
        <sz val="10"/>
        <rFont val="Arial"/>
        <family val="2"/>
        <scheme val="minor"/>
      </rPr>
      <t xml:space="preserve">  - On press the Print Button must open the print preview from the same browser window.</t>
    </r>
  </si>
  <si>
    <t>The Date format in the certificate must be &lt;dd&gt; &lt;month name&gt; &lt;yyyy&gt;</t>
  </si>
  <si>
    <t>Check the links that opens the files</t>
  </si>
  <si>
    <t>The links given for the fileslike  PDF, PPT,MP4 etc.. Should be open within the course window and it must not open in new window. Also by closing these files, the user can able to view the last visited page.</t>
  </si>
  <si>
    <t>Not Verified</t>
  </si>
  <si>
    <t>Check bookmark after the assessment - Fail in the Assessment</t>
  </si>
  <si>
    <t>Check bookmark after the assessment - Pass in the Assessment</t>
  </si>
  <si>
    <t xml:space="preserve">
Fail in the Assessment and close the course  and Relaunch - Press Ok to bookmark, The user should have redirect to the Assessment's Intro Page.
</t>
  </si>
  <si>
    <t xml:space="preserve"> Get passing score in  the assessment. Close the course when viewing the Result Summary Page. Relaunch. Press Ok to bookmark, The user should have redirect to the Results summary page.
</t>
  </si>
  <si>
    <t xml:space="preserve">
Get passing score in  the assessment. View Certificate/Print certificate. Close the course when viewing the Certificate. Close the course and relaunch. Press Ok to bookmark. The user should have redirect to the Results summary page.
</t>
  </si>
  <si>
    <t>Check bookmark after the assessment - Pass in the Assessment - Close the course on viewing the course</t>
  </si>
  <si>
    <t xml:space="preserve">Cannot be performed at the Vendor end. GBS UAT Team must execte this case </t>
  </si>
  <si>
    <t>Not applicable</t>
  </si>
  <si>
    <t>Click on the external web links Link. It should open within the same course window. Closing the weblink should redirect to the last visited course's page.</t>
  </si>
  <si>
    <t>Check Exit - Close the course using Exit button in the course</t>
  </si>
  <si>
    <t>Check Exit - Close the course from browser's close button</t>
  </si>
  <si>
    <t xml:space="preserve">Check Exit </t>
  </si>
  <si>
    <t>Test case are Pending to execute for Clarification/to execute current Iteration</t>
  </si>
  <si>
    <t>Cases based on Template of the course</t>
  </si>
  <si>
    <t>Cases based on Navigations in the course</t>
  </si>
  <si>
    <t>Cases based on eLearning module</t>
  </si>
  <si>
    <t>Cases based on eAssessment</t>
  </si>
  <si>
    <t>Cases based on The On Screen Text/images</t>
  </si>
  <si>
    <t>Cases based on the status communicated to SABA</t>
  </si>
  <si>
    <t>Cases based on the bookmark Functionality</t>
  </si>
  <si>
    <t>Cases based on the Certificate</t>
  </si>
  <si>
    <t>This defect indicates complete shut-down of the process, nothing can proceed further</t>
  </si>
  <si>
    <t>It is a highly severe defect and collapse the system. However, certain parts of the system remain functional</t>
  </si>
  <si>
    <t>It cause some undesirable behavior, but the system is still functional</t>
  </si>
  <si>
    <t>It won't cause any major break-down of the system</t>
  </si>
  <si>
    <t>Improvement that required in the design of the eLearning but It won't cause any break-down of the system</t>
  </si>
  <si>
    <t>Generic Test Cases</t>
  </si>
  <si>
    <t>Defect Sheet</t>
  </si>
  <si>
    <t>Repair can be done once the more serious defect have been fixed</t>
  </si>
  <si>
    <t>The defect must be resolved after the High Priority issues fixed</t>
  </si>
  <si>
    <t>The defect must be resolved as soon as possible</t>
  </si>
  <si>
    <t>Newly Opened Issue - Updated by the SCB UAT Team</t>
  </si>
  <si>
    <t>Re-open status updated by the SCB UAT Team if the defect is not Fixed</t>
  </si>
  <si>
    <t>The defect is accepted and it needs to be fixed and verified in future iteration - Updated by the Development Team/SCB UAT Team</t>
  </si>
  <si>
    <t>SCB UAT Team must Change the status to NA if the defect opened is not applicable.</t>
  </si>
  <si>
    <t>Updated by the Development Team/SCB UAT Team if the Defect needs to be discussed and Waiting for Clarification</t>
  </si>
  <si>
    <t>SCB UAT Team must Change the status to NA if the defect opened is not Re-producible</t>
  </si>
  <si>
    <t>Should be updated by the development Team after the defect fixed</t>
  </si>
  <si>
    <t>SCB UAT Team must close the issue after verfied the fixed defects</t>
  </si>
  <si>
    <t>Waived-Off-Business</t>
  </si>
  <si>
    <t>SCB UAT Team must Change this issue to Waived-Off-Business once a defect is given waived of by the business team</t>
  </si>
  <si>
    <t>Waived-Off-UAT</t>
  </si>
  <si>
    <t>SCB UAT Team must Change this issue to Waived-Off-UAT once a defect is given waived of by the UAT team</t>
  </si>
  <si>
    <t>Issue Closed on</t>
  </si>
  <si>
    <t>Defect's Age</t>
  </si>
  <si>
    <t>Functionality</t>
  </si>
  <si>
    <t>Graphics</t>
  </si>
  <si>
    <t>Others</t>
  </si>
  <si>
    <t>Not Reproducible</t>
  </si>
  <si>
    <t>Ravishankar, Gopinath</t>
  </si>
  <si>
    <t>Content Defect Report</t>
  </si>
  <si>
    <t xml:space="preserve">The Development team must update only the status highlighted in Yellow. </t>
  </si>
  <si>
    <t>Status/Iterations</t>
  </si>
  <si>
    <t>V2.0</t>
  </si>
  <si>
    <t>CET-Name Screening-Core</t>
  </si>
  <si>
    <t>Spalsh screen - revisit to the spalash screen. click on the progress bar button 1,2,3,4 then again 2, 3. Observe that the audio stops playing and the progress is not moving in the box.</t>
  </si>
  <si>
    <t xml:space="preserve">The bookmark is not working properly when the internet is disconnected and connected back again.
Navigate to few pages. Ex. 10 pages.
Disconnect the internet.
click the next button.
internet disconnect alert will appear. Press Ok.
connect the internet.
click on next and browser upto 15 pages.
internet disconnect alert will appear. Press Ok.
close the course.
connect to the internet. 
Launch the course.
click ok to the bookmark alert.
Onbserve that the bookmark is redirect to the 10th page. it must be redirect to the last visited page. ie. Page 15.
</t>
  </si>
  <si>
    <t>disable Help, Glossary, Menu, and Back buttons in the results summary</t>
  </si>
  <si>
    <t>Provide a non random version of assessment with the answer key to verify correct answers for all questions.</t>
  </si>
  <si>
    <t>Certificate  - add (eLearning) next to the course name in the certificate.</t>
  </si>
  <si>
    <t>Page 3 must be enabled if the user has visited already.</t>
  </si>
  <si>
    <t>If an user has passed in the assessment, no need to take the assessment once again. redirect the user to the results summary page if he has passed the assessment and click on the assessment link.</t>
  </si>
  <si>
    <t>GC-Solutions</t>
  </si>
  <si>
    <t>Rekha</t>
  </si>
  <si>
    <t xml:space="preserve">UAT - content testing - CET_Name_Screening_Core_eLearning_Eng_V1_Test 
</t>
  </si>
  <si>
    <t xml:space="preserve">spalsh screen - view the spalsh screen and move to next page.
Revisit the spalsh screen again. observe the next button is disabled.
it must be enabled if the user has visited already.
</t>
  </si>
  <si>
    <t>Visit Pages 18, 21, 24
Click on the Fact
Click on the next button to move on to next page.
clcik back button to back to previous page.
Observe that the Next button is disabled. It must be enabled, since this page has visited already and the fact has read already.</t>
  </si>
  <si>
    <t>The internet disconnection alert is not appearing when the internet connection is off. The questions are loading from the cache and the user can be able to see the results summary page. The scores are not updated correctly to the LMS when there is multiple internet disconnections in the assessment pages.</t>
  </si>
  <si>
    <t>Only nine questions are recorded in the LMS. Please refer the screenshot.</t>
  </si>
  <si>
    <t>Audio Seekbar is required and the audio Progress bar at the top right content area should be removed.</t>
  </si>
  <si>
    <r>
      <rPr>
        <b/>
        <sz val="11"/>
        <rFont val="Calibri"/>
        <family val="2"/>
      </rPr>
      <t>Gcube:</t>
    </r>
    <r>
      <rPr>
        <sz val="11"/>
        <rFont val="Calibri"/>
        <family val="2"/>
      </rPr>
      <t xml:space="preserve"> Done</t>
    </r>
  </si>
  <si>
    <r>
      <rPr>
        <b/>
        <sz val="11"/>
        <rFont val="Calibri"/>
        <family val="2"/>
      </rPr>
      <t>QC Cmts</t>
    </r>
    <r>
      <rPr>
        <sz val="11"/>
        <rFont val="Calibri"/>
        <family val="2"/>
      </rPr>
      <t>: working fine after waiting for 10 seconds on every page.</t>
    </r>
  </si>
  <si>
    <r>
      <rPr>
        <b/>
        <sz val="11"/>
        <rFont val="Calibri"/>
        <family val="2"/>
      </rPr>
      <t xml:space="preserve">QC Cmts: </t>
    </r>
    <r>
      <rPr>
        <sz val="11"/>
        <rFont val="Calibri"/>
        <family val="2"/>
      </rPr>
      <t>The scenario is replicated only if the wire is unplugged and the assessment questions are attempted immediately after unplugging. This way, we will be able to attempt next 1 or two questions. But, when the wire is unplugged and if we wait for 3-4 seconds, the next assessment questions will not load. The screen will freeze and we will not be able to click the next button.</t>
    </r>
  </si>
  <si>
    <r>
      <rPr>
        <b/>
        <sz val="11"/>
        <rFont val="Calibri"/>
        <family val="2"/>
      </rPr>
      <t>Gcube:</t>
    </r>
    <r>
      <rPr>
        <sz val="11"/>
        <rFont val="Calibri"/>
        <family val="2"/>
      </rPr>
      <t xml:space="preserve"> Slider has changed</t>
    </r>
  </si>
  <si>
    <r>
      <rPr>
        <b/>
        <sz val="11"/>
        <rFont val="Calibri"/>
        <family val="2"/>
      </rPr>
      <t>Gcube:</t>
    </r>
    <r>
      <rPr>
        <sz val="11"/>
        <rFont val="Calibri"/>
        <family val="2"/>
      </rPr>
      <t xml:space="preserve"> Done. On page 1, seekbar will be disabled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</si>
</sst>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9]d\ mmmm\ yyyy;@"/>
  </numFmts>
  <fonts count="23">
    <font>
      <sz val="11"/>
      <color theme="1"/>
      <name val="Arial"/>
      <family val="2"/>
      <scheme val="minor"/>
    </font>
    <font>
      <sz val="10"/>
      <name val="Arial"/>
      <family val="2"/>
    </font>
    <font>
      <sz val="10"/>
      <name val="Arial"/>
      <family val="2"/>
    </font>
    <font>
      <sz val="10"/>
      <name val="Calibri"/>
      <family val="2"/>
    </font>
    <font>
      <b/>
      <sz val="10"/>
      <name val="Calibri"/>
      <family val="2"/>
    </font>
    <font>
      <b/>
      <sz val="10"/>
      <color theme="0"/>
      <name val="Arial"/>
      <family val="2"/>
      <scheme val="minor"/>
    </font>
    <font>
      <sz val="10"/>
      <name val="Arial"/>
      <family val="2"/>
      <scheme val="minor"/>
    </font>
    <font>
      <b/>
      <sz val="10"/>
      <name val="Arial"/>
      <family val="2"/>
      <scheme val="minor"/>
    </font>
    <font>
      <b/>
      <sz val="10"/>
      <name val="Arial"/>
      <family val="2"/>
    </font>
    <font>
      <sz val="10"/>
      <color indexed="9"/>
      <name val="Arial"/>
      <family val="2"/>
    </font>
    <font>
      <b/>
      <sz val="14"/>
      <color theme="0"/>
      <name val="Arial"/>
      <family val="2"/>
    </font>
    <font>
      <b/>
      <sz val="10"/>
      <color theme="0"/>
      <name val="Arial"/>
      <family val="2"/>
    </font>
    <font>
      <u/>
      <sz val="12"/>
      <color theme="10"/>
      <name val="宋体"/>
      <charset val="134"/>
    </font>
    <font>
      <sz val="11"/>
      <color theme="1"/>
      <name val="Calibri"/>
      <family val="2"/>
    </font>
    <font>
      <sz val="11"/>
      <name val="Calibri"/>
      <family val="2"/>
    </font>
    <font>
      <b/>
      <sz val="11"/>
      <color theme="0"/>
      <name val="Calibri"/>
      <family val="2"/>
    </font>
    <font>
      <b/>
      <sz val="11"/>
      <name val="Calibri"/>
      <family val="2"/>
    </font>
    <font>
      <u/>
      <sz val="11"/>
      <color theme="10"/>
      <name val="Calibri"/>
      <family val="2"/>
    </font>
    <font>
      <b/>
      <sz val="11"/>
      <color rgb="FF002060"/>
      <name val="Calibri"/>
      <family val="2"/>
    </font>
    <font>
      <sz val="11"/>
      <color rgb="FF7030A0"/>
      <name val="Calibri"/>
      <family val="2"/>
    </font>
    <font>
      <b/>
      <sz val="11"/>
      <color rgb="FF7030A0"/>
      <name val="Calibri"/>
      <family val="2"/>
    </font>
    <font>
      <b/>
      <u/>
      <sz val="11"/>
      <color rgb="FF7030A0"/>
      <name val="Calibri"/>
      <family val="2"/>
    </font>
    <font>
      <b/>
      <sz val="11"/>
      <color theme="1"/>
      <name val="Arial"/>
      <family val="2"/>
      <scheme val="minor"/>
    </font>
  </fonts>
  <fills count="9">
    <fill>
      <patternFill patternType="none"/>
    </fill>
    <fill>
      <patternFill patternType="gray125"/>
    </fill>
    <fill>
      <patternFill patternType="solid">
        <fgColor rgb="FF002060"/>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indexed="9"/>
        <bgColor indexed="64"/>
      </patternFill>
    </fill>
    <fill>
      <patternFill patternType="solid">
        <fgColor rgb="FF0070C0"/>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dashed">
        <color indexed="64"/>
      </right>
      <top/>
      <bottom style="dashed">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dashed">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4">
    <xf numFmtId="0" fontId="0" fillId="0" borderId="0"/>
    <xf numFmtId="0" fontId="1" fillId="0" borderId="0"/>
    <xf numFmtId="0" fontId="2" fillId="0" borderId="0"/>
    <xf numFmtId="0" fontId="12" fillId="0" borderId="0" applyNumberFormat="0" applyFill="0" applyBorder="0" applyAlignment="0" applyProtection="0">
      <alignment vertical="top"/>
      <protection locked="0"/>
    </xf>
  </cellStyleXfs>
  <cellXfs count="98">
    <xf numFmtId="0" fontId="0" fillId="0" borderId="0" xfId="0"/>
    <xf numFmtId="0" fontId="2" fillId="0" borderId="0" xfId="2"/>
    <xf numFmtId="0" fontId="2" fillId="6" borderId="0" xfId="2" applyFill="1"/>
    <xf numFmtId="0" fontId="8" fillId="6" borderId="0" xfId="2" applyFont="1" applyFill="1" applyBorder="1" applyAlignment="1">
      <alignment vertical="center"/>
    </xf>
    <xf numFmtId="0" fontId="8" fillId="0" borderId="7" xfId="2" applyFont="1" applyBorder="1" applyAlignment="1">
      <alignment horizontal="center"/>
    </xf>
    <xf numFmtId="0" fontId="8" fillId="0" borderId="7" xfId="2" applyFont="1" applyFill="1" applyBorder="1" applyAlignment="1">
      <alignment horizontal="center"/>
    </xf>
    <xf numFmtId="0" fontId="9" fillId="6" borderId="0" xfId="2" applyFont="1" applyFill="1"/>
    <xf numFmtId="0" fontId="11" fillId="7" borderId="1" xfId="2" applyFont="1" applyFill="1" applyBorder="1" applyAlignment="1">
      <alignment horizontal="center" vertical="center"/>
    </xf>
    <xf numFmtId="0" fontId="8" fillId="0" borderId="0" xfId="2" applyFont="1" applyFill="1" applyBorder="1" applyAlignment="1">
      <alignment horizontal="center"/>
    </xf>
    <xf numFmtId="0" fontId="15" fillId="3" borderId="1" xfId="0" applyFont="1" applyFill="1" applyBorder="1" applyAlignment="1">
      <alignment horizontal="center" vertical="center" wrapText="1"/>
    </xf>
    <xf numFmtId="0" fontId="11" fillId="7" borderId="1" xfId="2" applyFont="1" applyFill="1" applyBorder="1" applyAlignment="1">
      <alignment horizontal="left" vertical="center"/>
    </xf>
    <xf numFmtId="0" fontId="8" fillId="6" borderId="0" xfId="2" applyFont="1" applyFill="1" applyBorder="1" applyAlignment="1">
      <alignment horizontal="center" vertical="center"/>
    </xf>
    <xf numFmtId="0" fontId="8" fillId="0" borderId="10" xfId="2" applyFont="1" applyBorder="1" applyAlignment="1">
      <alignment horizontal="center"/>
    </xf>
    <xf numFmtId="0" fontId="11" fillId="7" borderId="9" xfId="2" applyFont="1" applyFill="1" applyBorder="1" applyAlignment="1">
      <alignment horizontal="left" vertical="center"/>
    </xf>
    <xf numFmtId="0" fontId="0" fillId="0" borderId="0" xfId="0" applyBorder="1"/>
    <xf numFmtId="0" fontId="0" fillId="0" borderId="12" xfId="0" applyBorder="1"/>
    <xf numFmtId="0" fontId="0" fillId="0" borderId="13" xfId="0" applyBorder="1"/>
    <xf numFmtId="0" fontId="0" fillId="0" borderId="14" xfId="0" applyBorder="1"/>
    <xf numFmtId="0" fontId="11" fillId="7" borderId="15" xfId="2" applyFont="1" applyFill="1" applyBorder="1" applyAlignment="1">
      <alignment horizontal="left" vertical="center"/>
    </xf>
    <xf numFmtId="0" fontId="0" fillId="0" borderId="16" xfId="0" applyBorder="1"/>
    <xf numFmtId="0" fontId="11" fillId="7" borderId="15" xfId="2" applyFont="1" applyFill="1" applyBorder="1" applyAlignment="1">
      <alignment horizontal="center" vertical="center"/>
    </xf>
    <xf numFmtId="0" fontId="0" fillId="0" borderId="17" xfId="0" applyBorder="1"/>
    <xf numFmtId="0" fontId="0" fillId="0" borderId="18" xfId="0" applyBorder="1"/>
    <xf numFmtId="0" fontId="0" fillId="0" borderId="19" xfId="0" applyBorder="1"/>
    <xf numFmtId="0" fontId="0" fillId="0" borderId="20" xfId="0" applyBorder="1"/>
    <xf numFmtId="0" fontId="15" fillId="3" borderId="15" xfId="0" applyFont="1" applyFill="1" applyBorder="1" applyAlignment="1">
      <alignment horizontal="center" vertical="center" wrapText="1"/>
    </xf>
    <xf numFmtId="0" fontId="11" fillId="7" borderId="21" xfId="2" applyFont="1" applyFill="1" applyBorder="1" applyAlignment="1">
      <alignment horizontal="center" vertical="center"/>
    </xf>
    <xf numFmtId="0" fontId="15" fillId="2" borderId="1" xfId="0" applyFont="1" applyFill="1" applyBorder="1"/>
    <xf numFmtId="0" fontId="18" fillId="0" borderId="1" xfId="0" applyFont="1" applyBorder="1" applyAlignment="1">
      <alignment horizontal="left"/>
    </xf>
    <xf numFmtId="0" fontId="18" fillId="0" borderId="0" xfId="0" applyFont="1" applyAlignment="1">
      <alignment horizontal="left"/>
    </xf>
    <xf numFmtId="0" fontId="19" fillId="0" borderId="0" xfId="0" applyFont="1"/>
    <xf numFmtId="0" fontId="14" fillId="0" borderId="0" xfId="0" applyFont="1"/>
    <xf numFmtId="0" fontId="14" fillId="0" borderId="0" xfId="0" applyFont="1" applyAlignment="1">
      <alignment horizontal="left"/>
    </xf>
    <xf numFmtId="0" fontId="19" fillId="0" borderId="1" xfId="0" applyFont="1" applyBorder="1" applyAlignment="1">
      <alignment horizontal="left"/>
    </xf>
    <xf numFmtId="0" fontId="18" fillId="8" borderId="1" xfId="0" applyFont="1" applyFill="1" applyBorder="1" applyAlignment="1">
      <alignment horizontal="left"/>
    </xf>
    <xf numFmtId="0" fontId="19" fillId="8" borderId="1" xfId="0" applyFont="1" applyFill="1" applyBorder="1" applyAlignment="1">
      <alignment horizontal="left"/>
    </xf>
    <xf numFmtId="0" fontId="20" fillId="8" borderId="1" xfId="0" applyFont="1" applyFill="1" applyBorder="1" applyAlignment="1">
      <alignment horizontal="left"/>
    </xf>
    <xf numFmtId="14" fontId="18" fillId="0" borderId="1" xfId="0" applyNumberFormat="1" applyFont="1" applyBorder="1" applyAlignment="1">
      <alignment horizontal="left"/>
    </xf>
    <xf numFmtId="0" fontId="21" fillId="8" borderId="0" xfId="0" applyFont="1" applyFill="1"/>
    <xf numFmtId="0" fontId="0" fillId="0" borderId="0" xfId="0" applyFill="1"/>
    <xf numFmtId="0" fontId="11" fillId="0" borderId="0" xfId="2" applyFont="1" applyFill="1" applyBorder="1" applyAlignment="1">
      <alignment horizontal="center" vertical="center"/>
    </xf>
    <xf numFmtId="0" fontId="2" fillId="0" borderId="0" xfId="2" applyFill="1"/>
    <xf numFmtId="0" fontId="8" fillId="0" borderId="1" xfId="2" applyFont="1" applyBorder="1" applyAlignment="1">
      <alignment horizontal="center"/>
    </xf>
    <xf numFmtId="0" fontId="22" fillId="0" borderId="0" xfId="0" applyFont="1" applyFill="1"/>
    <xf numFmtId="0" fontId="22" fillId="0" borderId="0" xfId="0" applyFont="1"/>
    <xf numFmtId="0" fontId="7" fillId="0" borderId="0" xfId="1" applyFont="1" applyBorder="1" applyAlignment="1" applyProtection="1">
      <alignment horizontal="left" vertical="center" wrapText="1"/>
      <protection locked="0"/>
    </xf>
    <xf numFmtId="0" fontId="5" fillId="3" borderId="1" xfId="1" applyFont="1" applyFill="1" applyBorder="1" applyAlignment="1" applyProtection="1">
      <alignment horizontal="left" vertical="center" wrapText="1"/>
      <protection locked="0"/>
    </xf>
    <xf numFmtId="0" fontId="7" fillId="0" borderId="1" xfId="1" applyFont="1" applyBorder="1" applyAlignment="1" applyProtection="1">
      <alignment horizontal="left" vertical="center" wrapText="1"/>
      <protection locked="0"/>
    </xf>
    <xf numFmtId="0" fontId="0" fillId="0" borderId="0" xfId="0" applyAlignment="1" applyProtection="1">
      <alignment wrapText="1"/>
      <protection locked="0"/>
    </xf>
    <xf numFmtId="0" fontId="7" fillId="0" borderId="0" xfId="1" applyFont="1" applyBorder="1" applyAlignment="1" applyProtection="1">
      <alignment horizontal="left" wrapText="1"/>
      <protection locked="0"/>
    </xf>
    <xf numFmtId="0" fontId="5" fillId="2" borderId="6" xfId="1" applyFont="1" applyFill="1" applyBorder="1" applyAlignment="1" applyProtection="1">
      <alignment horizontal="left" vertical="center" wrapText="1"/>
      <protection locked="0"/>
    </xf>
    <xf numFmtId="0" fontId="6" fillId="0" borderId="2" xfId="1" applyFont="1" applyBorder="1" applyAlignment="1" applyProtection="1">
      <alignment horizontal="left" vertical="center" wrapText="1"/>
      <protection locked="0"/>
    </xf>
    <xf numFmtId="0" fontId="6" fillId="0" borderId="1" xfId="1" applyFont="1" applyBorder="1" applyAlignment="1" applyProtection="1">
      <alignment horizontal="left" vertical="center" wrapText="1"/>
      <protection locked="0"/>
    </xf>
    <xf numFmtId="0" fontId="6" fillId="5" borderId="1" xfId="1" applyFont="1" applyFill="1" applyBorder="1" applyAlignment="1" applyProtection="1">
      <alignment horizontal="left" vertical="center" wrapText="1"/>
      <protection locked="0"/>
    </xf>
    <xf numFmtId="0" fontId="6" fillId="8" borderId="1" xfId="1" applyFont="1" applyFill="1" applyBorder="1" applyAlignment="1" applyProtection="1">
      <alignment horizontal="left" vertical="center" wrapText="1"/>
      <protection locked="0"/>
    </xf>
    <xf numFmtId="0" fontId="6" fillId="8" borderId="4" xfId="1" applyFont="1" applyFill="1" applyBorder="1" applyAlignment="1" applyProtection="1">
      <alignment horizontal="left" vertical="center" wrapText="1"/>
      <protection locked="0"/>
    </xf>
    <xf numFmtId="0" fontId="5" fillId="2" borderId="0" xfId="0" applyFont="1" applyFill="1" applyAlignment="1" applyProtection="1">
      <alignment horizontal="center" readingOrder="1"/>
      <protection locked="0"/>
    </xf>
    <xf numFmtId="0" fontId="5" fillId="2" borderId="6" xfId="1" applyFont="1" applyFill="1" applyBorder="1" applyAlignment="1" applyProtection="1">
      <alignment horizontal="left" vertical="center" wrapText="1"/>
    </xf>
    <xf numFmtId="0" fontId="6" fillId="0" borderId="3" xfId="1" applyFont="1" applyBorder="1" applyAlignment="1" applyProtection="1">
      <alignment horizontal="left" vertical="center" wrapText="1"/>
    </xf>
    <xf numFmtId="0" fontId="3" fillId="0" borderId="2" xfId="1" applyFont="1" applyBorder="1" applyAlignment="1" applyProtection="1">
      <alignment horizontal="left" vertical="center" wrapText="1"/>
    </xf>
    <xf numFmtId="0" fontId="6" fillId="0" borderId="4" xfId="1" applyFont="1" applyBorder="1" applyAlignment="1" applyProtection="1">
      <alignment horizontal="left" vertical="center" wrapText="1"/>
    </xf>
    <xf numFmtId="0" fontId="6" fillId="0" borderId="2" xfId="1" applyFont="1" applyBorder="1" applyAlignment="1" applyProtection="1">
      <alignment horizontal="left" vertical="center" wrapText="1"/>
    </xf>
    <xf numFmtId="0" fontId="6" fillId="0" borderId="5" xfId="1" applyFont="1" applyBorder="1" applyAlignment="1" applyProtection="1">
      <alignment horizontal="left" vertical="center" wrapText="1"/>
    </xf>
    <xf numFmtId="0" fontId="6" fillId="0" borderId="1" xfId="1" applyFont="1" applyBorder="1" applyAlignment="1" applyProtection="1">
      <alignment horizontal="left" vertical="center" wrapText="1"/>
    </xf>
    <xf numFmtId="0" fontId="6" fillId="5" borderId="5" xfId="1" applyFont="1" applyFill="1" applyBorder="1" applyAlignment="1" applyProtection="1">
      <alignment horizontal="left" vertical="center" wrapText="1"/>
    </xf>
    <xf numFmtId="0" fontId="6" fillId="5" borderId="1" xfId="1" applyFont="1" applyFill="1" applyBorder="1" applyAlignment="1" applyProtection="1">
      <alignment horizontal="left" vertical="center" wrapText="1"/>
    </xf>
    <xf numFmtId="0" fontId="6" fillId="8" borderId="5" xfId="1" applyFont="1" applyFill="1" applyBorder="1" applyAlignment="1" applyProtection="1">
      <alignment horizontal="left" vertical="center" wrapText="1"/>
    </xf>
    <xf numFmtId="0" fontId="6" fillId="8" borderId="1" xfId="1" applyFont="1" applyFill="1" applyBorder="1" applyAlignment="1" applyProtection="1">
      <alignment horizontal="left" vertical="center" wrapText="1"/>
    </xf>
    <xf numFmtId="0" fontId="6" fillId="8" borderId="4" xfId="1" applyFont="1" applyFill="1" applyBorder="1" applyAlignment="1" applyProtection="1">
      <alignment horizontal="left" vertical="center" wrapText="1"/>
    </xf>
    <xf numFmtId="0" fontId="6" fillId="0" borderId="1" xfId="1" applyFont="1" applyFill="1" applyBorder="1" applyAlignment="1" applyProtection="1">
      <alignment horizontal="left" vertical="center" wrapText="1"/>
    </xf>
    <xf numFmtId="0" fontId="6" fillId="8" borderId="3" xfId="1" applyFont="1" applyFill="1" applyBorder="1" applyAlignment="1" applyProtection="1">
      <alignment horizontal="left" vertical="center" wrapText="1"/>
    </xf>
    <xf numFmtId="0" fontId="14" fillId="0" borderId="0" xfId="0" applyFont="1" applyAlignment="1" applyProtection="1">
      <alignment horizontal="center" vertical="center"/>
      <protection locked="0"/>
    </xf>
    <xf numFmtId="0" fontId="15" fillId="3" borderId="1" xfId="0" applyFont="1" applyFill="1" applyBorder="1" applyAlignment="1" applyProtection="1">
      <alignment horizontal="left" vertical="center" wrapText="1"/>
      <protection locked="0"/>
    </xf>
    <xf numFmtId="0" fontId="16" fillId="0" borderId="1" xfId="0" applyFont="1" applyBorder="1" applyAlignment="1" applyProtection="1">
      <alignment horizontal="left" vertical="center" wrapText="1"/>
      <protection locked="0"/>
    </xf>
    <xf numFmtId="0" fontId="13" fillId="0" borderId="0" xfId="0" applyFont="1" applyAlignment="1" applyProtection="1">
      <alignment horizontal="center" vertical="center"/>
      <protection locked="0"/>
    </xf>
    <xf numFmtId="0" fontId="17" fillId="0" borderId="1" xfId="3" applyFont="1" applyBorder="1" applyAlignment="1" applyProtection="1">
      <alignment horizontal="left" vertical="center" wrapText="1"/>
      <protection locked="0"/>
    </xf>
    <xf numFmtId="0" fontId="15" fillId="3" borderId="1" xfId="0" applyFont="1" applyFill="1" applyBorder="1" applyAlignment="1" applyProtection="1">
      <alignment horizontal="center" vertical="center" wrapText="1"/>
      <protection locked="0"/>
    </xf>
    <xf numFmtId="0" fontId="14" fillId="5" borderId="1" xfId="0" applyFont="1" applyFill="1" applyBorder="1" applyAlignment="1" applyProtection="1">
      <alignment horizontal="left" vertical="center" wrapText="1"/>
      <protection locked="0"/>
    </xf>
    <xf numFmtId="0" fontId="13" fillId="0" borderId="0" xfId="0" applyFont="1" applyAlignment="1" applyProtection="1">
      <alignment horizontal="left" vertical="center"/>
      <protection locked="0"/>
    </xf>
    <xf numFmtId="0" fontId="13" fillId="0" borderId="1" xfId="0" applyFont="1" applyBorder="1" applyAlignment="1" applyProtection="1">
      <alignment horizontal="center" vertical="center"/>
      <protection locked="0"/>
    </xf>
    <xf numFmtId="0" fontId="15" fillId="3" borderId="1" xfId="0" applyFont="1" applyFill="1" applyBorder="1" applyAlignment="1" applyProtection="1">
      <alignment horizontal="center" vertical="center" wrapText="1"/>
    </xf>
    <xf numFmtId="0" fontId="14" fillId="5" borderId="1" xfId="0" applyFont="1" applyFill="1" applyBorder="1" applyAlignment="1" applyProtection="1">
      <alignment horizontal="left" vertical="center" wrapText="1"/>
    </xf>
    <xf numFmtId="164" fontId="14" fillId="5" borderId="1" xfId="0" applyNumberFormat="1" applyFont="1" applyFill="1" applyBorder="1" applyAlignment="1" applyProtection="1">
      <alignment horizontal="left" vertical="center" wrapText="1"/>
    </xf>
    <xf numFmtId="0" fontId="13" fillId="0" borderId="1" xfId="0" applyFont="1" applyBorder="1" applyAlignment="1" applyProtection="1">
      <alignment horizontal="center" vertical="center"/>
    </xf>
    <xf numFmtId="0" fontId="14" fillId="0" borderId="1" xfId="0" applyFont="1" applyBorder="1" applyAlignment="1" applyProtection="1">
      <alignment horizontal="left" vertical="center"/>
    </xf>
    <xf numFmtId="0" fontId="14" fillId="8" borderId="1" xfId="0" applyFont="1" applyFill="1" applyBorder="1" applyAlignment="1" applyProtection="1">
      <alignment horizontal="left" vertical="center" wrapText="1"/>
      <protection locked="0"/>
    </xf>
    <xf numFmtId="0" fontId="16" fillId="4" borderId="1" xfId="0" applyFont="1" applyFill="1" applyBorder="1" applyAlignment="1">
      <alignment horizontal="center" vertical="center"/>
    </xf>
    <xf numFmtId="0" fontId="16" fillId="4" borderId="22" xfId="0" applyFont="1" applyFill="1" applyBorder="1" applyAlignment="1">
      <alignment horizontal="center" vertical="center"/>
    </xf>
    <xf numFmtId="0" fontId="16" fillId="4" borderId="23" xfId="0" applyFont="1" applyFill="1" applyBorder="1" applyAlignment="1">
      <alignment horizontal="center" vertical="center"/>
    </xf>
    <xf numFmtId="0" fontId="11" fillId="2" borderId="11" xfId="2" applyFont="1" applyFill="1" applyBorder="1" applyAlignment="1">
      <alignment horizontal="center" vertical="center"/>
    </xf>
    <xf numFmtId="0" fontId="11" fillId="2" borderId="0" xfId="2" applyFont="1" applyFill="1" applyBorder="1" applyAlignment="1">
      <alignment horizontal="center" vertical="center"/>
    </xf>
    <xf numFmtId="0" fontId="11" fillId="2" borderId="8" xfId="2" applyFont="1" applyFill="1" applyBorder="1" applyAlignment="1">
      <alignment horizontal="center" vertical="center"/>
    </xf>
    <xf numFmtId="0" fontId="10" fillId="2" borderId="0" xfId="2" applyFont="1" applyFill="1" applyAlignment="1">
      <alignment horizontal="left" vertical="center"/>
    </xf>
    <xf numFmtId="0" fontId="11" fillId="2" borderId="4" xfId="2" applyFont="1" applyFill="1" applyBorder="1" applyAlignment="1">
      <alignment horizontal="center" vertical="center"/>
    </xf>
    <xf numFmtId="0" fontId="8" fillId="6" borderId="9" xfId="2" applyFont="1" applyFill="1" applyBorder="1" applyAlignment="1">
      <alignment horizontal="center" vertical="center"/>
    </xf>
    <xf numFmtId="0" fontId="8" fillId="6" borderId="6" xfId="2" applyFont="1" applyFill="1" applyBorder="1" applyAlignment="1">
      <alignment horizontal="center" vertical="center"/>
    </xf>
    <xf numFmtId="0" fontId="8" fillId="6" borderId="2" xfId="2" applyFont="1" applyFill="1" applyBorder="1" applyAlignment="1">
      <alignment horizontal="center" vertical="center"/>
    </xf>
    <xf numFmtId="0" fontId="8" fillId="0" borderId="1" xfId="2" applyFont="1" applyBorder="1" applyAlignment="1">
      <alignment horizontal="center" vertical="center"/>
    </xf>
  </cellXfs>
  <cellStyles count="4">
    <cellStyle name="Hyperlink" xfId="3" builtinId="8"/>
    <cellStyle name="Normal" xfId="0" builtinId="0"/>
    <cellStyle name="Normal 2" xfId="1"/>
    <cellStyle name="Normal 3" xfId="2"/>
  </cellStyles>
  <dxfs count="66">
    <dxf>
      <fill>
        <patternFill>
          <bgColor rgb="FFFF8989"/>
        </patternFill>
      </fill>
    </dxf>
    <dxf>
      <fill>
        <patternFill>
          <bgColor rgb="FFFFC9AB"/>
        </patternFill>
      </fill>
    </dxf>
    <dxf>
      <fill>
        <patternFill>
          <bgColor rgb="FFFFFF00"/>
        </patternFill>
      </fill>
    </dxf>
    <dxf>
      <fill>
        <patternFill>
          <bgColor rgb="FF6D6F73"/>
        </patternFill>
      </fill>
    </dxf>
    <dxf>
      <fill>
        <patternFill>
          <bgColor rgb="FFFFFFA7"/>
        </patternFill>
      </fill>
    </dxf>
    <dxf>
      <fill>
        <patternFill>
          <bgColor rgb="FF67D0FF"/>
        </patternFill>
      </fill>
    </dxf>
    <dxf>
      <fill>
        <patternFill>
          <bgColor rgb="FFFFC00D"/>
        </patternFill>
      </fill>
    </dxf>
    <dxf>
      <fill>
        <patternFill>
          <bgColor rgb="FF92D050"/>
        </patternFill>
      </fill>
    </dxf>
    <dxf>
      <fill>
        <patternFill>
          <bgColor rgb="FFBFC0C1"/>
        </patternFill>
      </fill>
    </dxf>
    <dxf>
      <fill>
        <patternFill>
          <bgColor rgb="FFD4D5D6"/>
        </patternFill>
      </fill>
    </dxf>
    <dxf>
      <fill>
        <patternFill>
          <bgColor rgb="FFFF8989"/>
        </patternFill>
      </fill>
    </dxf>
    <dxf>
      <fill>
        <patternFill>
          <bgColor rgb="FFFFC9AB"/>
        </patternFill>
      </fill>
    </dxf>
    <dxf>
      <fill>
        <patternFill>
          <bgColor rgb="FFFFFF00"/>
        </patternFill>
      </fill>
    </dxf>
    <dxf>
      <fill>
        <patternFill>
          <bgColor rgb="FF6D6F73"/>
        </patternFill>
      </fill>
    </dxf>
    <dxf>
      <fill>
        <patternFill>
          <bgColor rgb="FFFFFFA7"/>
        </patternFill>
      </fill>
    </dxf>
    <dxf>
      <fill>
        <patternFill>
          <bgColor rgb="FF67D0FF"/>
        </patternFill>
      </fill>
    </dxf>
    <dxf>
      <fill>
        <patternFill>
          <bgColor rgb="FFFFC00D"/>
        </patternFill>
      </fill>
    </dxf>
    <dxf>
      <fill>
        <patternFill>
          <bgColor rgb="FF92D050"/>
        </patternFill>
      </fill>
    </dxf>
    <dxf>
      <fill>
        <patternFill>
          <bgColor rgb="FFBFC0C1"/>
        </patternFill>
      </fill>
    </dxf>
    <dxf>
      <fill>
        <patternFill>
          <bgColor rgb="FFD4D5D6"/>
        </patternFill>
      </fill>
    </dxf>
    <dxf>
      <fill>
        <patternFill>
          <bgColor rgb="FFFF8989"/>
        </patternFill>
      </fill>
    </dxf>
    <dxf>
      <fill>
        <patternFill>
          <bgColor rgb="FFFFC9AB"/>
        </patternFill>
      </fill>
    </dxf>
    <dxf>
      <fill>
        <patternFill>
          <bgColor rgb="FFFFFF00"/>
        </patternFill>
      </fill>
    </dxf>
    <dxf>
      <fill>
        <patternFill>
          <bgColor rgb="FF6D6F73"/>
        </patternFill>
      </fill>
    </dxf>
    <dxf>
      <fill>
        <patternFill>
          <bgColor rgb="FFFFFFA7"/>
        </patternFill>
      </fill>
    </dxf>
    <dxf>
      <fill>
        <patternFill>
          <bgColor rgb="FF67D0FF"/>
        </patternFill>
      </fill>
    </dxf>
    <dxf>
      <fill>
        <patternFill>
          <bgColor rgb="FFFFC00D"/>
        </patternFill>
      </fill>
    </dxf>
    <dxf>
      <fill>
        <patternFill>
          <bgColor rgb="FF92D050"/>
        </patternFill>
      </fill>
    </dxf>
    <dxf>
      <fill>
        <patternFill>
          <bgColor rgb="FFBFC0C1"/>
        </patternFill>
      </fill>
    </dxf>
    <dxf>
      <fill>
        <patternFill>
          <bgColor rgb="FFD4D5D6"/>
        </patternFill>
      </fill>
    </dxf>
    <dxf>
      <fill>
        <patternFill>
          <bgColor rgb="FFFF8989"/>
        </patternFill>
      </fill>
    </dxf>
    <dxf>
      <fill>
        <patternFill>
          <bgColor rgb="FFFFC9AB"/>
        </patternFill>
      </fill>
    </dxf>
    <dxf>
      <fill>
        <patternFill>
          <bgColor rgb="FFFFFF00"/>
        </patternFill>
      </fill>
    </dxf>
    <dxf>
      <fill>
        <patternFill>
          <bgColor rgb="FF6D6F73"/>
        </patternFill>
      </fill>
    </dxf>
    <dxf>
      <fill>
        <patternFill>
          <bgColor rgb="FFFFFFA7"/>
        </patternFill>
      </fill>
    </dxf>
    <dxf>
      <fill>
        <patternFill>
          <bgColor rgb="FF67D0FF"/>
        </patternFill>
      </fill>
    </dxf>
    <dxf>
      <fill>
        <patternFill>
          <bgColor rgb="FFFFC00D"/>
        </patternFill>
      </fill>
    </dxf>
    <dxf>
      <fill>
        <patternFill>
          <bgColor rgb="FF92D050"/>
        </patternFill>
      </fill>
    </dxf>
    <dxf>
      <fill>
        <patternFill>
          <bgColor rgb="FFBFC0C1"/>
        </patternFill>
      </fill>
    </dxf>
    <dxf>
      <fill>
        <patternFill>
          <bgColor rgb="FFD4D5D6"/>
        </patternFill>
      </fill>
    </dxf>
    <dxf>
      <fill>
        <patternFill>
          <bgColor rgb="FFFF8989"/>
        </patternFill>
      </fill>
    </dxf>
    <dxf>
      <fill>
        <patternFill>
          <bgColor rgb="FFFFC9AB"/>
        </patternFill>
      </fill>
    </dxf>
    <dxf>
      <fill>
        <patternFill>
          <bgColor rgb="FFFFFF00"/>
        </patternFill>
      </fill>
    </dxf>
    <dxf>
      <fill>
        <patternFill>
          <bgColor rgb="FF6D6F73"/>
        </patternFill>
      </fill>
    </dxf>
    <dxf>
      <fill>
        <patternFill>
          <bgColor rgb="FFFFFFA7"/>
        </patternFill>
      </fill>
    </dxf>
    <dxf>
      <fill>
        <patternFill>
          <bgColor rgb="FF67D0FF"/>
        </patternFill>
      </fill>
    </dxf>
    <dxf>
      <fill>
        <patternFill>
          <bgColor rgb="FFFFC00D"/>
        </patternFill>
      </fill>
    </dxf>
    <dxf>
      <fill>
        <patternFill>
          <bgColor rgb="FF92D050"/>
        </patternFill>
      </fill>
    </dxf>
    <dxf>
      <fill>
        <patternFill>
          <bgColor rgb="FFBFC0C1"/>
        </patternFill>
      </fill>
    </dxf>
    <dxf>
      <fill>
        <patternFill>
          <bgColor rgb="FFD4D5D6"/>
        </patternFill>
      </fill>
    </dxf>
    <dxf>
      <fill>
        <patternFill>
          <bgColor theme="6" tint="0.39994506668294322"/>
        </patternFill>
      </fill>
    </dxf>
    <dxf>
      <font>
        <condense val="0"/>
        <extend val="0"/>
        <color rgb="FF9C0006"/>
      </font>
      <fill>
        <patternFill>
          <bgColor rgb="FFFFC7CE"/>
        </patternFill>
      </fill>
    </dxf>
    <dxf>
      <fill>
        <patternFill>
          <bgColor rgb="FFD3F1BD"/>
        </patternFill>
      </fill>
    </dxf>
    <dxf>
      <fill>
        <patternFill>
          <bgColor rgb="FFFFC9AB"/>
        </patternFill>
      </fill>
    </dxf>
    <dxf>
      <fill>
        <patternFill>
          <bgColor theme="0" tint="-0.14996795556505021"/>
        </patternFill>
      </fill>
    </dxf>
    <dxf>
      <fill>
        <patternFill>
          <bgColor rgb="FFFFFFA7"/>
        </patternFill>
      </fill>
    </dxf>
    <dxf>
      <fill>
        <patternFill>
          <bgColor rgb="FFD3F1BD"/>
        </patternFill>
      </fill>
    </dxf>
    <dxf>
      <fill>
        <patternFill>
          <bgColor rgb="FFFFC9AB"/>
        </patternFill>
      </fill>
    </dxf>
    <dxf>
      <fill>
        <patternFill>
          <bgColor theme="0" tint="-0.14996795556505021"/>
        </patternFill>
      </fill>
    </dxf>
    <dxf>
      <fill>
        <patternFill>
          <bgColor rgb="FFFFFFA7"/>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FF66"/>
        </patternFill>
      </fill>
    </dxf>
    <dxf>
      <fill>
        <patternFill>
          <bgColor theme="0" tint="-0.14996795556505021"/>
        </patternFill>
      </fill>
    </dxf>
    <dxf>
      <fill>
        <patternFill>
          <bgColor theme="7" tint="0.39994506668294322"/>
        </patternFill>
      </fill>
    </dxf>
    <dxf>
      <fill>
        <patternFill>
          <bgColor theme="7" tint="0.39994506668294322"/>
        </patternFill>
      </fill>
    </dxf>
  </dxfs>
  <tableStyles count="0" defaultTableStyle="TableStyleMedium9" defaultPivotStyle="PivotStyleLight16"/>
  <colors>
    <mruColors>
      <color rgb="FFD4D5D6"/>
      <color rgb="FFBFC0C1"/>
      <color rgb="FF92D050"/>
      <color rgb="FFFFC00D"/>
      <color rgb="FF67D0FF"/>
      <color rgb="FFFFFFA7"/>
      <color rgb="FF6D6F73"/>
      <color rgb="FFFFFF00"/>
      <color rgb="FFFFC9AB"/>
      <color rgb="FFFF898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No. of Iterations</a:t>
            </a:r>
          </a:p>
        </c:rich>
      </c:tx>
      <c:layout>
        <c:manualLayout>
          <c:xMode val="edge"/>
          <c:yMode val="edge"/>
          <c:x val="0.30263397708753631"/>
          <c:y val="0.86862076701265589"/>
        </c:manualLayout>
      </c:layout>
      <c:overlay val="0"/>
    </c:title>
    <c:autoTitleDeleted val="0"/>
    <c:plotArea>
      <c:layout>
        <c:manualLayout>
          <c:layoutTarget val="inner"/>
          <c:xMode val="edge"/>
          <c:yMode val="edge"/>
          <c:x val="6.2127808283720005E-2"/>
          <c:y val="0.14164539656997677"/>
          <c:w val="0.69907114162745421"/>
          <c:h val="0.6280095823176236"/>
        </c:manualLayout>
      </c:layout>
      <c:barChart>
        <c:barDir val="col"/>
        <c:grouping val="clustered"/>
        <c:varyColors val="0"/>
        <c:ser>
          <c:idx val="0"/>
          <c:order val="0"/>
          <c:tx>
            <c:strRef>
              <c:f>Dashboard!$C$35</c:f>
              <c:strCache>
                <c:ptCount val="1"/>
                <c:pt idx="0">
                  <c:v>Issues Reported</c:v>
                </c:pt>
              </c:strCache>
            </c:strRef>
          </c:tx>
          <c:invertIfNegative val="0"/>
          <c:val>
            <c:numRef>
              <c:f>Dashboard!$C$36:$C$50</c:f>
              <c:numCache>
                <c:formatCode>General</c:formatCode>
                <c:ptCount val="15"/>
                <c:pt idx="0">
                  <c:v>12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0"/>
          <c:showCatName val="0"/>
          <c:showSerName val="0"/>
          <c:showPercent val="0"/>
          <c:showBubbleSize val="0"/>
        </c:dLbls>
        <c:gapWidth val="150"/>
        <c:axId val="102604160"/>
        <c:axId val="102610048"/>
      </c:barChart>
      <c:catAx>
        <c:axId val="102604160"/>
        <c:scaling>
          <c:orientation val="minMax"/>
        </c:scaling>
        <c:delete val="0"/>
        <c:axPos val="b"/>
        <c:majorTickMark val="out"/>
        <c:minorTickMark val="none"/>
        <c:tickLblPos val="nextTo"/>
        <c:crossAx val="102610048"/>
        <c:crosses val="autoZero"/>
        <c:auto val="1"/>
        <c:lblAlgn val="ctr"/>
        <c:lblOffset val="100"/>
        <c:noMultiLvlLbl val="0"/>
      </c:catAx>
      <c:valAx>
        <c:axId val="102610048"/>
        <c:scaling>
          <c:orientation val="minMax"/>
          <c:max val="5"/>
          <c:min val="0"/>
        </c:scaling>
        <c:delete val="0"/>
        <c:axPos val="l"/>
        <c:majorGridlines/>
        <c:numFmt formatCode="General" sourceLinked="1"/>
        <c:majorTickMark val="out"/>
        <c:minorTickMark val="none"/>
        <c:tickLblPos val="nextTo"/>
        <c:crossAx val="102604160"/>
        <c:crosses val="autoZero"/>
        <c:crossBetween val="between"/>
        <c:majorUnit val="1"/>
        <c:minorUnit val="1"/>
      </c:valAx>
    </c:plotArea>
    <c:legend>
      <c:legendPos val="r"/>
      <c:layout>
        <c:manualLayout>
          <c:xMode val="edge"/>
          <c:yMode val="edge"/>
          <c:x val="0.78231268793702569"/>
          <c:y val="0.60419085441468412"/>
          <c:w val="0.20715026574339421"/>
          <c:h val="7.4107372470056526E-2"/>
        </c:manualLayout>
      </c:layout>
      <c:overlay val="0"/>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100"/>
              <a:t>Type of Issue</a:t>
            </a:r>
          </a:p>
        </c:rich>
      </c:tx>
      <c:overlay val="0"/>
    </c:title>
    <c:autoTitleDeleted val="0"/>
    <c:plotArea>
      <c:layout>
        <c:manualLayout>
          <c:layoutTarget val="inner"/>
          <c:xMode val="edge"/>
          <c:yMode val="edge"/>
          <c:x val="0.14264339152119801"/>
          <c:y val="0.13672049468392741"/>
          <c:w val="0.45816037334485576"/>
          <c:h val="0.77848436318341563"/>
        </c:manualLayout>
      </c:layout>
      <c:pieChart>
        <c:varyColors val="1"/>
        <c:ser>
          <c:idx val="0"/>
          <c:order val="0"/>
          <c:tx>
            <c:strRef>
              <c:f>Dashboard!$C$57</c:f>
              <c:strCache>
                <c:ptCount val="1"/>
                <c:pt idx="0">
                  <c:v>Total</c:v>
                </c:pt>
              </c:strCache>
            </c:strRef>
          </c:tx>
          <c:dLbls>
            <c:txPr>
              <a:bodyPr/>
              <a:lstStyle/>
              <a:p>
                <a:pPr>
                  <a:defRPr sz="1200" b="1">
                    <a:solidFill>
                      <a:schemeClr val="bg1"/>
                    </a:solidFill>
                  </a:defRPr>
                </a:pPr>
                <a:endParaRPr lang="en-US"/>
              </a:p>
            </c:txPr>
            <c:showLegendKey val="0"/>
            <c:showVal val="1"/>
            <c:showCatName val="0"/>
            <c:showSerName val="0"/>
            <c:showPercent val="0"/>
            <c:showBubbleSize val="0"/>
            <c:showLeaderLines val="1"/>
          </c:dLbls>
          <c:cat>
            <c:strRef>
              <c:f>Dashboard!$B$58:$B$61</c:f>
              <c:strCache>
                <c:ptCount val="4"/>
                <c:pt idx="0">
                  <c:v>Content</c:v>
                </c:pt>
                <c:pt idx="1">
                  <c:v>Functionality</c:v>
                </c:pt>
                <c:pt idx="2">
                  <c:v>Graphics</c:v>
                </c:pt>
                <c:pt idx="3">
                  <c:v>Others</c:v>
                </c:pt>
              </c:strCache>
            </c:strRef>
          </c:cat>
          <c:val>
            <c:numRef>
              <c:f>Dashboard!$C$58:$C$61</c:f>
              <c:numCache>
                <c:formatCode>General</c:formatCode>
                <c:ptCount val="4"/>
                <c:pt idx="0">
                  <c:v>1</c:v>
                </c:pt>
                <c:pt idx="1">
                  <c:v>11</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74093794385427503"/>
          <c:y val="0.43622599806603118"/>
          <c:w val="0.24002487220269533"/>
          <c:h val="0.38560968014591496"/>
        </c:manualLayout>
      </c:layout>
      <c:overlay val="0"/>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GB" sz="1100"/>
              <a:t>Priority</a:t>
            </a:r>
          </a:p>
        </c:rich>
      </c:tx>
      <c:overlay val="0"/>
    </c:title>
    <c:autoTitleDeleted val="0"/>
    <c:plotArea>
      <c:layout>
        <c:manualLayout>
          <c:layoutTarget val="inner"/>
          <c:xMode val="edge"/>
          <c:yMode val="edge"/>
          <c:x val="0.14997143739385521"/>
          <c:y val="0.19800241902251359"/>
          <c:w val="0.48888914620966689"/>
          <c:h val="0.74706626674677645"/>
        </c:manualLayout>
      </c:layout>
      <c:pieChart>
        <c:varyColors val="1"/>
        <c:ser>
          <c:idx val="0"/>
          <c:order val="0"/>
          <c:tx>
            <c:strRef>
              <c:f>Dashboard!$C$73</c:f>
              <c:strCache>
                <c:ptCount val="1"/>
                <c:pt idx="0">
                  <c:v>Total</c:v>
                </c:pt>
              </c:strCache>
            </c:strRef>
          </c:tx>
          <c:dLbls>
            <c:txPr>
              <a:bodyPr/>
              <a:lstStyle/>
              <a:p>
                <a:pPr>
                  <a:defRPr sz="1100" b="1">
                    <a:solidFill>
                      <a:schemeClr val="bg1"/>
                    </a:solidFill>
                  </a:defRPr>
                </a:pPr>
                <a:endParaRPr lang="en-US"/>
              </a:p>
            </c:txPr>
            <c:showLegendKey val="0"/>
            <c:showVal val="1"/>
            <c:showCatName val="0"/>
            <c:showSerName val="0"/>
            <c:showPercent val="0"/>
            <c:showBubbleSize val="0"/>
            <c:showLeaderLines val="1"/>
          </c:dLbls>
          <c:cat>
            <c:strRef>
              <c:f>Dashboard!$B$74:$B$76</c:f>
              <c:strCache>
                <c:ptCount val="3"/>
                <c:pt idx="0">
                  <c:v>Low</c:v>
                </c:pt>
                <c:pt idx="1">
                  <c:v>Medium</c:v>
                </c:pt>
                <c:pt idx="2">
                  <c:v>High</c:v>
                </c:pt>
              </c:strCache>
            </c:strRef>
          </c:cat>
          <c:val>
            <c:numRef>
              <c:f>Dashboard!$C$74:$C$76</c:f>
              <c:numCache>
                <c:formatCode>General</c:formatCode>
                <c:ptCount val="3"/>
                <c:pt idx="0">
                  <c:v>0</c:v>
                </c:pt>
                <c:pt idx="1">
                  <c:v>0</c:v>
                </c:pt>
                <c:pt idx="2">
                  <c:v>0</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GB" sz="1100"/>
              <a:t>Severity</a:t>
            </a:r>
          </a:p>
        </c:rich>
      </c:tx>
      <c:overlay val="0"/>
    </c:title>
    <c:autoTitleDeleted val="0"/>
    <c:plotArea>
      <c:layout>
        <c:manualLayout>
          <c:layoutTarget val="inner"/>
          <c:xMode val="edge"/>
          <c:yMode val="edge"/>
          <c:x val="0.14997143739385521"/>
          <c:y val="0.19800241902251359"/>
          <c:w val="0.48888914620966734"/>
          <c:h val="0.74706626674677645"/>
        </c:manualLayout>
      </c:layout>
      <c:pieChart>
        <c:varyColors val="1"/>
        <c:ser>
          <c:idx val="0"/>
          <c:order val="0"/>
          <c:tx>
            <c:strRef>
              <c:f>Dashboard!$C$88</c:f>
              <c:strCache>
                <c:ptCount val="1"/>
                <c:pt idx="0">
                  <c:v>Total</c:v>
                </c:pt>
              </c:strCache>
            </c:strRef>
          </c:tx>
          <c:dLbls>
            <c:txPr>
              <a:bodyPr/>
              <a:lstStyle/>
              <a:p>
                <a:pPr>
                  <a:defRPr sz="1100" b="1">
                    <a:solidFill>
                      <a:schemeClr val="bg1"/>
                    </a:solidFill>
                  </a:defRPr>
                </a:pPr>
                <a:endParaRPr lang="en-US"/>
              </a:p>
            </c:txPr>
            <c:showLegendKey val="0"/>
            <c:showVal val="1"/>
            <c:showCatName val="0"/>
            <c:showSerName val="0"/>
            <c:showPercent val="0"/>
            <c:showBubbleSize val="0"/>
            <c:showLeaderLines val="1"/>
          </c:dLbls>
          <c:cat>
            <c:strRef>
              <c:f>Dashboard!$B$89:$B$93</c:f>
              <c:strCache>
                <c:ptCount val="5"/>
                <c:pt idx="0">
                  <c:v>Critical</c:v>
                </c:pt>
                <c:pt idx="1">
                  <c:v>Major</c:v>
                </c:pt>
                <c:pt idx="2">
                  <c:v>Moderate</c:v>
                </c:pt>
                <c:pt idx="3">
                  <c:v>Minor</c:v>
                </c:pt>
                <c:pt idx="4">
                  <c:v>Cosmetic</c:v>
                </c:pt>
              </c:strCache>
            </c:strRef>
          </c:cat>
          <c:val>
            <c:numRef>
              <c:f>Dashboard!$C$89:$C$93</c:f>
              <c:numCache>
                <c:formatCode>General</c:formatCode>
                <c:ptCount val="5"/>
                <c:pt idx="0">
                  <c:v>0</c:v>
                </c:pt>
                <c:pt idx="1">
                  <c:v>5</c:v>
                </c:pt>
                <c:pt idx="2">
                  <c:v>5</c:v>
                </c:pt>
                <c:pt idx="3">
                  <c:v>2</c:v>
                </c:pt>
                <c:pt idx="4">
                  <c:v>0</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GB" sz="1100"/>
              <a:t>Reported By</a:t>
            </a:r>
          </a:p>
        </c:rich>
      </c:tx>
      <c:overlay val="0"/>
    </c:title>
    <c:autoTitleDeleted val="0"/>
    <c:plotArea>
      <c:layout>
        <c:manualLayout>
          <c:layoutTarget val="inner"/>
          <c:xMode val="edge"/>
          <c:yMode val="edge"/>
          <c:x val="0.14997143739385521"/>
          <c:y val="0.19800241902251359"/>
          <c:w val="0.48888914620966756"/>
          <c:h val="0.74706626674677645"/>
        </c:manualLayout>
      </c:layout>
      <c:pieChart>
        <c:varyColors val="1"/>
        <c:ser>
          <c:idx val="0"/>
          <c:order val="0"/>
          <c:tx>
            <c:strRef>
              <c:f>Dashboard!$C$104</c:f>
              <c:strCache>
                <c:ptCount val="1"/>
                <c:pt idx="0">
                  <c:v>Total</c:v>
                </c:pt>
              </c:strCache>
            </c:strRef>
          </c:tx>
          <c:dLbls>
            <c:txPr>
              <a:bodyPr/>
              <a:lstStyle/>
              <a:p>
                <a:pPr>
                  <a:defRPr sz="1100" b="1">
                    <a:solidFill>
                      <a:schemeClr val="bg1"/>
                    </a:solidFill>
                  </a:defRPr>
                </a:pPr>
                <a:endParaRPr lang="en-US"/>
              </a:p>
            </c:txPr>
            <c:showLegendKey val="0"/>
            <c:showVal val="1"/>
            <c:showCatName val="0"/>
            <c:showSerName val="0"/>
            <c:showPercent val="0"/>
            <c:showBubbleSize val="0"/>
            <c:showLeaderLines val="1"/>
          </c:dLbls>
          <c:cat>
            <c:strRef>
              <c:f>Dashboard!$B$105:$B$110</c:f>
              <c:strCache>
                <c:ptCount val="6"/>
                <c:pt idx="0">
                  <c:v>Joe</c:v>
                </c:pt>
                <c:pt idx="1">
                  <c:v>Ravi</c:v>
                </c:pt>
                <c:pt idx="2">
                  <c:v>Muthu</c:v>
                </c:pt>
                <c:pt idx="3">
                  <c:v>Silas</c:v>
                </c:pt>
                <c:pt idx="4">
                  <c:v>Surya</c:v>
                </c:pt>
                <c:pt idx="5">
                  <c:v>Gopi</c:v>
                </c:pt>
              </c:strCache>
            </c:strRef>
          </c:cat>
          <c:val>
            <c:numRef>
              <c:f>Dashboard!$C$105:$C$110</c:f>
              <c:numCache>
                <c:formatCode>General</c:formatCode>
                <c:ptCount val="6"/>
                <c:pt idx="0">
                  <c:v>0</c:v>
                </c:pt>
                <c:pt idx="1">
                  <c:v>0</c:v>
                </c:pt>
                <c:pt idx="2">
                  <c:v>4</c:v>
                </c:pt>
                <c:pt idx="3">
                  <c:v>0</c:v>
                </c:pt>
                <c:pt idx="4">
                  <c:v>0</c:v>
                </c:pt>
                <c:pt idx="5">
                  <c:v>0</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Dashboard!$C$12</c:f>
              <c:strCache>
                <c:ptCount val="1"/>
                <c:pt idx="0">
                  <c:v>Iteration 1</c:v>
                </c:pt>
              </c:strCache>
            </c:strRef>
          </c:tx>
          <c:invertIfNegative val="0"/>
          <c:cat>
            <c:strRef>
              <c:f>Dashboard!$B$13:$B$17</c:f>
              <c:strCache>
                <c:ptCount val="5"/>
                <c:pt idx="0">
                  <c:v>Passed</c:v>
                </c:pt>
                <c:pt idx="1">
                  <c:v>Failed</c:v>
                </c:pt>
                <c:pt idx="2">
                  <c:v>NA</c:v>
                </c:pt>
                <c:pt idx="3">
                  <c:v>Pending</c:v>
                </c:pt>
                <c:pt idx="4">
                  <c:v>Not Verified</c:v>
                </c:pt>
              </c:strCache>
            </c:strRef>
          </c:cat>
          <c:val>
            <c:numRef>
              <c:f>Dashboard!$C$13:$C$17</c:f>
              <c:numCache>
                <c:formatCode>General</c:formatCode>
                <c:ptCount val="5"/>
                <c:pt idx="0">
                  <c:v>0</c:v>
                </c:pt>
                <c:pt idx="1">
                  <c:v>0</c:v>
                </c:pt>
                <c:pt idx="2">
                  <c:v>2</c:v>
                </c:pt>
                <c:pt idx="3">
                  <c:v>0</c:v>
                </c:pt>
                <c:pt idx="4">
                  <c:v>65</c:v>
                </c:pt>
              </c:numCache>
            </c:numRef>
          </c:val>
        </c:ser>
        <c:dLbls>
          <c:showLegendKey val="0"/>
          <c:showVal val="0"/>
          <c:showCatName val="0"/>
          <c:showSerName val="0"/>
          <c:showPercent val="0"/>
          <c:showBubbleSize val="0"/>
        </c:dLbls>
        <c:gapWidth val="150"/>
        <c:axId val="103149952"/>
        <c:axId val="103151488"/>
      </c:barChart>
      <c:catAx>
        <c:axId val="103149952"/>
        <c:scaling>
          <c:orientation val="minMax"/>
        </c:scaling>
        <c:delete val="0"/>
        <c:axPos val="l"/>
        <c:majorTickMark val="out"/>
        <c:minorTickMark val="none"/>
        <c:tickLblPos val="nextTo"/>
        <c:crossAx val="103151488"/>
        <c:crosses val="autoZero"/>
        <c:auto val="1"/>
        <c:lblAlgn val="ctr"/>
        <c:lblOffset val="100"/>
        <c:noMultiLvlLbl val="0"/>
      </c:catAx>
      <c:valAx>
        <c:axId val="103151488"/>
        <c:scaling>
          <c:orientation val="minMax"/>
          <c:max val="70"/>
          <c:min val="0"/>
        </c:scaling>
        <c:delete val="0"/>
        <c:axPos val="b"/>
        <c:majorGridlines/>
        <c:numFmt formatCode="General" sourceLinked="1"/>
        <c:majorTickMark val="out"/>
        <c:minorTickMark val="none"/>
        <c:tickLblPos val="nextTo"/>
        <c:crossAx val="103149952"/>
        <c:crosses val="autoZero"/>
        <c:crossBetween val="between"/>
        <c:majorUnit val="3"/>
      </c:valAx>
    </c:plotArea>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4</xdr:col>
      <xdr:colOff>9524</xdr:colOff>
      <xdr:row>34</xdr:row>
      <xdr:rowOff>9525</xdr:rowOff>
    </xdr:from>
    <xdr:to>
      <xdr:col>9</xdr:col>
      <xdr:colOff>952500</xdr:colOff>
      <xdr:row>50</xdr:row>
      <xdr:rowOff>38101</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53</xdr:row>
      <xdr:rowOff>19050</xdr:rowOff>
    </xdr:from>
    <xdr:to>
      <xdr:col>8</xdr:col>
      <xdr:colOff>123825</xdr:colOff>
      <xdr:row>65</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67</xdr:row>
      <xdr:rowOff>85725</xdr:rowOff>
    </xdr:from>
    <xdr:to>
      <xdr:col>8</xdr:col>
      <xdr:colOff>142875</xdr:colOff>
      <xdr:row>81</xdr:row>
      <xdr:rowOff>76201</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83</xdr:row>
      <xdr:rowOff>85725</xdr:rowOff>
    </xdr:from>
    <xdr:to>
      <xdr:col>8</xdr:col>
      <xdr:colOff>142875</xdr:colOff>
      <xdr:row>97</xdr:row>
      <xdr:rowOff>66676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99</xdr:row>
      <xdr:rowOff>104775</xdr:rowOff>
    </xdr:from>
    <xdr:to>
      <xdr:col>8</xdr:col>
      <xdr:colOff>142875</xdr:colOff>
      <xdr:row>113</xdr:row>
      <xdr:rowOff>85726</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285749</xdr:colOff>
      <xdr:row>10</xdr:row>
      <xdr:rowOff>76200</xdr:rowOff>
    </xdr:from>
    <xdr:to>
      <xdr:col>11</xdr:col>
      <xdr:colOff>0</xdr:colOff>
      <xdr:row>17</xdr:row>
      <xdr:rowOff>104775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257175</xdr:colOff>
      <xdr:row>6</xdr:row>
      <xdr:rowOff>0</xdr:rowOff>
    </xdr:from>
    <xdr:to>
      <xdr:col>9</xdr:col>
      <xdr:colOff>689610</xdr:colOff>
      <xdr:row>6</xdr:row>
      <xdr:rowOff>3810</xdr:rowOff>
    </xdr:to>
    <xdr:pic>
      <xdr:nvPicPr>
        <xdr:cNvPr id="2" name="Picture 1"/>
        <xdr:cNvPicPr/>
      </xdr:nvPicPr>
      <xdr:blipFill>
        <a:blip xmlns:r="http://schemas.openxmlformats.org/officeDocument/2006/relationships" r:embed="rId1" cstate="print"/>
        <a:srcRect/>
        <a:stretch>
          <a:fillRect/>
        </a:stretch>
      </xdr:blipFill>
      <xdr:spPr bwMode="auto">
        <a:xfrm>
          <a:off x="4591050" y="1771650"/>
          <a:ext cx="432435" cy="3810"/>
        </a:xfrm>
        <a:prstGeom prst="rect">
          <a:avLst/>
        </a:prstGeom>
        <a:noFill/>
        <a:ln w="9525">
          <a:noFill/>
          <a:miter lim="800000"/>
          <a:headEnd/>
          <a:tailEnd/>
        </a:ln>
      </xdr:spPr>
    </xdr:pic>
    <xdr:clientData/>
  </xdr:twoCellAnchor>
  <xdr:twoCellAnchor editAs="oneCell">
    <xdr:from>
      <xdr:col>9</xdr:col>
      <xdr:colOff>257175</xdr:colOff>
      <xdr:row>6</xdr:row>
      <xdr:rowOff>0</xdr:rowOff>
    </xdr:from>
    <xdr:to>
      <xdr:col>9</xdr:col>
      <xdr:colOff>689610</xdr:colOff>
      <xdr:row>6</xdr:row>
      <xdr:rowOff>3810</xdr:rowOff>
    </xdr:to>
    <xdr:pic>
      <xdr:nvPicPr>
        <xdr:cNvPr id="3" name="Picture 2"/>
        <xdr:cNvPicPr/>
      </xdr:nvPicPr>
      <xdr:blipFill>
        <a:blip xmlns:r="http://schemas.openxmlformats.org/officeDocument/2006/relationships" r:embed="rId1" cstate="print"/>
        <a:srcRect/>
        <a:stretch>
          <a:fillRect/>
        </a:stretch>
      </xdr:blipFill>
      <xdr:spPr bwMode="auto">
        <a:xfrm>
          <a:off x="4591050" y="1771650"/>
          <a:ext cx="432435" cy="3810"/>
        </a:xfrm>
        <a:prstGeom prst="rect">
          <a:avLst/>
        </a:prstGeom>
        <a:noFill/>
        <a:ln w="9525">
          <a:noFill/>
          <a:miter lim="800000"/>
          <a:headEnd/>
          <a:tailEnd/>
        </a:ln>
      </xdr:spPr>
    </xdr:pic>
    <xdr:clientData/>
  </xdr:twoCellAnchor>
  <xdr:twoCellAnchor editAs="oneCell">
    <xdr:from>
      <xdr:col>9</xdr:col>
      <xdr:colOff>257175</xdr:colOff>
      <xdr:row>6</xdr:row>
      <xdr:rowOff>0</xdr:rowOff>
    </xdr:from>
    <xdr:to>
      <xdr:col>9</xdr:col>
      <xdr:colOff>689610</xdr:colOff>
      <xdr:row>6</xdr:row>
      <xdr:rowOff>3810</xdr:rowOff>
    </xdr:to>
    <xdr:pic>
      <xdr:nvPicPr>
        <xdr:cNvPr id="4" name="Picture 3"/>
        <xdr:cNvPicPr/>
      </xdr:nvPicPr>
      <xdr:blipFill>
        <a:blip xmlns:r="http://schemas.openxmlformats.org/officeDocument/2006/relationships" r:embed="rId1" cstate="print"/>
        <a:srcRect/>
        <a:stretch>
          <a:fillRect/>
        </a:stretch>
      </xdr:blipFill>
      <xdr:spPr bwMode="auto">
        <a:xfrm>
          <a:off x="4591050" y="1771650"/>
          <a:ext cx="432435" cy="3810"/>
        </a:xfrm>
        <a:prstGeom prst="rect">
          <a:avLst/>
        </a:prstGeom>
        <a:noFill/>
        <a:ln w="9525">
          <a:noFill/>
          <a:miter lim="800000"/>
          <a:headEnd/>
          <a:tailEnd/>
        </a:ln>
      </xdr:spPr>
    </xdr:pic>
    <xdr:clientData/>
  </xdr:twoCellAnchor>
  <xdr:twoCellAnchor editAs="oneCell">
    <xdr:from>
      <xdr:col>9</xdr:col>
      <xdr:colOff>257175</xdr:colOff>
      <xdr:row>6</xdr:row>
      <xdr:rowOff>0</xdr:rowOff>
    </xdr:from>
    <xdr:to>
      <xdr:col>9</xdr:col>
      <xdr:colOff>689610</xdr:colOff>
      <xdr:row>6</xdr:row>
      <xdr:rowOff>3810</xdr:rowOff>
    </xdr:to>
    <xdr:pic>
      <xdr:nvPicPr>
        <xdr:cNvPr id="5" name="Picture 4"/>
        <xdr:cNvPicPr/>
      </xdr:nvPicPr>
      <xdr:blipFill>
        <a:blip xmlns:r="http://schemas.openxmlformats.org/officeDocument/2006/relationships" r:embed="rId1" cstate="print"/>
        <a:srcRect/>
        <a:stretch>
          <a:fillRect/>
        </a:stretch>
      </xdr:blipFill>
      <xdr:spPr bwMode="auto">
        <a:xfrm>
          <a:off x="4591050" y="1771650"/>
          <a:ext cx="432435" cy="3810"/>
        </a:xfrm>
        <a:prstGeom prst="rect">
          <a:avLst/>
        </a:prstGeom>
        <a:noFill/>
        <a:ln w="9525">
          <a:noFill/>
          <a:miter lim="800000"/>
          <a:headEnd/>
          <a:tailEnd/>
        </a:ln>
      </xdr:spPr>
    </xdr:pic>
    <xdr:clientData/>
  </xdr:twoCellAnchor>
  <xdr:twoCellAnchor editAs="oneCell">
    <xdr:from>
      <xdr:col>4</xdr:col>
      <xdr:colOff>0</xdr:colOff>
      <xdr:row>6</xdr:row>
      <xdr:rowOff>9525</xdr:rowOff>
    </xdr:from>
    <xdr:to>
      <xdr:col>4</xdr:col>
      <xdr:colOff>0</xdr:colOff>
      <xdr:row>7</xdr:row>
      <xdr:rowOff>481359</xdr:rowOff>
    </xdr:to>
    <xdr:pic>
      <xdr:nvPicPr>
        <xdr:cNvPr id="6" name="Picture 5"/>
        <xdr:cNvPicPr/>
      </xdr:nvPicPr>
      <xdr:blipFill>
        <a:blip xmlns:r="http://schemas.openxmlformats.org/officeDocument/2006/relationships" r:embed="rId2" cstate="print"/>
        <a:srcRect/>
        <a:stretch>
          <a:fillRect/>
        </a:stretch>
      </xdr:blipFill>
      <xdr:spPr bwMode="auto">
        <a:xfrm>
          <a:off x="5400675" y="1781175"/>
          <a:ext cx="0" cy="1436914"/>
        </a:xfrm>
        <a:prstGeom prst="rect">
          <a:avLst/>
        </a:prstGeom>
        <a:noFill/>
        <a:ln w="9525">
          <a:noFill/>
          <a:miter lim="800000"/>
          <a:headEnd/>
          <a:tailEnd/>
        </a:ln>
      </xdr:spPr>
    </xdr:pic>
    <xdr:clientData/>
  </xdr:twoCellAnchor>
  <xdr:twoCellAnchor editAs="oneCell">
    <xdr:from>
      <xdr:col>4</xdr:col>
      <xdr:colOff>0</xdr:colOff>
      <xdr:row>6</xdr:row>
      <xdr:rowOff>1504950</xdr:rowOff>
    </xdr:from>
    <xdr:to>
      <xdr:col>4</xdr:col>
      <xdr:colOff>0</xdr:colOff>
      <xdr:row>9</xdr:row>
      <xdr:rowOff>370224</xdr:rowOff>
    </xdr:to>
    <xdr:pic>
      <xdr:nvPicPr>
        <xdr:cNvPr id="7"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5581651" y="3276600"/>
          <a:ext cx="0" cy="1480875"/>
        </a:xfrm>
        <a:prstGeom prst="rect">
          <a:avLst/>
        </a:prstGeom>
        <a:noFill/>
        <a:ln w="1">
          <a:noFill/>
          <a:miter lim="800000"/>
          <a:headEnd/>
          <a:tailEnd type="none" w="med" len="med"/>
        </a:ln>
        <a:effectLst/>
      </xdr:spPr>
    </xdr:pic>
    <xdr:clientData/>
  </xdr:twoCellAnchor>
  <xdr:twoCellAnchor editAs="oneCell">
    <xdr:from>
      <xdr:col>9</xdr:col>
      <xdr:colOff>257175</xdr:colOff>
      <xdr:row>7</xdr:row>
      <xdr:rowOff>0</xdr:rowOff>
    </xdr:from>
    <xdr:to>
      <xdr:col>9</xdr:col>
      <xdr:colOff>689610</xdr:colOff>
      <xdr:row>7</xdr:row>
      <xdr:rowOff>3810</xdr:rowOff>
    </xdr:to>
    <xdr:pic>
      <xdr:nvPicPr>
        <xdr:cNvPr id="8" name="Picture 7"/>
        <xdr:cNvPicPr/>
      </xdr:nvPicPr>
      <xdr:blipFill>
        <a:blip xmlns:r="http://schemas.openxmlformats.org/officeDocument/2006/relationships" r:embed="rId1" cstate="print"/>
        <a:srcRect/>
        <a:stretch>
          <a:fillRect/>
        </a:stretch>
      </xdr:blipFill>
      <xdr:spPr bwMode="auto">
        <a:xfrm>
          <a:off x="4591050" y="4819650"/>
          <a:ext cx="432435" cy="3810"/>
        </a:xfrm>
        <a:prstGeom prst="rect">
          <a:avLst/>
        </a:prstGeom>
        <a:noFill/>
        <a:ln w="9525">
          <a:noFill/>
          <a:miter lim="800000"/>
          <a:headEnd/>
          <a:tailEnd/>
        </a:ln>
      </xdr:spPr>
    </xdr:pic>
    <xdr:clientData/>
  </xdr:twoCellAnchor>
  <xdr:twoCellAnchor editAs="oneCell">
    <xdr:from>
      <xdr:col>9</xdr:col>
      <xdr:colOff>257175</xdr:colOff>
      <xdr:row>7</xdr:row>
      <xdr:rowOff>0</xdr:rowOff>
    </xdr:from>
    <xdr:to>
      <xdr:col>9</xdr:col>
      <xdr:colOff>689610</xdr:colOff>
      <xdr:row>7</xdr:row>
      <xdr:rowOff>3810</xdr:rowOff>
    </xdr:to>
    <xdr:pic>
      <xdr:nvPicPr>
        <xdr:cNvPr id="9" name="Picture 8"/>
        <xdr:cNvPicPr/>
      </xdr:nvPicPr>
      <xdr:blipFill>
        <a:blip xmlns:r="http://schemas.openxmlformats.org/officeDocument/2006/relationships" r:embed="rId1" cstate="print"/>
        <a:srcRect/>
        <a:stretch>
          <a:fillRect/>
        </a:stretch>
      </xdr:blipFill>
      <xdr:spPr bwMode="auto">
        <a:xfrm>
          <a:off x="4591050" y="4819650"/>
          <a:ext cx="432435" cy="3810"/>
        </a:xfrm>
        <a:prstGeom prst="rect">
          <a:avLst/>
        </a:prstGeom>
        <a:noFill/>
        <a:ln w="9525">
          <a:noFill/>
          <a:miter lim="800000"/>
          <a:headEnd/>
          <a:tailEnd/>
        </a:ln>
      </xdr:spPr>
    </xdr:pic>
    <xdr:clientData/>
  </xdr:twoCellAnchor>
  <xdr:twoCellAnchor editAs="oneCell">
    <xdr:from>
      <xdr:col>9</xdr:col>
      <xdr:colOff>257175</xdr:colOff>
      <xdr:row>7</xdr:row>
      <xdr:rowOff>0</xdr:rowOff>
    </xdr:from>
    <xdr:to>
      <xdr:col>9</xdr:col>
      <xdr:colOff>689610</xdr:colOff>
      <xdr:row>7</xdr:row>
      <xdr:rowOff>3810</xdr:rowOff>
    </xdr:to>
    <xdr:pic>
      <xdr:nvPicPr>
        <xdr:cNvPr id="10" name="Picture 9"/>
        <xdr:cNvPicPr/>
      </xdr:nvPicPr>
      <xdr:blipFill>
        <a:blip xmlns:r="http://schemas.openxmlformats.org/officeDocument/2006/relationships" r:embed="rId1" cstate="print"/>
        <a:srcRect/>
        <a:stretch>
          <a:fillRect/>
        </a:stretch>
      </xdr:blipFill>
      <xdr:spPr bwMode="auto">
        <a:xfrm>
          <a:off x="4591050" y="4819650"/>
          <a:ext cx="432435" cy="3810"/>
        </a:xfrm>
        <a:prstGeom prst="rect">
          <a:avLst/>
        </a:prstGeom>
        <a:noFill/>
        <a:ln w="9525">
          <a:noFill/>
          <a:miter lim="800000"/>
          <a:headEnd/>
          <a:tailEnd/>
        </a:ln>
      </xdr:spPr>
    </xdr:pic>
    <xdr:clientData/>
  </xdr:twoCellAnchor>
  <xdr:twoCellAnchor editAs="oneCell">
    <xdr:from>
      <xdr:col>9</xdr:col>
      <xdr:colOff>257175</xdr:colOff>
      <xdr:row>7</xdr:row>
      <xdr:rowOff>0</xdr:rowOff>
    </xdr:from>
    <xdr:to>
      <xdr:col>9</xdr:col>
      <xdr:colOff>689610</xdr:colOff>
      <xdr:row>7</xdr:row>
      <xdr:rowOff>3810</xdr:rowOff>
    </xdr:to>
    <xdr:pic>
      <xdr:nvPicPr>
        <xdr:cNvPr id="11" name="Picture 10"/>
        <xdr:cNvPicPr/>
      </xdr:nvPicPr>
      <xdr:blipFill>
        <a:blip xmlns:r="http://schemas.openxmlformats.org/officeDocument/2006/relationships" r:embed="rId1" cstate="print"/>
        <a:srcRect/>
        <a:stretch>
          <a:fillRect/>
        </a:stretch>
      </xdr:blipFill>
      <xdr:spPr bwMode="auto">
        <a:xfrm>
          <a:off x="4591050" y="4819650"/>
          <a:ext cx="432435" cy="3810"/>
        </a:xfrm>
        <a:prstGeom prst="rect">
          <a:avLst/>
        </a:prstGeom>
        <a:noFill/>
        <a:ln w="9525">
          <a:noFill/>
          <a:miter lim="800000"/>
          <a:headEnd/>
          <a:tailEnd/>
        </a:ln>
      </xdr:spPr>
    </xdr:pic>
    <xdr:clientData/>
  </xdr:twoCellAnchor>
  <xdr:twoCellAnchor editAs="oneCell">
    <xdr:from>
      <xdr:col>4</xdr:col>
      <xdr:colOff>0</xdr:colOff>
      <xdr:row>7</xdr:row>
      <xdr:rowOff>0</xdr:rowOff>
    </xdr:from>
    <xdr:to>
      <xdr:col>4</xdr:col>
      <xdr:colOff>0</xdr:colOff>
      <xdr:row>7</xdr:row>
      <xdr:rowOff>170089</xdr:rowOff>
    </xdr:to>
    <xdr:pic>
      <xdr:nvPicPr>
        <xdr:cNvPr id="12" name="Picture 11"/>
        <xdr:cNvPicPr/>
      </xdr:nvPicPr>
      <xdr:blipFill>
        <a:blip xmlns:r="http://schemas.openxmlformats.org/officeDocument/2006/relationships" r:embed="rId2" cstate="print"/>
        <a:srcRect/>
        <a:stretch>
          <a:fillRect/>
        </a:stretch>
      </xdr:blipFill>
      <xdr:spPr bwMode="auto">
        <a:xfrm>
          <a:off x="5400675" y="4829175"/>
          <a:ext cx="0" cy="170089"/>
        </a:xfrm>
        <a:prstGeom prst="rect">
          <a:avLst/>
        </a:prstGeom>
        <a:noFill/>
        <a:ln w="9525">
          <a:noFill/>
          <a:miter lim="800000"/>
          <a:headEnd/>
          <a:tailEnd/>
        </a:ln>
      </xdr:spPr>
    </xdr:pic>
    <xdr:clientData/>
  </xdr:twoCellAnchor>
  <xdr:twoCellAnchor editAs="oneCell">
    <xdr:from>
      <xdr:col>4</xdr:col>
      <xdr:colOff>0</xdr:colOff>
      <xdr:row>7</xdr:row>
      <xdr:rowOff>0</xdr:rowOff>
    </xdr:from>
    <xdr:to>
      <xdr:col>4</xdr:col>
      <xdr:colOff>0</xdr:colOff>
      <xdr:row>7</xdr:row>
      <xdr:rowOff>4500</xdr:rowOff>
    </xdr:to>
    <xdr:pic>
      <xdr:nvPicPr>
        <xdr:cNvPr id="13"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5581651" y="6324600"/>
          <a:ext cx="0" cy="4500"/>
        </a:xfrm>
        <a:prstGeom prst="rect">
          <a:avLst/>
        </a:prstGeom>
        <a:noFill/>
        <a:ln w="1">
          <a:noFill/>
          <a:miter lim="800000"/>
          <a:headEnd/>
          <a:tailEnd type="none" w="med" len="med"/>
        </a:ln>
        <a:effectLst/>
      </xdr:spPr>
    </xdr:pic>
    <xdr:clientData/>
  </xdr:twoCellAnchor>
  <xdr:twoCellAnchor editAs="oneCell">
    <xdr:from>
      <xdr:col>9</xdr:col>
      <xdr:colOff>257175</xdr:colOff>
      <xdr:row>7</xdr:row>
      <xdr:rowOff>0</xdr:rowOff>
    </xdr:from>
    <xdr:to>
      <xdr:col>9</xdr:col>
      <xdr:colOff>689610</xdr:colOff>
      <xdr:row>7</xdr:row>
      <xdr:rowOff>3810</xdr:rowOff>
    </xdr:to>
    <xdr:pic>
      <xdr:nvPicPr>
        <xdr:cNvPr id="14" name="Picture 13"/>
        <xdr:cNvPicPr/>
      </xdr:nvPicPr>
      <xdr:blipFill>
        <a:blip xmlns:r="http://schemas.openxmlformats.org/officeDocument/2006/relationships" r:embed="rId1" cstate="print"/>
        <a:srcRect/>
        <a:stretch>
          <a:fillRect/>
        </a:stretch>
      </xdr:blipFill>
      <xdr:spPr bwMode="auto">
        <a:xfrm>
          <a:off x="4591050" y="6724650"/>
          <a:ext cx="432435" cy="3810"/>
        </a:xfrm>
        <a:prstGeom prst="rect">
          <a:avLst/>
        </a:prstGeom>
        <a:noFill/>
        <a:ln w="9525">
          <a:noFill/>
          <a:miter lim="800000"/>
          <a:headEnd/>
          <a:tailEnd/>
        </a:ln>
      </xdr:spPr>
    </xdr:pic>
    <xdr:clientData/>
  </xdr:twoCellAnchor>
  <xdr:twoCellAnchor editAs="oneCell">
    <xdr:from>
      <xdr:col>9</xdr:col>
      <xdr:colOff>257175</xdr:colOff>
      <xdr:row>7</xdr:row>
      <xdr:rowOff>0</xdr:rowOff>
    </xdr:from>
    <xdr:to>
      <xdr:col>9</xdr:col>
      <xdr:colOff>689610</xdr:colOff>
      <xdr:row>7</xdr:row>
      <xdr:rowOff>3810</xdr:rowOff>
    </xdr:to>
    <xdr:pic>
      <xdr:nvPicPr>
        <xdr:cNvPr id="15" name="Picture 14"/>
        <xdr:cNvPicPr/>
      </xdr:nvPicPr>
      <xdr:blipFill>
        <a:blip xmlns:r="http://schemas.openxmlformats.org/officeDocument/2006/relationships" r:embed="rId1" cstate="print"/>
        <a:srcRect/>
        <a:stretch>
          <a:fillRect/>
        </a:stretch>
      </xdr:blipFill>
      <xdr:spPr bwMode="auto">
        <a:xfrm>
          <a:off x="4591050" y="6724650"/>
          <a:ext cx="432435" cy="3810"/>
        </a:xfrm>
        <a:prstGeom prst="rect">
          <a:avLst/>
        </a:prstGeom>
        <a:noFill/>
        <a:ln w="9525">
          <a:noFill/>
          <a:miter lim="800000"/>
          <a:headEnd/>
          <a:tailEnd/>
        </a:ln>
      </xdr:spPr>
    </xdr:pic>
    <xdr:clientData/>
  </xdr:twoCellAnchor>
  <xdr:twoCellAnchor editAs="oneCell">
    <xdr:from>
      <xdr:col>9</xdr:col>
      <xdr:colOff>257175</xdr:colOff>
      <xdr:row>7</xdr:row>
      <xdr:rowOff>0</xdr:rowOff>
    </xdr:from>
    <xdr:to>
      <xdr:col>9</xdr:col>
      <xdr:colOff>689610</xdr:colOff>
      <xdr:row>7</xdr:row>
      <xdr:rowOff>3810</xdr:rowOff>
    </xdr:to>
    <xdr:pic>
      <xdr:nvPicPr>
        <xdr:cNvPr id="16" name="Picture 15"/>
        <xdr:cNvPicPr/>
      </xdr:nvPicPr>
      <xdr:blipFill>
        <a:blip xmlns:r="http://schemas.openxmlformats.org/officeDocument/2006/relationships" r:embed="rId1" cstate="print"/>
        <a:srcRect/>
        <a:stretch>
          <a:fillRect/>
        </a:stretch>
      </xdr:blipFill>
      <xdr:spPr bwMode="auto">
        <a:xfrm>
          <a:off x="4591050" y="6724650"/>
          <a:ext cx="432435" cy="3810"/>
        </a:xfrm>
        <a:prstGeom prst="rect">
          <a:avLst/>
        </a:prstGeom>
        <a:noFill/>
        <a:ln w="9525">
          <a:noFill/>
          <a:miter lim="800000"/>
          <a:headEnd/>
          <a:tailEnd/>
        </a:ln>
      </xdr:spPr>
    </xdr:pic>
    <xdr:clientData/>
  </xdr:twoCellAnchor>
  <xdr:twoCellAnchor editAs="oneCell">
    <xdr:from>
      <xdr:col>9</xdr:col>
      <xdr:colOff>257175</xdr:colOff>
      <xdr:row>7</xdr:row>
      <xdr:rowOff>0</xdr:rowOff>
    </xdr:from>
    <xdr:to>
      <xdr:col>9</xdr:col>
      <xdr:colOff>689610</xdr:colOff>
      <xdr:row>7</xdr:row>
      <xdr:rowOff>3810</xdr:rowOff>
    </xdr:to>
    <xdr:pic>
      <xdr:nvPicPr>
        <xdr:cNvPr id="17" name="Picture 16"/>
        <xdr:cNvPicPr/>
      </xdr:nvPicPr>
      <xdr:blipFill>
        <a:blip xmlns:r="http://schemas.openxmlformats.org/officeDocument/2006/relationships" r:embed="rId1" cstate="print"/>
        <a:srcRect/>
        <a:stretch>
          <a:fillRect/>
        </a:stretch>
      </xdr:blipFill>
      <xdr:spPr bwMode="auto">
        <a:xfrm>
          <a:off x="4591050" y="6724650"/>
          <a:ext cx="432435" cy="3810"/>
        </a:xfrm>
        <a:prstGeom prst="rect">
          <a:avLst/>
        </a:prstGeom>
        <a:noFill/>
        <a:ln w="9525">
          <a:noFill/>
          <a:miter lim="800000"/>
          <a:headEnd/>
          <a:tailEnd/>
        </a:ln>
      </xdr:spPr>
    </xdr:pic>
    <xdr:clientData/>
  </xdr:twoCellAnchor>
  <xdr:twoCellAnchor editAs="oneCell">
    <xdr:from>
      <xdr:col>4</xdr:col>
      <xdr:colOff>0</xdr:colOff>
      <xdr:row>7</xdr:row>
      <xdr:rowOff>0</xdr:rowOff>
    </xdr:from>
    <xdr:to>
      <xdr:col>4</xdr:col>
      <xdr:colOff>0</xdr:colOff>
      <xdr:row>7</xdr:row>
      <xdr:rowOff>170089</xdr:rowOff>
    </xdr:to>
    <xdr:pic>
      <xdr:nvPicPr>
        <xdr:cNvPr id="18" name="Picture 17"/>
        <xdr:cNvPicPr/>
      </xdr:nvPicPr>
      <xdr:blipFill>
        <a:blip xmlns:r="http://schemas.openxmlformats.org/officeDocument/2006/relationships" r:embed="rId2" cstate="print"/>
        <a:srcRect/>
        <a:stretch>
          <a:fillRect/>
        </a:stretch>
      </xdr:blipFill>
      <xdr:spPr bwMode="auto">
        <a:xfrm>
          <a:off x="5400675" y="6734175"/>
          <a:ext cx="0" cy="170089"/>
        </a:xfrm>
        <a:prstGeom prst="rect">
          <a:avLst/>
        </a:prstGeom>
        <a:noFill/>
        <a:ln w="9525">
          <a:noFill/>
          <a:miter lim="800000"/>
          <a:headEnd/>
          <a:tailEnd/>
        </a:ln>
      </xdr:spPr>
    </xdr:pic>
    <xdr:clientData/>
  </xdr:twoCellAnchor>
  <xdr:twoCellAnchor editAs="oneCell">
    <xdr:from>
      <xdr:col>4</xdr:col>
      <xdr:colOff>0</xdr:colOff>
      <xdr:row>7</xdr:row>
      <xdr:rowOff>0</xdr:rowOff>
    </xdr:from>
    <xdr:to>
      <xdr:col>4</xdr:col>
      <xdr:colOff>0</xdr:colOff>
      <xdr:row>9</xdr:row>
      <xdr:rowOff>188343</xdr:rowOff>
    </xdr:to>
    <xdr:pic>
      <xdr:nvPicPr>
        <xdr:cNvPr id="19"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5762625" y="7715250"/>
          <a:ext cx="2143125" cy="1295400"/>
        </a:xfrm>
        <a:prstGeom prst="rect">
          <a:avLst/>
        </a:prstGeom>
        <a:noFill/>
        <a:ln w="1">
          <a:noFill/>
          <a:miter lim="800000"/>
          <a:headEnd/>
          <a:tailEnd type="none" w="med" len="med"/>
        </a:ln>
        <a:effectLst/>
      </xdr:spPr>
    </xdr:pic>
    <xdr:clientData/>
  </xdr:twoCellAnchor>
  <xdr:twoCellAnchor editAs="oneCell">
    <xdr:from>
      <xdr:col>9</xdr:col>
      <xdr:colOff>257175</xdr:colOff>
      <xdr:row>6</xdr:row>
      <xdr:rowOff>0</xdr:rowOff>
    </xdr:from>
    <xdr:to>
      <xdr:col>9</xdr:col>
      <xdr:colOff>689610</xdr:colOff>
      <xdr:row>6</xdr:row>
      <xdr:rowOff>3810</xdr:rowOff>
    </xdr:to>
    <xdr:pic>
      <xdr:nvPicPr>
        <xdr:cNvPr id="23" name="Picture 22"/>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6</xdr:row>
      <xdr:rowOff>0</xdr:rowOff>
    </xdr:from>
    <xdr:to>
      <xdr:col>9</xdr:col>
      <xdr:colOff>689610</xdr:colOff>
      <xdr:row>6</xdr:row>
      <xdr:rowOff>3810</xdr:rowOff>
    </xdr:to>
    <xdr:pic>
      <xdr:nvPicPr>
        <xdr:cNvPr id="24" name="Picture 23"/>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6</xdr:row>
      <xdr:rowOff>0</xdr:rowOff>
    </xdr:from>
    <xdr:to>
      <xdr:col>9</xdr:col>
      <xdr:colOff>689610</xdr:colOff>
      <xdr:row>6</xdr:row>
      <xdr:rowOff>3810</xdr:rowOff>
    </xdr:to>
    <xdr:pic>
      <xdr:nvPicPr>
        <xdr:cNvPr id="25" name="Picture 24"/>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6</xdr:row>
      <xdr:rowOff>0</xdr:rowOff>
    </xdr:from>
    <xdr:to>
      <xdr:col>9</xdr:col>
      <xdr:colOff>689610</xdr:colOff>
      <xdr:row>6</xdr:row>
      <xdr:rowOff>3810</xdr:rowOff>
    </xdr:to>
    <xdr:pic>
      <xdr:nvPicPr>
        <xdr:cNvPr id="26" name="Picture 25"/>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7</xdr:row>
      <xdr:rowOff>0</xdr:rowOff>
    </xdr:from>
    <xdr:to>
      <xdr:col>9</xdr:col>
      <xdr:colOff>689610</xdr:colOff>
      <xdr:row>7</xdr:row>
      <xdr:rowOff>3810</xdr:rowOff>
    </xdr:to>
    <xdr:pic>
      <xdr:nvPicPr>
        <xdr:cNvPr id="27" name="Picture 26"/>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7</xdr:row>
      <xdr:rowOff>0</xdr:rowOff>
    </xdr:from>
    <xdr:to>
      <xdr:col>9</xdr:col>
      <xdr:colOff>689610</xdr:colOff>
      <xdr:row>7</xdr:row>
      <xdr:rowOff>3810</xdr:rowOff>
    </xdr:to>
    <xdr:pic>
      <xdr:nvPicPr>
        <xdr:cNvPr id="28" name="Picture 27"/>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7</xdr:row>
      <xdr:rowOff>0</xdr:rowOff>
    </xdr:from>
    <xdr:to>
      <xdr:col>9</xdr:col>
      <xdr:colOff>689610</xdr:colOff>
      <xdr:row>7</xdr:row>
      <xdr:rowOff>3810</xdr:rowOff>
    </xdr:to>
    <xdr:pic>
      <xdr:nvPicPr>
        <xdr:cNvPr id="29" name="Picture 28"/>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7</xdr:row>
      <xdr:rowOff>0</xdr:rowOff>
    </xdr:from>
    <xdr:to>
      <xdr:col>9</xdr:col>
      <xdr:colOff>689610</xdr:colOff>
      <xdr:row>7</xdr:row>
      <xdr:rowOff>3810</xdr:rowOff>
    </xdr:to>
    <xdr:pic>
      <xdr:nvPicPr>
        <xdr:cNvPr id="30" name="Picture 29"/>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7</xdr:row>
      <xdr:rowOff>0</xdr:rowOff>
    </xdr:from>
    <xdr:to>
      <xdr:col>9</xdr:col>
      <xdr:colOff>689610</xdr:colOff>
      <xdr:row>7</xdr:row>
      <xdr:rowOff>3810</xdr:rowOff>
    </xdr:to>
    <xdr:pic>
      <xdr:nvPicPr>
        <xdr:cNvPr id="31" name="Picture 30"/>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7</xdr:row>
      <xdr:rowOff>0</xdr:rowOff>
    </xdr:from>
    <xdr:to>
      <xdr:col>9</xdr:col>
      <xdr:colOff>689610</xdr:colOff>
      <xdr:row>7</xdr:row>
      <xdr:rowOff>3810</xdr:rowOff>
    </xdr:to>
    <xdr:pic>
      <xdr:nvPicPr>
        <xdr:cNvPr id="32" name="Picture 31"/>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7</xdr:row>
      <xdr:rowOff>0</xdr:rowOff>
    </xdr:from>
    <xdr:to>
      <xdr:col>9</xdr:col>
      <xdr:colOff>689610</xdr:colOff>
      <xdr:row>7</xdr:row>
      <xdr:rowOff>3810</xdr:rowOff>
    </xdr:to>
    <xdr:pic>
      <xdr:nvPicPr>
        <xdr:cNvPr id="33" name="Picture 32"/>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7</xdr:row>
      <xdr:rowOff>0</xdr:rowOff>
    </xdr:from>
    <xdr:to>
      <xdr:col>9</xdr:col>
      <xdr:colOff>689610</xdr:colOff>
      <xdr:row>7</xdr:row>
      <xdr:rowOff>3810</xdr:rowOff>
    </xdr:to>
    <xdr:pic>
      <xdr:nvPicPr>
        <xdr:cNvPr id="34" name="Picture 33"/>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35" name="Picture 34"/>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36" name="Picture 35"/>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37" name="Picture 36"/>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38" name="Picture 37"/>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39" name="Picture 38"/>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40" name="Picture 39"/>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41" name="Picture 40"/>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42" name="Picture 41"/>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10</xdr:row>
      <xdr:rowOff>0</xdr:rowOff>
    </xdr:from>
    <xdr:to>
      <xdr:col>9</xdr:col>
      <xdr:colOff>689610</xdr:colOff>
      <xdr:row>10</xdr:row>
      <xdr:rowOff>3810</xdr:rowOff>
    </xdr:to>
    <xdr:pic>
      <xdr:nvPicPr>
        <xdr:cNvPr id="43" name="Picture 42"/>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10</xdr:row>
      <xdr:rowOff>0</xdr:rowOff>
    </xdr:from>
    <xdr:to>
      <xdr:col>9</xdr:col>
      <xdr:colOff>689610</xdr:colOff>
      <xdr:row>10</xdr:row>
      <xdr:rowOff>3810</xdr:rowOff>
    </xdr:to>
    <xdr:pic>
      <xdr:nvPicPr>
        <xdr:cNvPr id="44" name="Picture 43"/>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10</xdr:row>
      <xdr:rowOff>0</xdr:rowOff>
    </xdr:from>
    <xdr:to>
      <xdr:col>9</xdr:col>
      <xdr:colOff>689610</xdr:colOff>
      <xdr:row>10</xdr:row>
      <xdr:rowOff>3810</xdr:rowOff>
    </xdr:to>
    <xdr:pic>
      <xdr:nvPicPr>
        <xdr:cNvPr id="45" name="Picture 44"/>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10</xdr:row>
      <xdr:rowOff>0</xdr:rowOff>
    </xdr:from>
    <xdr:to>
      <xdr:col>9</xdr:col>
      <xdr:colOff>689610</xdr:colOff>
      <xdr:row>10</xdr:row>
      <xdr:rowOff>3810</xdr:rowOff>
    </xdr:to>
    <xdr:pic>
      <xdr:nvPicPr>
        <xdr:cNvPr id="46" name="Picture 45"/>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10</xdr:row>
      <xdr:rowOff>0</xdr:rowOff>
    </xdr:from>
    <xdr:to>
      <xdr:col>9</xdr:col>
      <xdr:colOff>689610</xdr:colOff>
      <xdr:row>10</xdr:row>
      <xdr:rowOff>3810</xdr:rowOff>
    </xdr:to>
    <xdr:pic>
      <xdr:nvPicPr>
        <xdr:cNvPr id="47" name="Picture 46"/>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10</xdr:row>
      <xdr:rowOff>0</xdr:rowOff>
    </xdr:from>
    <xdr:to>
      <xdr:col>9</xdr:col>
      <xdr:colOff>689610</xdr:colOff>
      <xdr:row>10</xdr:row>
      <xdr:rowOff>3810</xdr:rowOff>
    </xdr:to>
    <xdr:pic>
      <xdr:nvPicPr>
        <xdr:cNvPr id="48" name="Picture 47"/>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10</xdr:row>
      <xdr:rowOff>0</xdr:rowOff>
    </xdr:from>
    <xdr:to>
      <xdr:col>9</xdr:col>
      <xdr:colOff>689610</xdr:colOff>
      <xdr:row>10</xdr:row>
      <xdr:rowOff>3810</xdr:rowOff>
    </xdr:to>
    <xdr:pic>
      <xdr:nvPicPr>
        <xdr:cNvPr id="49" name="Picture 48"/>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10</xdr:row>
      <xdr:rowOff>0</xdr:rowOff>
    </xdr:from>
    <xdr:to>
      <xdr:col>9</xdr:col>
      <xdr:colOff>689610</xdr:colOff>
      <xdr:row>10</xdr:row>
      <xdr:rowOff>3810</xdr:rowOff>
    </xdr:to>
    <xdr:pic>
      <xdr:nvPicPr>
        <xdr:cNvPr id="50" name="Picture 49"/>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11</xdr:row>
      <xdr:rowOff>0</xdr:rowOff>
    </xdr:from>
    <xdr:to>
      <xdr:col>9</xdr:col>
      <xdr:colOff>689610</xdr:colOff>
      <xdr:row>11</xdr:row>
      <xdr:rowOff>3810</xdr:rowOff>
    </xdr:to>
    <xdr:pic>
      <xdr:nvPicPr>
        <xdr:cNvPr id="51" name="Picture 50"/>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11</xdr:row>
      <xdr:rowOff>0</xdr:rowOff>
    </xdr:from>
    <xdr:to>
      <xdr:col>9</xdr:col>
      <xdr:colOff>689610</xdr:colOff>
      <xdr:row>11</xdr:row>
      <xdr:rowOff>3810</xdr:rowOff>
    </xdr:to>
    <xdr:pic>
      <xdr:nvPicPr>
        <xdr:cNvPr id="52" name="Picture 51"/>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11</xdr:row>
      <xdr:rowOff>0</xdr:rowOff>
    </xdr:from>
    <xdr:to>
      <xdr:col>9</xdr:col>
      <xdr:colOff>689610</xdr:colOff>
      <xdr:row>11</xdr:row>
      <xdr:rowOff>3810</xdr:rowOff>
    </xdr:to>
    <xdr:pic>
      <xdr:nvPicPr>
        <xdr:cNvPr id="53" name="Picture 52"/>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11</xdr:row>
      <xdr:rowOff>0</xdr:rowOff>
    </xdr:from>
    <xdr:to>
      <xdr:col>9</xdr:col>
      <xdr:colOff>689610</xdr:colOff>
      <xdr:row>11</xdr:row>
      <xdr:rowOff>3810</xdr:rowOff>
    </xdr:to>
    <xdr:pic>
      <xdr:nvPicPr>
        <xdr:cNvPr id="54" name="Picture 53"/>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11</xdr:row>
      <xdr:rowOff>0</xdr:rowOff>
    </xdr:from>
    <xdr:to>
      <xdr:col>9</xdr:col>
      <xdr:colOff>689610</xdr:colOff>
      <xdr:row>11</xdr:row>
      <xdr:rowOff>3810</xdr:rowOff>
    </xdr:to>
    <xdr:pic>
      <xdr:nvPicPr>
        <xdr:cNvPr id="55" name="Picture 54"/>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11</xdr:row>
      <xdr:rowOff>0</xdr:rowOff>
    </xdr:from>
    <xdr:to>
      <xdr:col>9</xdr:col>
      <xdr:colOff>689610</xdr:colOff>
      <xdr:row>11</xdr:row>
      <xdr:rowOff>3810</xdr:rowOff>
    </xdr:to>
    <xdr:pic>
      <xdr:nvPicPr>
        <xdr:cNvPr id="56" name="Picture 55"/>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11</xdr:row>
      <xdr:rowOff>0</xdr:rowOff>
    </xdr:from>
    <xdr:to>
      <xdr:col>9</xdr:col>
      <xdr:colOff>689610</xdr:colOff>
      <xdr:row>11</xdr:row>
      <xdr:rowOff>3810</xdr:rowOff>
    </xdr:to>
    <xdr:pic>
      <xdr:nvPicPr>
        <xdr:cNvPr id="57" name="Picture 56"/>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11</xdr:row>
      <xdr:rowOff>0</xdr:rowOff>
    </xdr:from>
    <xdr:to>
      <xdr:col>9</xdr:col>
      <xdr:colOff>689610</xdr:colOff>
      <xdr:row>11</xdr:row>
      <xdr:rowOff>3810</xdr:rowOff>
    </xdr:to>
    <xdr:pic>
      <xdr:nvPicPr>
        <xdr:cNvPr id="58" name="Picture 57"/>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16</xdr:row>
      <xdr:rowOff>0</xdr:rowOff>
    </xdr:from>
    <xdr:to>
      <xdr:col>9</xdr:col>
      <xdr:colOff>689610</xdr:colOff>
      <xdr:row>16</xdr:row>
      <xdr:rowOff>3810</xdr:rowOff>
    </xdr:to>
    <xdr:pic>
      <xdr:nvPicPr>
        <xdr:cNvPr id="59" name="Picture 58"/>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16</xdr:row>
      <xdr:rowOff>0</xdr:rowOff>
    </xdr:from>
    <xdr:to>
      <xdr:col>9</xdr:col>
      <xdr:colOff>689610</xdr:colOff>
      <xdr:row>16</xdr:row>
      <xdr:rowOff>3810</xdr:rowOff>
    </xdr:to>
    <xdr:pic>
      <xdr:nvPicPr>
        <xdr:cNvPr id="60" name="Picture 59"/>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16</xdr:row>
      <xdr:rowOff>0</xdr:rowOff>
    </xdr:from>
    <xdr:to>
      <xdr:col>9</xdr:col>
      <xdr:colOff>689610</xdr:colOff>
      <xdr:row>16</xdr:row>
      <xdr:rowOff>3810</xdr:rowOff>
    </xdr:to>
    <xdr:pic>
      <xdr:nvPicPr>
        <xdr:cNvPr id="61" name="Picture 60"/>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16</xdr:row>
      <xdr:rowOff>0</xdr:rowOff>
    </xdr:from>
    <xdr:to>
      <xdr:col>9</xdr:col>
      <xdr:colOff>689610</xdr:colOff>
      <xdr:row>16</xdr:row>
      <xdr:rowOff>3810</xdr:rowOff>
    </xdr:to>
    <xdr:pic>
      <xdr:nvPicPr>
        <xdr:cNvPr id="62" name="Picture 61"/>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16</xdr:row>
      <xdr:rowOff>0</xdr:rowOff>
    </xdr:from>
    <xdr:to>
      <xdr:col>9</xdr:col>
      <xdr:colOff>689610</xdr:colOff>
      <xdr:row>16</xdr:row>
      <xdr:rowOff>3810</xdr:rowOff>
    </xdr:to>
    <xdr:pic>
      <xdr:nvPicPr>
        <xdr:cNvPr id="63" name="Picture 62"/>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16</xdr:row>
      <xdr:rowOff>0</xdr:rowOff>
    </xdr:from>
    <xdr:to>
      <xdr:col>9</xdr:col>
      <xdr:colOff>689610</xdr:colOff>
      <xdr:row>16</xdr:row>
      <xdr:rowOff>3810</xdr:rowOff>
    </xdr:to>
    <xdr:pic>
      <xdr:nvPicPr>
        <xdr:cNvPr id="64" name="Picture 63"/>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16</xdr:row>
      <xdr:rowOff>0</xdr:rowOff>
    </xdr:from>
    <xdr:to>
      <xdr:col>9</xdr:col>
      <xdr:colOff>689610</xdr:colOff>
      <xdr:row>16</xdr:row>
      <xdr:rowOff>3810</xdr:rowOff>
    </xdr:to>
    <xdr:pic>
      <xdr:nvPicPr>
        <xdr:cNvPr id="65" name="Picture 64"/>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16</xdr:row>
      <xdr:rowOff>0</xdr:rowOff>
    </xdr:from>
    <xdr:to>
      <xdr:col>9</xdr:col>
      <xdr:colOff>689610</xdr:colOff>
      <xdr:row>16</xdr:row>
      <xdr:rowOff>3810</xdr:rowOff>
    </xdr:to>
    <xdr:pic>
      <xdr:nvPicPr>
        <xdr:cNvPr id="66" name="Picture 65"/>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12</xdr:row>
      <xdr:rowOff>0</xdr:rowOff>
    </xdr:from>
    <xdr:to>
      <xdr:col>9</xdr:col>
      <xdr:colOff>689610</xdr:colOff>
      <xdr:row>12</xdr:row>
      <xdr:rowOff>3810</xdr:rowOff>
    </xdr:to>
    <xdr:pic>
      <xdr:nvPicPr>
        <xdr:cNvPr id="67" name="Picture 66"/>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12</xdr:row>
      <xdr:rowOff>0</xdr:rowOff>
    </xdr:from>
    <xdr:to>
      <xdr:col>9</xdr:col>
      <xdr:colOff>689610</xdr:colOff>
      <xdr:row>12</xdr:row>
      <xdr:rowOff>3810</xdr:rowOff>
    </xdr:to>
    <xdr:pic>
      <xdr:nvPicPr>
        <xdr:cNvPr id="68" name="Picture 67"/>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12</xdr:row>
      <xdr:rowOff>0</xdr:rowOff>
    </xdr:from>
    <xdr:to>
      <xdr:col>9</xdr:col>
      <xdr:colOff>689610</xdr:colOff>
      <xdr:row>12</xdr:row>
      <xdr:rowOff>3810</xdr:rowOff>
    </xdr:to>
    <xdr:pic>
      <xdr:nvPicPr>
        <xdr:cNvPr id="69" name="Picture 68"/>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12</xdr:row>
      <xdr:rowOff>0</xdr:rowOff>
    </xdr:from>
    <xdr:to>
      <xdr:col>9</xdr:col>
      <xdr:colOff>689610</xdr:colOff>
      <xdr:row>12</xdr:row>
      <xdr:rowOff>3810</xdr:rowOff>
    </xdr:to>
    <xdr:pic>
      <xdr:nvPicPr>
        <xdr:cNvPr id="70" name="Picture 69"/>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12</xdr:row>
      <xdr:rowOff>0</xdr:rowOff>
    </xdr:from>
    <xdr:to>
      <xdr:col>9</xdr:col>
      <xdr:colOff>689610</xdr:colOff>
      <xdr:row>12</xdr:row>
      <xdr:rowOff>3810</xdr:rowOff>
    </xdr:to>
    <xdr:pic>
      <xdr:nvPicPr>
        <xdr:cNvPr id="71" name="Picture 70"/>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12</xdr:row>
      <xdr:rowOff>0</xdr:rowOff>
    </xdr:from>
    <xdr:to>
      <xdr:col>9</xdr:col>
      <xdr:colOff>689610</xdr:colOff>
      <xdr:row>12</xdr:row>
      <xdr:rowOff>3810</xdr:rowOff>
    </xdr:to>
    <xdr:pic>
      <xdr:nvPicPr>
        <xdr:cNvPr id="72" name="Picture 71"/>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12</xdr:row>
      <xdr:rowOff>0</xdr:rowOff>
    </xdr:from>
    <xdr:to>
      <xdr:col>9</xdr:col>
      <xdr:colOff>689610</xdr:colOff>
      <xdr:row>12</xdr:row>
      <xdr:rowOff>3810</xdr:rowOff>
    </xdr:to>
    <xdr:pic>
      <xdr:nvPicPr>
        <xdr:cNvPr id="73" name="Picture 72"/>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12</xdr:row>
      <xdr:rowOff>0</xdr:rowOff>
    </xdr:from>
    <xdr:to>
      <xdr:col>9</xdr:col>
      <xdr:colOff>689610</xdr:colOff>
      <xdr:row>12</xdr:row>
      <xdr:rowOff>3810</xdr:rowOff>
    </xdr:to>
    <xdr:pic>
      <xdr:nvPicPr>
        <xdr:cNvPr id="74" name="Picture 73"/>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13</xdr:row>
      <xdr:rowOff>0</xdr:rowOff>
    </xdr:from>
    <xdr:to>
      <xdr:col>9</xdr:col>
      <xdr:colOff>689610</xdr:colOff>
      <xdr:row>13</xdr:row>
      <xdr:rowOff>3810</xdr:rowOff>
    </xdr:to>
    <xdr:pic>
      <xdr:nvPicPr>
        <xdr:cNvPr id="75" name="Picture 74"/>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13</xdr:row>
      <xdr:rowOff>0</xdr:rowOff>
    </xdr:from>
    <xdr:to>
      <xdr:col>9</xdr:col>
      <xdr:colOff>689610</xdr:colOff>
      <xdr:row>13</xdr:row>
      <xdr:rowOff>3810</xdr:rowOff>
    </xdr:to>
    <xdr:pic>
      <xdr:nvPicPr>
        <xdr:cNvPr id="76" name="Picture 75"/>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13</xdr:row>
      <xdr:rowOff>0</xdr:rowOff>
    </xdr:from>
    <xdr:to>
      <xdr:col>9</xdr:col>
      <xdr:colOff>689610</xdr:colOff>
      <xdr:row>13</xdr:row>
      <xdr:rowOff>3810</xdr:rowOff>
    </xdr:to>
    <xdr:pic>
      <xdr:nvPicPr>
        <xdr:cNvPr id="77" name="Picture 76"/>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13</xdr:row>
      <xdr:rowOff>0</xdr:rowOff>
    </xdr:from>
    <xdr:to>
      <xdr:col>9</xdr:col>
      <xdr:colOff>689610</xdr:colOff>
      <xdr:row>13</xdr:row>
      <xdr:rowOff>3810</xdr:rowOff>
    </xdr:to>
    <xdr:pic>
      <xdr:nvPicPr>
        <xdr:cNvPr id="78" name="Picture 77"/>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13</xdr:row>
      <xdr:rowOff>0</xdr:rowOff>
    </xdr:from>
    <xdr:to>
      <xdr:col>9</xdr:col>
      <xdr:colOff>689610</xdr:colOff>
      <xdr:row>13</xdr:row>
      <xdr:rowOff>3810</xdr:rowOff>
    </xdr:to>
    <xdr:pic>
      <xdr:nvPicPr>
        <xdr:cNvPr id="79" name="Picture 78"/>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13</xdr:row>
      <xdr:rowOff>0</xdr:rowOff>
    </xdr:from>
    <xdr:to>
      <xdr:col>9</xdr:col>
      <xdr:colOff>689610</xdr:colOff>
      <xdr:row>13</xdr:row>
      <xdr:rowOff>3810</xdr:rowOff>
    </xdr:to>
    <xdr:pic>
      <xdr:nvPicPr>
        <xdr:cNvPr id="80" name="Picture 79"/>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13</xdr:row>
      <xdr:rowOff>0</xdr:rowOff>
    </xdr:from>
    <xdr:to>
      <xdr:col>9</xdr:col>
      <xdr:colOff>689610</xdr:colOff>
      <xdr:row>13</xdr:row>
      <xdr:rowOff>3810</xdr:rowOff>
    </xdr:to>
    <xdr:pic>
      <xdr:nvPicPr>
        <xdr:cNvPr id="81" name="Picture 80"/>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13</xdr:row>
      <xdr:rowOff>0</xdr:rowOff>
    </xdr:from>
    <xdr:to>
      <xdr:col>9</xdr:col>
      <xdr:colOff>689610</xdr:colOff>
      <xdr:row>13</xdr:row>
      <xdr:rowOff>3810</xdr:rowOff>
    </xdr:to>
    <xdr:pic>
      <xdr:nvPicPr>
        <xdr:cNvPr id="82" name="Picture 81"/>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16</xdr:row>
      <xdr:rowOff>0</xdr:rowOff>
    </xdr:from>
    <xdr:to>
      <xdr:col>9</xdr:col>
      <xdr:colOff>689610</xdr:colOff>
      <xdr:row>16</xdr:row>
      <xdr:rowOff>3810</xdr:rowOff>
    </xdr:to>
    <xdr:pic>
      <xdr:nvPicPr>
        <xdr:cNvPr id="83" name="Picture 82"/>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16</xdr:row>
      <xdr:rowOff>0</xdr:rowOff>
    </xdr:from>
    <xdr:to>
      <xdr:col>9</xdr:col>
      <xdr:colOff>689610</xdr:colOff>
      <xdr:row>16</xdr:row>
      <xdr:rowOff>3810</xdr:rowOff>
    </xdr:to>
    <xdr:pic>
      <xdr:nvPicPr>
        <xdr:cNvPr id="84" name="Picture 83"/>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16</xdr:row>
      <xdr:rowOff>0</xdr:rowOff>
    </xdr:from>
    <xdr:to>
      <xdr:col>9</xdr:col>
      <xdr:colOff>689610</xdr:colOff>
      <xdr:row>16</xdr:row>
      <xdr:rowOff>3810</xdr:rowOff>
    </xdr:to>
    <xdr:pic>
      <xdr:nvPicPr>
        <xdr:cNvPr id="85" name="Picture 84"/>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16</xdr:row>
      <xdr:rowOff>0</xdr:rowOff>
    </xdr:from>
    <xdr:to>
      <xdr:col>9</xdr:col>
      <xdr:colOff>689610</xdr:colOff>
      <xdr:row>16</xdr:row>
      <xdr:rowOff>3810</xdr:rowOff>
    </xdr:to>
    <xdr:pic>
      <xdr:nvPicPr>
        <xdr:cNvPr id="86" name="Picture 85"/>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16</xdr:row>
      <xdr:rowOff>0</xdr:rowOff>
    </xdr:from>
    <xdr:to>
      <xdr:col>9</xdr:col>
      <xdr:colOff>689610</xdr:colOff>
      <xdr:row>16</xdr:row>
      <xdr:rowOff>3810</xdr:rowOff>
    </xdr:to>
    <xdr:pic>
      <xdr:nvPicPr>
        <xdr:cNvPr id="87" name="Picture 86"/>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16</xdr:row>
      <xdr:rowOff>0</xdr:rowOff>
    </xdr:from>
    <xdr:to>
      <xdr:col>9</xdr:col>
      <xdr:colOff>689610</xdr:colOff>
      <xdr:row>16</xdr:row>
      <xdr:rowOff>3810</xdr:rowOff>
    </xdr:to>
    <xdr:pic>
      <xdr:nvPicPr>
        <xdr:cNvPr id="88" name="Picture 87"/>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16</xdr:row>
      <xdr:rowOff>0</xdr:rowOff>
    </xdr:from>
    <xdr:to>
      <xdr:col>9</xdr:col>
      <xdr:colOff>689610</xdr:colOff>
      <xdr:row>16</xdr:row>
      <xdr:rowOff>3810</xdr:rowOff>
    </xdr:to>
    <xdr:pic>
      <xdr:nvPicPr>
        <xdr:cNvPr id="89" name="Picture 88"/>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16</xdr:row>
      <xdr:rowOff>0</xdr:rowOff>
    </xdr:from>
    <xdr:to>
      <xdr:col>9</xdr:col>
      <xdr:colOff>689610</xdr:colOff>
      <xdr:row>16</xdr:row>
      <xdr:rowOff>3810</xdr:rowOff>
    </xdr:to>
    <xdr:pic>
      <xdr:nvPicPr>
        <xdr:cNvPr id="90" name="Picture 89"/>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17</xdr:row>
      <xdr:rowOff>0</xdr:rowOff>
    </xdr:from>
    <xdr:to>
      <xdr:col>9</xdr:col>
      <xdr:colOff>689610</xdr:colOff>
      <xdr:row>17</xdr:row>
      <xdr:rowOff>3810</xdr:rowOff>
    </xdr:to>
    <xdr:pic>
      <xdr:nvPicPr>
        <xdr:cNvPr id="91" name="Picture 90"/>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17</xdr:row>
      <xdr:rowOff>0</xdr:rowOff>
    </xdr:from>
    <xdr:to>
      <xdr:col>9</xdr:col>
      <xdr:colOff>689610</xdr:colOff>
      <xdr:row>17</xdr:row>
      <xdr:rowOff>3810</xdr:rowOff>
    </xdr:to>
    <xdr:pic>
      <xdr:nvPicPr>
        <xdr:cNvPr id="92" name="Picture 91"/>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17</xdr:row>
      <xdr:rowOff>0</xdr:rowOff>
    </xdr:from>
    <xdr:to>
      <xdr:col>9</xdr:col>
      <xdr:colOff>689610</xdr:colOff>
      <xdr:row>17</xdr:row>
      <xdr:rowOff>3810</xdr:rowOff>
    </xdr:to>
    <xdr:pic>
      <xdr:nvPicPr>
        <xdr:cNvPr id="93" name="Picture 92"/>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17</xdr:row>
      <xdr:rowOff>0</xdr:rowOff>
    </xdr:from>
    <xdr:to>
      <xdr:col>9</xdr:col>
      <xdr:colOff>689610</xdr:colOff>
      <xdr:row>17</xdr:row>
      <xdr:rowOff>3810</xdr:rowOff>
    </xdr:to>
    <xdr:pic>
      <xdr:nvPicPr>
        <xdr:cNvPr id="94" name="Picture 93"/>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17</xdr:row>
      <xdr:rowOff>0</xdr:rowOff>
    </xdr:from>
    <xdr:to>
      <xdr:col>9</xdr:col>
      <xdr:colOff>689610</xdr:colOff>
      <xdr:row>17</xdr:row>
      <xdr:rowOff>3810</xdr:rowOff>
    </xdr:to>
    <xdr:pic>
      <xdr:nvPicPr>
        <xdr:cNvPr id="95" name="Picture 94"/>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17</xdr:row>
      <xdr:rowOff>0</xdr:rowOff>
    </xdr:from>
    <xdr:to>
      <xdr:col>9</xdr:col>
      <xdr:colOff>689610</xdr:colOff>
      <xdr:row>17</xdr:row>
      <xdr:rowOff>3810</xdr:rowOff>
    </xdr:to>
    <xdr:pic>
      <xdr:nvPicPr>
        <xdr:cNvPr id="96" name="Picture 95"/>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17</xdr:row>
      <xdr:rowOff>0</xdr:rowOff>
    </xdr:from>
    <xdr:to>
      <xdr:col>9</xdr:col>
      <xdr:colOff>689610</xdr:colOff>
      <xdr:row>17</xdr:row>
      <xdr:rowOff>3810</xdr:rowOff>
    </xdr:to>
    <xdr:pic>
      <xdr:nvPicPr>
        <xdr:cNvPr id="97" name="Picture 96"/>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17</xdr:row>
      <xdr:rowOff>0</xdr:rowOff>
    </xdr:from>
    <xdr:to>
      <xdr:col>9</xdr:col>
      <xdr:colOff>689610</xdr:colOff>
      <xdr:row>17</xdr:row>
      <xdr:rowOff>3810</xdr:rowOff>
    </xdr:to>
    <xdr:pic>
      <xdr:nvPicPr>
        <xdr:cNvPr id="98" name="Picture 97"/>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18</xdr:row>
      <xdr:rowOff>0</xdr:rowOff>
    </xdr:from>
    <xdr:to>
      <xdr:col>9</xdr:col>
      <xdr:colOff>689610</xdr:colOff>
      <xdr:row>18</xdr:row>
      <xdr:rowOff>3810</xdr:rowOff>
    </xdr:to>
    <xdr:pic>
      <xdr:nvPicPr>
        <xdr:cNvPr id="99" name="Picture 98"/>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18</xdr:row>
      <xdr:rowOff>0</xdr:rowOff>
    </xdr:from>
    <xdr:to>
      <xdr:col>9</xdr:col>
      <xdr:colOff>689610</xdr:colOff>
      <xdr:row>18</xdr:row>
      <xdr:rowOff>3810</xdr:rowOff>
    </xdr:to>
    <xdr:pic>
      <xdr:nvPicPr>
        <xdr:cNvPr id="100" name="Picture 99"/>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18</xdr:row>
      <xdr:rowOff>0</xdr:rowOff>
    </xdr:from>
    <xdr:to>
      <xdr:col>9</xdr:col>
      <xdr:colOff>689610</xdr:colOff>
      <xdr:row>18</xdr:row>
      <xdr:rowOff>3810</xdr:rowOff>
    </xdr:to>
    <xdr:pic>
      <xdr:nvPicPr>
        <xdr:cNvPr id="101" name="Picture 100"/>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18</xdr:row>
      <xdr:rowOff>0</xdr:rowOff>
    </xdr:from>
    <xdr:to>
      <xdr:col>9</xdr:col>
      <xdr:colOff>689610</xdr:colOff>
      <xdr:row>18</xdr:row>
      <xdr:rowOff>3810</xdr:rowOff>
    </xdr:to>
    <xdr:pic>
      <xdr:nvPicPr>
        <xdr:cNvPr id="102" name="Picture 101"/>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18</xdr:row>
      <xdr:rowOff>0</xdr:rowOff>
    </xdr:from>
    <xdr:to>
      <xdr:col>9</xdr:col>
      <xdr:colOff>689610</xdr:colOff>
      <xdr:row>18</xdr:row>
      <xdr:rowOff>3810</xdr:rowOff>
    </xdr:to>
    <xdr:pic>
      <xdr:nvPicPr>
        <xdr:cNvPr id="103" name="Picture 102"/>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18</xdr:row>
      <xdr:rowOff>0</xdr:rowOff>
    </xdr:from>
    <xdr:to>
      <xdr:col>9</xdr:col>
      <xdr:colOff>689610</xdr:colOff>
      <xdr:row>18</xdr:row>
      <xdr:rowOff>3810</xdr:rowOff>
    </xdr:to>
    <xdr:pic>
      <xdr:nvPicPr>
        <xdr:cNvPr id="104" name="Picture 103"/>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18</xdr:row>
      <xdr:rowOff>0</xdr:rowOff>
    </xdr:from>
    <xdr:to>
      <xdr:col>9</xdr:col>
      <xdr:colOff>689610</xdr:colOff>
      <xdr:row>18</xdr:row>
      <xdr:rowOff>3810</xdr:rowOff>
    </xdr:to>
    <xdr:pic>
      <xdr:nvPicPr>
        <xdr:cNvPr id="105" name="Picture 104"/>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18</xdr:row>
      <xdr:rowOff>0</xdr:rowOff>
    </xdr:from>
    <xdr:to>
      <xdr:col>9</xdr:col>
      <xdr:colOff>689610</xdr:colOff>
      <xdr:row>18</xdr:row>
      <xdr:rowOff>3810</xdr:rowOff>
    </xdr:to>
    <xdr:pic>
      <xdr:nvPicPr>
        <xdr:cNvPr id="106" name="Picture 105"/>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19</xdr:row>
      <xdr:rowOff>0</xdr:rowOff>
    </xdr:from>
    <xdr:to>
      <xdr:col>9</xdr:col>
      <xdr:colOff>689610</xdr:colOff>
      <xdr:row>19</xdr:row>
      <xdr:rowOff>3810</xdr:rowOff>
    </xdr:to>
    <xdr:pic>
      <xdr:nvPicPr>
        <xdr:cNvPr id="107" name="Picture 106"/>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19</xdr:row>
      <xdr:rowOff>0</xdr:rowOff>
    </xdr:from>
    <xdr:to>
      <xdr:col>9</xdr:col>
      <xdr:colOff>689610</xdr:colOff>
      <xdr:row>19</xdr:row>
      <xdr:rowOff>3810</xdr:rowOff>
    </xdr:to>
    <xdr:pic>
      <xdr:nvPicPr>
        <xdr:cNvPr id="108" name="Picture 107"/>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19</xdr:row>
      <xdr:rowOff>0</xdr:rowOff>
    </xdr:from>
    <xdr:to>
      <xdr:col>9</xdr:col>
      <xdr:colOff>689610</xdr:colOff>
      <xdr:row>19</xdr:row>
      <xdr:rowOff>3810</xdr:rowOff>
    </xdr:to>
    <xdr:pic>
      <xdr:nvPicPr>
        <xdr:cNvPr id="109" name="Picture 108"/>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19</xdr:row>
      <xdr:rowOff>0</xdr:rowOff>
    </xdr:from>
    <xdr:to>
      <xdr:col>9</xdr:col>
      <xdr:colOff>689610</xdr:colOff>
      <xdr:row>19</xdr:row>
      <xdr:rowOff>3810</xdr:rowOff>
    </xdr:to>
    <xdr:pic>
      <xdr:nvPicPr>
        <xdr:cNvPr id="110" name="Picture 109"/>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19</xdr:row>
      <xdr:rowOff>0</xdr:rowOff>
    </xdr:from>
    <xdr:to>
      <xdr:col>9</xdr:col>
      <xdr:colOff>689610</xdr:colOff>
      <xdr:row>19</xdr:row>
      <xdr:rowOff>3810</xdr:rowOff>
    </xdr:to>
    <xdr:pic>
      <xdr:nvPicPr>
        <xdr:cNvPr id="111" name="Picture 110"/>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19</xdr:row>
      <xdr:rowOff>0</xdr:rowOff>
    </xdr:from>
    <xdr:to>
      <xdr:col>9</xdr:col>
      <xdr:colOff>689610</xdr:colOff>
      <xdr:row>19</xdr:row>
      <xdr:rowOff>3810</xdr:rowOff>
    </xdr:to>
    <xdr:pic>
      <xdr:nvPicPr>
        <xdr:cNvPr id="112" name="Picture 111"/>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19</xdr:row>
      <xdr:rowOff>0</xdr:rowOff>
    </xdr:from>
    <xdr:to>
      <xdr:col>9</xdr:col>
      <xdr:colOff>689610</xdr:colOff>
      <xdr:row>19</xdr:row>
      <xdr:rowOff>3810</xdr:rowOff>
    </xdr:to>
    <xdr:pic>
      <xdr:nvPicPr>
        <xdr:cNvPr id="113" name="Picture 112"/>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19</xdr:row>
      <xdr:rowOff>0</xdr:rowOff>
    </xdr:from>
    <xdr:to>
      <xdr:col>9</xdr:col>
      <xdr:colOff>689610</xdr:colOff>
      <xdr:row>19</xdr:row>
      <xdr:rowOff>3810</xdr:rowOff>
    </xdr:to>
    <xdr:pic>
      <xdr:nvPicPr>
        <xdr:cNvPr id="114" name="Picture 113"/>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20</xdr:row>
      <xdr:rowOff>0</xdr:rowOff>
    </xdr:from>
    <xdr:to>
      <xdr:col>9</xdr:col>
      <xdr:colOff>689610</xdr:colOff>
      <xdr:row>20</xdr:row>
      <xdr:rowOff>3810</xdr:rowOff>
    </xdr:to>
    <xdr:pic>
      <xdr:nvPicPr>
        <xdr:cNvPr id="115" name="Picture 114"/>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20</xdr:row>
      <xdr:rowOff>0</xdr:rowOff>
    </xdr:from>
    <xdr:to>
      <xdr:col>9</xdr:col>
      <xdr:colOff>689610</xdr:colOff>
      <xdr:row>20</xdr:row>
      <xdr:rowOff>3810</xdr:rowOff>
    </xdr:to>
    <xdr:pic>
      <xdr:nvPicPr>
        <xdr:cNvPr id="116" name="Picture 115"/>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20</xdr:row>
      <xdr:rowOff>0</xdr:rowOff>
    </xdr:from>
    <xdr:to>
      <xdr:col>9</xdr:col>
      <xdr:colOff>689610</xdr:colOff>
      <xdr:row>20</xdr:row>
      <xdr:rowOff>3810</xdr:rowOff>
    </xdr:to>
    <xdr:pic>
      <xdr:nvPicPr>
        <xdr:cNvPr id="117" name="Picture 116"/>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20</xdr:row>
      <xdr:rowOff>0</xdr:rowOff>
    </xdr:from>
    <xdr:to>
      <xdr:col>9</xdr:col>
      <xdr:colOff>689610</xdr:colOff>
      <xdr:row>20</xdr:row>
      <xdr:rowOff>3810</xdr:rowOff>
    </xdr:to>
    <xdr:pic>
      <xdr:nvPicPr>
        <xdr:cNvPr id="118" name="Picture 117"/>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20</xdr:row>
      <xdr:rowOff>0</xdr:rowOff>
    </xdr:from>
    <xdr:to>
      <xdr:col>9</xdr:col>
      <xdr:colOff>689610</xdr:colOff>
      <xdr:row>20</xdr:row>
      <xdr:rowOff>3810</xdr:rowOff>
    </xdr:to>
    <xdr:pic>
      <xdr:nvPicPr>
        <xdr:cNvPr id="119" name="Picture 118"/>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20</xdr:row>
      <xdr:rowOff>0</xdr:rowOff>
    </xdr:from>
    <xdr:to>
      <xdr:col>9</xdr:col>
      <xdr:colOff>689610</xdr:colOff>
      <xdr:row>20</xdr:row>
      <xdr:rowOff>3810</xdr:rowOff>
    </xdr:to>
    <xdr:pic>
      <xdr:nvPicPr>
        <xdr:cNvPr id="120" name="Picture 119"/>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20</xdr:row>
      <xdr:rowOff>0</xdr:rowOff>
    </xdr:from>
    <xdr:to>
      <xdr:col>9</xdr:col>
      <xdr:colOff>689610</xdr:colOff>
      <xdr:row>20</xdr:row>
      <xdr:rowOff>3810</xdr:rowOff>
    </xdr:to>
    <xdr:pic>
      <xdr:nvPicPr>
        <xdr:cNvPr id="121" name="Picture 120"/>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20</xdr:row>
      <xdr:rowOff>0</xdr:rowOff>
    </xdr:from>
    <xdr:to>
      <xdr:col>9</xdr:col>
      <xdr:colOff>689610</xdr:colOff>
      <xdr:row>20</xdr:row>
      <xdr:rowOff>3810</xdr:rowOff>
    </xdr:to>
    <xdr:pic>
      <xdr:nvPicPr>
        <xdr:cNvPr id="122" name="Picture 121"/>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21</xdr:row>
      <xdr:rowOff>0</xdr:rowOff>
    </xdr:from>
    <xdr:to>
      <xdr:col>9</xdr:col>
      <xdr:colOff>689610</xdr:colOff>
      <xdr:row>21</xdr:row>
      <xdr:rowOff>3810</xdr:rowOff>
    </xdr:to>
    <xdr:pic>
      <xdr:nvPicPr>
        <xdr:cNvPr id="123" name="Picture 122"/>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21</xdr:row>
      <xdr:rowOff>0</xdr:rowOff>
    </xdr:from>
    <xdr:to>
      <xdr:col>9</xdr:col>
      <xdr:colOff>689610</xdr:colOff>
      <xdr:row>21</xdr:row>
      <xdr:rowOff>3810</xdr:rowOff>
    </xdr:to>
    <xdr:pic>
      <xdr:nvPicPr>
        <xdr:cNvPr id="124" name="Picture 123"/>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21</xdr:row>
      <xdr:rowOff>0</xdr:rowOff>
    </xdr:from>
    <xdr:to>
      <xdr:col>9</xdr:col>
      <xdr:colOff>689610</xdr:colOff>
      <xdr:row>21</xdr:row>
      <xdr:rowOff>3810</xdr:rowOff>
    </xdr:to>
    <xdr:pic>
      <xdr:nvPicPr>
        <xdr:cNvPr id="125" name="Picture 124"/>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21</xdr:row>
      <xdr:rowOff>0</xdr:rowOff>
    </xdr:from>
    <xdr:to>
      <xdr:col>9</xdr:col>
      <xdr:colOff>689610</xdr:colOff>
      <xdr:row>21</xdr:row>
      <xdr:rowOff>3810</xdr:rowOff>
    </xdr:to>
    <xdr:pic>
      <xdr:nvPicPr>
        <xdr:cNvPr id="126" name="Picture 125"/>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21</xdr:row>
      <xdr:rowOff>0</xdr:rowOff>
    </xdr:from>
    <xdr:to>
      <xdr:col>9</xdr:col>
      <xdr:colOff>689610</xdr:colOff>
      <xdr:row>21</xdr:row>
      <xdr:rowOff>3810</xdr:rowOff>
    </xdr:to>
    <xdr:pic>
      <xdr:nvPicPr>
        <xdr:cNvPr id="127" name="Picture 126"/>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21</xdr:row>
      <xdr:rowOff>0</xdr:rowOff>
    </xdr:from>
    <xdr:to>
      <xdr:col>9</xdr:col>
      <xdr:colOff>689610</xdr:colOff>
      <xdr:row>21</xdr:row>
      <xdr:rowOff>3810</xdr:rowOff>
    </xdr:to>
    <xdr:pic>
      <xdr:nvPicPr>
        <xdr:cNvPr id="128" name="Picture 127"/>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21</xdr:row>
      <xdr:rowOff>0</xdr:rowOff>
    </xdr:from>
    <xdr:to>
      <xdr:col>9</xdr:col>
      <xdr:colOff>689610</xdr:colOff>
      <xdr:row>21</xdr:row>
      <xdr:rowOff>3810</xdr:rowOff>
    </xdr:to>
    <xdr:pic>
      <xdr:nvPicPr>
        <xdr:cNvPr id="129" name="Picture 128"/>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21</xdr:row>
      <xdr:rowOff>0</xdr:rowOff>
    </xdr:from>
    <xdr:to>
      <xdr:col>9</xdr:col>
      <xdr:colOff>689610</xdr:colOff>
      <xdr:row>21</xdr:row>
      <xdr:rowOff>3810</xdr:rowOff>
    </xdr:to>
    <xdr:pic>
      <xdr:nvPicPr>
        <xdr:cNvPr id="130" name="Picture 129"/>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22</xdr:row>
      <xdr:rowOff>0</xdr:rowOff>
    </xdr:from>
    <xdr:to>
      <xdr:col>9</xdr:col>
      <xdr:colOff>689610</xdr:colOff>
      <xdr:row>22</xdr:row>
      <xdr:rowOff>3810</xdr:rowOff>
    </xdr:to>
    <xdr:pic>
      <xdr:nvPicPr>
        <xdr:cNvPr id="131" name="Picture 130"/>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22</xdr:row>
      <xdr:rowOff>0</xdr:rowOff>
    </xdr:from>
    <xdr:to>
      <xdr:col>9</xdr:col>
      <xdr:colOff>689610</xdr:colOff>
      <xdr:row>22</xdr:row>
      <xdr:rowOff>3810</xdr:rowOff>
    </xdr:to>
    <xdr:pic>
      <xdr:nvPicPr>
        <xdr:cNvPr id="132" name="Picture 131"/>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22</xdr:row>
      <xdr:rowOff>0</xdr:rowOff>
    </xdr:from>
    <xdr:to>
      <xdr:col>9</xdr:col>
      <xdr:colOff>689610</xdr:colOff>
      <xdr:row>22</xdr:row>
      <xdr:rowOff>3810</xdr:rowOff>
    </xdr:to>
    <xdr:pic>
      <xdr:nvPicPr>
        <xdr:cNvPr id="133" name="Picture 132"/>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22</xdr:row>
      <xdr:rowOff>0</xdr:rowOff>
    </xdr:from>
    <xdr:to>
      <xdr:col>9</xdr:col>
      <xdr:colOff>689610</xdr:colOff>
      <xdr:row>22</xdr:row>
      <xdr:rowOff>3810</xdr:rowOff>
    </xdr:to>
    <xdr:pic>
      <xdr:nvPicPr>
        <xdr:cNvPr id="134" name="Picture 133"/>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22</xdr:row>
      <xdr:rowOff>0</xdr:rowOff>
    </xdr:from>
    <xdr:to>
      <xdr:col>9</xdr:col>
      <xdr:colOff>689610</xdr:colOff>
      <xdr:row>22</xdr:row>
      <xdr:rowOff>3810</xdr:rowOff>
    </xdr:to>
    <xdr:pic>
      <xdr:nvPicPr>
        <xdr:cNvPr id="135" name="Picture 134"/>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22</xdr:row>
      <xdr:rowOff>0</xdr:rowOff>
    </xdr:from>
    <xdr:to>
      <xdr:col>9</xdr:col>
      <xdr:colOff>689610</xdr:colOff>
      <xdr:row>22</xdr:row>
      <xdr:rowOff>3810</xdr:rowOff>
    </xdr:to>
    <xdr:pic>
      <xdr:nvPicPr>
        <xdr:cNvPr id="136" name="Picture 135"/>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22</xdr:row>
      <xdr:rowOff>0</xdr:rowOff>
    </xdr:from>
    <xdr:to>
      <xdr:col>9</xdr:col>
      <xdr:colOff>689610</xdr:colOff>
      <xdr:row>22</xdr:row>
      <xdr:rowOff>3810</xdr:rowOff>
    </xdr:to>
    <xdr:pic>
      <xdr:nvPicPr>
        <xdr:cNvPr id="137" name="Picture 136"/>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22</xdr:row>
      <xdr:rowOff>0</xdr:rowOff>
    </xdr:from>
    <xdr:to>
      <xdr:col>9</xdr:col>
      <xdr:colOff>689610</xdr:colOff>
      <xdr:row>22</xdr:row>
      <xdr:rowOff>3810</xdr:rowOff>
    </xdr:to>
    <xdr:pic>
      <xdr:nvPicPr>
        <xdr:cNvPr id="138" name="Picture 137"/>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23</xdr:row>
      <xdr:rowOff>0</xdr:rowOff>
    </xdr:from>
    <xdr:to>
      <xdr:col>9</xdr:col>
      <xdr:colOff>689610</xdr:colOff>
      <xdr:row>23</xdr:row>
      <xdr:rowOff>3810</xdr:rowOff>
    </xdr:to>
    <xdr:pic>
      <xdr:nvPicPr>
        <xdr:cNvPr id="139" name="Picture 138"/>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23</xdr:row>
      <xdr:rowOff>0</xdr:rowOff>
    </xdr:from>
    <xdr:to>
      <xdr:col>9</xdr:col>
      <xdr:colOff>689610</xdr:colOff>
      <xdr:row>23</xdr:row>
      <xdr:rowOff>3810</xdr:rowOff>
    </xdr:to>
    <xdr:pic>
      <xdr:nvPicPr>
        <xdr:cNvPr id="140" name="Picture 139"/>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23</xdr:row>
      <xdr:rowOff>0</xdr:rowOff>
    </xdr:from>
    <xdr:to>
      <xdr:col>9</xdr:col>
      <xdr:colOff>689610</xdr:colOff>
      <xdr:row>23</xdr:row>
      <xdr:rowOff>3810</xdr:rowOff>
    </xdr:to>
    <xdr:pic>
      <xdr:nvPicPr>
        <xdr:cNvPr id="141" name="Picture 140"/>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23</xdr:row>
      <xdr:rowOff>0</xdr:rowOff>
    </xdr:from>
    <xdr:to>
      <xdr:col>9</xdr:col>
      <xdr:colOff>689610</xdr:colOff>
      <xdr:row>23</xdr:row>
      <xdr:rowOff>3810</xdr:rowOff>
    </xdr:to>
    <xdr:pic>
      <xdr:nvPicPr>
        <xdr:cNvPr id="142" name="Picture 141"/>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23</xdr:row>
      <xdr:rowOff>0</xdr:rowOff>
    </xdr:from>
    <xdr:to>
      <xdr:col>9</xdr:col>
      <xdr:colOff>689610</xdr:colOff>
      <xdr:row>23</xdr:row>
      <xdr:rowOff>3810</xdr:rowOff>
    </xdr:to>
    <xdr:pic>
      <xdr:nvPicPr>
        <xdr:cNvPr id="143" name="Picture 142"/>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23</xdr:row>
      <xdr:rowOff>0</xdr:rowOff>
    </xdr:from>
    <xdr:to>
      <xdr:col>9</xdr:col>
      <xdr:colOff>689610</xdr:colOff>
      <xdr:row>23</xdr:row>
      <xdr:rowOff>3810</xdr:rowOff>
    </xdr:to>
    <xdr:pic>
      <xdr:nvPicPr>
        <xdr:cNvPr id="144" name="Picture 143"/>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23</xdr:row>
      <xdr:rowOff>0</xdr:rowOff>
    </xdr:from>
    <xdr:to>
      <xdr:col>9</xdr:col>
      <xdr:colOff>689610</xdr:colOff>
      <xdr:row>23</xdr:row>
      <xdr:rowOff>3810</xdr:rowOff>
    </xdr:to>
    <xdr:pic>
      <xdr:nvPicPr>
        <xdr:cNvPr id="145" name="Picture 144"/>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23</xdr:row>
      <xdr:rowOff>0</xdr:rowOff>
    </xdr:from>
    <xdr:to>
      <xdr:col>9</xdr:col>
      <xdr:colOff>689610</xdr:colOff>
      <xdr:row>23</xdr:row>
      <xdr:rowOff>3810</xdr:rowOff>
    </xdr:to>
    <xdr:pic>
      <xdr:nvPicPr>
        <xdr:cNvPr id="146" name="Picture 145"/>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24</xdr:row>
      <xdr:rowOff>0</xdr:rowOff>
    </xdr:from>
    <xdr:to>
      <xdr:col>9</xdr:col>
      <xdr:colOff>689610</xdr:colOff>
      <xdr:row>24</xdr:row>
      <xdr:rowOff>3810</xdr:rowOff>
    </xdr:to>
    <xdr:pic>
      <xdr:nvPicPr>
        <xdr:cNvPr id="147" name="Picture 146"/>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24</xdr:row>
      <xdr:rowOff>0</xdr:rowOff>
    </xdr:from>
    <xdr:to>
      <xdr:col>9</xdr:col>
      <xdr:colOff>689610</xdr:colOff>
      <xdr:row>24</xdr:row>
      <xdr:rowOff>3810</xdr:rowOff>
    </xdr:to>
    <xdr:pic>
      <xdr:nvPicPr>
        <xdr:cNvPr id="148" name="Picture 147"/>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24</xdr:row>
      <xdr:rowOff>0</xdr:rowOff>
    </xdr:from>
    <xdr:to>
      <xdr:col>9</xdr:col>
      <xdr:colOff>689610</xdr:colOff>
      <xdr:row>24</xdr:row>
      <xdr:rowOff>3810</xdr:rowOff>
    </xdr:to>
    <xdr:pic>
      <xdr:nvPicPr>
        <xdr:cNvPr id="149" name="Picture 148"/>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24</xdr:row>
      <xdr:rowOff>0</xdr:rowOff>
    </xdr:from>
    <xdr:to>
      <xdr:col>9</xdr:col>
      <xdr:colOff>689610</xdr:colOff>
      <xdr:row>24</xdr:row>
      <xdr:rowOff>3810</xdr:rowOff>
    </xdr:to>
    <xdr:pic>
      <xdr:nvPicPr>
        <xdr:cNvPr id="150" name="Picture 149"/>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24</xdr:row>
      <xdr:rowOff>0</xdr:rowOff>
    </xdr:from>
    <xdr:to>
      <xdr:col>9</xdr:col>
      <xdr:colOff>689610</xdr:colOff>
      <xdr:row>24</xdr:row>
      <xdr:rowOff>3810</xdr:rowOff>
    </xdr:to>
    <xdr:pic>
      <xdr:nvPicPr>
        <xdr:cNvPr id="151" name="Picture 150"/>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24</xdr:row>
      <xdr:rowOff>0</xdr:rowOff>
    </xdr:from>
    <xdr:to>
      <xdr:col>9</xdr:col>
      <xdr:colOff>689610</xdr:colOff>
      <xdr:row>24</xdr:row>
      <xdr:rowOff>3810</xdr:rowOff>
    </xdr:to>
    <xdr:pic>
      <xdr:nvPicPr>
        <xdr:cNvPr id="152" name="Picture 151"/>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24</xdr:row>
      <xdr:rowOff>0</xdr:rowOff>
    </xdr:from>
    <xdr:to>
      <xdr:col>9</xdr:col>
      <xdr:colOff>689610</xdr:colOff>
      <xdr:row>24</xdr:row>
      <xdr:rowOff>3810</xdr:rowOff>
    </xdr:to>
    <xdr:pic>
      <xdr:nvPicPr>
        <xdr:cNvPr id="153" name="Picture 152"/>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24</xdr:row>
      <xdr:rowOff>0</xdr:rowOff>
    </xdr:from>
    <xdr:to>
      <xdr:col>9</xdr:col>
      <xdr:colOff>689610</xdr:colOff>
      <xdr:row>24</xdr:row>
      <xdr:rowOff>3810</xdr:rowOff>
    </xdr:to>
    <xdr:pic>
      <xdr:nvPicPr>
        <xdr:cNvPr id="154" name="Picture 153"/>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25</xdr:row>
      <xdr:rowOff>0</xdr:rowOff>
    </xdr:from>
    <xdr:to>
      <xdr:col>9</xdr:col>
      <xdr:colOff>689610</xdr:colOff>
      <xdr:row>25</xdr:row>
      <xdr:rowOff>3810</xdr:rowOff>
    </xdr:to>
    <xdr:pic>
      <xdr:nvPicPr>
        <xdr:cNvPr id="155" name="Picture 154"/>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25</xdr:row>
      <xdr:rowOff>0</xdr:rowOff>
    </xdr:from>
    <xdr:to>
      <xdr:col>9</xdr:col>
      <xdr:colOff>689610</xdr:colOff>
      <xdr:row>25</xdr:row>
      <xdr:rowOff>3810</xdr:rowOff>
    </xdr:to>
    <xdr:pic>
      <xdr:nvPicPr>
        <xdr:cNvPr id="156" name="Picture 155"/>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25</xdr:row>
      <xdr:rowOff>0</xdr:rowOff>
    </xdr:from>
    <xdr:to>
      <xdr:col>9</xdr:col>
      <xdr:colOff>689610</xdr:colOff>
      <xdr:row>25</xdr:row>
      <xdr:rowOff>3810</xdr:rowOff>
    </xdr:to>
    <xdr:pic>
      <xdr:nvPicPr>
        <xdr:cNvPr id="157" name="Picture 156"/>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25</xdr:row>
      <xdr:rowOff>0</xdr:rowOff>
    </xdr:from>
    <xdr:to>
      <xdr:col>9</xdr:col>
      <xdr:colOff>689610</xdr:colOff>
      <xdr:row>25</xdr:row>
      <xdr:rowOff>3810</xdr:rowOff>
    </xdr:to>
    <xdr:pic>
      <xdr:nvPicPr>
        <xdr:cNvPr id="158" name="Picture 157"/>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25</xdr:row>
      <xdr:rowOff>0</xdr:rowOff>
    </xdr:from>
    <xdr:to>
      <xdr:col>9</xdr:col>
      <xdr:colOff>689610</xdr:colOff>
      <xdr:row>25</xdr:row>
      <xdr:rowOff>3810</xdr:rowOff>
    </xdr:to>
    <xdr:pic>
      <xdr:nvPicPr>
        <xdr:cNvPr id="159" name="Picture 158"/>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25</xdr:row>
      <xdr:rowOff>0</xdr:rowOff>
    </xdr:from>
    <xdr:to>
      <xdr:col>9</xdr:col>
      <xdr:colOff>689610</xdr:colOff>
      <xdr:row>25</xdr:row>
      <xdr:rowOff>3810</xdr:rowOff>
    </xdr:to>
    <xdr:pic>
      <xdr:nvPicPr>
        <xdr:cNvPr id="160" name="Picture 159"/>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25</xdr:row>
      <xdr:rowOff>0</xdr:rowOff>
    </xdr:from>
    <xdr:to>
      <xdr:col>9</xdr:col>
      <xdr:colOff>689610</xdr:colOff>
      <xdr:row>25</xdr:row>
      <xdr:rowOff>3810</xdr:rowOff>
    </xdr:to>
    <xdr:pic>
      <xdr:nvPicPr>
        <xdr:cNvPr id="161" name="Picture 160"/>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25</xdr:row>
      <xdr:rowOff>0</xdr:rowOff>
    </xdr:from>
    <xdr:to>
      <xdr:col>9</xdr:col>
      <xdr:colOff>689610</xdr:colOff>
      <xdr:row>25</xdr:row>
      <xdr:rowOff>3810</xdr:rowOff>
    </xdr:to>
    <xdr:pic>
      <xdr:nvPicPr>
        <xdr:cNvPr id="162" name="Picture 161"/>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26</xdr:row>
      <xdr:rowOff>0</xdr:rowOff>
    </xdr:from>
    <xdr:to>
      <xdr:col>9</xdr:col>
      <xdr:colOff>689610</xdr:colOff>
      <xdr:row>26</xdr:row>
      <xdr:rowOff>3810</xdr:rowOff>
    </xdr:to>
    <xdr:pic>
      <xdr:nvPicPr>
        <xdr:cNvPr id="163" name="Picture 162"/>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26</xdr:row>
      <xdr:rowOff>0</xdr:rowOff>
    </xdr:from>
    <xdr:to>
      <xdr:col>9</xdr:col>
      <xdr:colOff>689610</xdr:colOff>
      <xdr:row>26</xdr:row>
      <xdr:rowOff>3810</xdr:rowOff>
    </xdr:to>
    <xdr:pic>
      <xdr:nvPicPr>
        <xdr:cNvPr id="164" name="Picture 163"/>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26</xdr:row>
      <xdr:rowOff>0</xdr:rowOff>
    </xdr:from>
    <xdr:to>
      <xdr:col>9</xdr:col>
      <xdr:colOff>689610</xdr:colOff>
      <xdr:row>26</xdr:row>
      <xdr:rowOff>3810</xdr:rowOff>
    </xdr:to>
    <xdr:pic>
      <xdr:nvPicPr>
        <xdr:cNvPr id="165" name="Picture 164"/>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26</xdr:row>
      <xdr:rowOff>0</xdr:rowOff>
    </xdr:from>
    <xdr:to>
      <xdr:col>9</xdr:col>
      <xdr:colOff>689610</xdr:colOff>
      <xdr:row>26</xdr:row>
      <xdr:rowOff>3810</xdr:rowOff>
    </xdr:to>
    <xdr:pic>
      <xdr:nvPicPr>
        <xdr:cNvPr id="166" name="Picture 165"/>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26</xdr:row>
      <xdr:rowOff>0</xdr:rowOff>
    </xdr:from>
    <xdr:to>
      <xdr:col>9</xdr:col>
      <xdr:colOff>689610</xdr:colOff>
      <xdr:row>26</xdr:row>
      <xdr:rowOff>3810</xdr:rowOff>
    </xdr:to>
    <xdr:pic>
      <xdr:nvPicPr>
        <xdr:cNvPr id="167" name="Picture 166"/>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26</xdr:row>
      <xdr:rowOff>0</xdr:rowOff>
    </xdr:from>
    <xdr:to>
      <xdr:col>9</xdr:col>
      <xdr:colOff>689610</xdr:colOff>
      <xdr:row>26</xdr:row>
      <xdr:rowOff>3810</xdr:rowOff>
    </xdr:to>
    <xdr:pic>
      <xdr:nvPicPr>
        <xdr:cNvPr id="168" name="Picture 167"/>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26</xdr:row>
      <xdr:rowOff>0</xdr:rowOff>
    </xdr:from>
    <xdr:to>
      <xdr:col>9</xdr:col>
      <xdr:colOff>689610</xdr:colOff>
      <xdr:row>26</xdr:row>
      <xdr:rowOff>3810</xdr:rowOff>
    </xdr:to>
    <xdr:pic>
      <xdr:nvPicPr>
        <xdr:cNvPr id="169" name="Picture 168"/>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26</xdr:row>
      <xdr:rowOff>0</xdr:rowOff>
    </xdr:from>
    <xdr:to>
      <xdr:col>9</xdr:col>
      <xdr:colOff>689610</xdr:colOff>
      <xdr:row>26</xdr:row>
      <xdr:rowOff>3810</xdr:rowOff>
    </xdr:to>
    <xdr:pic>
      <xdr:nvPicPr>
        <xdr:cNvPr id="170" name="Picture 169"/>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27</xdr:row>
      <xdr:rowOff>0</xdr:rowOff>
    </xdr:from>
    <xdr:to>
      <xdr:col>9</xdr:col>
      <xdr:colOff>689610</xdr:colOff>
      <xdr:row>27</xdr:row>
      <xdr:rowOff>3810</xdr:rowOff>
    </xdr:to>
    <xdr:pic>
      <xdr:nvPicPr>
        <xdr:cNvPr id="171" name="Picture 170"/>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27</xdr:row>
      <xdr:rowOff>0</xdr:rowOff>
    </xdr:from>
    <xdr:to>
      <xdr:col>9</xdr:col>
      <xdr:colOff>689610</xdr:colOff>
      <xdr:row>27</xdr:row>
      <xdr:rowOff>3810</xdr:rowOff>
    </xdr:to>
    <xdr:pic>
      <xdr:nvPicPr>
        <xdr:cNvPr id="172" name="Picture 171"/>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27</xdr:row>
      <xdr:rowOff>0</xdr:rowOff>
    </xdr:from>
    <xdr:to>
      <xdr:col>9</xdr:col>
      <xdr:colOff>689610</xdr:colOff>
      <xdr:row>27</xdr:row>
      <xdr:rowOff>3810</xdr:rowOff>
    </xdr:to>
    <xdr:pic>
      <xdr:nvPicPr>
        <xdr:cNvPr id="173" name="Picture 172"/>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27</xdr:row>
      <xdr:rowOff>0</xdr:rowOff>
    </xdr:from>
    <xdr:to>
      <xdr:col>9</xdr:col>
      <xdr:colOff>689610</xdr:colOff>
      <xdr:row>27</xdr:row>
      <xdr:rowOff>3810</xdr:rowOff>
    </xdr:to>
    <xdr:pic>
      <xdr:nvPicPr>
        <xdr:cNvPr id="174" name="Picture 173"/>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27</xdr:row>
      <xdr:rowOff>0</xdr:rowOff>
    </xdr:from>
    <xdr:to>
      <xdr:col>9</xdr:col>
      <xdr:colOff>689610</xdr:colOff>
      <xdr:row>27</xdr:row>
      <xdr:rowOff>3810</xdr:rowOff>
    </xdr:to>
    <xdr:pic>
      <xdr:nvPicPr>
        <xdr:cNvPr id="175" name="Picture 174"/>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27</xdr:row>
      <xdr:rowOff>0</xdr:rowOff>
    </xdr:from>
    <xdr:to>
      <xdr:col>9</xdr:col>
      <xdr:colOff>689610</xdr:colOff>
      <xdr:row>27</xdr:row>
      <xdr:rowOff>3810</xdr:rowOff>
    </xdr:to>
    <xdr:pic>
      <xdr:nvPicPr>
        <xdr:cNvPr id="176" name="Picture 175"/>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27</xdr:row>
      <xdr:rowOff>0</xdr:rowOff>
    </xdr:from>
    <xdr:to>
      <xdr:col>9</xdr:col>
      <xdr:colOff>689610</xdr:colOff>
      <xdr:row>27</xdr:row>
      <xdr:rowOff>3810</xdr:rowOff>
    </xdr:to>
    <xdr:pic>
      <xdr:nvPicPr>
        <xdr:cNvPr id="177" name="Picture 176"/>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27</xdr:row>
      <xdr:rowOff>0</xdr:rowOff>
    </xdr:from>
    <xdr:to>
      <xdr:col>9</xdr:col>
      <xdr:colOff>689610</xdr:colOff>
      <xdr:row>27</xdr:row>
      <xdr:rowOff>3810</xdr:rowOff>
    </xdr:to>
    <xdr:pic>
      <xdr:nvPicPr>
        <xdr:cNvPr id="178" name="Picture 177"/>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28</xdr:row>
      <xdr:rowOff>0</xdr:rowOff>
    </xdr:from>
    <xdr:to>
      <xdr:col>9</xdr:col>
      <xdr:colOff>689610</xdr:colOff>
      <xdr:row>28</xdr:row>
      <xdr:rowOff>3810</xdr:rowOff>
    </xdr:to>
    <xdr:pic>
      <xdr:nvPicPr>
        <xdr:cNvPr id="179" name="Picture 178"/>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28</xdr:row>
      <xdr:rowOff>0</xdr:rowOff>
    </xdr:from>
    <xdr:to>
      <xdr:col>9</xdr:col>
      <xdr:colOff>689610</xdr:colOff>
      <xdr:row>28</xdr:row>
      <xdr:rowOff>3810</xdr:rowOff>
    </xdr:to>
    <xdr:pic>
      <xdr:nvPicPr>
        <xdr:cNvPr id="180" name="Picture 179"/>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28</xdr:row>
      <xdr:rowOff>0</xdr:rowOff>
    </xdr:from>
    <xdr:to>
      <xdr:col>9</xdr:col>
      <xdr:colOff>689610</xdr:colOff>
      <xdr:row>28</xdr:row>
      <xdr:rowOff>3810</xdr:rowOff>
    </xdr:to>
    <xdr:pic>
      <xdr:nvPicPr>
        <xdr:cNvPr id="181" name="Picture 180"/>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28</xdr:row>
      <xdr:rowOff>0</xdr:rowOff>
    </xdr:from>
    <xdr:to>
      <xdr:col>9</xdr:col>
      <xdr:colOff>689610</xdr:colOff>
      <xdr:row>28</xdr:row>
      <xdr:rowOff>3810</xdr:rowOff>
    </xdr:to>
    <xdr:pic>
      <xdr:nvPicPr>
        <xdr:cNvPr id="182" name="Picture 181"/>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28</xdr:row>
      <xdr:rowOff>0</xdr:rowOff>
    </xdr:from>
    <xdr:to>
      <xdr:col>9</xdr:col>
      <xdr:colOff>689610</xdr:colOff>
      <xdr:row>28</xdr:row>
      <xdr:rowOff>3810</xdr:rowOff>
    </xdr:to>
    <xdr:pic>
      <xdr:nvPicPr>
        <xdr:cNvPr id="183" name="Picture 182"/>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28</xdr:row>
      <xdr:rowOff>0</xdr:rowOff>
    </xdr:from>
    <xdr:to>
      <xdr:col>9</xdr:col>
      <xdr:colOff>689610</xdr:colOff>
      <xdr:row>28</xdr:row>
      <xdr:rowOff>3810</xdr:rowOff>
    </xdr:to>
    <xdr:pic>
      <xdr:nvPicPr>
        <xdr:cNvPr id="184" name="Picture 183"/>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28</xdr:row>
      <xdr:rowOff>0</xdr:rowOff>
    </xdr:from>
    <xdr:to>
      <xdr:col>9</xdr:col>
      <xdr:colOff>689610</xdr:colOff>
      <xdr:row>28</xdr:row>
      <xdr:rowOff>3810</xdr:rowOff>
    </xdr:to>
    <xdr:pic>
      <xdr:nvPicPr>
        <xdr:cNvPr id="185" name="Picture 184"/>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28</xdr:row>
      <xdr:rowOff>0</xdr:rowOff>
    </xdr:from>
    <xdr:to>
      <xdr:col>9</xdr:col>
      <xdr:colOff>689610</xdr:colOff>
      <xdr:row>28</xdr:row>
      <xdr:rowOff>3810</xdr:rowOff>
    </xdr:to>
    <xdr:pic>
      <xdr:nvPicPr>
        <xdr:cNvPr id="186" name="Picture 185"/>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29</xdr:row>
      <xdr:rowOff>0</xdr:rowOff>
    </xdr:from>
    <xdr:to>
      <xdr:col>9</xdr:col>
      <xdr:colOff>689610</xdr:colOff>
      <xdr:row>29</xdr:row>
      <xdr:rowOff>3810</xdr:rowOff>
    </xdr:to>
    <xdr:pic>
      <xdr:nvPicPr>
        <xdr:cNvPr id="187" name="Picture 186"/>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29</xdr:row>
      <xdr:rowOff>0</xdr:rowOff>
    </xdr:from>
    <xdr:to>
      <xdr:col>9</xdr:col>
      <xdr:colOff>689610</xdr:colOff>
      <xdr:row>29</xdr:row>
      <xdr:rowOff>3810</xdr:rowOff>
    </xdr:to>
    <xdr:pic>
      <xdr:nvPicPr>
        <xdr:cNvPr id="188" name="Picture 187"/>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29</xdr:row>
      <xdr:rowOff>0</xdr:rowOff>
    </xdr:from>
    <xdr:to>
      <xdr:col>9</xdr:col>
      <xdr:colOff>689610</xdr:colOff>
      <xdr:row>29</xdr:row>
      <xdr:rowOff>3810</xdr:rowOff>
    </xdr:to>
    <xdr:pic>
      <xdr:nvPicPr>
        <xdr:cNvPr id="189" name="Picture 188"/>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29</xdr:row>
      <xdr:rowOff>0</xdr:rowOff>
    </xdr:from>
    <xdr:to>
      <xdr:col>9</xdr:col>
      <xdr:colOff>689610</xdr:colOff>
      <xdr:row>29</xdr:row>
      <xdr:rowOff>3810</xdr:rowOff>
    </xdr:to>
    <xdr:pic>
      <xdr:nvPicPr>
        <xdr:cNvPr id="190" name="Picture 189"/>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29</xdr:row>
      <xdr:rowOff>0</xdr:rowOff>
    </xdr:from>
    <xdr:to>
      <xdr:col>9</xdr:col>
      <xdr:colOff>689610</xdr:colOff>
      <xdr:row>29</xdr:row>
      <xdr:rowOff>3810</xdr:rowOff>
    </xdr:to>
    <xdr:pic>
      <xdr:nvPicPr>
        <xdr:cNvPr id="191" name="Picture 190"/>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29</xdr:row>
      <xdr:rowOff>0</xdr:rowOff>
    </xdr:from>
    <xdr:to>
      <xdr:col>9</xdr:col>
      <xdr:colOff>689610</xdr:colOff>
      <xdr:row>29</xdr:row>
      <xdr:rowOff>3810</xdr:rowOff>
    </xdr:to>
    <xdr:pic>
      <xdr:nvPicPr>
        <xdr:cNvPr id="192" name="Picture 191"/>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29</xdr:row>
      <xdr:rowOff>0</xdr:rowOff>
    </xdr:from>
    <xdr:to>
      <xdr:col>9</xdr:col>
      <xdr:colOff>689610</xdr:colOff>
      <xdr:row>29</xdr:row>
      <xdr:rowOff>3810</xdr:rowOff>
    </xdr:to>
    <xdr:pic>
      <xdr:nvPicPr>
        <xdr:cNvPr id="193" name="Picture 192"/>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29</xdr:row>
      <xdr:rowOff>0</xdr:rowOff>
    </xdr:from>
    <xdr:to>
      <xdr:col>9</xdr:col>
      <xdr:colOff>689610</xdr:colOff>
      <xdr:row>29</xdr:row>
      <xdr:rowOff>3810</xdr:rowOff>
    </xdr:to>
    <xdr:pic>
      <xdr:nvPicPr>
        <xdr:cNvPr id="194" name="Picture 193"/>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30</xdr:row>
      <xdr:rowOff>0</xdr:rowOff>
    </xdr:from>
    <xdr:to>
      <xdr:col>9</xdr:col>
      <xdr:colOff>689610</xdr:colOff>
      <xdr:row>30</xdr:row>
      <xdr:rowOff>3810</xdr:rowOff>
    </xdr:to>
    <xdr:pic>
      <xdr:nvPicPr>
        <xdr:cNvPr id="195" name="Picture 194"/>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30</xdr:row>
      <xdr:rowOff>0</xdr:rowOff>
    </xdr:from>
    <xdr:to>
      <xdr:col>9</xdr:col>
      <xdr:colOff>689610</xdr:colOff>
      <xdr:row>30</xdr:row>
      <xdr:rowOff>3810</xdr:rowOff>
    </xdr:to>
    <xdr:pic>
      <xdr:nvPicPr>
        <xdr:cNvPr id="196" name="Picture 195"/>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30</xdr:row>
      <xdr:rowOff>0</xdr:rowOff>
    </xdr:from>
    <xdr:to>
      <xdr:col>9</xdr:col>
      <xdr:colOff>689610</xdr:colOff>
      <xdr:row>30</xdr:row>
      <xdr:rowOff>3810</xdr:rowOff>
    </xdr:to>
    <xdr:pic>
      <xdr:nvPicPr>
        <xdr:cNvPr id="197" name="Picture 196"/>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30</xdr:row>
      <xdr:rowOff>0</xdr:rowOff>
    </xdr:from>
    <xdr:to>
      <xdr:col>9</xdr:col>
      <xdr:colOff>689610</xdr:colOff>
      <xdr:row>30</xdr:row>
      <xdr:rowOff>3810</xdr:rowOff>
    </xdr:to>
    <xdr:pic>
      <xdr:nvPicPr>
        <xdr:cNvPr id="198" name="Picture 197"/>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30</xdr:row>
      <xdr:rowOff>0</xdr:rowOff>
    </xdr:from>
    <xdr:to>
      <xdr:col>9</xdr:col>
      <xdr:colOff>689610</xdr:colOff>
      <xdr:row>30</xdr:row>
      <xdr:rowOff>3810</xdr:rowOff>
    </xdr:to>
    <xdr:pic>
      <xdr:nvPicPr>
        <xdr:cNvPr id="199" name="Picture 198"/>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30</xdr:row>
      <xdr:rowOff>0</xdr:rowOff>
    </xdr:from>
    <xdr:to>
      <xdr:col>9</xdr:col>
      <xdr:colOff>689610</xdr:colOff>
      <xdr:row>30</xdr:row>
      <xdr:rowOff>3810</xdr:rowOff>
    </xdr:to>
    <xdr:pic>
      <xdr:nvPicPr>
        <xdr:cNvPr id="200" name="Picture 199"/>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30</xdr:row>
      <xdr:rowOff>0</xdr:rowOff>
    </xdr:from>
    <xdr:to>
      <xdr:col>9</xdr:col>
      <xdr:colOff>689610</xdr:colOff>
      <xdr:row>30</xdr:row>
      <xdr:rowOff>3810</xdr:rowOff>
    </xdr:to>
    <xdr:pic>
      <xdr:nvPicPr>
        <xdr:cNvPr id="201" name="Picture 200"/>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30</xdr:row>
      <xdr:rowOff>0</xdr:rowOff>
    </xdr:from>
    <xdr:to>
      <xdr:col>9</xdr:col>
      <xdr:colOff>689610</xdr:colOff>
      <xdr:row>30</xdr:row>
      <xdr:rowOff>3810</xdr:rowOff>
    </xdr:to>
    <xdr:pic>
      <xdr:nvPicPr>
        <xdr:cNvPr id="202" name="Picture 201"/>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31</xdr:row>
      <xdr:rowOff>0</xdr:rowOff>
    </xdr:from>
    <xdr:to>
      <xdr:col>9</xdr:col>
      <xdr:colOff>689610</xdr:colOff>
      <xdr:row>31</xdr:row>
      <xdr:rowOff>3810</xdr:rowOff>
    </xdr:to>
    <xdr:pic>
      <xdr:nvPicPr>
        <xdr:cNvPr id="203" name="Picture 202"/>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31</xdr:row>
      <xdr:rowOff>0</xdr:rowOff>
    </xdr:from>
    <xdr:to>
      <xdr:col>9</xdr:col>
      <xdr:colOff>689610</xdr:colOff>
      <xdr:row>31</xdr:row>
      <xdr:rowOff>3810</xdr:rowOff>
    </xdr:to>
    <xdr:pic>
      <xdr:nvPicPr>
        <xdr:cNvPr id="204" name="Picture 203"/>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31</xdr:row>
      <xdr:rowOff>0</xdr:rowOff>
    </xdr:from>
    <xdr:to>
      <xdr:col>9</xdr:col>
      <xdr:colOff>689610</xdr:colOff>
      <xdr:row>31</xdr:row>
      <xdr:rowOff>3810</xdr:rowOff>
    </xdr:to>
    <xdr:pic>
      <xdr:nvPicPr>
        <xdr:cNvPr id="205" name="Picture 204"/>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31</xdr:row>
      <xdr:rowOff>0</xdr:rowOff>
    </xdr:from>
    <xdr:to>
      <xdr:col>9</xdr:col>
      <xdr:colOff>689610</xdr:colOff>
      <xdr:row>31</xdr:row>
      <xdr:rowOff>3810</xdr:rowOff>
    </xdr:to>
    <xdr:pic>
      <xdr:nvPicPr>
        <xdr:cNvPr id="206" name="Picture 205"/>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31</xdr:row>
      <xdr:rowOff>0</xdr:rowOff>
    </xdr:from>
    <xdr:to>
      <xdr:col>9</xdr:col>
      <xdr:colOff>689610</xdr:colOff>
      <xdr:row>31</xdr:row>
      <xdr:rowOff>3810</xdr:rowOff>
    </xdr:to>
    <xdr:pic>
      <xdr:nvPicPr>
        <xdr:cNvPr id="207" name="Picture 206"/>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31</xdr:row>
      <xdr:rowOff>0</xdr:rowOff>
    </xdr:from>
    <xdr:to>
      <xdr:col>9</xdr:col>
      <xdr:colOff>689610</xdr:colOff>
      <xdr:row>31</xdr:row>
      <xdr:rowOff>3810</xdr:rowOff>
    </xdr:to>
    <xdr:pic>
      <xdr:nvPicPr>
        <xdr:cNvPr id="208" name="Picture 207"/>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31</xdr:row>
      <xdr:rowOff>0</xdr:rowOff>
    </xdr:from>
    <xdr:to>
      <xdr:col>9</xdr:col>
      <xdr:colOff>689610</xdr:colOff>
      <xdr:row>31</xdr:row>
      <xdr:rowOff>3810</xdr:rowOff>
    </xdr:to>
    <xdr:pic>
      <xdr:nvPicPr>
        <xdr:cNvPr id="209" name="Picture 208"/>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31</xdr:row>
      <xdr:rowOff>0</xdr:rowOff>
    </xdr:from>
    <xdr:to>
      <xdr:col>9</xdr:col>
      <xdr:colOff>689610</xdr:colOff>
      <xdr:row>31</xdr:row>
      <xdr:rowOff>3810</xdr:rowOff>
    </xdr:to>
    <xdr:pic>
      <xdr:nvPicPr>
        <xdr:cNvPr id="210" name="Picture 209"/>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32</xdr:row>
      <xdr:rowOff>0</xdr:rowOff>
    </xdr:from>
    <xdr:to>
      <xdr:col>9</xdr:col>
      <xdr:colOff>689610</xdr:colOff>
      <xdr:row>32</xdr:row>
      <xdr:rowOff>3810</xdr:rowOff>
    </xdr:to>
    <xdr:pic>
      <xdr:nvPicPr>
        <xdr:cNvPr id="211" name="Picture 210"/>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32</xdr:row>
      <xdr:rowOff>0</xdr:rowOff>
    </xdr:from>
    <xdr:to>
      <xdr:col>9</xdr:col>
      <xdr:colOff>689610</xdr:colOff>
      <xdr:row>32</xdr:row>
      <xdr:rowOff>3810</xdr:rowOff>
    </xdr:to>
    <xdr:pic>
      <xdr:nvPicPr>
        <xdr:cNvPr id="212" name="Picture 211"/>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32</xdr:row>
      <xdr:rowOff>0</xdr:rowOff>
    </xdr:from>
    <xdr:to>
      <xdr:col>9</xdr:col>
      <xdr:colOff>689610</xdr:colOff>
      <xdr:row>32</xdr:row>
      <xdr:rowOff>3810</xdr:rowOff>
    </xdr:to>
    <xdr:pic>
      <xdr:nvPicPr>
        <xdr:cNvPr id="213" name="Picture 212"/>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32</xdr:row>
      <xdr:rowOff>0</xdr:rowOff>
    </xdr:from>
    <xdr:to>
      <xdr:col>9</xdr:col>
      <xdr:colOff>689610</xdr:colOff>
      <xdr:row>32</xdr:row>
      <xdr:rowOff>3810</xdr:rowOff>
    </xdr:to>
    <xdr:pic>
      <xdr:nvPicPr>
        <xdr:cNvPr id="214" name="Picture 213"/>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32</xdr:row>
      <xdr:rowOff>0</xdr:rowOff>
    </xdr:from>
    <xdr:to>
      <xdr:col>9</xdr:col>
      <xdr:colOff>689610</xdr:colOff>
      <xdr:row>32</xdr:row>
      <xdr:rowOff>3810</xdr:rowOff>
    </xdr:to>
    <xdr:pic>
      <xdr:nvPicPr>
        <xdr:cNvPr id="215" name="Picture 214"/>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32</xdr:row>
      <xdr:rowOff>0</xdr:rowOff>
    </xdr:from>
    <xdr:to>
      <xdr:col>9</xdr:col>
      <xdr:colOff>689610</xdr:colOff>
      <xdr:row>32</xdr:row>
      <xdr:rowOff>3810</xdr:rowOff>
    </xdr:to>
    <xdr:pic>
      <xdr:nvPicPr>
        <xdr:cNvPr id="216" name="Picture 215"/>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32</xdr:row>
      <xdr:rowOff>0</xdr:rowOff>
    </xdr:from>
    <xdr:to>
      <xdr:col>9</xdr:col>
      <xdr:colOff>689610</xdr:colOff>
      <xdr:row>32</xdr:row>
      <xdr:rowOff>3810</xdr:rowOff>
    </xdr:to>
    <xdr:pic>
      <xdr:nvPicPr>
        <xdr:cNvPr id="217" name="Picture 216"/>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32</xdr:row>
      <xdr:rowOff>0</xdr:rowOff>
    </xdr:from>
    <xdr:to>
      <xdr:col>9</xdr:col>
      <xdr:colOff>689610</xdr:colOff>
      <xdr:row>32</xdr:row>
      <xdr:rowOff>3810</xdr:rowOff>
    </xdr:to>
    <xdr:pic>
      <xdr:nvPicPr>
        <xdr:cNvPr id="218" name="Picture 217"/>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33</xdr:row>
      <xdr:rowOff>0</xdr:rowOff>
    </xdr:from>
    <xdr:to>
      <xdr:col>9</xdr:col>
      <xdr:colOff>689610</xdr:colOff>
      <xdr:row>33</xdr:row>
      <xdr:rowOff>3810</xdr:rowOff>
    </xdr:to>
    <xdr:pic>
      <xdr:nvPicPr>
        <xdr:cNvPr id="219" name="Picture 218"/>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33</xdr:row>
      <xdr:rowOff>0</xdr:rowOff>
    </xdr:from>
    <xdr:to>
      <xdr:col>9</xdr:col>
      <xdr:colOff>689610</xdr:colOff>
      <xdr:row>33</xdr:row>
      <xdr:rowOff>3810</xdr:rowOff>
    </xdr:to>
    <xdr:pic>
      <xdr:nvPicPr>
        <xdr:cNvPr id="220" name="Picture 219"/>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33</xdr:row>
      <xdr:rowOff>0</xdr:rowOff>
    </xdr:from>
    <xdr:to>
      <xdr:col>9</xdr:col>
      <xdr:colOff>689610</xdr:colOff>
      <xdr:row>33</xdr:row>
      <xdr:rowOff>3810</xdr:rowOff>
    </xdr:to>
    <xdr:pic>
      <xdr:nvPicPr>
        <xdr:cNvPr id="221" name="Picture 220"/>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33</xdr:row>
      <xdr:rowOff>0</xdr:rowOff>
    </xdr:from>
    <xdr:to>
      <xdr:col>9</xdr:col>
      <xdr:colOff>689610</xdr:colOff>
      <xdr:row>33</xdr:row>
      <xdr:rowOff>3810</xdr:rowOff>
    </xdr:to>
    <xdr:pic>
      <xdr:nvPicPr>
        <xdr:cNvPr id="222" name="Picture 221"/>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33</xdr:row>
      <xdr:rowOff>0</xdr:rowOff>
    </xdr:from>
    <xdr:to>
      <xdr:col>9</xdr:col>
      <xdr:colOff>689610</xdr:colOff>
      <xdr:row>33</xdr:row>
      <xdr:rowOff>3810</xdr:rowOff>
    </xdr:to>
    <xdr:pic>
      <xdr:nvPicPr>
        <xdr:cNvPr id="223" name="Picture 222"/>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33</xdr:row>
      <xdr:rowOff>0</xdr:rowOff>
    </xdr:from>
    <xdr:to>
      <xdr:col>9</xdr:col>
      <xdr:colOff>689610</xdr:colOff>
      <xdr:row>33</xdr:row>
      <xdr:rowOff>3810</xdr:rowOff>
    </xdr:to>
    <xdr:pic>
      <xdr:nvPicPr>
        <xdr:cNvPr id="224" name="Picture 223"/>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33</xdr:row>
      <xdr:rowOff>0</xdr:rowOff>
    </xdr:from>
    <xdr:to>
      <xdr:col>9</xdr:col>
      <xdr:colOff>689610</xdr:colOff>
      <xdr:row>33</xdr:row>
      <xdr:rowOff>3810</xdr:rowOff>
    </xdr:to>
    <xdr:pic>
      <xdr:nvPicPr>
        <xdr:cNvPr id="225" name="Picture 224"/>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33</xdr:row>
      <xdr:rowOff>0</xdr:rowOff>
    </xdr:from>
    <xdr:to>
      <xdr:col>9</xdr:col>
      <xdr:colOff>689610</xdr:colOff>
      <xdr:row>33</xdr:row>
      <xdr:rowOff>3810</xdr:rowOff>
    </xdr:to>
    <xdr:pic>
      <xdr:nvPicPr>
        <xdr:cNvPr id="226" name="Picture 225"/>
        <xdr:cNvPicPr/>
      </xdr:nvPicPr>
      <xdr:blipFill>
        <a:blip xmlns:r="http://schemas.openxmlformats.org/officeDocument/2006/relationships" r:embed="rId1" cstate="print"/>
        <a:srcRect/>
        <a:stretch>
          <a:fillRect/>
        </a:stretch>
      </xdr:blipFill>
      <xdr:spPr bwMode="auto">
        <a:xfrm>
          <a:off x="11963400" y="1333500"/>
          <a:ext cx="432435" cy="3810"/>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227" name="Picture 226"/>
        <xdr:cNvPicPr/>
      </xdr:nvPicPr>
      <xdr:blipFill>
        <a:blip xmlns:r="http://schemas.openxmlformats.org/officeDocument/2006/relationships" r:embed="rId1" cstate="print"/>
        <a:srcRect/>
        <a:stretch>
          <a:fillRect/>
        </a:stretch>
      </xdr:blipFill>
      <xdr:spPr bwMode="auto">
        <a:xfrm>
          <a:off x="12325170" y="1509623"/>
          <a:ext cx="432435" cy="3810"/>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228" name="Picture 227"/>
        <xdr:cNvPicPr/>
      </xdr:nvPicPr>
      <xdr:blipFill>
        <a:blip xmlns:r="http://schemas.openxmlformats.org/officeDocument/2006/relationships" r:embed="rId1" cstate="print"/>
        <a:srcRect/>
        <a:stretch>
          <a:fillRect/>
        </a:stretch>
      </xdr:blipFill>
      <xdr:spPr bwMode="auto">
        <a:xfrm>
          <a:off x="12325170" y="1509623"/>
          <a:ext cx="432435" cy="3810"/>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229" name="Picture 228"/>
        <xdr:cNvPicPr/>
      </xdr:nvPicPr>
      <xdr:blipFill>
        <a:blip xmlns:r="http://schemas.openxmlformats.org/officeDocument/2006/relationships" r:embed="rId1" cstate="print"/>
        <a:srcRect/>
        <a:stretch>
          <a:fillRect/>
        </a:stretch>
      </xdr:blipFill>
      <xdr:spPr bwMode="auto">
        <a:xfrm>
          <a:off x="12325170" y="1509623"/>
          <a:ext cx="432435" cy="3810"/>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230" name="Picture 229"/>
        <xdr:cNvPicPr/>
      </xdr:nvPicPr>
      <xdr:blipFill>
        <a:blip xmlns:r="http://schemas.openxmlformats.org/officeDocument/2006/relationships" r:embed="rId1" cstate="print"/>
        <a:srcRect/>
        <a:stretch>
          <a:fillRect/>
        </a:stretch>
      </xdr:blipFill>
      <xdr:spPr bwMode="auto">
        <a:xfrm>
          <a:off x="12325170" y="1509623"/>
          <a:ext cx="432435" cy="3810"/>
        </a:xfrm>
        <a:prstGeom prst="rect">
          <a:avLst/>
        </a:prstGeom>
        <a:noFill/>
        <a:ln w="9525">
          <a:noFill/>
          <a:miter lim="800000"/>
          <a:headEnd/>
          <a:tailEnd/>
        </a:ln>
      </xdr:spPr>
    </xdr:pic>
    <xdr:clientData/>
  </xdr:twoCellAnchor>
  <xdr:twoCellAnchor editAs="oneCell">
    <xdr:from>
      <xdr:col>4</xdr:col>
      <xdr:colOff>0</xdr:colOff>
      <xdr:row>9</xdr:row>
      <xdr:rowOff>0</xdr:rowOff>
    </xdr:from>
    <xdr:to>
      <xdr:col>4</xdr:col>
      <xdr:colOff>0</xdr:colOff>
      <xdr:row>9</xdr:row>
      <xdr:rowOff>170089</xdr:rowOff>
    </xdr:to>
    <xdr:pic>
      <xdr:nvPicPr>
        <xdr:cNvPr id="231" name="Picture 230"/>
        <xdr:cNvPicPr/>
      </xdr:nvPicPr>
      <xdr:blipFill>
        <a:blip xmlns:r="http://schemas.openxmlformats.org/officeDocument/2006/relationships" r:embed="rId2" cstate="print"/>
        <a:srcRect/>
        <a:stretch>
          <a:fillRect/>
        </a:stretch>
      </xdr:blipFill>
      <xdr:spPr bwMode="auto">
        <a:xfrm>
          <a:off x="6352995" y="1509623"/>
          <a:ext cx="0" cy="170089"/>
        </a:xfrm>
        <a:prstGeom prst="rect">
          <a:avLst/>
        </a:prstGeom>
        <a:noFill/>
        <a:ln w="9525">
          <a:noFill/>
          <a:miter lim="800000"/>
          <a:headEnd/>
          <a:tailEnd/>
        </a:ln>
      </xdr:spPr>
    </xdr:pic>
    <xdr:clientData/>
  </xdr:twoCellAnchor>
  <xdr:twoCellAnchor editAs="oneCell">
    <xdr:from>
      <xdr:col>4</xdr:col>
      <xdr:colOff>0</xdr:colOff>
      <xdr:row>9</xdr:row>
      <xdr:rowOff>0</xdr:rowOff>
    </xdr:from>
    <xdr:to>
      <xdr:col>4</xdr:col>
      <xdr:colOff>0</xdr:colOff>
      <xdr:row>9</xdr:row>
      <xdr:rowOff>4500</xdr:rowOff>
    </xdr:to>
    <xdr:pic>
      <xdr:nvPicPr>
        <xdr:cNvPr id="232"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6352995" y="1509623"/>
          <a:ext cx="0" cy="4500"/>
        </a:xfrm>
        <a:prstGeom prst="rect">
          <a:avLst/>
        </a:prstGeom>
        <a:noFill/>
        <a:ln w="1">
          <a:noFill/>
          <a:miter lim="800000"/>
          <a:headEnd/>
          <a:tailEnd type="none" w="med" len="med"/>
        </a:ln>
        <a:effectLst/>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233" name="Picture 232"/>
        <xdr:cNvPicPr/>
      </xdr:nvPicPr>
      <xdr:blipFill>
        <a:blip xmlns:r="http://schemas.openxmlformats.org/officeDocument/2006/relationships" r:embed="rId1" cstate="print"/>
        <a:srcRect/>
        <a:stretch>
          <a:fillRect/>
        </a:stretch>
      </xdr:blipFill>
      <xdr:spPr bwMode="auto">
        <a:xfrm>
          <a:off x="12325170" y="1509623"/>
          <a:ext cx="432435" cy="3810"/>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234" name="Picture 233"/>
        <xdr:cNvPicPr/>
      </xdr:nvPicPr>
      <xdr:blipFill>
        <a:blip xmlns:r="http://schemas.openxmlformats.org/officeDocument/2006/relationships" r:embed="rId1" cstate="print"/>
        <a:srcRect/>
        <a:stretch>
          <a:fillRect/>
        </a:stretch>
      </xdr:blipFill>
      <xdr:spPr bwMode="auto">
        <a:xfrm>
          <a:off x="12325170" y="1509623"/>
          <a:ext cx="432435" cy="3810"/>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235" name="Picture 234"/>
        <xdr:cNvPicPr/>
      </xdr:nvPicPr>
      <xdr:blipFill>
        <a:blip xmlns:r="http://schemas.openxmlformats.org/officeDocument/2006/relationships" r:embed="rId1" cstate="print"/>
        <a:srcRect/>
        <a:stretch>
          <a:fillRect/>
        </a:stretch>
      </xdr:blipFill>
      <xdr:spPr bwMode="auto">
        <a:xfrm>
          <a:off x="12325170" y="1509623"/>
          <a:ext cx="432435" cy="3810"/>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236" name="Picture 235"/>
        <xdr:cNvPicPr/>
      </xdr:nvPicPr>
      <xdr:blipFill>
        <a:blip xmlns:r="http://schemas.openxmlformats.org/officeDocument/2006/relationships" r:embed="rId1" cstate="print"/>
        <a:srcRect/>
        <a:stretch>
          <a:fillRect/>
        </a:stretch>
      </xdr:blipFill>
      <xdr:spPr bwMode="auto">
        <a:xfrm>
          <a:off x="12325170" y="1509623"/>
          <a:ext cx="432435" cy="3810"/>
        </a:xfrm>
        <a:prstGeom prst="rect">
          <a:avLst/>
        </a:prstGeom>
        <a:noFill/>
        <a:ln w="9525">
          <a:noFill/>
          <a:miter lim="800000"/>
          <a:headEnd/>
          <a:tailEnd/>
        </a:ln>
      </xdr:spPr>
    </xdr:pic>
    <xdr:clientData/>
  </xdr:twoCellAnchor>
  <xdr:twoCellAnchor editAs="oneCell">
    <xdr:from>
      <xdr:col>4</xdr:col>
      <xdr:colOff>0</xdr:colOff>
      <xdr:row>9</xdr:row>
      <xdr:rowOff>0</xdr:rowOff>
    </xdr:from>
    <xdr:to>
      <xdr:col>4</xdr:col>
      <xdr:colOff>0</xdr:colOff>
      <xdr:row>9</xdr:row>
      <xdr:rowOff>170089</xdr:rowOff>
    </xdr:to>
    <xdr:pic>
      <xdr:nvPicPr>
        <xdr:cNvPr id="237" name="Picture 236"/>
        <xdr:cNvPicPr/>
      </xdr:nvPicPr>
      <xdr:blipFill>
        <a:blip xmlns:r="http://schemas.openxmlformats.org/officeDocument/2006/relationships" r:embed="rId2" cstate="print"/>
        <a:srcRect/>
        <a:stretch>
          <a:fillRect/>
        </a:stretch>
      </xdr:blipFill>
      <xdr:spPr bwMode="auto">
        <a:xfrm>
          <a:off x="6352995" y="1509623"/>
          <a:ext cx="0" cy="170089"/>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238" name="Picture 237"/>
        <xdr:cNvPicPr/>
      </xdr:nvPicPr>
      <xdr:blipFill>
        <a:blip xmlns:r="http://schemas.openxmlformats.org/officeDocument/2006/relationships" r:embed="rId1" cstate="print"/>
        <a:srcRect/>
        <a:stretch>
          <a:fillRect/>
        </a:stretch>
      </xdr:blipFill>
      <xdr:spPr bwMode="auto">
        <a:xfrm>
          <a:off x="12325170" y="1509623"/>
          <a:ext cx="432435" cy="3810"/>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239" name="Picture 238"/>
        <xdr:cNvPicPr/>
      </xdr:nvPicPr>
      <xdr:blipFill>
        <a:blip xmlns:r="http://schemas.openxmlformats.org/officeDocument/2006/relationships" r:embed="rId1" cstate="print"/>
        <a:srcRect/>
        <a:stretch>
          <a:fillRect/>
        </a:stretch>
      </xdr:blipFill>
      <xdr:spPr bwMode="auto">
        <a:xfrm>
          <a:off x="12325170" y="1509623"/>
          <a:ext cx="432435" cy="3810"/>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240" name="Picture 239"/>
        <xdr:cNvPicPr/>
      </xdr:nvPicPr>
      <xdr:blipFill>
        <a:blip xmlns:r="http://schemas.openxmlformats.org/officeDocument/2006/relationships" r:embed="rId1" cstate="print"/>
        <a:srcRect/>
        <a:stretch>
          <a:fillRect/>
        </a:stretch>
      </xdr:blipFill>
      <xdr:spPr bwMode="auto">
        <a:xfrm>
          <a:off x="12325170" y="1509623"/>
          <a:ext cx="432435" cy="3810"/>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241" name="Picture 240"/>
        <xdr:cNvPicPr/>
      </xdr:nvPicPr>
      <xdr:blipFill>
        <a:blip xmlns:r="http://schemas.openxmlformats.org/officeDocument/2006/relationships" r:embed="rId1" cstate="print"/>
        <a:srcRect/>
        <a:stretch>
          <a:fillRect/>
        </a:stretch>
      </xdr:blipFill>
      <xdr:spPr bwMode="auto">
        <a:xfrm>
          <a:off x="12325170" y="1509623"/>
          <a:ext cx="432435" cy="3810"/>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242" name="Picture 241"/>
        <xdr:cNvPicPr/>
      </xdr:nvPicPr>
      <xdr:blipFill>
        <a:blip xmlns:r="http://schemas.openxmlformats.org/officeDocument/2006/relationships" r:embed="rId1" cstate="print"/>
        <a:srcRect/>
        <a:stretch>
          <a:fillRect/>
        </a:stretch>
      </xdr:blipFill>
      <xdr:spPr bwMode="auto">
        <a:xfrm>
          <a:off x="12325170" y="1509623"/>
          <a:ext cx="432435" cy="3810"/>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243" name="Picture 242"/>
        <xdr:cNvPicPr/>
      </xdr:nvPicPr>
      <xdr:blipFill>
        <a:blip xmlns:r="http://schemas.openxmlformats.org/officeDocument/2006/relationships" r:embed="rId1" cstate="print"/>
        <a:srcRect/>
        <a:stretch>
          <a:fillRect/>
        </a:stretch>
      </xdr:blipFill>
      <xdr:spPr bwMode="auto">
        <a:xfrm>
          <a:off x="12325170" y="1509623"/>
          <a:ext cx="432435" cy="3810"/>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244" name="Picture 243"/>
        <xdr:cNvPicPr/>
      </xdr:nvPicPr>
      <xdr:blipFill>
        <a:blip xmlns:r="http://schemas.openxmlformats.org/officeDocument/2006/relationships" r:embed="rId1" cstate="print"/>
        <a:srcRect/>
        <a:stretch>
          <a:fillRect/>
        </a:stretch>
      </xdr:blipFill>
      <xdr:spPr bwMode="auto">
        <a:xfrm>
          <a:off x="12325170" y="1509623"/>
          <a:ext cx="432435" cy="3810"/>
        </a:xfrm>
        <a:prstGeom prst="rect">
          <a:avLst/>
        </a:prstGeom>
        <a:noFill/>
        <a:ln w="9525">
          <a:noFill/>
          <a:miter lim="800000"/>
          <a:headEnd/>
          <a:tailEnd/>
        </a:ln>
      </xdr:spPr>
    </xdr:pic>
    <xdr:clientData/>
  </xdr:twoCellAnchor>
  <xdr:twoCellAnchor editAs="oneCell">
    <xdr:from>
      <xdr:col>9</xdr:col>
      <xdr:colOff>257175</xdr:colOff>
      <xdr:row>9</xdr:row>
      <xdr:rowOff>0</xdr:rowOff>
    </xdr:from>
    <xdr:to>
      <xdr:col>9</xdr:col>
      <xdr:colOff>689610</xdr:colOff>
      <xdr:row>9</xdr:row>
      <xdr:rowOff>3810</xdr:rowOff>
    </xdr:to>
    <xdr:pic>
      <xdr:nvPicPr>
        <xdr:cNvPr id="245" name="Picture 244"/>
        <xdr:cNvPicPr/>
      </xdr:nvPicPr>
      <xdr:blipFill>
        <a:blip xmlns:r="http://schemas.openxmlformats.org/officeDocument/2006/relationships" r:embed="rId1" cstate="print"/>
        <a:srcRect/>
        <a:stretch>
          <a:fillRect/>
        </a:stretch>
      </xdr:blipFill>
      <xdr:spPr bwMode="auto">
        <a:xfrm>
          <a:off x="12325170" y="1509623"/>
          <a:ext cx="432435" cy="3810"/>
        </a:xfrm>
        <a:prstGeom prst="rect">
          <a:avLst/>
        </a:prstGeom>
        <a:noFill/>
        <a:ln w="9525">
          <a:noFill/>
          <a:miter lim="800000"/>
          <a:headEnd/>
          <a:tailEnd/>
        </a:ln>
      </xdr:spPr>
    </xdr:pic>
    <xdr:clientData/>
  </xdr:twoCellAnchor>
  <xdr:twoCellAnchor editAs="oneCell">
    <xdr:from>
      <xdr:col>9</xdr:col>
      <xdr:colOff>0</xdr:colOff>
      <xdr:row>15</xdr:row>
      <xdr:rowOff>0</xdr:rowOff>
    </xdr:from>
    <xdr:to>
      <xdr:col>9</xdr:col>
      <xdr:colOff>3200400</xdr:colOff>
      <xdr:row>15</xdr:row>
      <xdr:rowOff>1828800</xdr:rowOff>
    </xdr:to>
    <xdr:pic>
      <xdr:nvPicPr>
        <xdr:cNvPr id="247" name="Picture 246"/>
        <xdr:cNvPicPr/>
      </xdr:nvPicPr>
      <xdr:blipFill>
        <a:blip xmlns:r="http://schemas.openxmlformats.org/officeDocument/2006/relationships" r:embed="rId5" cstate="print"/>
        <a:srcRect/>
        <a:stretch>
          <a:fillRect/>
        </a:stretch>
      </xdr:blipFill>
      <xdr:spPr bwMode="auto">
        <a:xfrm>
          <a:off x="10522429" y="10082123"/>
          <a:ext cx="3200400" cy="182880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246" name="Picture 245"/>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248" name="Picture 247"/>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249" name="Picture 248"/>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250" name="Picture 249"/>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251" name="Picture 250"/>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252" name="Picture 251"/>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253" name="Picture 252"/>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254" name="Picture 253"/>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255" name="Picture 254"/>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256" name="Picture 255"/>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257" name="Picture 256"/>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258" name="Picture 257"/>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259" name="Picture 258"/>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260" name="Picture 259"/>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261" name="Picture 260"/>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262" name="Picture 261"/>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263" name="Picture 262"/>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264" name="Picture 263"/>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265" name="Picture 264"/>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266" name="Picture 265"/>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267" name="Picture 266"/>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268" name="Picture 267"/>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269" name="Picture 268"/>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270" name="Picture 269"/>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271" name="Picture 270"/>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272" name="Picture 271"/>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273" name="Picture 272"/>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274" name="Picture 273"/>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275" name="Picture 274"/>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276" name="Picture 275"/>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277" name="Picture 276"/>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278" name="Picture 277"/>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279" name="Picture 278"/>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280" name="Picture 279"/>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281" name="Picture 280"/>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282" name="Picture 281"/>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283" name="Picture 282"/>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284" name="Picture 283"/>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285" name="Picture 284"/>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286" name="Picture 285"/>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11</xdr:row>
      <xdr:rowOff>0</xdr:rowOff>
    </xdr:from>
    <xdr:to>
      <xdr:col>10</xdr:col>
      <xdr:colOff>689610</xdr:colOff>
      <xdr:row>11</xdr:row>
      <xdr:rowOff>3810</xdr:rowOff>
    </xdr:to>
    <xdr:pic>
      <xdr:nvPicPr>
        <xdr:cNvPr id="287" name="Picture 286"/>
        <xdr:cNvPicPr/>
      </xdr:nvPicPr>
      <xdr:blipFill>
        <a:blip xmlns:r="http://schemas.openxmlformats.org/officeDocument/2006/relationships" r:embed="rId1" cstate="print"/>
        <a:srcRect/>
        <a:stretch>
          <a:fillRect/>
        </a:stretch>
      </xdr:blipFill>
      <xdr:spPr bwMode="auto">
        <a:xfrm>
          <a:off x="10772775" y="7620000"/>
          <a:ext cx="432435" cy="3810"/>
        </a:xfrm>
        <a:prstGeom prst="rect">
          <a:avLst/>
        </a:prstGeom>
        <a:noFill/>
        <a:ln w="9525">
          <a:noFill/>
          <a:miter lim="800000"/>
          <a:headEnd/>
          <a:tailEnd/>
        </a:ln>
      </xdr:spPr>
    </xdr:pic>
    <xdr:clientData/>
  </xdr:twoCellAnchor>
  <xdr:twoCellAnchor editAs="oneCell">
    <xdr:from>
      <xdr:col>10</xdr:col>
      <xdr:colOff>257175</xdr:colOff>
      <xdr:row>11</xdr:row>
      <xdr:rowOff>0</xdr:rowOff>
    </xdr:from>
    <xdr:to>
      <xdr:col>10</xdr:col>
      <xdr:colOff>689610</xdr:colOff>
      <xdr:row>11</xdr:row>
      <xdr:rowOff>3810</xdr:rowOff>
    </xdr:to>
    <xdr:pic>
      <xdr:nvPicPr>
        <xdr:cNvPr id="288" name="Picture 287"/>
        <xdr:cNvPicPr/>
      </xdr:nvPicPr>
      <xdr:blipFill>
        <a:blip xmlns:r="http://schemas.openxmlformats.org/officeDocument/2006/relationships" r:embed="rId1" cstate="print"/>
        <a:srcRect/>
        <a:stretch>
          <a:fillRect/>
        </a:stretch>
      </xdr:blipFill>
      <xdr:spPr bwMode="auto">
        <a:xfrm>
          <a:off x="10772775" y="7620000"/>
          <a:ext cx="432435" cy="3810"/>
        </a:xfrm>
        <a:prstGeom prst="rect">
          <a:avLst/>
        </a:prstGeom>
        <a:noFill/>
        <a:ln w="9525">
          <a:noFill/>
          <a:miter lim="800000"/>
          <a:headEnd/>
          <a:tailEnd/>
        </a:ln>
      </xdr:spPr>
    </xdr:pic>
    <xdr:clientData/>
  </xdr:twoCellAnchor>
  <xdr:twoCellAnchor editAs="oneCell">
    <xdr:from>
      <xdr:col>10</xdr:col>
      <xdr:colOff>257175</xdr:colOff>
      <xdr:row>11</xdr:row>
      <xdr:rowOff>0</xdr:rowOff>
    </xdr:from>
    <xdr:to>
      <xdr:col>10</xdr:col>
      <xdr:colOff>689610</xdr:colOff>
      <xdr:row>11</xdr:row>
      <xdr:rowOff>3810</xdr:rowOff>
    </xdr:to>
    <xdr:pic>
      <xdr:nvPicPr>
        <xdr:cNvPr id="289" name="Picture 288"/>
        <xdr:cNvPicPr/>
      </xdr:nvPicPr>
      <xdr:blipFill>
        <a:blip xmlns:r="http://schemas.openxmlformats.org/officeDocument/2006/relationships" r:embed="rId1" cstate="print"/>
        <a:srcRect/>
        <a:stretch>
          <a:fillRect/>
        </a:stretch>
      </xdr:blipFill>
      <xdr:spPr bwMode="auto">
        <a:xfrm>
          <a:off x="10772775" y="7620000"/>
          <a:ext cx="432435" cy="3810"/>
        </a:xfrm>
        <a:prstGeom prst="rect">
          <a:avLst/>
        </a:prstGeom>
        <a:noFill/>
        <a:ln w="9525">
          <a:noFill/>
          <a:miter lim="800000"/>
          <a:headEnd/>
          <a:tailEnd/>
        </a:ln>
      </xdr:spPr>
    </xdr:pic>
    <xdr:clientData/>
  </xdr:twoCellAnchor>
  <xdr:twoCellAnchor editAs="oneCell">
    <xdr:from>
      <xdr:col>10</xdr:col>
      <xdr:colOff>257175</xdr:colOff>
      <xdr:row>11</xdr:row>
      <xdr:rowOff>0</xdr:rowOff>
    </xdr:from>
    <xdr:to>
      <xdr:col>10</xdr:col>
      <xdr:colOff>689610</xdr:colOff>
      <xdr:row>11</xdr:row>
      <xdr:rowOff>3810</xdr:rowOff>
    </xdr:to>
    <xdr:pic>
      <xdr:nvPicPr>
        <xdr:cNvPr id="290" name="Picture 289"/>
        <xdr:cNvPicPr/>
      </xdr:nvPicPr>
      <xdr:blipFill>
        <a:blip xmlns:r="http://schemas.openxmlformats.org/officeDocument/2006/relationships" r:embed="rId1" cstate="print"/>
        <a:srcRect/>
        <a:stretch>
          <a:fillRect/>
        </a:stretch>
      </xdr:blipFill>
      <xdr:spPr bwMode="auto">
        <a:xfrm>
          <a:off x="10772775" y="7620000"/>
          <a:ext cx="432435" cy="3810"/>
        </a:xfrm>
        <a:prstGeom prst="rect">
          <a:avLst/>
        </a:prstGeom>
        <a:noFill/>
        <a:ln w="9525">
          <a:noFill/>
          <a:miter lim="800000"/>
          <a:headEnd/>
          <a:tailEnd/>
        </a:ln>
      </xdr:spPr>
    </xdr:pic>
    <xdr:clientData/>
  </xdr:twoCellAnchor>
  <xdr:twoCellAnchor editAs="oneCell">
    <xdr:from>
      <xdr:col>10</xdr:col>
      <xdr:colOff>257175</xdr:colOff>
      <xdr:row>11</xdr:row>
      <xdr:rowOff>0</xdr:rowOff>
    </xdr:from>
    <xdr:to>
      <xdr:col>10</xdr:col>
      <xdr:colOff>689610</xdr:colOff>
      <xdr:row>11</xdr:row>
      <xdr:rowOff>3810</xdr:rowOff>
    </xdr:to>
    <xdr:pic>
      <xdr:nvPicPr>
        <xdr:cNvPr id="291" name="Picture 290"/>
        <xdr:cNvPicPr/>
      </xdr:nvPicPr>
      <xdr:blipFill>
        <a:blip xmlns:r="http://schemas.openxmlformats.org/officeDocument/2006/relationships" r:embed="rId1" cstate="print"/>
        <a:srcRect/>
        <a:stretch>
          <a:fillRect/>
        </a:stretch>
      </xdr:blipFill>
      <xdr:spPr bwMode="auto">
        <a:xfrm>
          <a:off x="10772775" y="7620000"/>
          <a:ext cx="432435" cy="3810"/>
        </a:xfrm>
        <a:prstGeom prst="rect">
          <a:avLst/>
        </a:prstGeom>
        <a:noFill/>
        <a:ln w="9525">
          <a:noFill/>
          <a:miter lim="800000"/>
          <a:headEnd/>
          <a:tailEnd/>
        </a:ln>
      </xdr:spPr>
    </xdr:pic>
    <xdr:clientData/>
  </xdr:twoCellAnchor>
  <xdr:twoCellAnchor editAs="oneCell">
    <xdr:from>
      <xdr:col>10</xdr:col>
      <xdr:colOff>257175</xdr:colOff>
      <xdr:row>11</xdr:row>
      <xdr:rowOff>0</xdr:rowOff>
    </xdr:from>
    <xdr:to>
      <xdr:col>10</xdr:col>
      <xdr:colOff>689610</xdr:colOff>
      <xdr:row>11</xdr:row>
      <xdr:rowOff>3810</xdr:rowOff>
    </xdr:to>
    <xdr:pic>
      <xdr:nvPicPr>
        <xdr:cNvPr id="292" name="Picture 291"/>
        <xdr:cNvPicPr/>
      </xdr:nvPicPr>
      <xdr:blipFill>
        <a:blip xmlns:r="http://schemas.openxmlformats.org/officeDocument/2006/relationships" r:embed="rId1" cstate="print"/>
        <a:srcRect/>
        <a:stretch>
          <a:fillRect/>
        </a:stretch>
      </xdr:blipFill>
      <xdr:spPr bwMode="auto">
        <a:xfrm>
          <a:off x="10772775" y="7620000"/>
          <a:ext cx="432435" cy="3810"/>
        </a:xfrm>
        <a:prstGeom prst="rect">
          <a:avLst/>
        </a:prstGeom>
        <a:noFill/>
        <a:ln w="9525">
          <a:noFill/>
          <a:miter lim="800000"/>
          <a:headEnd/>
          <a:tailEnd/>
        </a:ln>
      </xdr:spPr>
    </xdr:pic>
    <xdr:clientData/>
  </xdr:twoCellAnchor>
  <xdr:twoCellAnchor editAs="oneCell">
    <xdr:from>
      <xdr:col>10</xdr:col>
      <xdr:colOff>257175</xdr:colOff>
      <xdr:row>11</xdr:row>
      <xdr:rowOff>0</xdr:rowOff>
    </xdr:from>
    <xdr:to>
      <xdr:col>10</xdr:col>
      <xdr:colOff>689610</xdr:colOff>
      <xdr:row>11</xdr:row>
      <xdr:rowOff>3810</xdr:rowOff>
    </xdr:to>
    <xdr:pic>
      <xdr:nvPicPr>
        <xdr:cNvPr id="293" name="Picture 292"/>
        <xdr:cNvPicPr/>
      </xdr:nvPicPr>
      <xdr:blipFill>
        <a:blip xmlns:r="http://schemas.openxmlformats.org/officeDocument/2006/relationships" r:embed="rId1" cstate="print"/>
        <a:srcRect/>
        <a:stretch>
          <a:fillRect/>
        </a:stretch>
      </xdr:blipFill>
      <xdr:spPr bwMode="auto">
        <a:xfrm>
          <a:off x="10772775" y="7620000"/>
          <a:ext cx="432435" cy="3810"/>
        </a:xfrm>
        <a:prstGeom prst="rect">
          <a:avLst/>
        </a:prstGeom>
        <a:noFill/>
        <a:ln w="9525">
          <a:noFill/>
          <a:miter lim="800000"/>
          <a:headEnd/>
          <a:tailEnd/>
        </a:ln>
      </xdr:spPr>
    </xdr:pic>
    <xdr:clientData/>
  </xdr:twoCellAnchor>
  <xdr:twoCellAnchor editAs="oneCell">
    <xdr:from>
      <xdr:col>10</xdr:col>
      <xdr:colOff>257175</xdr:colOff>
      <xdr:row>11</xdr:row>
      <xdr:rowOff>0</xdr:rowOff>
    </xdr:from>
    <xdr:to>
      <xdr:col>10</xdr:col>
      <xdr:colOff>689610</xdr:colOff>
      <xdr:row>11</xdr:row>
      <xdr:rowOff>3810</xdr:rowOff>
    </xdr:to>
    <xdr:pic>
      <xdr:nvPicPr>
        <xdr:cNvPr id="294" name="Picture 293"/>
        <xdr:cNvPicPr/>
      </xdr:nvPicPr>
      <xdr:blipFill>
        <a:blip xmlns:r="http://schemas.openxmlformats.org/officeDocument/2006/relationships" r:embed="rId1" cstate="print"/>
        <a:srcRect/>
        <a:stretch>
          <a:fillRect/>
        </a:stretch>
      </xdr:blipFill>
      <xdr:spPr bwMode="auto">
        <a:xfrm>
          <a:off x="10772775" y="762000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295" name="Picture 294"/>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296" name="Picture 295"/>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297" name="Picture 296"/>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298" name="Picture 297"/>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299" name="Picture 298"/>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300" name="Picture 299"/>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301" name="Picture 300"/>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302" name="Picture 301"/>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12</xdr:row>
      <xdr:rowOff>0</xdr:rowOff>
    </xdr:from>
    <xdr:to>
      <xdr:col>10</xdr:col>
      <xdr:colOff>689610</xdr:colOff>
      <xdr:row>12</xdr:row>
      <xdr:rowOff>3810</xdr:rowOff>
    </xdr:to>
    <xdr:pic>
      <xdr:nvPicPr>
        <xdr:cNvPr id="303" name="Picture 302"/>
        <xdr:cNvPicPr/>
      </xdr:nvPicPr>
      <xdr:blipFill>
        <a:blip xmlns:r="http://schemas.openxmlformats.org/officeDocument/2006/relationships" r:embed="rId1" cstate="print"/>
        <a:srcRect/>
        <a:stretch>
          <a:fillRect/>
        </a:stretch>
      </xdr:blipFill>
      <xdr:spPr bwMode="auto">
        <a:xfrm>
          <a:off x="10772775" y="8001000"/>
          <a:ext cx="432435" cy="3810"/>
        </a:xfrm>
        <a:prstGeom prst="rect">
          <a:avLst/>
        </a:prstGeom>
        <a:noFill/>
        <a:ln w="9525">
          <a:noFill/>
          <a:miter lim="800000"/>
          <a:headEnd/>
          <a:tailEnd/>
        </a:ln>
      </xdr:spPr>
    </xdr:pic>
    <xdr:clientData/>
  </xdr:twoCellAnchor>
  <xdr:twoCellAnchor editAs="oneCell">
    <xdr:from>
      <xdr:col>10</xdr:col>
      <xdr:colOff>257175</xdr:colOff>
      <xdr:row>12</xdr:row>
      <xdr:rowOff>0</xdr:rowOff>
    </xdr:from>
    <xdr:to>
      <xdr:col>10</xdr:col>
      <xdr:colOff>689610</xdr:colOff>
      <xdr:row>12</xdr:row>
      <xdr:rowOff>3810</xdr:rowOff>
    </xdr:to>
    <xdr:pic>
      <xdr:nvPicPr>
        <xdr:cNvPr id="304" name="Picture 303"/>
        <xdr:cNvPicPr/>
      </xdr:nvPicPr>
      <xdr:blipFill>
        <a:blip xmlns:r="http://schemas.openxmlformats.org/officeDocument/2006/relationships" r:embed="rId1" cstate="print"/>
        <a:srcRect/>
        <a:stretch>
          <a:fillRect/>
        </a:stretch>
      </xdr:blipFill>
      <xdr:spPr bwMode="auto">
        <a:xfrm>
          <a:off x="10772775" y="8001000"/>
          <a:ext cx="432435" cy="3810"/>
        </a:xfrm>
        <a:prstGeom prst="rect">
          <a:avLst/>
        </a:prstGeom>
        <a:noFill/>
        <a:ln w="9525">
          <a:noFill/>
          <a:miter lim="800000"/>
          <a:headEnd/>
          <a:tailEnd/>
        </a:ln>
      </xdr:spPr>
    </xdr:pic>
    <xdr:clientData/>
  </xdr:twoCellAnchor>
  <xdr:twoCellAnchor editAs="oneCell">
    <xdr:from>
      <xdr:col>10</xdr:col>
      <xdr:colOff>257175</xdr:colOff>
      <xdr:row>12</xdr:row>
      <xdr:rowOff>0</xdr:rowOff>
    </xdr:from>
    <xdr:to>
      <xdr:col>10</xdr:col>
      <xdr:colOff>689610</xdr:colOff>
      <xdr:row>12</xdr:row>
      <xdr:rowOff>3810</xdr:rowOff>
    </xdr:to>
    <xdr:pic>
      <xdr:nvPicPr>
        <xdr:cNvPr id="305" name="Picture 304"/>
        <xdr:cNvPicPr/>
      </xdr:nvPicPr>
      <xdr:blipFill>
        <a:blip xmlns:r="http://schemas.openxmlformats.org/officeDocument/2006/relationships" r:embed="rId1" cstate="print"/>
        <a:srcRect/>
        <a:stretch>
          <a:fillRect/>
        </a:stretch>
      </xdr:blipFill>
      <xdr:spPr bwMode="auto">
        <a:xfrm>
          <a:off x="10772775" y="8001000"/>
          <a:ext cx="432435" cy="3810"/>
        </a:xfrm>
        <a:prstGeom prst="rect">
          <a:avLst/>
        </a:prstGeom>
        <a:noFill/>
        <a:ln w="9525">
          <a:noFill/>
          <a:miter lim="800000"/>
          <a:headEnd/>
          <a:tailEnd/>
        </a:ln>
      </xdr:spPr>
    </xdr:pic>
    <xdr:clientData/>
  </xdr:twoCellAnchor>
  <xdr:twoCellAnchor editAs="oneCell">
    <xdr:from>
      <xdr:col>10</xdr:col>
      <xdr:colOff>257175</xdr:colOff>
      <xdr:row>12</xdr:row>
      <xdr:rowOff>0</xdr:rowOff>
    </xdr:from>
    <xdr:to>
      <xdr:col>10</xdr:col>
      <xdr:colOff>689610</xdr:colOff>
      <xdr:row>12</xdr:row>
      <xdr:rowOff>3810</xdr:rowOff>
    </xdr:to>
    <xdr:pic>
      <xdr:nvPicPr>
        <xdr:cNvPr id="306" name="Picture 305"/>
        <xdr:cNvPicPr/>
      </xdr:nvPicPr>
      <xdr:blipFill>
        <a:blip xmlns:r="http://schemas.openxmlformats.org/officeDocument/2006/relationships" r:embed="rId1" cstate="print"/>
        <a:srcRect/>
        <a:stretch>
          <a:fillRect/>
        </a:stretch>
      </xdr:blipFill>
      <xdr:spPr bwMode="auto">
        <a:xfrm>
          <a:off x="10772775" y="8001000"/>
          <a:ext cx="432435" cy="3810"/>
        </a:xfrm>
        <a:prstGeom prst="rect">
          <a:avLst/>
        </a:prstGeom>
        <a:noFill/>
        <a:ln w="9525">
          <a:noFill/>
          <a:miter lim="800000"/>
          <a:headEnd/>
          <a:tailEnd/>
        </a:ln>
      </xdr:spPr>
    </xdr:pic>
    <xdr:clientData/>
  </xdr:twoCellAnchor>
  <xdr:twoCellAnchor editAs="oneCell">
    <xdr:from>
      <xdr:col>10</xdr:col>
      <xdr:colOff>257175</xdr:colOff>
      <xdr:row>12</xdr:row>
      <xdr:rowOff>0</xdr:rowOff>
    </xdr:from>
    <xdr:to>
      <xdr:col>10</xdr:col>
      <xdr:colOff>689610</xdr:colOff>
      <xdr:row>12</xdr:row>
      <xdr:rowOff>3810</xdr:rowOff>
    </xdr:to>
    <xdr:pic>
      <xdr:nvPicPr>
        <xdr:cNvPr id="307" name="Picture 306"/>
        <xdr:cNvPicPr/>
      </xdr:nvPicPr>
      <xdr:blipFill>
        <a:blip xmlns:r="http://schemas.openxmlformats.org/officeDocument/2006/relationships" r:embed="rId1" cstate="print"/>
        <a:srcRect/>
        <a:stretch>
          <a:fillRect/>
        </a:stretch>
      </xdr:blipFill>
      <xdr:spPr bwMode="auto">
        <a:xfrm>
          <a:off x="10772775" y="8001000"/>
          <a:ext cx="432435" cy="3810"/>
        </a:xfrm>
        <a:prstGeom prst="rect">
          <a:avLst/>
        </a:prstGeom>
        <a:noFill/>
        <a:ln w="9525">
          <a:noFill/>
          <a:miter lim="800000"/>
          <a:headEnd/>
          <a:tailEnd/>
        </a:ln>
      </xdr:spPr>
    </xdr:pic>
    <xdr:clientData/>
  </xdr:twoCellAnchor>
  <xdr:twoCellAnchor editAs="oneCell">
    <xdr:from>
      <xdr:col>10</xdr:col>
      <xdr:colOff>257175</xdr:colOff>
      <xdr:row>12</xdr:row>
      <xdr:rowOff>0</xdr:rowOff>
    </xdr:from>
    <xdr:to>
      <xdr:col>10</xdr:col>
      <xdr:colOff>689610</xdr:colOff>
      <xdr:row>12</xdr:row>
      <xdr:rowOff>3810</xdr:rowOff>
    </xdr:to>
    <xdr:pic>
      <xdr:nvPicPr>
        <xdr:cNvPr id="308" name="Picture 307"/>
        <xdr:cNvPicPr/>
      </xdr:nvPicPr>
      <xdr:blipFill>
        <a:blip xmlns:r="http://schemas.openxmlformats.org/officeDocument/2006/relationships" r:embed="rId1" cstate="print"/>
        <a:srcRect/>
        <a:stretch>
          <a:fillRect/>
        </a:stretch>
      </xdr:blipFill>
      <xdr:spPr bwMode="auto">
        <a:xfrm>
          <a:off x="10772775" y="8001000"/>
          <a:ext cx="432435" cy="3810"/>
        </a:xfrm>
        <a:prstGeom prst="rect">
          <a:avLst/>
        </a:prstGeom>
        <a:noFill/>
        <a:ln w="9525">
          <a:noFill/>
          <a:miter lim="800000"/>
          <a:headEnd/>
          <a:tailEnd/>
        </a:ln>
      </xdr:spPr>
    </xdr:pic>
    <xdr:clientData/>
  </xdr:twoCellAnchor>
  <xdr:twoCellAnchor editAs="oneCell">
    <xdr:from>
      <xdr:col>10</xdr:col>
      <xdr:colOff>257175</xdr:colOff>
      <xdr:row>12</xdr:row>
      <xdr:rowOff>0</xdr:rowOff>
    </xdr:from>
    <xdr:to>
      <xdr:col>10</xdr:col>
      <xdr:colOff>689610</xdr:colOff>
      <xdr:row>12</xdr:row>
      <xdr:rowOff>3810</xdr:rowOff>
    </xdr:to>
    <xdr:pic>
      <xdr:nvPicPr>
        <xdr:cNvPr id="309" name="Picture 308"/>
        <xdr:cNvPicPr/>
      </xdr:nvPicPr>
      <xdr:blipFill>
        <a:blip xmlns:r="http://schemas.openxmlformats.org/officeDocument/2006/relationships" r:embed="rId1" cstate="print"/>
        <a:srcRect/>
        <a:stretch>
          <a:fillRect/>
        </a:stretch>
      </xdr:blipFill>
      <xdr:spPr bwMode="auto">
        <a:xfrm>
          <a:off x="10772775" y="8001000"/>
          <a:ext cx="432435" cy="3810"/>
        </a:xfrm>
        <a:prstGeom prst="rect">
          <a:avLst/>
        </a:prstGeom>
        <a:noFill/>
        <a:ln w="9525">
          <a:noFill/>
          <a:miter lim="800000"/>
          <a:headEnd/>
          <a:tailEnd/>
        </a:ln>
      </xdr:spPr>
    </xdr:pic>
    <xdr:clientData/>
  </xdr:twoCellAnchor>
  <xdr:twoCellAnchor editAs="oneCell">
    <xdr:from>
      <xdr:col>10</xdr:col>
      <xdr:colOff>257175</xdr:colOff>
      <xdr:row>12</xdr:row>
      <xdr:rowOff>0</xdr:rowOff>
    </xdr:from>
    <xdr:to>
      <xdr:col>10</xdr:col>
      <xdr:colOff>689610</xdr:colOff>
      <xdr:row>12</xdr:row>
      <xdr:rowOff>3810</xdr:rowOff>
    </xdr:to>
    <xdr:pic>
      <xdr:nvPicPr>
        <xdr:cNvPr id="310" name="Picture 309"/>
        <xdr:cNvPicPr/>
      </xdr:nvPicPr>
      <xdr:blipFill>
        <a:blip xmlns:r="http://schemas.openxmlformats.org/officeDocument/2006/relationships" r:embed="rId1" cstate="print"/>
        <a:srcRect/>
        <a:stretch>
          <a:fillRect/>
        </a:stretch>
      </xdr:blipFill>
      <xdr:spPr bwMode="auto">
        <a:xfrm>
          <a:off x="10772775" y="8001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311" name="Picture 310"/>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312" name="Picture 311"/>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313" name="Picture 312"/>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314" name="Picture 313"/>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315" name="Picture 314"/>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316" name="Picture 315"/>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317" name="Picture 316"/>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318" name="Picture 317"/>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319" name="Picture 318"/>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320" name="Picture 319"/>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321" name="Picture 320"/>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322" name="Picture 321"/>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323" name="Picture 322"/>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324" name="Picture 323"/>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325" name="Picture 324"/>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326" name="Picture 325"/>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327" name="Picture 326"/>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328" name="Picture 327"/>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329" name="Picture 328"/>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330" name="Picture 329"/>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331" name="Picture 330"/>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332" name="Picture 331"/>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333" name="Picture 332"/>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334" name="Picture 333"/>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335" name="Picture 334"/>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336" name="Picture 335"/>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337" name="Picture 336"/>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338" name="Picture 337"/>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339" name="Picture 338"/>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340" name="Picture 339"/>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341" name="Picture 340"/>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257175</xdr:colOff>
      <xdr:row>9</xdr:row>
      <xdr:rowOff>0</xdr:rowOff>
    </xdr:from>
    <xdr:to>
      <xdr:col>10</xdr:col>
      <xdr:colOff>689610</xdr:colOff>
      <xdr:row>9</xdr:row>
      <xdr:rowOff>3810</xdr:rowOff>
    </xdr:to>
    <xdr:pic>
      <xdr:nvPicPr>
        <xdr:cNvPr id="342" name="Picture 341"/>
        <xdr:cNvPicPr/>
      </xdr:nvPicPr>
      <xdr:blipFill>
        <a:blip xmlns:r="http://schemas.openxmlformats.org/officeDocument/2006/relationships" r:embed="rId1" cstate="print"/>
        <a:srcRect/>
        <a:stretch>
          <a:fillRect/>
        </a:stretch>
      </xdr:blipFill>
      <xdr:spPr bwMode="auto">
        <a:xfrm>
          <a:off x="10772775" y="3238500"/>
          <a:ext cx="432435" cy="3810"/>
        </a:xfrm>
        <a:prstGeom prst="rect">
          <a:avLst/>
        </a:prstGeom>
        <a:noFill/>
        <a:ln w="9525">
          <a:noFill/>
          <a:miter lim="800000"/>
          <a:headEnd/>
          <a:tailEnd/>
        </a:ln>
      </xdr:spPr>
    </xdr:pic>
    <xdr:clientData/>
  </xdr:twoCellAnchor>
  <xdr:twoCellAnchor editAs="oneCell">
    <xdr:from>
      <xdr:col>10</xdr:col>
      <xdr:colOff>1232677</xdr:colOff>
      <xdr:row>15</xdr:row>
      <xdr:rowOff>60567</xdr:rowOff>
    </xdr:from>
    <xdr:to>
      <xdr:col>10</xdr:col>
      <xdr:colOff>2851928</xdr:colOff>
      <xdr:row>15</xdr:row>
      <xdr:rowOff>698741</xdr:rowOff>
    </xdr:to>
    <xdr:pic>
      <xdr:nvPicPr>
        <xdr:cNvPr id="343" name="Picture 342"/>
        <xdr:cNvPicPr/>
      </xdr:nvPicPr>
      <xdr:blipFill>
        <a:blip xmlns:r="http://schemas.openxmlformats.org/officeDocument/2006/relationships" r:embed="rId5" cstate="print"/>
        <a:srcRect/>
        <a:stretch>
          <a:fillRect/>
        </a:stretch>
      </xdr:blipFill>
      <xdr:spPr bwMode="auto">
        <a:xfrm>
          <a:off x="15592064" y="11104175"/>
          <a:ext cx="1619251" cy="638174"/>
        </a:xfrm>
        <a:prstGeom prst="rect">
          <a:avLst/>
        </a:prstGeom>
        <a:noFill/>
        <a:ln w="9525">
          <a:noFill/>
          <a:miter lim="800000"/>
          <a:headEnd/>
          <a:tailEnd/>
        </a:ln>
      </xdr:spPr>
    </xdr:pic>
    <xdr:clientData/>
  </xdr:twoCellAnchor>
  <xdr:twoCellAnchor editAs="oneCell">
    <xdr:from>
      <xdr:col>10</xdr:col>
      <xdr:colOff>257175</xdr:colOff>
      <xdr:row>12</xdr:row>
      <xdr:rowOff>0</xdr:rowOff>
    </xdr:from>
    <xdr:to>
      <xdr:col>10</xdr:col>
      <xdr:colOff>689610</xdr:colOff>
      <xdr:row>12</xdr:row>
      <xdr:rowOff>3810</xdr:rowOff>
    </xdr:to>
    <xdr:pic>
      <xdr:nvPicPr>
        <xdr:cNvPr id="344" name="Picture 343"/>
        <xdr:cNvPicPr/>
      </xdr:nvPicPr>
      <xdr:blipFill>
        <a:blip xmlns:r="http://schemas.openxmlformats.org/officeDocument/2006/relationships" r:embed="rId1" cstate="print"/>
        <a:srcRect/>
        <a:stretch>
          <a:fillRect/>
        </a:stretch>
      </xdr:blipFill>
      <xdr:spPr bwMode="auto">
        <a:xfrm>
          <a:off x="10772775" y="8001000"/>
          <a:ext cx="432435" cy="3810"/>
        </a:xfrm>
        <a:prstGeom prst="rect">
          <a:avLst/>
        </a:prstGeom>
        <a:noFill/>
        <a:ln w="9525">
          <a:noFill/>
          <a:miter lim="800000"/>
          <a:headEnd/>
          <a:tailEnd/>
        </a:ln>
      </xdr:spPr>
    </xdr:pic>
    <xdr:clientData/>
  </xdr:twoCellAnchor>
  <xdr:twoCellAnchor editAs="oneCell">
    <xdr:from>
      <xdr:col>10</xdr:col>
      <xdr:colOff>257175</xdr:colOff>
      <xdr:row>12</xdr:row>
      <xdr:rowOff>0</xdr:rowOff>
    </xdr:from>
    <xdr:to>
      <xdr:col>10</xdr:col>
      <xdr:colOff>689610</xdr:colOff>
      <xdr:row>12</xdr:row>
      <xdr:rowOff>3810</xdr:rowOff>
    </xdr:to>
    <xdr:pic>
      <xdr:nvPicPr>
        <xdr:cNvPr id="345" name="Picture 344"/>
        <xdr:cNvPicPr/>
      </xdr:nvPicPr>
      <xdr:blipFill>
        <a:blip xmlns:r="http://schemas.openxmlformats.org/officeDocument/2006/relationships" r:embed="rId1" cstate="print"/>
        <a:srcRect/>
        <a:stretch>
          <a:fillRect/>
        </a:stretch>
      </xdr:blipFill>
      <xdr:spPr bwMode="auto">
        <a:xfrm>
          <a:off x="10772775" y="8001000"/>
          <a:ext cx="432435" cy="3810"/>
        </a:xfrm>
        <a:prstGeom prst="rect">
          <a:avLst/>
        </a:prstGeom>
        <a:noFill/>
        <a:ln w="9525">
          <a:noFill/>
          <a:miter lim="800000"/>
          <a:headEnd/>
          <a:tailEnd/>
        </a:ln>
      </xdr:spPr>
    </xdr:pic>
    <xdr:clientData/>
  </xdr:twoCellAnchor>
  <xdr:twoCellAnchor editAs="oneCell">
    <xdr:from>
      <xdr:col>10</xdr:col>
      <xdr:colOff>257175</xdr:colOff>
      <xdr:row>12</xdr:row>
      <xdr:rowOff>0</xdr:rowOff>
    </xdr:from>
    <xdr:to>
      <xdr:col>10</xdr:col>
      <xdr:colOff>689610</xdr:colOff>
      <xdr:row>12</xdr:row>
      <xdr:rowOff>3810</xdr:rowOff>
    </xdr:to>
    <xdr:pic>
      <xdr:nvPicPr>
        <xdr:cNvPr id="346" name="Picture 345"/>
        <xdr:cNvPicPr/>
      </xdr:nvPicPr>
      <xdr:blipFill>
        <a:blip xmlns:r="http://schemas.openxmlformats.org/officeDocument/2006/relationships" r:embed="rId1" cstate="print"/>
        <a:srcRect/>
        <a:stretch>
          <a:fillRect/>
        </a:stretch>
      </xdr:blipFill>
      <xdr:spPr bwMode="auto">
        <a:xfrm>
          <a:off x="10772775" y="8001000"/>
          <a:ext cx="432435" cy="3810"/>
        </a:xfrm>
        <a:prstGeom prst="rect">
          <a:avLst/>
        </a:prstGeom>
        <a:noFill/>
        <a:ln w="9525">
          <a:noFill/>
          <a:miter lim="800000"/>
          <a:headEnd/>
          <a:tailEnd/>
        </a:ln>
      </xdr:spPr>
    </xdr:pic>
    <xdr:clientData/>
  </xdr:twoCellAnchor>
  <xdr:twoCellAnchor editAs="oneCell">
    <xdr:from>
      <xdr:col>10</xdr:col>
      <xdr:colOff>257175</xdr:colOff>
      <xdr:row>12</xdr:row>
      <xdr:rowOff>0</xdr:rowOff>
    </xdr:from>
    <xdr:to>
      <xdr:col>10</xdr:col>
      <xdr:colOff>689610</xdr:colOff>
      <xdr:row>12</xdr:row>
      <xdr:rowOff>3810</xdr:rowOff>
    </xdr:to>
    <xdr:pic>
      <xdr:nvPicPr>
        <xdr:cNvPr id="347" name="Picture 346"/>
        <xdr:cNvPicPr/>
      </xdr:nvPicPr>
      <xdr:blipFill>
        <a:blip xmlns:r="http://schemas.openxmlformats.org/officeDocument/2006/relationships" r:embed="rId1" cstate="print"/>
        <a:srcRect/>
        <a:stretch>
          <a:fillRect/>
        </a:stretch>
      </xdr:blipFill>
      <xdr:spPr bwMode="auto">
        <a:xfrm>
          <a:off x="10772775" y="8001000"/>
          <a:ext cx="432435" cy="3810"/>
        </a:xfrm>
        <a:prstGeom prst="rect">
          <a:avLst/>
        </a:prstGeom>
        <a:noFill/>
        <a:ln w="9525">
          <a:noFill/>
          <a:miter lim="800000"/>
          <a:headEnd/>
          <a:tailEnd/>
        </a:ln>
      </xdr:spPr>
    </xdr:pic>
    <xdr:clientData/>
  </xdr:twoCellAnchor>
  <xdr:twoCellAnchor editAs="oneCell">
    <xdr:from>
      <xdr:col>10</xdr:col>
      <xdr:colOff>257175</xdr:colOff>
      <xdr:row>12</xdr:row>
      <xdr:rowOff>0</xdr:rowOff>
    </xdr:from>
    <xdr:to>
      <xdr:col>10</xdr:col>
      <xdr:colOff>689610</xdr:colOff>
      <xdr:row>12</xdr:row>
      <xdr:rowOff>3810</xdr:rowOff>
    </xdr:to>
    <xdr:pic>
      <xdr:nvPicPr>
        <xdr:cNvPr id="348" name="Picture 347"/>
        <xdr:cNvPicPr/>
      </xdr:nvPicPr>
      <xdr:blipFill>
        <a:blip xmlns:r="http://schemas.openxmlformats.org/officeDocument/2006/relationships" r:embed="rId1" cstate="print"/>
        <a:srcRect/>
        <a:stretch>
          <a:fillRect/>
        </a:stretch>
      </xdr:blipFill>
      <xdr:spPr bwMode="auto">
        <a:xfrm>
          <a:off x="10772775" y="8001000"/>
          <a:ext cx="432435" cy="3810"/>
        </a:xfrm>
        <a:prstGeom prst="rect">
          <a:avLst/>
        </a:prstGeom>
        <a:noFill/>
        <a:ln w="9525">
          <a:noFill/>
          <a:miter lim="800000"/>
          <a:headEnd/>
          <a:tailEnd/>
        </a:ln>
      </xdr:spPr>
    </xdr:pic>
    <xdr:clientData/>
  </xdr:twoCellAnchor>
  <xdr:twoCellAnchor editAs="oneCell">
    <xdr:from>
      <xdr:col>10</xdr:col>
      <xdr:colOff>257175</xdr:colOff>
      <xdr:row>12</xdr:row>
      <xdr:rowOff>0</xdr:rowOff>
    </xdr:from>
    <xdr:to>
      <xdr:col>10</xdr:col>
      <xdr:colOff>689610</xdr:colOff>
      <xdr:row>12</xdr:row>
      <xdr:rowOff>3810</xdr:rowOff>
    </xdr:to>
    <xdr:pic>
      <xdr:nvPicPr>
        <xdr:cNvPr id="349" name="Picture 348"/>
        <xdr:cNvPicPr/>
      </xdr:nvPicPr>
      <xdr:blipFill>
        <a:blip xmlns:r="http://schemas.openxmlformats.org/officeDocument/2006/relationships" r:embed="rId1" cstate="print"/>
        <a:srcRect/>
        <a:stretch>
          <a:fillRect/>
        </a:stretch>
      </xdr:blipFill>
      <xdr:spPr bwMode="auto">
        <a:xfrm>
          <a:off x="10772775" y="8001000"/>
          <a:ext cx="432435" cy="3810"/>
        </a:xfrm>
        <a:prstGeom prst="rect">
          <a:avLst/>
        </a:prstGeom>
        <a:noFill/>
        <a:ln w="9525">
          <a:noFill/>
          <a:miter lim="800000"/>
          <a:headEnd/>
          <a:tailEnd/>
        </a:ln>
      </xdr:spPr>
    </xdr:pic>
    <xdr:clientData/>
  </xdr:twoCellAnchor>
  <xdr:twoCellAnchor editAs="oneCell">
    <xdr:from>
      <xdr:col>10</xdr:col>
      <xdr:colOff>257175</xdr:colOff>
      <xdr:row>12</xdr:row>
      <xdr:rowOff>0</xdr:rowOff>
    </xdr:from>
    <xdr:to>
      <xdr:col>10</xdr:col>
      <xdr:colOff>689610</xdr:colOff>
      <xdr:row>12</xdr:row>
      <xdr:rowOff>3810</xdr:rowOff>
    </xdr:to>
    <xdr:pic>
      <xdr:nvPicPr>
        <xdr:cNvPr id="350" name="Picture 349"/>
        <xdr:cNvPicPr/>
      </xdr:nvPicPr>
      <xdr:blipFill>
        <a:blip xmlns:r="http://schemas.openxmlformats.org/officeDocument/2006/relationships" r:embed="rId1" cstate="print"/>
        <a:srcRect/>
        <a:stretch>
          <a:fillRect/>
        </a:stretch>
      </xdr:blipFill>
      <xdr:spPr bwMode="auto">
        <a:xfrm>
          <a:off x="10772775" y="8001000"/>
          <a:ext cx="432435" cy="3810"/>
        </a:xfrm>
        <a:prstGeom prst="rect">
          <a:avLst/>
        </a:prstGeom>
        <a:noFill/>
        <a:ln w="9525">
          <a:noFill/>
          <a:miter lim="800000"/>
          <a:headEnd/>
          <a:tailEnd/>
        </a:ln>
      </xdr:spPr>
    </xdr:pic>
    <xdr:clientData/>
  </xdr:twoCellAnchor>
  <xdr:twoCellAnchor editAs="oneCell">
    <xdr:from>
      <xdr:col>10</xdr:col>
      <xdr:colOff>257175</xdr:colOff>
      <xdr:row>12</xdr:row>
      <xdr:rowOff>0</xdr:rowOff>
    </xdr:from>
    <xdr:to>
      <xdr:col>10</xdr:col>
      <xdr:colOff>689610</xdr:colOff>
      <xdr:row>12</xdr:row>
      <xdr:rowOff>3810</xdr:rowOff>
    </xdr:to>
    <xdr:pic>
      <xdr:nvPicPr>
        <xdr:cNvPr id="351" name="Picture 350"/>
        <xdr:cNvPicPr/>
      </xdr:nvPicPr>
      <xdr:blipFill>
        <a:blip xmlns:r="http://schemas.openxmlformats.org/officeDocument/2006/relationships" r:embed="rId1" cstate="print"/>
        <a:srcRect/>
        <a:stretch>
          <a:fillRect/>
        </a:stretch>
      </xdr:blipFill>
      <xdr:spPr bwMode="auto">
        <a:xfrm>
          <a:off x="10772775" y="80010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352" name="Picture 351"/>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353" name="Picture 352"/>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354" name="Picture 353"/>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355" name="Picture 354"/>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356" name="Picture 355"/>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357" name="Picture 356"/>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358" name="Picture 357"/>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359" name="Picture 358"/>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360" name="Picture 359"/>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361" name="Picture 360"/>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362" name="Picture 361"/>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363" name="Picture 362"/>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364" name="Picture 363"/>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365" name="Picture 364"/>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366" name="Picture 365"/>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7</xdr:row>
      <xdr:rowOff>0</xdr:rowOff>
    </xdr:from>
    <xdr:to>
      <xdr:col>10</xdr:col>
      <xdr:colOff>689610</xdr:colOff>
      <xdr:row>7</xdr:row>
      <xdr:rowOff>3810</xdr:rowOff>
    </xdr:to>
    <xdr:pic>
      <xdr:nvPicPr>
        <xdr:cNvPr id="367" name="Picture 366"/>
        <xdr:cNvPicPr/>
      </xdr:nvPicPr>
      <xdr:blipFill>
        <a:blip xmlns:r="http://schemas.openxmlformats.org/officeDocument/2006/relationships" r:embed="rId1" cstate="print"/>
        <a:srcRect/>
        <a:stretch>
          <a:fillRect/>
        </a:stretch>
      </xdr:blipFill>
      <xdr:spPr bwMode="auto">
        <a:xfrm>
          <a:off x="10772775" y="24765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368" name="Picture 367"/>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369" name="Picture 368"/>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370" name="Picture 369"/>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371" name="Picture 370"/>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372" name="Picture 371"/>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373" name="Picture 372"/>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374" name="Picture 373"/>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375" name="Picture 374"/>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376" name="Picture 375"/>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377" name="Picture 376"/>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378" name="Picture 377"/>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379" name="Picture 378"/>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380" name="Picture 379"/>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381" name="Picture 380"/>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382" name="Picture 381"/>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383" name="Picture 382"/>
        <xdr:cNvPicPr/>
      </xdr:nvPicPr>
      <xdr:blipFill>
        <a:blip xmlns:r="http://schemas.openxmlformats.org/officeDocument/2006/relationships" r:embed="rId1" cstate="print"/>
        <a:srcRect/>
        <a:stretch>
          <a:fillRect/>
        </a:stretch>
      </xdr:blipFill>
      <xdr:spPr bwMode="auto">
        <a:xfrm>
          <a:off x="10772775" y="1524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384" name="Picture 383"/>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385" name="Picture 384"/>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386" name="Picture 385"/>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387" name="Picture 386"/>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388" name="Picture 387"/>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389" name="Picture 388"/>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390" name="Picture 389"/>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391" name="Picture 390"/>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392" name="Picture 391"/>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393" name="Picture 392"/>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394" name="Picture 393"/>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395" name="Picture 394"/>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396" name="Picture 395"/>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397" name="Picture 396"/>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398" name="Picture 397"/>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399" name="Picture 398"/>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400" name="Picture 399"/>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401" name="Picture 400"/>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402" name="Picture 401"/>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403" name="Picture 402"/>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404" name="Picture 403"/>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405" name="Picture 404"/>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406" name="Picture 405"/>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407" name="Picture 406"/>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408" name="Picture 407"/>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409" name="Picture 408"/>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410" name="Picture 409"/>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411" name="Picture 410"/>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412" name="Picture 411"/>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413" name="Picture 412"/>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414" name="Picture 413"/>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415" name="Picture 414"/>
        <xdr:cNvPicPr/>
      </xdr:nvPicPr>
      <xdr:blipFill>
        <a:blip xmlns:r="http://schemas.openxmlformats.org/officeDocument/2006/relationships" r:embed="rId1" cstate="print"/>
        <a:srcRect/>
        <a:stretch>
          <a:fillRect/>
        </a:stretch>
      </xdr:blipFill>
      <xdr:spPr bwMode="auto">
        <a:xfrm>
          <a:off x="10772775" y="838200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16" name="Picture 415"/>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17" name="Picture 416"/>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18" name="Picture 417"/>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19" name="Picture 418"/>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20" name="Picture 419"/>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21" name="Picture 420"/>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22" name="Picture 421"/>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23" name="Picture 422"/>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24" name="Picture 423"/>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25" name="Picture 424"/>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26" name="Picture 425"/>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27" name="Picture 426"/>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28" name="Picture 427"/>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29" name="Picture 428"/>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30" name="Picture 429"/>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31" name="Picture 430"/>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32" name="Picture 431"/>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33" name="Picture 432"/>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34" name="Picture 433"/>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35" name="Picture 434"/>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36" name="Picture 435"/>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37" name="Picture 436"/>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38" name="Picture 437"/>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16</xdr:row>
      <xdr:rowOff>0</xdr:rowOff>
    </xdr:from>
    <xdr:to>
      <xdr:col>10</xdr:col>
      <xdr:colOff>689610</xdr:colOff>
      <xdr:row>16</xdr:row>
      <xdr:rowOff>3810</xdr:rowOff>
    </xdr:to>
    <xdr:pic>
      <xdr:nvPicPr>
        <xdr:cNvPr id="439" name="Picture 438"/>
        <xdr:cNvPicPr/>
      </xdr:nvPicPr>
      <xdr:blipFill>
        <a:blip xmlns:r="http://schemas.openxmlformats.org/officeDocument/2006/relationships" r:embed="rId1" cstate="print"/>
        <a:srcRect/>
        <a:stretch>
          <a:fillRect/>
        </a:stretch>
      </xdr:blipFill>
      <xdr:spPr bwMode="auto">
        <a:xfrm>
          <a:off x="10772775" y="1312545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40" name="Picture 439"/>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41" name="Picture 440"/>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42" name="Picture 441"/>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43" name="Picture 442"/>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44" name="Picture 443"/>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45" name="Picture 444"/>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46" name="Picture 445"/>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47" name="Picture 446"/>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48" name="Picture 447"/>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49" name="Picture 448"/>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50" name="Picture 449"/>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51" name="Picture 450"/>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52" name="Picture 451"/>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53" name="Picture 452"/>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54" name="Picture 453"/>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55" name="Picture 454"/>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56" name="Picture 455"/>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57" name="Picture 456"/>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58" name="Picture 457"/>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59" name="Picture 458"/>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60" name="Picture 459"/>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61" name="Picture 460"/>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62" name="Picture 461"/>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463" name="Picture 462"/>
        <xdr:cNvPicPr/>
      </xdr:nvPicPr>
      <xdr:blipFill>
        <a:blip xmlns:r="http://schemas.openxmlformats.org/officeDocument/2006/relationships" r:embed="rId1" cstate="print"/>
        <a:srcRect/>
        <a:stretch>
          <a:fillRect/>
        </a:stretch>
      </xdr:blipFill>
      <xdr:spPr bwMode="auto">
        <a:xfrm>
          <a:off x="10772775" y="3048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64" name="Picture 463"/>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65" name="Picture 464"/>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66" name="Picture 465"/>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67" name="Picture 466"/>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68" name="Picture 467"/>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69" name="Picture 468"/>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70" name="Picture 469"/>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71" name="Picture 470"/>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72" name="Picture 471"/>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73" name="Picture 472"/>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74" name="Picture 473"/>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75" name="Picture 474"/>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76" name="Picture 475"/>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77" name="Picture 476"/>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78" name="Picture 477"/>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79" name="Picture 478"/>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80" name="Picture 479"/>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81" name="Picture 480"/>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82" name="Picture 481"/>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83" name="Picture 482"/>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84" name="Picture 483"/>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85" name="Picture 484"/>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86" name="Picture 485"/>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487" name="Picture 486"/>
        <xdr:cNvPicPr/>
      </xdr:nvPicPr>
      <xdr:blipFill>
        <a:blip xmlns:r="http://schemas.openxmlformats.org/officeDocument/2006/relationships" r:embed="rId1" cstate="print"/>
        <a:srcRect/>
        <a:stretch>
          <a:fillRect/>
        </a:stretch>
      </xdr:blipFill>
      <xdr:spPr bwMode="auto">
        <a:xfrm>
          <a:off x="10772775" y="6477000"/>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12" name="Picture 511"/>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13" name="Picture 512"/>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14" name="Picture 513"/>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15" name="Picture 514"/>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16" name="Picture 515"/>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17" name="Picture 516"/>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18" name="Picture 517"/>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19" name="Picture 518"/>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20" name="Picture 519"/>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21" name="Picture 520"/>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22" name="Picture 521"/>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23" name="Picture 522"/>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24" name="Picture 523"/>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25" name="Picture 524"/>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26" name="Picture 525"/>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27" name="Picture 526"/>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28" name="Picture 527"/>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29" name="Picture 528"/>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30" name="Picture 529"/>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31" name="Picture 530"/>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32" name="Picture 531"/>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33" name="Picture 532"/>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34" name="Picture 533"/>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10</xdr:row>
      <xdr:rowOff>0</xdr:rowOff>
    </xdr:from>
    <xdr:to>
      <xdr:col>10</xdr:col>
      <xdr:colOff>689610</xdr:colOff>
      <xdr:row>10</xdr:row>
      <xdr:rowOff>3810</xdr:rowOff>
    </xdr:to>
    <xdr:pic>
      <xdr:nvPicPr>
        <xdr:cNvPr id="535" name="Picture 534"/>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36" name="Picture 535"/>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37" name="Picture 536"/>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38" name="Picture 537"/>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39" name="Picture 538"/>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40" name="Picture 539"/>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41" name="Picture 540"/>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42" name="Picture 541"/>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43" name="Picture 542"/>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44" name="Picture 543"/>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45" name="Picture 544"/>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46" name="Picture 545"/>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47" name="Picture 546"/>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48" name="Picture 547"/>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49" name="Picture 548"/>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50" name="Picture 549"/>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51" name="Picture 550"/>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52" name="Picture 551"/>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53" name="Picture 552"/>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54" name="Picture 553"/>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55" name="Picture 554"/>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56" name="Picture 555"/>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57" name="Picture 556"/>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58" name="Picture 557"/>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59" name="Picture 558"/>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60" name="Picture 559"/>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61" name="Picture 560"/>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62" name="Picture 561"/>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63" name="Picture 562"/>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64" name="Picture 563"/>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65" name="Picture 564"/>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66" name="Picture 565"/>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67" name="Picture 566"/>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68" name="Picture 567"/>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69" name="Picture 568"/>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70" name="Picture 569"/>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71" name="Picture 570"/>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72" name="Picture 571"/>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73" name="Picture 572"/>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74" name="Picture 573"/>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75" name="Picture 574"/>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76" name="Picture 575"/>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77" name="Picture 576"/>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78" name="Picture 577"/>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79" name="Picture 578"/>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80" name="Picture 579"/>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81" name="Picture 580"/>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82" name="Picture 581"/>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583" name="Picture 582"/>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584" name="Picture 583"/>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585" name="Picture 584"/>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586" name="Picture 585"/>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587" name="Picture 586"/>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588" name="Picture 587"/>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589" name="Picture 588"/>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590" name="Picture 589"/>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591" name="Picture 590"/>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592" name="Picture 591"/>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593" name="Picture 592"/>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594" name="Picture 593"/>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595" name="Picture 594"/>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596" name="Picture 595"/>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597" name="Picture 596"/>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598" name="Picture 597"/>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599" name="Picture 598"/>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00" name="Picture 599"/>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01" name="Picture 600"/>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02" name="Picture 601"/>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03" name="Picture 602"/>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04" name="Picture 603"/>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05" name="Picture 604"/>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06" name="Picture 605"/>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07" name="Picture 606"/>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08" name="Picture 607"/>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09" name="Picture 608"/>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10" name="Picture 609"/>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11" name="Picture 610"/>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12" name="Picture 611"/>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13" name="Picture 612"/>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14" name="Picture 613"/>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15" name="Picture 614"/>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16" name="Picture 615"/>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17" name="Picture 616"/>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18" name="Picture 617"/>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19" name="Picture 618"/>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20" name="Picture 619"/>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21" name="Picture 620"/>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22" name="Picture 621"/>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23" name="Picture 622"/>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24" name="Picture 623"/>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25" name="Picture 624"/>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26" name="Picture 625"/>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27" name="Picture 626"/>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28" name="Picture 627"/>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29" name="Picture 628"/>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30" name="Picture 629"/>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31" name="Picture 630"/>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32" name="Picture 631"/>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33" name="Picture 632"/>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34" name="Picture 633"/>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35" name="Picture 634"/>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36" name="Picture 635"/>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37" name="Picture 636"/>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38" name="Picture 637"/>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39" name="Picture 638"/>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40" name="Picture 639"/>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41" name="Picture 640"/>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42" name="Picture 641"/>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43" name="Picture 642"/>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44" name="Picture 643"/>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45" name="Picture 644"/>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46" name="Picture 645"/>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47" name="Picture 646"/>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48" name="Picture 647"/>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49" name="Picture 648"/>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50" name="Picture 649"/>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51" name="Picture 650"/>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52" name="Picture 651"/>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53" name="Picture 652"/>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54" name="Picture 653"/>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6</xdr:row>
      <xdr:rowOff>0</xdr:rowOff>
    </xdr:from>
    <xdr:to>
      <xdr:col>10</xdr:col>
      <xdr:colOff>689610</xdr:colOff>
      <xdr:row>6</xdr:row>
      <xdr:rowOff>3810</xdr:rowOff>
    </xdr:to>
    <xdr:pic>
      <xdr:nvPicPr>
        <xdr:cNvPr id="655" name="Picture 654"/>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56" name="Picture 655"/>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57" name="Picture 656"/>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58" name="Picture 657"/>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59" name="Picture 658"/>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60" name="Picture 659"/>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61" name="Picture 660"/>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62" name="Picture 661"/>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63" name="Picture 662"/>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64" name="Picture 663"/>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65" name="Picture 664"/>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66" name="Picture 665"/>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67" name="Picture 666"/>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68" name="Picture 667"/>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69" name="Picture 668"/>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70" name="Picture 669"/>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71" name="Picture 670"/>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72" name="Picture 671"/>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73" name="Picture 672"/>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74" name="Picture 673"/>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75" name="Picture 674"/>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76" name="Picture 675"/>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77" name="Picture 676"/>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78" name="Picture 677"/>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79" name="Picture 678"/>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80" name="Picture 679"/>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81" name="Picture 680"/>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82" name="Picture 681"/>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83" name="Picture 682"/>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84" name="Picture 683"/>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85" name="Picture 684"/>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86" name="Picture 685"/>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87" name="Picture 686"/>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88" name="Picture 687"/>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89" name="Picture 688"/>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90" name="Picture 689"/>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91" name="Picture 690"/>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92" name="Picture 691"/>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93" name="Picture 692"/>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94" name="Picture 693"/>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95" name="Picture 694"/>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96" name="Picture 695"/>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97" name="Picture 696"/>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98" name="Picture 697"/>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699" name="Picture 698"/>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00" name="Picture 699"/>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01" name="Picture 700"/>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02" name="Picture 701"/>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03" name="Picture 702"/>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04" name="Picture 703"/>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05" name="Picture 704"/>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06" name="Picture 705"/>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07" name="Picture 706"/>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08" name="Picture 707"/>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09" name="Picture 708"/>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10" name="Picture 709"/>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11" name="Picture 710"/>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12" name="Picture 711"/>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13" name="Picture 712"/>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14" name="Picture 713"/>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15" name="Picture 714"/>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16" name="Picture 715"/>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17" name="Picture 716"/>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18" name="Picture 717"/>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19" name="Picture 718"/>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20" name="Picture 719"/>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21" name="Picture 720"/>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22" name="Picture 721"/>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23" name="Picture 722"/>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24" name="Picture 723"/>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25" name="Picture 724"/>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26" name="Picture 725"/>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8</xdr:row>
      <xdr:rowOff>0</xdr:rowOff>
    </xdr:from>
    <xdr:to>
      <xdr:col>10</xdr:col>
      <xdr:colOff>689610</xdr:colOff>
      <xdr:row>8</xdr:row>
      <xdr:rowOff>3810</xdr:rowOff>
    </xdr:to>
    <xdr:pic>
      <xdr:nvPicPr>
        <xdr:cNvPr id="727" name="Picture 726"/>
        <xdr:cNvPicPr/>
      </xdr:nvPicPr>
      <xdr:blipFill>
        <a:blip xmlns:r="http://schemas.openxmlformats.org/officeDocument/2006/relationships" r:embed="rId1" cstate="print"/>
        <a:srcRect/>
        <a:stretch>
          <a:fillRect/>
        </a:stretch>
      </xdr:blipFill>
      <xdr:spPr bwMode="auto">
        <a:xfrm>
          <a:off x="14616562" y="6802288"/>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728" name="Picture 727"/>
        <xdr:cNvPicPr/>
      </xdr:nvPicPr>
      <xdr:blipFill>
        <a:blip xmlns:r="http://schemas.openxmlformats.org/officeDocument/2006/relationships" r:embed="rId1" cstate="print"/>
        <a:srcRect/>
        <a:stretch>
          <a:fillRect/>
        </a:stretch>
      </xdr:blipFill>
      <xdr:spPr bwMode="auto">
        <a:xfrm>
          <a:off x="14616562" y="8320896"/>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729" name="Picture 728"/>
        <xdr:cNvPicPr/>
      </xdr:nvPicPr>
      <xdr:blipFill>
        <a:blip xmlns:r="http://schemas.openxmlformats.org/officeDocument/2006/relationships" r:embed="rId1" cstate="print"/>
        <a:srcRect/>
        <a:stretch>
          <a:fillRect/>
        </a:stretch>
      </xdr:blipFill>
      <xdr:spPr bwMode="auto">
        <a:xfrm>
          <a:off x="14616562" y="8320896"/>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730" name="Picture 729"/>
        <xdr:cNvPicPr/>
      </xdr:nvPicPr>
      <xdr:blipFill>
        <a:blip xmlns:r="http://schemas.openxmlformats.org/officeDocument/2006/relationships" r:embed="rId1" cstate="print"/>
        <a:srcRect/>
        <a:stretch>
          <a:fillRect/>
        </a:stretch>
      </xdr:blipFill>
      <xdr:spPr bwMode="auto">
        <a:xfrm>
          <a:off x="14616562" y="8320896"/>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731" name="Picture 730"/>
        <xdr:cNvPicPr/>
      </xdr:nvPicPr>
      <xdr:blipFill>
        <a:blip xmlns:r="http://schemas.openxmlformats.org/officeDocument/2006/relationships" r:embed="rId1" cstate="print"/>
        <a:srcRect/>
        <a:stretch>
          <a:fillRect/>
        </a:stretch>
      </xdr:blipFill>
      <xdr:spPr bwMode="auto">
        <a:xfrm>
          <a:off x="14616562" y="8320896"/>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732" name="Picture 731"/>
        <xdr:cNvPicPr/>
      </xdr:nvPicPr>
      <xdr:blipFill>
        <a:blip xmlns:r="http://schemas.openxmlformats.org/officeDocument/2006/relationships" r:embed="rId1" cstate="print"/>
        <a:srcRect/>
        <a:stretch>
          <a:fillRect/>
        </a:stretch>
      </xdr:blipFill>
      <xdr:spPr bwMode="auto">
        <a:xfrm>
          <a:off x="14616562" y="8320896"/>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733" name="Picture 732"/>
        <xdr:cNvPicPr/>
      </xdr:nvPicPr>
      <xdr:blipFill>
        <a:blip xmlns:r="http://schemas.openxmlformats.org/officeDocument/2006/relationships" r:embed="rId1" cstate="print"/>
        <a:srcRect/>
        <a:stretch>
          <a:fillRect/>
        </a:stretch>
      </xdr:blipFill>
      <xdr:spPr bwMode="auto">
        <a:xfrm>
          <a:off x="14616562" y="8320896"/>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734" name="Picture 733"/>
        <xdr:cNvPicPr/>
      </xdr:nvPicPr>
      <xdr:blipFill>
        <a:blip xmlns:r="http://schemas.openxmlformats.org/officeDocument/2006/relationships" r:embed="rId1" cstate="print"/>
        <a:srcRect/>
        <a:stretch>
          <a:fillRect/>
        </a:stretch>
      </xdr:blipFill>
      <xdr:spPr bwMode="auto">
        <a:xfrm>
          <a:off x="14616562" y="8320896"/>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735" name="Picture 734"/>
        <xdr:cNvPicPr/>
      </xdr:nvPicPr>
      <xdr:blipFill>
        <a:blip xmlns:r="http://schemas.openxmlformats.org/officeDocument/2006/relationships" r:embed="rId1" cstate="print"/>
        <a:srcRect/>
        <a:stretch>
          <a:fillRect/>
        </a:stretch>
      </xdr:blipFill>
      <xdr:spPr bwMode="auto">
        <a:xfrm>
          <a:off x="14616562" y="8320896"/>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736" name="Picture 735"/>
        <xdr:cNvPicPr/>
      </xdr:nvPicPr>
      <xdr:blipFill>
        <a:blip xmlns:r="http://schemas.openxmlformats.org/officeDocument/2006/relationships" r:embed="rId1" cstate="print"/>
        <a:srcRect/>
        <a:stretch>
          <a:fillRect/>
        </a:stretch>
      </xdr:blipFill>
      <xdr:spPr bwMode="auto">
        <a:xfrm>
          <a:off x="14616562" y="8320896"/>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737" name="Picture 736"/>
        <xdr:cNvPicPr/>
      </xdr:nvPicPr>
      <xdr:blipFill>
        <a:blip xmlns:r="http://schemas.openxmlformats.org/officeDocument/2006/relationships" r:embed="rId1" cstate="print"/>
        <a:srcRect/>
        <a:stretch>
          <a:fillRect/>
        </a:stretch>
      </xdr:blipFill>
      <xdr:spPr bwMode="auto">
        <a:xfrm>
          <a:off x="14616562" y="8320896"/>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738" name="Picture 737"/>
        <xdr:cNvPicPr/>
      </xdr:nvPicPr>
      <xdr:blipFill>
        <a:blip xmlns:r="http://schemas.openxmlformats.org/officeDocument/2006/relationships" r:embed="rId1" cstate="print"/>
        <a:srcRect/>
        <a:stretch>
          <a:fillRect/>
        </a:stretch>
      </xdr:blipFill>
      <xdr:spPr bwMode="auto">
        <a:xfrm>
          <a:off x="14616562" y="8320896"/>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739" name="Picture 738"/>
        <xdr:cNvPicPr/>
      </xdr:nvPicPr>
      <xdr:blipFill>
        <a:blip xmlns:r="http://schemas.openxmlformats.org/officeDocument/2006/relationships" r:embed="rId1" cstate="print"/>
        <a:srcRect/>
        <a:stretch>
          <a:fillRect/>
        </a:stretch>
      </xdr:blipFill>
      <xdr:spPr bwMode="auto">
        <a:xfrm>
          <a:off x="14616562" y="8320896"/>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740" name="Picture 739"/>
        <xdr:cNvPicPr/>
      </xdr:nvPicPr>
      <xdr:blipFill>
        <a:blip xmlns:r="http://schemas.openxmlformats.org/officeDocument/2006/relationships" r:embed="rId1" cstate="print"/>
        <a:srcRect/>
        <a:stretch>
          <a:fillRect/>
        </a:stretch>
      </xdr:blipFill>
      <xdr:spPr bwMode="auto">
        <a:xfrm>
          <a:off x="14616562" y="8320896"/>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741" name="Picture 740"/>
        <xdr:cNvPicPr/>
      </xdr:nvPicPr>
      <xdr:blipFill>
        <a:blip xmlns:r="http://schemas.openxmlformats.org/officeDocument/2006/relationships" r:embed="rId1" cstate="print"/>
        <a:srcRect/>
        <a:stretch>
          <a:fillRect/>
        </a:stretch>
      </xdr:blipFill>
      <xdr:spPr bwMode="auto">
        <a:xfrm>
          <a:off x="14616562" y="8320896"/>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742" name="Picture 741"/>
        <xdr:cNvPicPr/>
      </xdr:nvPicPr>
      <xdr:blipFill>
        <a:blip xmlns:r="http://schemas.openxmlformats.org/officeDocument/2006/relationships" r:embed="rId1" cstate="print"/>
        <a:srcRect/>
        <a:stretch>
          <a:fillRect/>
        </a:stretch>
      </xdr:blipFill>
      <xdr:spPr bwMode="auto">
        <a:xfrm>
          <a:off x="14616562" y="8320896"/>
          <a:ext cx="432435" cy="3810"/>
        </a:xfrm>
        <a:prstGeom prst="rect">
          <a:avLst/>
        </a:prstGeom>
        <a:noFill/>
        <a:ln w="9525">
          <a:noFill/>
          <a:miter lim="800000"/>
          <a:headEnd/>
          <a:tailEnd/>
        </a:ln>
      </xdr:spPr>
    </xdr:pic>
    <xdr:clientData/>
  </xdr:twoCellAnchor>
  <xdr:twoCellAnchor editAs="oneCell">
    <xdr:from>
      <xdr:col>10</xdr:col>
      <xdr:colOff>257175</xdr:colOff>
      <xdr:row>13</xdr:row>
      <xdr:rowOff>0</xdr:rowOff>
    </xdr:from>
    <xdr:to>
      <xdr:col>10</xdr:col>
      <xdr:colOff>689610</xdr:colOff>
      <xdr:row>13</xdr:row>
      <xdr:rowOff>3810</xdr:rowOff>
    </xdr:to>
    <xdr:pic>
      <xdr:nvPicPr>
        <xdr:cNvPr id="743" name="Picture 742"/>
        <xdr:cNvPicPr/>
      </xdr:nvPicPr>
      <xdr:blipFill>
        <a:blip xmlns:r="http://schemas.openxmlformats.org/officeDocument/2006/relationships" r:embed="rId1" cstate="print"/>
        <a:srcRect/>
        <a:stretch>
          <a:fillRect/>
        </a:stretch>
      </xdr:blipFill>
      <xdr:spPr bwMode="auto">
        <a:xfrm>
          <a:off x="14616562" y="8320896"/>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44" name="Picture 743"/>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45" name="Picture 744"/>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46" name="Picture 745"/>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47" name="Picture 746"/>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48" name="Picture 747"/>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49" name="Picture 748"/>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50" name="Picture 749"/>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51" name="Picture 750"/>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52" name="Picture 751"/>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53" name="Picture 752"/>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54" name="Picture 753"/>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55" name="Picture 754"/>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56" name="Picture 755"/>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57" name="Picture 756"/>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58" name="Picture 757"/>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59" name="Picture 758"/>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60" name="Picture 759"/>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61" name="Picture 760"/>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62" name="Picture 761"/>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63" name="Picture 762"/>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64" name="Picture 763"/>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65" name="Picture 764"/>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66" name="Picture 765"/>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67" name="Picture 766"/>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68" name="Picture 767"/>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69" name="Picture 768"/>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70" name="Picture 769"/>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71" name="Picture 770"/>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72" name="Picture 771"/>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73" name="Picture 772"/>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74" name="Picture 773"/>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75" name="Picture 774"/>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76" name="Picture 775"/>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77" name="Picture 776"/>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78" name="Picture 777"/>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79" name="Picture 778"/>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80" name="Picture 779"/>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81" name="Picture 780"/>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82" name="Picture 781"/>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83" name="Picture 782"/>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84" name="Picture 783"/>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85" name="Picture 784"/>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86" name="Picture 785"/>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87" name="Picture 786"/>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88" name="Picture 787"/>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89" name="Picture 788"/>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90" name="Picture 789"/>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91" name="Picture 790"/>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92" name="Picture 791"/>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93" name="Picture 792"/>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94" name="Picture 793"/>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95" name="Picture 794"/>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96" name="Picture 795"/>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97" name="Picture 796"/>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98" name="Picture 797"/>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799" name="Picture 798"/>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00" name="Picture 799"/>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01" name="Picture 800"/>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02" name="Picture 801"/>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03" name="Picture 802"/>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04" name="Picture 803"/>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05" name="Picture 804"/>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06" name="Picture 805"/>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07" name="Picture 806"/>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08" name="Picture 807"/>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09" name="Picture 808"/>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10" name="Picture 809"/>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11" name="Picture 810"/>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12" name="Picture 811"/>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13" name="Picture 812"/>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14" name="Picture 813"/>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15" name="Picture 814"/>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16" name="Picture 815"/>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17" name="Picture 816"/>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18" name="Picture 817"/>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19" name="Picture 818"/>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20" name="Picture 819"/>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21" name="Picture 820"/>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22" name="Picture 821"/>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23" name="Picture 822"/>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24" name="Picture 823"/>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25" name="Picture 824"/>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26" name="Picture 825"/>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27" name="Picture 826"/>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28" name="Picture 827"/>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29" name="Picture 828"/>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30" name="Picture 829"/>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31" name="Picture 830"/>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32" name="Picture 831"/>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33" name="Picture 832"/>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34" name="Picture 833"/>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35" name="Picture 834"/>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36" name="Picture 835"/>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37" name="Picture 836"/>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38" name="Picture 837"/>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15</xdr:row>
      <xdr:rowOff>0</xdr:rowOff>
    </xdr:from>
    <xdr:to>
      <xdr:col>10</xdr:col>
      <xdr:colOff>689610</xdr:colOff>
      <xdr:row>15</xdr:row>
      <xdr:rowOff>3810</xdr:rowOff>
    </xdr:to>
    <xdr:pic>
      <xdr:nvPicPr>
        <xdr:cNvPr id="839" name="Picture 838"/>
        <xdr:cNvPicPr/>
      </xdr:nvPicPr>
      <xdr:blipFill>
        <a:blip xmlns:r="http://schemas.openxmlformats.org/officeDocument/2006/relationships" r:embed="rId1" cstate="print"/>
        <a:srcRect/>
        <a:stretch>
          <a:fillRect/>
        </a:stretch>
      </xdr:blipFill>
      <xdr:spPr bwMode="auto">
        <a:xfrm>
          <a:off x="14616562" y="1518608"/>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40" name="Picture 839"/>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41" name="Picture 840"/>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42" name="Picture 841"/>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43" name="Picture 842"/>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44" name="Picture 843"/>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45" name="Picture 844"/>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46" name="Picture 845"/>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47" name="Picture 846"/>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48" name="Picture 847"/>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49" name="Picture 848"/>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50" name="Picture 849"/>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51" name="Picture 850"/>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52" name="Picture 851"/>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53" name="Picture 852"/>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54" name="Picture 853"/>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55" name="Picture 854"/>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56" name="Picture 855"/>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57" name="Picture 856"/>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58" name="Picture 857"/>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59" name="Picture 858"/>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60" name="Picture 859"/>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61" name="Picture 860"/>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62" name="Picture 861"/>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63" name="Picture 862"/>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64" name="Picture 863"/>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65" name="Picture 864"/>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66" name="Picture 865"/>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67" name="Picture 866"/>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68" name="Picture 867"/>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69" name="Picture 868"/>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70" name="Picture 869"/>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71" name="Picture 870"/>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72" name="Picture 871"/>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73" name="Picture 872"/>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74" name="Picture 873"/>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75" name="Picture 874"/>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76" name="Picture 875"/>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77" name="Picture 876"/>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78" name="Picture 877"/>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79" name="Picture 878"/>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80" name="Picture 879"/>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81" name="Picture 880"/>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82" name="Picture 881"/>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83" name="Picture 882"/>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84" name="Picture 883"/>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85" name="Picture 884"/>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86" name="Picture 885"/>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87" name="Picture 886"/>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88" name="Picture 887"/>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89" name="Picture 888"/>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90" name="Picture 889"/>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91" name="Picture 890"/>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92" name="Picture 891"/>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93" name="Picture 892"/>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94" name="Picture 893"/>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95" name="Picture 894"/>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96" name="Picture 895"/>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97" name="Picture 896"/>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98" name="Picture 897"/>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899" name="Picture 898"/>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900" name="Picture 899"/>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901" name="Picture 900"/>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902" name="Picture 901"/>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903" name="Picture 902"/>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904" name="Picture 903"/>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905" name="Picture 904"/>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906" name="Picture 905"/>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907" name="Picture 906"/>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908" name="Picture 907"/>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909" name="Picture 908"/>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910" name="Picture 909"/>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911" name="Picture 910"/>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912" name="Picture 911"/>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913" name="Picture 912"/>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914" name="Picture 913"/>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915" name="Picture 914"/>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916" name="Picture 915"/>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917" name="Picture 916"/>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918" name="Picture 917"/>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twoCellAnchor editAs="oneCell">
    <xdr:from>
      <xdr:col>10</xdr:col>
      <xdr:colOff>257175</xdr:colOff>
      <xdr:row>17</xdr:row>
      <xdr:rowOff>0</xdr:rowOff>
    </xdr:from>
    <xdr:to>
      <xdr:col>10</xdr:col>
      <xdr:colOff>689610</xdr:colOff>
      <xdr:row>17</xdr:row>
      <xdr:rowOff>3810</xdr:rowOff>
    </xdr:to>
    <xdr:pic>
      <xdr:nvPicPr>
        <xdr:cNvPr id="919" name="Picture 918"/>
        <xdr:cNvPicPr/>
      </xdr:nvPicPr>
      <xdr:blipFill>
        <a:blip xmlns:r="http://schemas.openxmlformats.org/officeDocument/2006/relationships" r:embed="rId1" cstate="print"/>
        <a:srcRect/>
        <a:stretch>
          <a:fillRect/>
        </a:stretch>
      </xdr:blipFill>
      <xdr:spPr bwMode="auto">
        <a:xfrm>
          <a:off x="14616562" y="13128325"/>
          <a:ext cx="432435" cy="381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heme1">
  <a:themeElements>
    <a:clrScheme name="Standard Chartered Template">
      <a:dk1>
        <a:srgbClr val="005C84"/>
      </a:dk1>
      <a:lt1>
        <a:sysClr val="window" lastClr="FFFFFF"/>
      </a:lt1>
      <a:dk2>
        <a:srgbClr val="000F46"/>
      </a:dk2>
      <a:lt2>
        <a:srgbClr val="E6E7E8"/>
      </a:lt2>
      <a:accent1>
        <a:srgbClr val="0075B0"/>
      </a:accent1>
      <a:accent2>
        <a:srgbClr val="009FDA"/>
      </a:accent2>
      <a:accent3>
        <a:srgbClr val="3F9C35"/>
      </a:accent3>
      <a:accent4>
        <a:srgbClr val="69BE28"/>
      </a:accent4>
      <a:accent5>
        <a:srgbClr val="6D6E71"/>
      </a:accent5>
      <a:accent6>
        <a:srgbClr val="939598"/>
      </a:accent6>
      <a:hlink>
        <a:srgbClr val="6D6E71"/>
      </a:hlink>
      <a:folHlink>
        <a:srgbClr val="2890C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StandardChartered_GlobalTemplate" id="{8AA814C4-A578-42A8-85A9-298523698715}" vid="{F837474E-8CD5-4CDA-B6A2-5B081F46A0D7}"/>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election activeCell="A26" sqref="A26"/>
    </sheetView>
  </sheetViews>
  <sheetFormatPr defaultRowHeight="15"/>
  <cols>
    <col min="1" max="1" width="15.5" style="31" bestFit="1" customWidth="1"/>
    <col min="2" max="2" width="18.5" style="31" bestFit="1" customWidth="1"/>
    <col min="3" max="3" width="17.625" style="29" bestFit="1" customWidth="1"/>
    <col min="4" max="4" width="104.25" style="30" bestFit="1" customWidth="1"/>
    <col min="5" max="257" width="9" style="31"/>
    <col min="258" max="258" width="18.75" style="31" bestFit="1" customWidth="1"/>
    <col min="259" max="259" width="34.5" style="31" customWidth="1"/>
    <col min="260" max="260" width="34.875" style="31" customWidth="1"/>
    <col min="261" max="513" width="9" style="31"/>
    <col min="514" max="514" width="18.75" style="31" bestFit="1" customWidth="1"/>
    <col min="515" max="515" width="34.5" style="31" customWidth="1"/>
    <col min="516" max="516" width="34.875" style="31" customWidth="1"/>
    <col min="517" max="769" width="9" style="31"/>
    <col min="770" max="770" width="18.75" style="31" bestFit="1" customWidth="1"/>
    <col min="771" max="771" width="34.5" style="31" customWidth="1"/>
    <col min="772" max="772" width="34.875" style="31" customWidth="1"/>
    <col min="773" max="1025" width="9" style="31"/>
    <col min="1026" max="1026" width="18.75" style="31" bestFit="1" customWidth="1"/>
    <col min="1027" max="1027" width="34.5" style="31" customWidth="1"/>
    <col min="1028" max="1028" width="34.875" style="31" customWidth="1"/>
    <col min="1029" max="1281" width="9" style="31"/>
    <col min="1282" max="1282" width="18.75" style="31" bestFit="1" customWidth="1"/>
    <col min="1283" max="1283" width="34.5" style="31" customWidth="1"/>
    <col min="1284" max="1284" width="34.875" style="31" customWidth="1"/>
    <col min="1285" max="1537" width="9" style="31"/>
    <col min="1538" max="1538" width="18.75" style="31" bestFit="1" customWidth="1"/>
    <col min="1539" max="1539" width="34.5" style="31" customWidth="1"/>
    <col min="1540" max="1540" width="34.875" style="31" customWidth="1"/>
    <col min="1541" max="1793" width="9" style="31"/>
    <col min="1794" max="1794" width="18.75" style="31" bestFit="1" customWidth="1"/>
    <col min="1795" max="1795" width="34.5" style="31" customWidth="1"/>
    <col min="1796" max="1796" width="34.875" style="31" customWidth="1"/>
    <col min="1797" max="2049" width="9" style="31"/>
    <col min="2050" max="2050" width="18.75" style="31" bestFit="1" customWidth="1"/>
    <col min="2051" max="2051" width="34.5" style="31" customWidth="1"/>
    <col min="2052" max="2052" width="34.875" style="31" customWidth="1"/>
    <col min="2053" max="2305" width="9" style="31"/>
    <col min="2306" max="2306" width="18.75" style="31" bestFit="1" customWidth="1"/>
    <col min="2307" max="2307" width="34.5" style="31" customWidth="1"/>
    <col min="2308" max="2308" width="34.875" style="31" customWidth="1"/>
    <col min="2309" max="2561" width="9" style="31"/>
    <col min="2562" max="2562" width="18.75" style="31" bestFit="1" customWidth="1"/>
    <col min="2563" max="2563" width="34.5" style="31" customWidth="1"/>
    <col min="2564" max="2564" width="34.875" style="31" customWidth="1"/>
    <col min="2565" max="2817" width="9" style="31"/>
    <col min="2818" max="2818" width="18.75" style="31" bestFit="1" customWidth="1"/>
    <col min="2819" max="2819" width="34.5" style="31" customWidth="1"/>
    <col min="2820" max="2820" width="34.875" style="31" customWidth="1"/>
    <col min="2821" max="3073" width="9" style="31"/>
    <col min="3074" max="3074" width="18.75" style="31" bestFit="1" customWidth="1"/>
    <col min="3075" max="3075" width="34.5" style="31" customWidth="1"/>
    <col min="3076" max="3076" width="34.875" style="31" customWidth="1"/>
    <col min="3077" max="3329" width="9" style="31"/>
    <col min="3330" max="3330" width="18.75" style="31" bestFit="1" customWidth="1"/>
    <col min="3331" max="3331" width="34.5" style="31" customWidth="1"/>
    <col min="3332" max="3332" width="34.875" style="31" customWidth="1"/>
    <col min="3333" max="3585" width="9" style="31"/>
    <col min="3586" max="3586" width="18.75" style="31" bestFit="1" customWidth="1"/>
    <col min="3587" max="3587" width="34.5" style="31" customWidth="1"/>
    <col min="3588" max="3588" width="34.875" style="31" customWidth="1"/>
    <col min="3589" max="3841" width="9" style="31"/>
    <col min="3842" max="3842" width="18.75" style="31" bestFit="1" customWidth="1"/>
    <col min="3843" max="3843" width="34.5" style="31" customWidth="1"/>
    <col min="3844" max="3844" width="34.875" style="31" customWidth="1"/>
    <col min="3845" max="4097" width="9" style="31"/>
    <col min="4098" max="4098" width="18.75" style="31" bestFit="1" customWidth="1"/>
    <col min="4099" max="4099" width="34.5" style="31" customWidth="1"/>
    <col min="4100" max="4100" width="34.875" style="31" customWidth="1"/>
    <col min="4101" max="4353" width="9" style="31"/>
    <col min="4354" max="4354" width="18.75" style="31" bestFit="1" customWidth="1"/>
    <col min="4355" max="4355" width="34.5" style="31" customWidth="1"/>
    <col min="4356" max="4356" width="34.875" style="31" customWidth="1"/>
    <col min="4357" max="4609" width="9" style="31"/>
    <col min="4610" max="4610" width="18.75" style="31" bestFit="1" customWidth="1"/>
    <col min="4611" max="4611" width="34.5" style="31" customWidth="1"/>
    <col min="4612" max="4612" width="34.875" style="31" customWidth="1"/>
    <col min="4613" max="4865" width="9" style="31"/>
    <col min="4866" max="4866" width="18.75" style="31" bestFit="1" customWidth="1"/>
    <col min="4867" max="4867" width="34.5" style="31" customWidth="1"/>
    <col min="4868" max="4868" width="34.875" style="31" customWidth="1"/>
    <col min="4869" max="5121" width="9" style="31"/>
    <col min="5122" max="5122" width="18.75" style="31" bestFit="1" customWidth="1"/>
    <col min="5123" max="5123" width="34.5" style="31" customWidth="1"/>
    <col min="5124" max="5124" width="34.875" style="31" customWidth="1"/>
    <col min="5125" max="5377" width="9" style="31"/>
    <col min="5378" max="5378" width="18.75" style="31" bestFit="1" customWidth="1"/>
    <col min="5379" max="5379" width="34.5" style="31" customWidth="1"/>
    <col min="5380" max="5380" width="34.875" style="31" customWidth="1"/>
    <col min="5381" max="5633" width="9" style="31"/>
    <col min="5634" max="5634" width="18.75" style="31" bestFit="1" customWidth="1"/>
    <col min="5635" max="5635" width="34.5" style="31" customWidth="1"/>
    <col min="5636" max="5636" width="34.875" style="31" customWidth="1"/>
    <col min="5637" max="5889" width="9" style="31"/>
    <col min="5890" max="5890" width="18.75" style="31" bestFit="1" customWidth="1"/>
    <col min="5891" max="5891" width="34.5" style="31" customWidth="1"/>
    <col min="5892" max="5892" width="34.875" style="31" customWidth="1"/>
    <col min="5893" max="6145" width="9" style="31"/>
    <col min="6146" max="6146" width="18.75" style="31" bestFit="1" customWidth="1"/>
    <col min="6147" max="6147" width="34.5" style="31" customWidth="1"/>
    <col min="6148" max="6148" width="34.875" style="31" customWidth="1"/>
    <col min="6149" max="6401" width="9" style="31"/>
    <col min="6402" max="6402" width="18.75" style="31" bestFit="1" customWidth="1"/>
    <col min="6403" max="6403" width="34.5" style="31" customWidth="1"/>
    <col min="6404" max="6404" width="34.875" style="31" customWidth="1"/>
    <col min="6405" max="6657" width="9" style="31"/>
    <col min="6658" max="6658" width="18.75" style="31" bestFit="1" customWidth="1"/>
    <col min="6659" max="6659" width="34.5" style="31" customWidth="1"/>
    <col min="6660" max="6660" width="34.875" style="31" customWidth="1"/>
    <col min="6661" max="6913" width="9" style="31"/>
    <col min="6914" max="6914" width="18.75" style="31" bestFit="1" customWidth="1"/>
    <col min="6915" max="6915" width="34.5" style="31" customWidth="1"/>
    <col min="6916" max="6916" width="34.875" style="31" customWidth="1"/>
    <col min="6917" max="7169" width="9" style="31"/>
    <col min="7170" max="7170" width="18.75" style="31" bestFit="1" customWidth="1"/>
    <col min="7171" max="7171" width="34.5" style="31" customWidth="1"/>
    <col min="7172" max="7172" width="34.875" style="31" customWidth="1"/>
    <col min="7173" max="7425" width="9" style="31"/>
    <col min="7426" max="7426" width="18.75" style="31" bestFit="1" customWidth="1"/>
    <col min="7427" max="7427" width="34.5" style="31" customWidth="1"/>
    <col min="7428" max="7428" width="34.875" style="31" customWidth="1"/>
    <col min="7429" max="7681" width="9" style="31"/>
    <col min="7682" max="7682" width="18.75" style="31" bestFit="1" customWidth="1"/>
    <col min="7683" max="7683" width="34.5" style="31" customWidth="1"/>
    <col min="7684" max="7684" width="34.875" style="31" customWidth="1"/>
    <col min="7685" max="7937" width="9" style="31"/>
    <col min="7938" max="7938" width="18.75" style="31" bestFit="1" customWidth="1"/>
    <col min="7939" max="7939" width="34.5" style="31" customWidth="1"/>
    <col min="7940" max="7940" width="34.875" style="31" customWidth="1"/>
    <col min="7941" max="8193" width="9" style="31"/>
    <col min="8194" max="8194" width="18.75" style="31" bestFit="1" customWidth="1"/>
    <col min="8195" max="8195" width="34.5" style="31" customWidth="1"/>
    <col min="8196" max="8196" width="34.875" style="31" customWidth="1"/>
    <col min="8197" max="8449" width="9" style="31"/>
    <col min="8450" max="8450" width="18.75" style="31" bestFit="1" customWidth="1"/>
    <col min="8451" max="8451" width="34.5" style="31" customWidth="1"/>
    <col min="8452" max="8452" width="34.875" style="31" customWidth="1"/>
    <col min="8453" max="8705" width="9" style="31"/>
    <col min="8706" max="8706" width="18.75" style="31" bestFit="1" customWidth="1"/>
    <col min="8707" max="8707" width="34.5" style="31" customWidth="1"/>
    <col min="8708" max="8708" width="34.875" style="31" customWidth="1"/>
    <col min="8709" max="8961" width="9" style="31"/>
    <col min="8962" max="8962" width="18.75" style="31" bestFit="1" customWidth="1"/>
    <col min="8963" max="8963" width="34.5" style="31" customWidth="1"/>
    <col min="8964" max="8964" width="34.875" style="31" customWidth="1"/>
    <col min="8965" max="9217" width="9" style="31"/>
    <col min="9218" max="9218" width="18.75" style="31" bestFit="1" customWidth="1"/>
    <col min="9219" max="9219" width="34.5" style="31" customWidth="1"/>
    <col min="9220" max="9220" width="34.875" style="31" customWidth="1"/>
    <col min="9221" max="9473" width="9" style="31"/>
    <col min="9474" max="9474" width="18.75" style="31" bestFit="1" customWidth="1"/>
    <col min="9475" max="9475" width="34.5" style="31" customWidth="1"/>
    <col min="9476" max="9476" width="34.875" style="31" customWidth="1"/>
    <col min="9477" max="9729" width="9" style="31"/>
    <col min="9730" max="9730" width="18.75" style="31" bestFit="1" customWidth="1"/>
    <col min="9731" max="9731" width="34.5" style="31" customWidth="1"/>
    <col min="9732" max="9732" width="34.875" style="31" customWidth="1"/>
    <col min="9733" max="9985" width="9" style="31"/>
    <col min="9986" max="9986" width="18.75" style="31" bestFit="1" customWidth="1"/>
    <col min="9987" max="9987" width="34.5" style="31" customWidth="1"/>
    <col min="9988" max="9988" width="34.875" style="31" customWidth="1"/>
    <col min="9989" max="10241" width="9" style="31"/>
    <col min="10242" max="10242" width="18.75" style="31" bestFit="1" customWidth="1"/>
    <col min="10243" max="10243" width="34.5" style="31" customWidth="1"/>
    <col min="10244" max="10244" width="34.875" style="31" customWidth="1"/>
    <col min="10245" max="10497" width="9" style="31"/>
    <col min="10498" max="10498" width="18.75" style="31" bestFit="1" customWidth="1"/>
    <col min="10499" max="10499" width="34.5" style="31" customWidth="1"/>
    <col min="10500" max="10500" width="34.875" style="31" customWidth="1"/>
    <col min="10501" max="10753" width="9" style="31"/>
    <col min="10754" max="10754" width="18.75" style="31" bestFit="1" customWidth="1"/>
    <col min="10755" max="10755" width="34.5" style="31" customWidth="1"/>
    <col min="10756" max="10756" width="34.875" style="31" customWidth="1"/>
    <col min="10757" max="11009" width="9" style="31"/>
    <col min="11010" max="11010" width="18.75" style="31" bestFit="1" customWidth="1"/>
    <col min="11011" max="11011" width="34.5" style="31" customWidth="1"/>
    <col min="11012" max="11012" width="34.875" style="31" customWidth="1"/>
    <col min="11013" max="11265" width="9" style="31"/>
    <col min="11266" max="11266" width="18.75" style="31" bestFit="1" customWidth="1"/>
    <col min="11267" max="11267" width="34.5" style="31" customWidth="1"/>
    <col min="11268" max="11268" width="34.875" style="31" customWidth="1"/>
    <col min="11269" max="11521" width="9" style="31"/>
    <col min="11522" max="11522" width="18.75" style="31" bestFit="1" customWidth="1"/>
    <col min="11523" max="11523" width="34.5" style="31" customWidth="1"/>
    <col min="11524" max="11524" width="34.875" style="31" customWidth="1"/>
    <col min="11525" max="11777" width="9" style="31"/>
    <col min="11778" max="11778" width="18.75" style="31" bestFit="1" customWidth="1"/>
    <col min="11779" max="11779" width="34.5" style="31" customWidth="1"/>
    <col min="11780" max="11780" width="34.875" style="31" customWidth="1"/>
    <col min="11781" max="12033" width="9" style="31"/>
    <col min="12034" max="12034" width="18.75" style="31" bestFit="1" customWidth="1"/>
    <col min="12035" max="12035" width="34.5" style="31" customWidth="1"/>
    <col min="12036" max="12036" width="34.875" style="31" customWidth="1"/>
    <col min="12037" max="12289" width="9" style="31"/>
    <col min="12290" max="12290" width="18.75" style="31" bestFit="1" customWidth="1"/>
    <col min="12291" max="12291" width="34.5" style="31" customWidth="1"/>
    <col min="12292" max="12292" width="34.875" style="31" customWidth="1"/>
    <col min="12293" max="12545" width="9" style="31"/>
    <col min="12546" max="12546" width="18.75" style="31" bestFit="1" customWidth="1"/>
    <col min="12547" max="12547" width="34.5" style="31" customWidth="1"/>
    <col min="12548" max="12548" width="34.875" style="31" customWidth="1"/>
    <col min="12549" max="12801" width="9" style="31"/>
    <col min="12802" max="12802" width="18.75" style="31" bestFit="1" customWidth="1"/>
    <col min="12803" max="12803" width="34.5" style="31" customWidth="1"/>
    <col min="12804" max="12804" width="34.875" style="31" customWidth="1"/>
    <col min="12805" max="13057" width="9" style="31"/>
    <col min="13058" max="13058" width="18.75" style="31" bestFit="1" customWidth="1"/>
    <col min="13059" max="13059" width="34.5" style="31" customWidth="1"/>
    <col min="13060" max="13060" width="34.875" style="31" customWidth="1"/>
    <col min="13061" max="13313" width="9" style="31"/>
    <col min="13314" max="13314" width="18.75" style="31" bestFit="1" customWidth="1"/>
    <col min="13315" max="13315" width="34.5" style="31" customWidth="1"/>
    <col min="13316" max="13316" width="34.875" style="31" customWidth="1"/>
    <col min="13317" max="13569" width="9" style="31"/>
    <col min="13570" max="13570" width="18.75" style="31" bestFit="1" customWidth="1"/>
    <col min="13571" max="13571" width="34.5" style="31" customWidth="1"/>
    <col min="13572" max="13572" width="34.875" style="31" customWidth="1"/>
    <col min="13573" max="13825" width="9" style="31"/>
    <col min="13826" max="13826" width="18.75" style="31" bestFit="1" customWidth="1"/>
    <col min="13827" max="13827" width="34.5" style="31" customWidth="1"/>
    <col min="13828" max="13828" width="34.875" style="31" customWidth="1"/>
    <col min="13829" max="14081" width="9" style="31"/>
    <col min="14082" max="14082" width="18.75" style="31" bestFit="1" customWidth="1"/>
    <col min="14083" max="14083" width="34.5" style="31" customWidth="1"/>
    <col min="14084" max="14084" width="34.875" style="31" customWidth="1"/>
    <col min="14085" max="14337" width="9" style="31"/>
    <col min="14338" max="14338" width="18.75" style="31" bestFit="1" customWidth="1"/>
    <col min="14339" max="14339" width="34.5" style="31" customWidth="1"/>
    <col min="14340" max="14340" width="34.875" style="31" customWidth="1"/>
    <col min="14341" max="14593" width="9" style="31"/>
    <col min="14594" max="14594" width="18.75" style="31" bestFit="1" customWidth="1"/>
    <col min="14595" max="14595" width="34.5" style="31" customWidth="1"/>
    <col min="14596" max="14596" width="34.875" style="31" customWidth="1"/>
    <col min="14597" max="14849" width="9" style="31"/>
    <col min="14850" max="14850" width="18.75" style="31" bestFit="1" customWidth="1"/>
    <col min="14851" max="14851" width="34.5" style="31" customWidth="1"/>
    <col min="14852" max="14852" width="34.875" style="31" customWidth="1"/>
    <col min="14853" max="15105" width="9" style="31"/>
    <col min="15106" max="15106" width="18.75" style="31" bestFit="1" customWidth="1"/>
    <col min="15107" max="15107" width="34.5" style="31" customWidth="1"/>
    <col min="15108" max="15108" width="34.875" style="31" customWidth="1"/>
    <col min="15109" max="15361" width="9" style="31"/>
    <col min="15362" max="15362" width="18.75" style="31" bestFit="1" customWidth="1"/>
    <col min="15363" max="15363" width="34.5" style="31" customWidth="1"/>
    <col min="15364" max="15364" width="34.875" style="31" customWidth="1"/>
    <col min="15365" max="15617" width="9" style="31"/>
    <col min="15618" max="15618" width="18.75" style="31" bestFit="1" customWidth="1"/>
    <col min="15619" max="15619" width="34.5" style="31" customWidth="1"/>
    <col min="15620" max="15620" width="34.875" style="31" customWidth="1"/>
    <col min="15621" max="15873" width="9" style="31"/>
    <col min="15874" max="15874" width="18.75" style="31" bestFit="1" customWidth="1"/>
    <col min="15875" max="15875" width="34.5" style="31" customWidth="1"/>
    <col min="15876" max="15876" width="34.875" style="31" customWidth="1"/>
    <col min="15877" max="16129" width="9" style="31"/>
    <col min="16130" max="16130" width="18.75" style="31" bestFit="1" customWidth="1"/>
    <col min="16131" max="16131" width="34.5" style="31" customWidth="1"/>
    <col min="16132" max="16132" width="34.875" style="31" customWidth="1"/>
    <col min="16133" max="16384" width="9" style="31"/>
  </cols>
  <sheetData>
    <row r="1" spans="1:4">
      <c r="A1" s="27" t="s">
        <v>0</v>
      </c>
      <c r="B1" s="28" t="s">
        <v>250</v>
      </c>
    </row>
    <row r="2" spans="1:4">
      <c r="A2" s="27" t="s">
        <v>1</v>
      </c>
      <c r="B2" s="28" t="s">
        <v>253</v>
      </c>
    </row>
    <row r="3" spans="1:4">
      <c r="A3" s="27" t="s">
        <v>2</v>
      </c>
      <c r="B3" s="28" t="s">
        <v>3</v>
      </c>
    </row>
    <row r="4" spans="1:4">
      <c r="A4" s="27" t="s">
        <v>4</v>
      </c>
      <c r="B4" s="28" t="s">
        <v>249</v>
      </c>
    </row>
    <row r="5" spans="1:4">
      <c r="A5" s="27" t="s">
        <v>5</v>
      </c>
      <c r="B5" s="37">
        <v>42795</v>
      </c>
    </row>
    <row r="6" spans="1:4">
      <c r="A6" s="27" t="s">
        <v>6</v>
      </c>
      <c r="B6" s="37">
        <v>42795</v>
      </c>
    </row>
    <row r="7" spans="1:4">
      <c r="A7" s="27" t="s">
        <v>7</v>
      </c>
      <c r="B7" s="37">
        <v>42795</v>
      </c>
    </row>
    <row r="9" spans="1:4">
      <c r="A9" s="27" t="s">
        <v>8</v>
      </c>
    </row>
    <row r="10" spans="1:4">
      <c r="B10" s="32"/>
    </row>
    <row r="11" spans="1:4">
      <c r="A11" s="27" t="s">
        <v>227</v>
      </c>
      <c r="D11" s="38" t="s">
        <v>251</v>
      </c>
    </row>
    <row r="13" spans="1:4">
      <c r="B13" s="86" t="s">
        <v>166</v>
      </c>
      <c r="C13" s="28" t="s">
        <v>43</v>
      </c>
      <c r="D13" s="33" t="s">
        <v>221</v>
      </c>
    </row>
    <row r="14" spans="1:4">
      <c r="B14" s="86"/>
      <c r="C14" s="28" t="s">
        <v>31</v>
      </c>
      <c r="D14" s="33" t="s">
        <v>222</v>
      </c>
    </row>
    <row r="15" spans="1:4">
      <c r="B15" s="86"/>
      <c r="C15" s="28" t="s">
        <v>34</v>
      </c>
      <c r="D15" s="33" t="s">
        <v>223</v>
      </c>
    </row>
    <row r="16" spans="1:4">
      <c r="B16" s="86"/>
      <c r="C16" s="28" t="s">
        <v>28</v>
      </c>
      <c r="D16" s="33" t="s">
        <v>224</v>
      </c>
    </row>
    <row r="17" spans="2:4">
      <c r="B17" s="86"/>
      <c r="C17" s="28" t="s">
        <v>37</v>
      </c>
      <c r="D17" s="33" t="s">
        <v>225</v>
      </c>
    </row>
    <row r="18" spans="2:4">
      <c r="D18" s="33"/>
    </row>
    <row r="19" spans="2:4">
      <c r="B19" s="86" t="s">
        <v>169</v>
      </c>
      <c r="C19" s="28" t="s">
        <v>170</v>
      </c>
      <c r="D19" s="33" t="s">
        <v>228</v>
      </c>
    </row>
    <row r="20" spans="2:4">
      <c r="B20" s="86"/>
      <c r="C20" s="28" t="s">
        <v>171</v>
      </c>
      <c r="D20" s="33" t="s">
        <v>229</v>
      </c>
    </row>
    <row r="21" spans="2:4">
      <c r="B21" s="86"/>
      <c r="C21" s="28" t="s">
        <v>172</v>
      </c>
      <c r="D21" s="33" t="s">
        <v>230</v>
      </c>
    </row>
    <row r="22" spans="2:4">
      <c r="D22" s="33"/>
    </row>
    <row r="23" spans="2:4">
      <c r="B23" s="86" t="s">
        <v>10</v>
      </c>
      <c r="C23" s="28" t="s">
        <v>168</v>
      </c>
      <c r="D23" s="33" t="s">
        <v>231</v>
      </c>
    </row>
    <row r="24" spans="2:4">
      <c r="B24" s="86"/>
      <c r="C24" s="28" t="s">
        <v>173</v>
      </c>
      <c r="D24" s="33" t="s">
        <v>232</v>
      </c>
    </row>
    <row r="25" spans="2:4">
      <c r="B25" s="86"/>
      <c r="C25" s="34" t="s">
        <v>175</v>
      </c>
      <c r="D25" s="35" t="s">
        <v>233</v>
      </c>
    </row>
    <row r="26" spans="2:4">
      <c r="B26" s="86"/>
      <c r="C26" s="28" t="s">
        <v>15</v>
      </c>
      <c r="D26" s="33" t="s">
        <v>234</v>
      </c>
    </row>
    <row r="27" spans="2:4">
      <c r="B27" s="86"/>
      <c r="C27" s="34" t="s">
        <v>17</v>
      </c>
      <c r="D27" s="35" t="s">
        <v>235</v>
      </c>
    </row>
    <row r="28" spans="2:4">
      <c r="B28" s="86"/>
      <c r="C28" s="28" t="s">
        <v>174</v>
      </c>
      <c r="D28" s="33" t="s">
        <v>236</v>
      </c>
    </row>
    <row r="29" spans="2:4">
      <c r="B29" s="86"/>
      <c r="C29" s="36" t="s">
        <v>176</v>
      </c>
      <c r="D29" s="35" t="s">
        <v>237</v>
      </c>
    </row>
    <row r="30" spans="2:4">
      <c r="B30" s="86"/>
      <c r="C30" s="28" t="s">
        <v>148</v>
      </c>
      <c r="D30" s="33" t="s">
        <v>238</v>
      </c>
    </row>
    <row r="31" spans="2:4">
      <c r="B31" s="86"/>
      <c r="C31" s="28" t="s">
        <v>239</v>
      </c>
      <c r="D31" s="33" t="s">
        <v>240</v>
      </c>
    </row>
    <row r="32" spans="2:4">
      <c r="B32" s="86"/>
      <c r="C32" s="28" t="s">
        <v>241</v>
      </c>
      <c r="D32" s="33" t="s">
        <v>242</v>
      </c>
    </row>
    <row r="34" spans="1:4">
      <c r="A34" s="27" t="s">
        <v>226</v>
      </c>
    </row>
    <row r="36" spans="1:4">
      <c r="B36" s="87" t="s">
        <v>10</v>
      </c>
      <c r="C36" s="28" t="s">
        <v>11</v>
      </c>
      <c r="D36" s="33" t="s">
        <v>12</v>
      </c>
    </row>
    <row r="37" spans="1:4">
      <c r="B37" s="88"/>
      <c r="C37" s="28" t="s">
        <v>13</v>
      </c>
      <c r="D37" s="33" t="s">
        <v>14</v>
      </c>
    </row>
    <row r="38" spans="1:4">
      <c r="B38" s="88"/>
      <c r="C38" s="28" t="s">
        <v>17</v>
      </c>
      <c r="D38" s="33" t="s">
        <v>212</v>
      </c>
    </row>
    <row r="39" spans="1:4">
      <c r="B39" s="88"/>
      <c r="C39" s="28" t="s">
        <v>15</v>
      </c>
      <c r="D39" s="33" t="s">
        <v>16</v>
      </c>
    </row>
    <row r="41" spans="1:4">
      <c r="B41" s="86" t="s">
        <v>130</v>
      </c>
      <c r="C41" s="28" t="s">
        <v>131</v>
      </c>
      <c r="D41" s="33" t="s">
        <v>213</v>
      </c>
    </row>
    <row r="42" spans="1:4">
      <c r="B42" s="86"/>
      <c r="C42" s="28" t="s">
        <v>133</v>
      </c>
      <c r="D42" s="33" t="s">
        <v>214</v>
      </c>
    </row>
    <row r="43" spans="1:4">
      <c r="B43" s="86"/>
      <c r="C43" s="28" t="s">
        <v>135</v>
      </c>
      <c r="D43" s="33" t="s">
        <v>215</v>
      </c>
    </row>
    <row r="44" spans="1:4">
      <c r="B44" s="86"/>
      <c r="C44" s="28" t="s">
        <v>137</v>
      </c>
      <c r="D44" s="33" t="s">
        <v>216</v>
      </c>
    </row>
    <row r="45" spans="1:4">
      <c r="B45" s="86"/>
      <c r="C45" s="28" t="s">
        <v>132</v>
      </c>
      <c r="D45" s="33" t="s">
        <v>217</v>
      </c>
    </row>
    <row r="46" spans="1:4">
      <c r="B46" s="86"/>
      <c r="C46" s="28" t="s">
        <v>138</v>
      </c>
      <c r="D46" s="33" t="s">
        <v>218</v>
      </c>
    </row>
    <row r="47" spans="1:4">
      <c r="B47" s="86"/>
      <c r="C47" s="28" t="s">
        <v>136</v>
      </c>
      <c r="D47" s="33" t="s">
        <v>219</v>
      </c>
    </row>
    <row r="48" spans="1:4">
      <c r="B48" s="86"/>
      <c r="C48" s="28" t="s">
        <v>121</v>
      </c>
      <c r="D48" s="33" t="s">
        <v>220</v>
      </c>
    </row>
  </sheetData>
  <sheetProtection password="EE46" sheet="1" objects="1" scenarios="1"/>
  <mergeCells count="5">
    <mergeCell ref="B41:B48"/>
    <mergeCell ref="B13:B17"/>
    <mergeCell ref="B19:B21"/>
    <mergeCell ref="B23:B32"/>
    <mergeCell ref="B36:B3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4"/>
  <sheetViews>
    <sheetView showGridLines="0" workbookViewId="0">
      <selection activeCell="E20" sqref="E20"/>
    </sheetView>
  </sheetViews>
  <sheetFormatPr defaultColWidth="10" defaultRowHeight="14.25"/>
  <cols>
    <col min="1" max="1" width="1.875" bestFit="1" customWidth="1"/>
    <col min="2" max="2" width="18.125" customWidth="1"/>
    <col min="3" max="17" width="13.375" customWidth="1"/>
  </cols>
  <sheetData>
    <row r="1" spans="1:18" ht="18">
      <c r="A1" s="92" t="s">
        <v>139</v>
      </c>
      <c r="B1" s="92"/>
      <c r="C1" s="92"/>
      <c r="D1" s="92"/>
      <c r="E1" s="92"/>
      <c r="F1" s="92"/>
      <c r="G1" s="92"/>
      <c r="H1" s="92"/>
      <c r="I1" s="92"/>
      <c r="J1" s="2"/>
      <c r="K1" s="2"/>
      <c r="L1" s="2"/>
      <c r="M1" s="2"/>
      <c r="N1" s="2"/>
      <c r="O1" s="2"/>
      <c r="P1" s="2"/>
      <c r="Q1" s="2"/>
      <c r="R1" s="2"/>
    </row>
    <row r="2" spans="1:18">
      <c r="A2" s="2"/>
      <c r="B2" s="2"/>
      <c r="C2" s="2"/>
      <c r="D2" s="2"/>
      <c r="E2" s="2"/>
      <c r="F2" s="2"/>
      <c r="G2" s="2"/>
      <c r="H2" s="2"/>
      <c r="I2" s="2"/>
    </row>
    <row r="3" spans="1:18">
      <c r="B3" s="93" t="s">
        <v>184</v>
      </c>
      <c r="C3" s="91"/>
      <c r="D3" s="91"/>
      <c r="E3" s="91"/>
      <c r="F3" s="91"/>
      <c r="G3" s="91"/>
      <c r="H3" s="91"/>
      <c r="I3" s="91"/>
      <c r="J3" s="91"/>
      <c r="K3" s="91"/>
      <c r="L3" s="91"/>
      <c r="M3" s="91"/>
      <c r="N3" s="91"/>
      <c r="O3" s="91"/>
      <c r="P3" s="91"/>
      <c r="Q3" s="91"/>
      <c r="R3" s="2"/>
    </row>
    <row r="4" spans="1:18">
      <c r="A4" s="2"/>
      <c r="B4" s="2"/>
      <c r="C4" s="2"/>
      <c r="D4" s="2"/>
      <c r="E4" s="2"/>
      <c r="F4" s="2"/>
      <c r="G4" s="2"/>
      <c r="H4" s="2"/>
      <c r="I4" s="2"/>
      <c r="J4" s="2"/>
      <c r="K4" s="2"/>
      <c r="L4" s="2"/>
      <c r="M4" s="2"/>
      <c r="N4" s="2"/>
      <c r="O4" s="2"/>
      <c r="P4" s="2"/>
      <c r="Q4" s="2"/>
      <c r="R4" s="2"/>
    </row>
    <row r="5" spans="1:18">
      <c r="A5" s="94">
        <v>1</v>
      </c>
      <c r="B5" s="93" t="s">
        <v>151</v>
      </c>
      <c r="C5" s="91"/>
      <c r="D5" s="91"/>
      <c r="E5" s="91"/>
      <c r="F5" s="91"/>
      <c r="G5" s="91"/>
      <c r="H5" s="91"/>
      <c r="I5" s="91"/>
      <c r="J5" s="91"/>
      <c r="K5" s="91"/>
      <c r="L5" s="91"/>
      <c r="M5" s="91"/>
      <c r="N5" s="91"/>
      <c r="O5" s="91"/>
      <c r="P5" s="91"/>
      <c r="Q5" s="91"/>
      <c r="R5" s="2"/>
    </row>
    <row r="6" spans="1:18">
      <c r="A6" s="95"/>
      <c r="B6" s="7" t="s">
        <v>140</v>
      </c>
      <c r="C6" s="7" t="s">
        <v>141</v>
      </c>
      <c r="D6" s="7" t="s">
        <v>135</v>
      </c>
      <c r="E6" s="7" t="s">
        <v>133</v>
      </c>
      <c r="F6" s="7" t="s">
        <v>137</v>
      </c>
      <c r="G6" s="7" t="s">
        <v>132</v>
      </c>
      <c r="H6" s="7" t="s">
        <v>138</v>
      </c>
      <c r="I6" s="7" t="s">
        <v>136</v>
      </c>
      <c r="J6" s="7" t="s">
        <v>121</v>
      </c>
      <c r="K6" s="7" t="s">
        <v>156</v>
      </c>
      <c r="L6" s="2"/>
      <c r="M6" s="2"/>
      <c r="N6" s="2"/>
      <c r="O6" s="2"/>
      <c r="P6" s="2"/>
      <c r="Q6" s="2"/>
      <c r="R6" s="1"/>
    </row>
    <row r="7" spans="1:18">
      <c r="A7" s="96"/>
      <c r="B7" s="7" t="s">
        <v>142</v>
      </c>
      <c r="C7" s="5">
        <f>'Generic Test Cases'!C87</f>
        <v>10</v>
      </c>
      <c r="D7" s="5">
        <f>'Generic Test Cases'!C89</f>
        <v>10</v>
      </c>
      <c r="E7" s="5">
        <f>'Generic Test Cases'!C88</f>
        <v>3</v>
      </c>
      <c r="F7" s="5">
        <f>'Generic Test Cases'!C90</f>
        <v>7</v>
      </c>
      <c r="G7" s="5">
        <f>'Generic Test Cases'!C91</f>
        <v>11</v>
      </c>
      <c r="H7" s="5">
        <f>'Generic Test Cases'!C92</f>
        <v>12</v>
      </c>
      <c r="I7" s="5">
        <f>'Generic Test Cases'!C93</f>
        <v>8</v>
      </c>
      <c r="J7" s="5">
        <f>'Generic Test Cases'!C94</f>
        <v>6</v>
      </c>
      <c r="K7" s="5">
        <f>SUM(C7:J7)</f>
        <v>67</v>
      </c>
      <c r="L7" s="2"/>
      <c r="M7" s="2"/>
      <c r="N7" s="2"/>
      <c r="O7" s="2"/>
      <c r="P7" s="2"/>
      <c r="Q7" s="2"/>
      <c r="R7" s="1"/>
    </row>
    <row r="8" spans="1:18">
      <c r="A8" s="3"/>
      <c r="B8" s="8"/>
      <c r="C8" s="8"/>
      <c r="D8" s="8"/>
      <c r="E8" s="8"/>
      <c r="F8" s="8"/>
      <c r="G8" s="8"/>
      <c r="H8" s="8"/>
      <c r="I8" s="8"/>
      <c r="J8" s="2"/>
      <c r="K8" s="2"/>
      <c r="L8" s="2"/>
      <c r="M8" s="2"/>
      <c r="N8" s="2"/>
      <c r="O8" s="2"/>
      <c r="P8" s="2"/>
      <c r="Q8" s="1"/>
    </row>
    <row r="9" spans="1:18">
      <c r="A9" s="2"/>
      <c r="B9" s="6"/>
      <c r="C9" s="6"/>
      <c r="D9" s="6"/>
      <c r="E9" s="6"/>
      <c r="F9" s="6"/>
      <c r="G9" s="6"/>
      <c r="H9" s="6"/>
      <c r="I9" s="6"/>
      <c r="J9" s="6"/>
      <c r="K9" s="6"/>
      <c r="L9" s="2"/>
      <c r="M9" s="2"/>
      <c r="N9" s="2"/>
      <c r="O9" s="2"/>
      <c r="P9" s="2"/>
      <c r="Q9" s="2"/>
      <c r="R9" s="2"/>
    </row>
    <row r="10" spans="1:18">
      <c r="A10" s="94">
        <v>2</v>
      </c>
      <c r="B10" s="93" t="s">
        <v>144</v>
      </c>
      <c r="C10" s="91"/>
      <c r="D10" s="91"/>
      <c r="E10" s="91"/>
      <c r="F10" s="91"/>
      <c r="G10" s="91"/>
      <c r="H10" s="91"/>
      <c r="I10" s="91"/>
      <c r="J10" s="91"/>
      <c r="K10" s="91"/>
      <c r="L10" s="91"/>
      <c r="M10" s="91"/>
      <c r="N10" s="91"/>
      <c r="O10" s="91"/>
      <c r="P10" s="91"/>
      <c r="Q10" s="91"/>
      <c r="R10" s="2"/>
    </row>
    <row r="11" spans="1:18">
      <c r="A11" s="95"/>
      <c r="B11" s="6"/>
      <c r="C11" s="6"/>
      <c r="D11" s="6"/>
      <c r="E11" s="6"/>
      <c r="F11" s="6"/>
      <c r="G11" s="6"/>
      <c r="H11" s="6"/>
      <c r="I11" s="6"/>
      <c r="J11" s="6"/>
      <c r="K11" s="6"/>
      <c r="L11" s="2"/>
      <c r="M11" s="2"/>
      <c r="N11" s="2"/>
      <c r="O11" s="2"/>
      <c r="P11" s="2"/>
      <c r="Q11" s="2"/>
      <c r="R11" s="2"/>
    </row>
    <row r="12" spans="1:18">
      <c r="A12" s="95"/>
      <c r="B12" s="7" t="s">
        <v>10</v>
      </c>
      <c r="C12" s="7" t="s">
        <v>143</v>
      </c>
      <c r="D12" s="7" t="s">
        <v>156</v>
      </c>
    </row>
    <row r="13" spans="1:18">
      <c r="A13" s="95"/>
      <c r="B13" s="7" t="s">
        <v>146</v>
      </c>
      <c r="C13" s="12">
        <f>COUNTIF('Generic Test Cases'!$F$9:$F$75,"Passed")</f>
        <v>0</v>
      </c>
      <c r="D13" s="97">
        <f>SUM(C13:C17)</f>
        <v>67</v>
      </c>
    </row>
    <row r="14" spans="1:18">
      <c r="A14" s="95"/>
      <c r="B14" s="7" t="s">
        <v>147</v>
      </c>
      <c r="C14" s="12">
        <f>COUNTIF('Generic Test Cases'!$F$9:$F$75,"Failed")</f>
        <v>0</v>
      </c>
      <c r="D14" s="97"/>
    </row>
    <row r="15" spans="1:18">
      <c r="A15" s="95"/>
      <c r="B15" s="7" t="s">
        <v>15</v>
      </c>
      <c r="C15" s="12">
        <f>COUNTIF('Generic Test Cases'!$F$9:$F$75,"NA")</f>
        <v>2</v>
      </c>
      <c r="D15" s="97"/>
    </row>
    <row r="16" spans="1:18">
      <c r="A16" s="96"/>
      <c r="B16" s="7" t="s">
        <v>17</v>
      </c>
      <c r="C16" s="12">
        <f>COUNTIF('Generic Test Cases'!$F$9:$F$75,"Pending")</f>
        <v>0</v>
      </c>
      <c r="D16" s="97"/>
    </row>
    <row r="17" spans="1:18">
      <c r="A17" s="11"/>
      <c r="B17" s="7" t="s">
        <v>199</v>
      </c>
      <c r="C17" s="12">
        <f>K7-SUM(C13:C16)</f>
        <v>65</v>
      </c>
      <c r="D17" s="97"/>
    </row>
    <row r="19" spans="1:18">
      <c r="B19" s="89" t="s">
        <v>183</v>
      </c>
      <c r="C19" s="90"/>
      <c r="D19" s="90"/>
      <c r="E19" s="90"/>
      <c r="F19" s="90"/>
      <c r="G19" s="90"/>
      <c r="H19" s="90"/>
      <c r="I19" s="90"/>
      <c r="J19" s="90"/>
      <c r="K19" s="91"/>
      <c r="L19" s="91"/>
      <c r="M19" s="91"/>
      <c r="N19" s="91"/>
      <c r="O19" s="91"/>
      <c r="P19" s="91"/>
      <c r="Q19" s="91"/>
      <c r="R19" s="2"/>
    </row>
    <row r="20" spans="1:18" s="39" customFormat="1">
      <c r="B20" s="40"/>
      <c r="C20" s="40"/>
      <c r="D20" s="40"/>
      <c r="E20" s="40"/>
      <c r="F20" s="40"/>
      <c r="G20" s="40"/>
      <c r="H20" s="40"/>
      <c r="I20" s="40"/>
      <c r="J20" s="40"/>
      <c r="K20" s="40"/>
      <c r="L20" s="40"/>
      <c r="M20" s="40"/>
      <c r="N20" s="40"/>
      <c r="O20" s="40"/>
      <c r="P20" s="40"/>
      <c r="Q20" s="40"/>
      <c r="R20" s="41"/>
    </row>
    <row r="21" spans="1:18" s="39" customFormat="1" ht="15">
      <c r="B21" s="9" t="s">
        <v>252</v>
      </c>
      <c r="C21" s="10">
        <v>1</v>
      </c>
      <c r="D21" s="10">
        <v>2</v>
      </c>
      <c r="E21" s="10">
        <v>3</v>
      </c>
      <c r="F21" s="10">
        <v>4</v>
      </c>
      <c r="G21" s="10">
        <v>5</v>
      </c>
      <c r="H21" s="10">
        <v>6</v>
      </c>
      <c r="I21" s="10">
        <v>7</v>
      </c>
      <c r="J21" s="10">
        <v>8</v>
      </c>
      <c r="K21" s="10">
        <v>9</v>
      </c>
      <c r="L21" s="10">
        <v>10</v>
      </c>
      <c r="M21" s="10">
        <v>11</v>
      </c>
      <c r="N21" s="10">
        <v>12</v>
      </c>
      <c r="O21" s="10">
        <v>13</v>
      </c>
      <c r="P21" s="10">
        <v>14</v>
      </c>
      <c r="Q21" s="10">
        <v>15</v>
      </c>
      <c r="R21" s="41"/>
    </row>
    <row r="22" spans="1:18" s="39" customFormat="1">
      <c r="B22" s="7" t="s">
        <v>168</v>
      </c>
      <c r="C22" s="42">
        <f>COUNTIFS('Defect Sheet'!$B$7:$B$102,"1", 'Defect Sheet'!$H$7:$H$102,"Open")</f>
        <v>12</v>
      </c>
      <c r="D22" s="42">
        <f>COUNTIFS('Defect Sheet'!$B$7:$B$102,"2", 'Defect Sheet'!$H$7:$H$102,"Open")</f>
        <v>0</v>
      </c>
      <c r="E22" s="42">
        <f>COUNTIFS('Defect Sheet'!$B$7:$B$102,"3", 'Defect Sheet'!$H$7:$H$102,"Open")</f>
        <v>0</v>
      </c>
      <c r="F22" s="42">
        <f>COUNTIFS('Defect Sheet'!$B$7:$B$102,"4", 'Defect Sheet'!$H$7:$H$102,"Open")</f>
        <v>0</v>
      </c>
      <c r="G22" s="42">
        <f>COUNTIFS('Defect Sheet'!$B$7:$B$102,"5", 'Defect Sheet'!$H$7:$H$102,"Open")</f>
        <v>0</v>
      </c>
      <c r="H22" s="42">
        <f>COUNTIFS('Defect Sheet'!$B$7:$B$102,"6", 'Defect Sheet'!$H$7:$H$102,"Open")</f>
        <v>0</v>
      </c>
      <c r="I22" s="42">
        <f>COUNTIFS('Defect Sheet'!$B$7:$B$102,"7", 'Defect Sheet'!$H$7:$H$102,"Open")</f>
        <v>0</v>
      </c>
      <c r="J22" s="42">
        <f>COUNTIFS('Defect Sheet'!$B$7:$B$102,"8", 'Defect Sheet'!$H$7:$H$102,"Open")</f>
        <v>0</v>
      </c>
      <c r="K22" s="42">
        <f>COUNTIFS('Defect Sheet'!$B$7:$B$102,"9", 'Defect Sheet'!$H$7:$H$102,"Open")</f>
        <v>0</v>
      </c>
      <c r="L22" s="42">
        <f>COUNTIFS('Defect Sheet'!$B$7:$B$102,"10", 'Defect Sheet'!$H$7:$H$102,"Open")</f>
        <v>0</v>
      </c>
      <c r="M22" s="42">
        <f>COUNTIFS('Defect Sheet'!$B$7:$B$102,"11", 'Defect Sheet'!$H$7:$H$102,"Open")</f>
        <v>0</v>
      </c>
      <c r="N22" s="42">
        <f>COUNTIFS('Defect Sheet'!$B$7:$B$102,"12", 'Defect Sheet'!$H$7:$H$102,"Open")</f>
        <v>0</v>
      </c>
      <c r="O22" s="42">
        <f>COUNTIFS('Defect Sheet'!$B$7:$B$102,"13", 'Defect Sheet'!$H$7:$H$102,"Open")</f>
        <v>0</v>
      </c>
      <c r="P22" s="42">
        <f>COUNTIFS('Defect Sheet'!$B$7:$B$102,"14", 'Defect Sheet'!$H$7:$H$102,"Open")</f>
        <v>0</v>
      </c>
      <c r="Q22" s="42">
        <f>COUNTIFS('Defect Sheet'!$B$7:$B$102,"15", 'Defect Sheet'!$H$7:$H$102,"Open")</f>
        <v>0</v>
      </c>
      <c r="R22" s="41"/>
    </row>
    <row r="23" spans="1:18" s="39" customFormat="1">
      <c r="B23" s="7" t="s">
        <v>173</v>
      </c>
      <c r="C23" s="42">
        <f>COUNTIFS('Defect Sheet'!$B$7:$B$102,"1", 'Defect Sheet'!$H$7:$H$102,"Re-Open")</f>
        <v>0</v>
      </c>
      <c r="D23" s="42">
        <f>COUNTIFS('Defect Sheet'!$B$7:$B$102,"2", 'Defect Sheet'!$H$7:$H$102,"Re-Open")</f>
        <v>0</v>
      </c>
      <c r="E23" s="42">
        <f>COUNTIFS('Defect Sheet'!$B$7:$B$102,"3", 'Defect Sheet'!$H$7:$H$102,"Re-Open")</f>
        <v>0</v>
      </c>
      <c r="F23" s="42">
        <f>COUNTIFS('Defect Sheet'!$B$7:$B$102,"4", 'Defect Sheet'!$H$7:$H$102,"Re-Open")</f>
        <v>0</v>
      </c>
      <c r="G23" s="42">
        <f>COUNTIFS('Defect Sheet'!$B$7:$B$102,"5", 'Defect Sheet'!$H$7:$H$102,"Re-Open")</f>
        <v>0</v>
      </c>
      <c r="H23" s="42">
        <f>COUNTIFS('Defect Sheet'!$B$7:$B$102,"6", 'Defect Sheet'!$H$7:$H$102,"Re-Open")</f>
        <v>0</v>
      </c>
      <c r="I23" s="42">
        <f>COUNTIFS('Defect Sheet'!$B$7:$B$102,"7", 'Defect Sheet'!$H$7:$H$102,"Re-Open")</f>
        <v>0</v>
      </c>
      <c r="J23" s="42">
        <f>COUNTIFS('Defect Sheet'!$B$7:$B$102,"8", 'Defect Sheet'!$H$7:$H$102,"Re-Open")</f>
        <v>0</v>
      </c>
      <c r="K23" s="42">
        <f>COUNTIFS('Defect Sheet'!$B$7:$B$102,"9", 'Defect Sheet'!$H$7:$H$102,"Re-Open")</f>
        <v>0</v>
      </c>
      <c r="L23" s="42">
        <f>COUNTIFS('Defect Sheet'!$B$7:$B$102,"10", 'Defect Sheet'!$H$7:$H$102,"Re-Open")</f>
        <v>0</v>
      </c>
      <c r="M23" s="42">
        <f>COUNTIFS('Defect Sheet'!$B$7:$B$102,"11", 'Defect Sheet'!$H$7:$H$102,"Re-Open")</f>
        <v>0</v>
      </c>
      <c r="N23" s="42">
        <f>COUNTIFS('Defect Sheet'!$B$7:$B$102,"12", 'Defect Sheet'!$H$7:$H$102,"Re-Open")</f>
        <v>0</v>
      </c>
      <c r="O23" s="42">
        <f>COUNTIFS('Defect Sheet'!$B$7:$B$102,"13", 'Defect Sheet'!$H$7:$H$102,"Re-Open")</f>
        <v>0</v>
      </c>
      <c r="P23" s="42">
        <f>COUNTIFS('Defect Sheet'!$B$7:$B$102,"14", 'Defect Sheet'!$H$7:$H$102,"Re-Open")</f>
        <v>0</v>
      </c>
      <c r="Q23" s="42">
        <f>COUNTIFS('Defect Sheet'!$B$7:$B$102,"15", 'Defect Sheet'!$H$7:$H$102,"Re-Open")</f>
        <v>0</v>
      </c>
      <c r="R23" s="41"/>
    </row>
    <row r="24" spans="1:18" s="39" customFormat="1">
      <c r="B24" s="7" t="s">
        <v>175</v>
      </c>
      <c r="C24" s="42">
        <f>COUNTIFS('Defect Sheet'!$B$7:$B$102,"1", 'Defect Sheet'!$H$7:$H$102,"Deffered")</f>
        <v>0</v>
      </c>
      <c r="D24" s="42">
        <f>COUNTIFS('Defect Sheet'!$B$7:$B$102,"2", 'Defect Sheet'!$H$7:$H$102,"Deffered")</f>
        <v>0</v>
      </c>
      <c r="E24" s="42">
        <f>COUNTIFS('Defect Sheet'!$B$7:$B$102,"3", 'Defect Sheet'!$H$7:$H$102,"Deffered")</f>
        <v>0</v>
      </c>
      <c r="F24" s="42">
        <f>COUNTIFS('Defect Sheet'!$B$7:$B$102,"4", 'Defect Sheet'!$H$7:$H$102,"Deffered")</f>
        <v>0</v>
      </c>
      <c r="G24" s="42">
        <f>COUNTIFS('Defect Sheet'!$B$7:$B$102,"5", 'Defect Sheet'!$H$7:$H$102,"Deffered")</f>
        <v>0</v>
      </c>
      <c r="H24" s="42">
        <f>COUNTIFS('Defect Sheet'!$B$7:$B$102,"6", 'Defect Sheet'!$H$7:$H$102,"Deffered")</f>
        <v>0</v>
      </c>
      <c r="I24" s="42">
        <f>COUNTIFS('Defect Sheet'!$B$7:$B$102,"7", 'Defect Sheet'!$H$7:$H$102,"Deffered")</f>
        <v>0</v>
      </c>
      <c r="J24" s="42">
        <f>COUNTIFS('Defect Sheet'!$B$7:$B$102,"8", 'Defect Sheet'!$H$7:$H$102,"Deffered")</f>
        <v>0</v>
      </c>
      <c r="K24" s="42">
        <f>COUNTIFS('Defect Sheet'!$B$7:$B$102,"9", 'Defect Sheet'!$H$7:$H$102,"Deffered")</f>
        <v>0</v>
      </c>
      <c r="L24" s="42">
        <f>COUNTIFS('Defect Sheet'!$B$7:$B$102,"10", 'Defect Sheet'!$H$7:$H$102,"Deffered")</f>
        <v>0</v>
      </c>
      <c r="M24" s="42">
        <f>COUNTIFS('Defect Sheet'!$B$7:$B$102,"11", 'Defect Sheet'!$H$7:$H$102,"Deffered")</f>
        <v>0</v>
      </c>
      <c r="N24" s="42">
        <f>COUNTIFS('Defect Sheet'!$B$7:$B$102,"12", 'Defect Sheet'!$H$7:$H$102,"Deffered")</f>
        <v>0</v>
      </c>
      <c r="O24" s="42">
        <f>COUNTIFS('Defect Sheet'!$B$7:$B$102,"13", 'Defect Sheet'!$H$7:$H$102,"Deffered")</f>
        <v>0</v>
      </c>
      <c r="P24" s="42">
        <f>COUNTIFS('Defect Sheet'!$B$7:$B$102,"14", 'Defect Sheet'!$H$7:$H$102,"Deffered")</f>
        <v>0</v>
      </c>
      <c r="Q24" s="42">
        <f>COUNTIFS('Defect Sheet'!$B$7:$B$102,"15", 'Defect Sheet'!$H$7:$H$102,"Deffered")</f>
        <v>0</v>
      </c>
      <c r="R24" s="41"/>
    </row>
    <row r="25" spans="1:18" s="39" customFormat="1">
      <c r="B25" s="7" t="s">
        <v>15</v>
      </c>
      <c r="C25" s="42">
        <f>COUNTIFS('Defect Sheet'!$B$7:$B$102,"1", 'Defect Sheet'!$H$7:$H$102,"NA")</f>
        <v>0</v>
      </c>
      <c r="D25" s="42">
        <f>COUNTIFS('Defect Sheet'!$B$7:$B$102,"2", 'Defect Sheet'!$H$7:$H$102,"NA")</f>
        <v>0</v>
      </c>
      <c r="E25" s="42">
        <f>COUNTIFS('Defect Sheet'!$B$7:$B$102,"3", 'Defect Sheet'!$H$7:$H$102,"NA")</f>
        <v>0</v>
      </c>
      <c r="F25" s="42">
        <f>COUNTIFS('Defect Sheet'!$B$7:$B$102,"4", 'Defect Sheet'!$H$7:$H$102,"NA")</f>
        <v>0</v>
      </c>
      <c r="G25" s="42">
        <f>COUNTIFS('Defect Sheet'!$B$7:$B$102,"5", 'Defect Sheet'!$H$7:$H$102,"NA")</f>
        <v>0</v>
      </c>
      <c r="H25" s="42">
        <f>COUNTIFS('Defect Sheet'!$B$7:$B$102,"6", 'Defect Sheet'!$H$7:$H$102,"NA")</f>
        <v>0</v>
      </c>
      <c r="I25" s="42">
        <f>COUNTIFS('Defect Sheet'!$B$7:$B$102,"7", 'Defect Sheet'!$H$7:$H$102,"NA")</f>
        <v>0</v>
      </c>
      <c r="J25" s="42">
        <f>COUNTIFS('Defect Sheet'!$B$7:$B$102,"8", 'Defect Sheet'!$H$7:$H$102,"NA")</f>
        <v>0</v>
      </c>
      <c r="K25" s="42">
        <f>COUNTIFS('Defect Sheet'!$B$7:$B$102,"9", 'Defect Sheet'!$H$7:$H$102,"NA")</f>
        <v>0</v>
      </c>
      <c r="L25" s="42">
        <f>COUNTIFS('Defect Sheet'!$B$7:$B$102,"10", 'Defect Sheet'!$H$7:$H$102,"NA")</f>
        <v>0</v>
      </c>
      <c r="M25" s="42">
        <f>COUNTIFS('Defect Sheet'!$B$7:$B$102,"11", 'Defect Sheet'!$H$7:$H$102,"NA")</f>
        <v>0</v>
      </c>
      <c r="N25" s="42">
        <f>COUNTIFS('Defect Sheet'!$B$7:$B$102,"12", 'Defect Sheet'!$H$7:$H$102,"NA")</f>
        <v>0</v>
      </c>
      <c r="O25" s="42">
        <f>COUNTIFS('Defect Sheet'!$B$7:$B$102,"13", 'Defect Sheet'!$H$7:$H$102,"NA")</f>
        <v>0</v>
      </c>
      <c r="P25" s="42">
        <f>COUNTIFS('Defect Sheet'!$B$7:$B$102,"14", 'Defect Sheet'!$H$7:$H$102,"NA")</f>
        <v>0</v>
      </c>
      <c r="Q25" s="42">
        <f>COUNTIFS('Defect Sheet'!$B$7:$B$102,"15", 'Defect Sheet'!$H$7:$H$102,"NA")</f>
        <v>0</v>
      </c>
      <c r="R25" s="41"/>
    </row>
    <row r="26" spans="1:18" s="39" customFormat="1" ht="15">
      <c r="A26" s="43">
        <v>3</v>
      </c>
      <c r="B26" s="7" t="s">
        <v>17</v>
      </c>
      <c r="C26" s="42">
        <f>COUNTIFS('Defect Sheet'!$B$7:$B$102,"1", 'Defect Sheet'!$H$7:$H$102,"Pending")</f>
        <v>0</v>
      </c>
      <c r="D26" s="42">
        <f>COUNTIFS('Defect Sheet'!$B$7:$B$102,"2", 'Defect Sheet'!$H$7:$H$102,"Pending")</f>
        <v>0</v>
      </c>
      <c r="E26" s="42">
        <f>COUNTIFS('Defect Sheet'!$B$7:$B$102,"3", 'Defect Sheet'!$H$7:$H$102,"Pending")</f>
        <v>0</v>
      </c>
      <c r="F26" s="42">
        <f>COUNTIFS('Defect Sheet'!$B$7:$B$102,"4", 'Defect Sheet'!$H$7:$H$102,"Pending")</f>
        <v>0</v>
      </c>
      <c r="G26" s="42">
        <f>COUNTIFS('Defect Sheet'!$B$7:$B$102,"5", 'Defect Sheet'!$H$7:$H$102,"Pending")</f>
        <v>0</v>
      </c>
      <c r="H26" s="42">
        <f>COUNTIFS('Defect Sheet'!$B$7:$B$102,"6", 'Defect Sheet'!$H$7:$H$102,"Pending")</f>
        <v>0</v>
      </c>
      <c r="I26" s="42">
        <f>COUNTIFS('Defect Sheet'!$B$7:$B$102,"7", 'Defect Sheet'!$H$7:$H$102,"Pending")</f>
        <v>0</v>
      </c>
      <c r="J26" s="42">
        <f>COUNTIFS('Defect Sheet'!$B$7:$B$102,"8", 'Defect Sheet'!$H$7:$H$102,"Pending")</f>
        <v>0</v>
      </c>
      <c r="K26" s="42">
        <f>COUNTIFS('Defect Sheet'!$B$7:$B$102,"9", 'Defect Sheet'!$H$7:$H$102,"Pending")</f>
        <v>0</v>
      </c>
      <c r="L26" s="42">
        <f>COUNTIFS('Defect Sheet'!$B$7:$B$102,"10", 'Defect Sheet'!$H$7:$H$102,"Pending")</f>
        <v>0</v>
      </c>
      <c r="M26" s="42">
        <f>COUNTIFS('Defect Sheet'!$B$7:$B$102,"11", 'Defect Sheet'!$H$7:$H$102,"Pending")</f>
        <v>0</v>
      </c>
      <c r="N26" s="42">
        <f>COUNTIFS('Defect Sheet'!$B$7:$B$102,"12", 'Defect Sheet'!$H$7:$H$102,"Pending")</f>
        <v>0</v>
      </c>
      <c r="O26" s="42">
        <f>COUNTIFS('Defect Sheet'!$B$7:$B$102,"13", 'Defect Sheet'!$H$7:$H$102,"Pending")</f>
        <v>0</v>
      </c>
      <c r="P26" s="42">
        <f>COUNTIFS('Defect Sheet'!$B$7:$B$102,"14", 'Defect Sheet'!$H$7:$H$102,"Pending")</f>
        <v>0</v>
      </c>
      <c r="Q26" s="42">
        <f>COUNTIFS('Defect Sheet'!$B$7:$B$102,"15", 'Defect Sheet'!$H$7:$H$102,"Pending")</f>
        <v>0</v>
      </c>
      <c r="R26" s="41"/>
    </row>
    <row r="27" spans="1:18" s="39" customFormat="1" ht="15">
      <c r="A27" s="43"/>
      <c r="B27" s="7" t="s">
        <v>248</v>
      </c>
      <c r="C27" s="42">
        <f>COUNTIFS('Defect Sheet'!$B$7:$B$102,"1", 'Defect Sheet'!$H$7:$H$102,"Not Reproducible")</f>
        <v>0</v>
      </c>
      <c r="D27" s="42">
        <f>COUNTIFS('Defect Sheet'!$B$7:$B$102,"2", 'Defect Sheet'!$H$7:$H$102,"Not Reproducible")</f>
        <v>0</v>
      </c>
      <c r="E27" s="42">
        <f>COUNTIFS('Defect Sheet'!$B$7:$B$102,"3", 'Defect Sheet'!$H$7:$H$102,"Not Reproducible")</f>
        <v>0</v>
      </c>
      <c r="F27" s="42">
        <f>COUNTIFS('Defect Sheet'!$B$7:$B$102,"4", 'Defect Sheet'!$H$7:$H$102,"Not Reproducible")</f>
        <v>0</v>
      </c>
      <c r="G27" s="42">
        <f>COUNTIFS('Defect Sheet'!$B$7:$B$102,"5", 'Defect Sheet'!$H$7:$H$102,"Not Reproducible")</f>
        <v>0</v>
      </c>
      <c r="H27" s="42">
        <f>COUNTIFS('Defect Sheet'!$B$7:$B$102,"6", 'Defect Sheet'!$H$7:$H$102,"Not Reproducible")</f>
        <v>0</v>
      </c>
      <c r="I27" s="42">
        <f>COUNTIFS('Defect Sheet'!$B$7:$B$102,"7", 'Defect Sheet'!$H$7:$H$102,"Not Reproducible")</f>
        <v>0</v>
      </c>
      <c r="J27" s="42">
        <f>COUNTIFS('Defect Sheet'!$B$7:$B$102,"8", 'Defect Sheet'!$H$7:$H$102,"Not Reproducible")</f>
        <v>0</v>
      </c>
      <c r="K27" s="42">
        <f>COUNTIFS('Defect Sheet'!$B$7:$B$102,"9", 'Defect Sheet'!$H$7:$H$102,"Not Reproducible")</f>
        <v>0</v>
      </c>
      <c r="L27" s="42">
        <f>COUNTIFS('Defect Sheet'!$B$7:$B$102,"10", 'Defect Sheet'!$H$7:$H$102,"Not Reproducible")</f>
        <v>0</v>
      </c>
      <c r="M27" s="42">
        <f>COUNTIFS('Defect Sheet'!$B$7:$B$102,"11", 'Defect Sheet'!$H$7:$H$102,"Not Reproducible")</f>
        <v>0</v>
      </c>
      <c r="N27" s="42">
        <f>COUNTIFS('Defect Sheet'!$B$7:$B$102,"12", 'Defect Sheet'!$H$7:$H$102,"Not Reproducible")</f>
        <v>0</v>
      </c>
      <c r="O27" s="42">
        <f>COUNTIFS('Defect Sheet'!$B$7:$B$102,"13", 'Defect Sheet'!$H$7:$H$102,"Not Reproducible")</f>
        <v>0</v>
      </c>
      <c r="P27" s="42">
        <f>COUNTIFS('Defect Sheet'!$B$7:$B$102,"14", 'Defect Sheet'!$H$7:$H$102,"Not Reproducible")</f>
        <v>0</v>
      </c>
      <c r="Q27" s="42">
        <f>COUNTIFS('Defect Sheet'!$B$7:$B$102,"15", 'Defect Sheet'!$H$7:$H$102,"Not Reproducible")</f>
        <v>0</v>
      </c>
      <c r="R27" s="41"/>
    </row>
    <row r="28" spans="1:18" s="39" customFormat="1" ht="15">
      <c r="A28" s="43"/>
      <c r="B28" s="7" t="s">
        <v>176</v>
      </c>
      <c r="C28" s="42">
        <f>COUNTIFS('Defect Sheet'!$B$7:$B$102,"1", 'Defect Sheet'!$H$7:$H$102,"Fixed")</f>
        <v>0</v>
      </c>
      <c r="D28" s="42">
        <f>COUNTIFS('Defect Sheet'!$B$7:$B$102,"2", 'Defect Sheet'!$H$7:$H$102,"Fixed")</f>
        <v>0</v>
      </c>
      <c r="E28" s="42">
        <f>COUNTIFS('Defect Sheet'!$B$7:$B$102,"3", 'Defect Sheet'!$H$7:$H$102,"Fixed")</f>
        <v>0</v>
      </c>
      <c r="F28" s="42">
        <f>COUNTIFS('Defect Sheet'!$B$7:$B$102,"4", 'Defect Sheet'!$H$7:$H$102,"Fixed")</f>
        <v>0</v>
      </c>
      <c r="G28" s="42">
        <f>COUNTIFS('Defect Sheet'!$B$7:$B$102,"5", 'Defect Sheet'!$H$7:$H$102,"Fixed")</f>
        <v>0</v>
      </c>
      <c r="H28" s="42">
        <f>COUNTIFS('Defect Sheet'!$B$7:$B$102,"6", 'Defect Sheet'!$H$7:$H$102,"Fixed")</f>
        <v>0</v>
      </c>
      <c r="I28" s="42">
        <f>COUNTIFS('Defect Sheet'!$B$7:$B$102,"7", 'Defect Sheet'!$H$7:$H$102,"Fixed")</f>
        <v>0</v>
      </c>
      <c r="J28" s="42">
        <f>COUNTIFS('Defect Sheet'!$B$7:$B$102,"8", 'Defect Sheet'!$H$7:$H$102,"Fixed")</f>
        <v>0</v>
      </c>
      <c r="K28" s="42">
        <f>COUNTIFS('Defect Sheet'!$B$7:$B$102,"9", 'Defect Sheet'!$H$7:$H$102,"Fixed")</f>
        <v>0</v>
      </c>
      <c r="L28" s="42">
        <f>COUNTIFS('Defect Sheet'!$B$7:$B$102,"10", 'Defect Sheet'!$H$7:$H$102,"Fixed")</f>
        <v>0</v>
      </c>
      <c r="M28" s="42">
        <f>COUNTIFS('Defect Sheet'!$B$7:$B$102,"11", 'Defect Sheet'!$H$7:$H$102,"Fixed")</f>
        <v>0</v>
      </c>
      <c r="N28" s="42">
        <f>COUNTIFS('Defect Sheet'!$B$7:$B$102,"12", 'Defect Sheet'!$H$7:$H$102,"Fixed")</f>
        <v>0</v>
      </c>
      <c r="O28" s="42">
        <f>COUNTIFS('Defect Sheet'!$B$7:$B$102,"13", 'Defect Sheet'!$H$7:$H$102,"Fixed")</f>
        <v>0</v>
      </c>
      <c r="P28" s="42">
        <f>COUNTIFS('Defect Sheet'!$B$7:$B$102,"14", 'Defect Sheet'!$H$7:$H$102,"Fixed")</f>
        <v>0</v>
      </c>
      <c r="Q28" s="42">
        <f>COUNTIFS('Defect Sheet'!$B$7:$B$102,"15", 'Defect Sheet'!$H$7:$H$102,"Fixed")</f>
        <v>0</v>
      </c>
      <c r="R28" s="41"/>
    </row>
    <row r="29" spans="1:18" s="39" customFormat="1" ht="15">
      <c r="A29" s="43"/>
      <c r="B29" s="7" t="s">
        <v>148</v>
      </c>
      <c r="C29" s="42">
        <f>COUNTIFS('Defect Sheet'!$B$7:$B$102,"1", 'Defect Sheet'!$H$7:$H$102,"Closed")</f>
        <v>0</v>
      </c>
      <c r="D29" s="42">
        <f>COUNTIFS('Defect Sheet'!$B$7:$B$102,"2", 'Defect Sheet'!$H$7:$H$102,"Closed")</f>
        <v>0</v>
      </c>
      <c r="E29" s="42">
        <f>COUNTIFS('Defect Sheet'!$B$7:$B$102,"3", 'Defect Sheet'!$H$7:$H$102,"Closed")</f>
        <v>0</v>
      </c>
      <c r="F29" s="42">
        <f>COUNTIFS('Defect Sheet'!$B$7:$B$102,"4", 'Defect Sheet'!$H$7:$H$102,"Closed")</f>
        <v>0</v>
      </c>
      <c r="G29" s="42">
        <f>COUNTIFS('Defect Sheet'!$B$7:$B$102,"5", 'Defect Sheet'!$H$7:$H$102,"Closed")</f>
        <v>0</v>
      </c>
      <c r="H29" s="42">
        <f>COUNTIFS('Defect Sheet'!$B$7:$B$102,"6", 'Defect Sheet'!$H$7:$H$102,"Closed")</f>
        <v>0</v>
      </c>
      <c r="I29" s="42">
        <f>COUNTIFS('Defect Sheet'!$B$7:$B$102,"7", 'Defect Sheet'!$H$7:$H$102,"Closed")</f>
        <v>0</v>
      </c>
      <c r="J29" s="42">
        <f>COUNTIFS('Defect Sheet'!$B$7:$B$102,"8", 'Defect Sheet'!$H$7:$H$102,"Closed")</f>
        <v>0</v>
      </c>
      <c r="K29" s="42">
        <f>COUNTIFS('Defect Sheet'!$B$7:$B$102,"9", 'Defect Sheet'!$H$7:$H$102,"Closed")</f>
        <v>0</v>
      </c>
      <c r="L29" s="42">
        <f>COUNTIFS('Defect Sheet'!$B$7:$B$102,"10", 'Defect Sheet'!$H$7:$H$102,"Closed")</f>
        <v>0</v>
      </c>
      <c r="M29" s="42">
        <f>COUNTIFS('Defect Sheet'!$B$7:$B$102,"11", 'Defect Sheet'!$H$7:$H$102,"Closed")</f>
        <v>0</v>
      </c>
      <c r="N29" s="42">
        <f>COUNTIFS('Defect Sheet'!$B$7:$B$102,"12", 'Defect Sheet'!$H$7:$H$102,"Closed")</f>
        <v>0</v>
      </c>
      <c r="O29" s="42">
        <f>COUNTIFS('Defect Sheet'!$B$7:$B$102,"13", 'Defect Sheet'!$H$7:$H$102,"Closed")</f>
        <v>0</v>
      </c>
      <c r="P29" s="42">
        <f>COUNTIFS('Defect Sheet'!$B$7:$B$102,"14", 'Defect Sheet'!$H$7:$H$102,"Closed")</f>
        <v>0</v>
      </c>
      <c r="Q29" s="42">
        <f>COUNTIFS('Defect Sheet'!$B$7:$B$102,"15", 'Defect Sheet'!$H$7:$H$102,"Closed")</f>
        <v>0</v>
      </c>
      <c r="R29" s="41"/>
    </row>
    <row r="30" spans="1:18" s="39" customFormat="1" ht="15">
      <c r="A30" s="43"/>
      <c r="B30" s="7" t="s">
        <v>239</v>
      </c>
      <c r="C30" s="42">
        <f>COUNTIFS('Defect Sheet'!$B$7:$B$102,"1", 'Defect Sheet'!$H$7:$H$102,"Waived-Off-Business")</f>
        <v>0</v>
      </c>
      <c r="D30" s="42">
        <f>COUNTIFS('Defect Sheet'!$B$7:$B$102,"2", 'Defect Sheet'!$H$7:$H$102,"Waived-Off-Business")</f>
        <v>0</v>
      </c>
      <c r="E30" s="42">
        <f>COUNTIFS('Defect Sheet'!$B$7:$B$102,"3", 'Defect Sheet'!$H$7:$H$102,"Waived-Off-Business")</f>
        <v>0</v>
      </c>
      <c r="F30" s="42">
        <f>COUNTIFS('Defect Sheet'!$B$7:$B$102,"4", 'Defect Sheet'!$H$7:$H$102,"Waived-Off-Business")</f>
        <v>0</v>
      </c>
      <c r="G30" s="42">
        <f>COUNTIFS('Defect Sheet'!$B$7:$B$102,"5", 'Defect Sheet'!$H$7:$H$102,"Waived-Off-Business")</f>
        <v>0</v>
      </c>
      <c r="H30" s="42">
        <f>COUNTIFS('Defect Sheet'!$B$7:$B$102,"6", 'Defect Sheet'!$H$7:$H$102,"Waived-Off-Business")</f>
        <v>0</v>
      </c>
      <c r="I30" s="42">
        <f>COUNTIFS('Defect Sheet'!$B$7:$B$102,"7", 'Defect Sheet'!$H$7:$H$102,"Waived-Off-Business")</f>
        <v>0</v>
      </c>
      <c r="J30" s="42">
        <f>COUNTIFS('Defect Sheet'!$B$7:$B$102,"8", 'Defect Sheet'!$H$7:$H$102,"Waived-Off-Business")</f>
        <v>0</v>
      </c>
      <c r="K30" s="42">
        <f>COUNTIFS('Defect Sheet'!$B$7:$B$102,"9", 'Defect Sheet'!$H$7:$H$102,"Waived-Off-Business")</f>
        <v>0</v>
      </c>
      <c r="L30" s="42">
        <f>COUNTIFS('Defect Sheet'!$B$7:$B$102,"10", 'Defect Sheet'!$H$7:$H$102,"Waived-Off-Business")</f>
        <v>0</v>
      </c>
      <c r="M30" s="42">
        <f>COUNTIFS('Defect Sheet'!$B$7:$B$102,"11", 'Defect Sheet'!$H$7:$H$102,"Waived-Off-Business")</f>
        <v>0</v>
      </c>
      <c r="N30" s="42">
        <f>COUNTIFS('Defect Sheet'!$B$7:$B$102,"12", 'Defect Sheet'!$H$7:$H$102,"Waived-Off-Business")</f>
        <v>0</v>
      </c>
      <c r="O30" s="42">
        <f>COUNTIFS('Defect Sheet'!$B$7:$B$102,"13", 'Defect Sheet'!$H$7:$H$102,"Waived-Off-Business")</f>
        <v>0</v>
      </c>
      <c r="P30" s="42">
        <f>COUNTIFS('Defect Sheet'!$B$7:$B$102,"14", 'Defect Sheet'!$H$7:$H$102,"Waived-Off-Business")</f>
        <v>0</v>
      </c>
      <c r="Q30" s="42">
        <f>COUNTIFS('Defect Sheet'!$B$7:$B$102,"15", 'Defect Sheet'!$H$7:$H$102,"Waived-Off-Business")</f>
        <v>0</v>
      </c>
      <c r="R30" s="41"/>
    </row>
    <row r="31" spans="1:18" s="39" customFormat="1" ht="15">
      <c r="A31" s="43"/>
      <c r="B31" s="7" t="s">
        <v>241</v>
      </c>
      <c r="C31" s="42">
        <f>COUNTIFS('Defect Sheet'!$B$7:$B$102,"1", 'Defect Sheet'!$H$7:$H$102,"Waived-Off-UAT")</f>
        <v>0</v>
      </c>
      <c r="D31" s="42">
        <f>COUNTIFS('Defect Sheet'!$B$7:$B$102,"2", 'Defect Sheet'!$H$7:$H$102,"Waived-Off-UAT")</f>
        <v>0</v>
      </c>
      <c r="E31" s="42">
        <f>COUNTIFS('Defect Sheet'!$B$7:$B$102,"3", 'Defect Sheet'!$H$7:$H$102,"Waived-Off-UAT")</f>
        <v>0</v>
      </c>
      <c r="F31" s="42">
        <f>COUNTIFS('Defect Sheet'!$B$7:$B$102,"4", 'Defect Sheet'!$H$7:$H$102,"Waived-Off-UAT")</f>
        <v>0</v>
      </c>
      <c r="G31" s="42">
        <f>COUNTIFS('Defect Sheet'!$B$7:$B$102,"5", 'Defect Sheet'!$H$7:$H$102,"Waived-Off-UAT")</f>
        <v>0</v>
      </c>
      <c r="H31" s="42">
        <f>COUNTIFS('Defect Sheet'!$B$7:$B$102,"6", 'Defect Sheet'!$H$7:$H$102,"Waived-Off-UAT")</f>
        <v>0</v>
      </c>
      <c r="I31" s="42">
        <f>COUNTIFS('Defect Sheet'!$B$7:$B$102,"7", 'Defect Sheet'!$H$7:$H$102,"Waived-Off-UAT")</f>
        <v>0</v>
      </c>
      <c r="J31" s="42">
        <f>COUNTIFS('Defect Sheet'!$B$7:$B$102,"8", 'Defect Sheet'!$H$7:$H$102,"Waived-Off-UAT")</f>
        <v>0</v>
      </c>
      <c r="K31" s="42">
        <f>COUNTIFS('Defect Sheet'!$B$7:$B$102,"9", 'Defect Sheet'!$H$7:$H$102,"Waived-Off-UAT")</f>
        <v>0</v>
      </c>
      <c r="L31" s="42">
        <f>COUNTIFS('Defect Sheet'!$B$7:$B$102,"10", 'Defect Sheet'!$H$7:$H$102,"Waived-Off-UAT")</f>
        <v>0</v>
      </c>
      <c r="M31" s="42">
        <f>COUNTIFS('Defect Sheet'!$B$7:$B$102,"11", 'Defect Sheet'!$H$7:$H$102,"Waived-Off-UAT")</f>
        <v>0</v>
      </c>
      <c r="N31" s="42">
        <f>COUNTIFS('Defect Sheet'!$B$7:$B$102,"12", 'Defect Sheet'!$H$7:$H$102,"Waived-Off-UAT")</f>
        <v>0</v>
      </c>
      <c r="O31" s="42">
        <f>COUNTIFS('Defect Sheet'!$B$7:$B$102,"13", 'Defect Sheet'!$H$7:$H$102,"Waived-Off-UAT")</f>
        <v>0</v>
      </c>
      <c r="P31" s="42">
        <f>COUNTIFS('Defect Sheet'!$B$7:$B$102,"14", 'Defect Sheet'!$H$7:$H$102,"Waived-Off-UAT")</f>
        <v>0</v>
      </c>
      <c r="Q31" s="42">
        <f>COUNTIFS('Defect Sheet'!$B$7:$B$102,"15", 'Defect Sheet'!$H$7:$H$102,"Waived-Off-UAT")</f>
        <v>0</v>
      </c>
      <c r="R31" s="41"/>
    </row>
    <row r="32" spans="1:18" s="39" customFormat="1" ht="15">
      <c r="A32" s="43"/>
      <c r="B32" s="40"/>
      <c r="C32" s="40"/>
      <c r="D32" s="40"/>
      <c r="E32" s="40"/>
      <c r="F32" s="40"/>
      <c r="G32" s="40"/>
      <c r="H32" s="40"/>
      <c r="I32" s="40"/>
      <c r="J32" s="40"/>
      <c r="K32" s="40"/>
      <c r="L32" s="40"/>
      <c r="M32" s="40"/>
      <c r="N32" s="40"/>
      <c r="O32" s="40"/>
      <c r="P32" s="40"/>
      <c r="Q32" s="40"/>
      <c r="R32" s="41"/>
    </row>
    <row r="33" spans="1:18" s="39" customFormat="1" ht="15.75" thickBot="1">
      <c r="A33" s="43"/>
      <c r="B33" s="40"/>
      <c r="C33" s="40"/>
      <c r="D33" s="40"/>
      <c r="E33" s="40"/>
      <c r="F33" s="40"/>
      <c r="G33" s="40"/>
      <c r="H33" s="40"/>
      <c r="I33" s="40"/>
      <c r="J33" s="40"/>
      <c r="K33" s="40"/>
      <c r="L33" s="40"/>
      <c r="M33" s="40"/>
      <c r="N33" s="40"/>
      <c r="O33" s="40"/>
      <c r="P33" s="40"/>
      <c r="Q33" s="40"/>
      <c r="R33" s="41"/>
    </row>
    <row r="34" spans="1:18" ht="15">
      <c r="A34" s="44"/>
      <c r="B34" s="15"/>
      <c r="C34" s="16"/>
      <c r="D34" s="16"/>
      <c r="E34" s="16"/>
      <c r="F34" s="16"/>
      <c r="G34" s="16"/>
      <c r="H34" s="16"/>
      <c r="I34" s="16"/>
      <c r="J34" s="17"/>
    </row>
    <row r="35" spans="1:18" ht="15">
      <c r="A35" s="44"/>
      <c r="B35" s="18" t="s">
        <v>145</v>
      </c>
      <c r="C35" s="10" t="s">
        <v>185</v>
      </c>
      <c r="D35" s="14"/>
      <c r="E35" s="14"/>
      <c r="F35" s="14"/>
      <c r="G35" s="14"/>
      <c r="H35" s="14"/>
      <c r="I35" s="14"/>
      <c r="J35" s="19"/>
    </row>
    <row r="36" spans="1:18" ht="15">
      <c r="A36" s="44"/>
      <c r="B36" s="20">
        <v>1</v>
      </c>
      <c r="C36" s="4">
        <f>COUNTIF('Defect Sheet'!$B$7:$B$99,"1")</f>
        <v>12</v>
      </c>
      <c r="D36" s="14"/>
      <c r="E36" s="14"/>
      <c r="F36" s="14"/>
      <c r="G36" s="14"/>
      <c r="H36" s="14"/>
      <c r="I36" s="14"/>
      <c r="J36" s="19"/>
    </row>
    <row r="37" spans="1:18" ht="15">
      <c r="A37" s="44"/>
      <c r="B37" s="20">
        <v>2</v>
      </c>
      <c r="C37" s="4">
        <f>COUNTIF('Defect Sheet'!$B$7:$B$99,"2")</f>
        <v>0</v>
      </c>
      <c r="D37" s="14"/>
      <c r="E37" s="14"/>
      <c r="F37" s="14"/>
      <c r="G37" s="14"/>
      <c r="H37" s="14"/>
      <c r="I37" s="14"/>
      <c r="J37" s="19"/>
    </row>
    <row r="38" spans="1:18" ht="15">
      <c r="A38" s="44"/>
      <c r="B38" s="20">
        <v>3</v>
      </c>
      <c r="C38" s="4">
        <f>COUNTIF('Defect Sheet'!$B$7:$B$99,"3")</f>
        <v>0</v>
      </c>
      <c r="D38" s="14"/>
      <c r="E38" s="14"/>
      <c r="F38" s="14"/>
      <c r="G38" s="14"/>
      <c r="H38" s="14"/>
      <c r="I38" s="14"/>
      <c r="J38" s="19"/>
    </row>
    <row r="39" spans="1:18" ht="15">
      <c r="A39" s="44"/>
      <c r="B39" s="20">
        <v>4</v>
      </c>
      <c r="C39" s="4">
        <f>COUNTIF('Defect Sheet'!$B$7:$B$99,"4")</f>
        <v>0</v>
      </c>
      <c r="D39" s="14"/>
      <c r="E39" s="14"/>
      <c r="F39" s="14"/>
      <c r="G39" s="14"/>
      <c r="H39" s="14"/>
      <c r="I39" s="14"/>
      <c r="J39" s="19"/>
    </row>
    <row r="40" spans="1:18" ht="15">
      <c r="A40" s="44"/>
      <c r="B40" s="20">
        <v>5</v>
      </c>
      <c r="C40" s="4">
        <f>COUNTIF('Defect Sheet'!$B$7:$B$99,"5")</f>
        <v>0</v>
      </c>
      <c r="D40" s="14"/>
      <c r="E40" s="14"/>
      <c r="F40" s="14"/>
      <c r="G40" s="14"/>
      <c r="H40" s="14"/>
      <c r="I40" s="14"/>
      <c r="J40" s="19"/>
    </row>
    <row r="41" spans="1:18" ht="15">
      <c r="A41" s="44"/>
      <c r="B41" s="20">
        <v>6</v>
      </c>
      <c r="C41" s="4">
        <f>COUNTIF('Defect Sheet'!$B$7:$B$99,"6")</f>
        <v>0</v>
      </c>
      <c r="D41" s="14"/>
      <c r="E41" s="14"/>
      <c r="F41" s="14"/>
      <c r="G41" s="14"/>
      <c r="H41" s="14"/>
      <c r="I41" s="14"/>
      <c r="J41" s="19"/>
    </row>
    <row r="42" spans="1:18" ht="15">
      <c r="A42" s="44">
        <v>4</v>
      </c>
      <c r="B42" s="20">
        <v>7</v>
      </c>
      <c r="C42" s="4">
        <f>COUNTIF('Defect Sheet'!$B$7:$B$99,"7")</f>
        <v>0</v>
      </c>
      <c r="D42" s="14"/>
      <c r="E42" s="14"/>
      <c r="F42" s="14"/>
      <c r="G42" s="14"/>
      <c r="H42" s="14"/>
      <c r="I42" s="14"/>
      <c r="J42" s="19"/>
    </row>
    <row r="43" spans="1:18" ht="15">
      <c r="A43" s="44"/>
      <c r="B43" s="20">
        <v>8</v>
      </c>
      <c r="C43" s="4">
        <f>COUNTIF('Defect Sheet'!$B$7:$B$99,"8")</f>
        <v>0</v>
      </c>
      <c r="D43" s="14"/>
      <c r="E43" s="14"/>
      <c r="F43" s="14"/>
      <c r="G43" s="14"/>
      <c r="H43" s="14"/>
      <c r="I43" s="14"/>
      <c r="J43" s="19"/>
    </row>
    <row r="44" spans="1:18" ht="15">
      <c r="A44" s="44"/>
      <c r="B44" s="20">
        <v>9</v>
      </c>
      <c r="C44" s="4">
        <f>COUNTIF('Defect Sheet'!$B$7:$B$99,"9")</f>
        <v>0</v>
      </c>
      <c r="D44" s="14"/>
      <c r="E44" s="14"/>
      <c r="F44" s="14"/>
      <c r="G44" s="14"/>
      <c r="H44" s="14"/>
      <c r="I44" s="14"/>
      <c r="J44" s="19"/>
    </row>
    <row r="45" spans="1:18" ht="15">
      <c r="A45" s="44"/>
      <c r="B45" s="20">
        <v>10</v>
      </c>
      <c r="C45" s="4">
        <f>COUNTIF('Defect Sheet'!$B$7:$B$99,"10")</f>
        <v>0</v>
      </c>
      <c r="D45" s="14"/>
      <c r="E45" s="14"/>
      <c r="F45" s="14"/>
      <c r="G45" s="14"/>
      <c r="H45" s="14"/>
      <c r="I45" s="14"/>
      <c r="J45" s="19"/>
    </row>
    <row r="46" spans="1:18" ht="15">
      <c r="A46" s="44"/>
      <c r="B46" s="20">
        <v>11</v>
      </c>
      <c r="C46" s="4">
        <f>COUNTIF('Defect Sheet'!$B$7:$B$99,"11")</f>
        <v>0</v>
      </c>
      <c r="D46" s="14"/>
      <c r="E46" s="14"/>
      <c r="F46" s="14"/>
      <c r="G46" s="14"/>
      <c r="H46" s="14"/>
      <c r="I46" s="14"/>
      <c r="J46" s="19"/>
    </row>
    <row r="47" spans="1:18" ht="15">
      <c r="A47" s="44"/>
      <c r="B47" s="20">
        <v>12</v>
      </c>
      <c r="C47" s="4">
        <f>COUNTIF('Defect Sheet'!$B$7:$B$99,"12")</f>
        <v>0</v>
      </c>
      <c r="D47" s="14"/>
      <c r="E47" s="14"/>
      <c r="F47" s="14"/>
      <c r="G47" s="14"/>
      <c r="H47" s="14"/>
      <c r="I47" s="14"/>
      <c r="J47" s="19"/>
    </row>
    <row r="48" spans="1:18" ht="15">
      <c r="A48" s="44"/>
      <c r="B48" s="20">
        <v>13</v>
      </c>
      <c r="C48" s="4">
        <f>COUNTIF('Defect Sheet'!$B$7:$B$99,"13")</f>
        <v>0</v>
      </c>
      <c r="D48" s="14"/>
      <c r="E48" s="14"/>
      <c r="F48" s="14"/>
      <c r="G48" s="14"/>
      <c r="H48" s="14"/>
      <c r="I48" s="14"/>
      <c r="J48" s="19"/>
    </row>
    <row r="49" spans="1:10" ht="15">
      <c r="A49" s="44"/>
      <c r="B49" s="20">
        <v>14</v>
      </c>
      <c r="C49" s="4">
        <f>COUNTIF('Defect Sheet'!$B$7:$B$99,"14")</f>
        <v>0</v>
      </c>
      <c r="D49" s="14"/>
      <c r="E49" s="14"/>
      <c r="F49" s="14"/>
      <c r="G49" s="14"/>
      <c r="H49" s="14"/>
      <c r="I49" s="14"/>
      <c r="J49" s="19"/>
    </row>
    <row r="50" spans="1:10" ht="15">
      <c r="A50" s="44"/>
      <c r="B50" s="20">
        <v>15</v>
      </c>
      <c r="C50" s="4">
        <f>COUNTIF('Defect Sheet'!$B$7:$B$99,"15")</f>
        <v>0</v>
      </c>
      <c r="D50" s="14"/>
      <c r="E50" s="14"/>
      <c r="F50" s="14"/>
      <c r="G50" s="14"/>
      <c r="H50" s="14"/>
      <c r="I50" s="14"/>
      <c r="J50" s="19"/>
    </row>
    <row r="51" spans="1:10" ht="15.75" thickBot="1">
      <c r="A51" s="44"/>
      <c r="B51" s="21"/>
      <c r="C51" s="22"/>
      <c r="D51" s="22"/>
      <c r="E51" s="22"/>
      <c r="F51" s="22"/>
      <c r="G51" s="22"/>
      <c r="H51" s="22"/>
      <c r="I51" s="22"/>
      <c r="J51" s="23"/>
    </row>
    <row r="52" spans="1:10" ht="15.75" thickBot="1">
      <c r="A52" s="44"/>
    </row>
    <row r="53" spans="1:10" ht="15">
      <c r="A53" s="44"/>
      <c r="B53" s="15"/>
      <c r="C53" s="16"/>
      <c r="D53" s="16"/>
      <c r="E53" s="16"/>
      <c r="F53" s="16"/>
      <c r="G53" s="16"/>
      <c r="H53" s="16"/>
      <c r="I53" s="16"/>
      <c r="J53" s="17"/>
    </row>
    <row r="54" spans="1:10" ht="15">
      <c r="A54" s="44"/>
      <c r="B54" s="24"/>
      <c r="C54" s="14"/>
      <c r="D54" s="14"/>
      <c r="E54" s="14"/>
      <c r="F54" s="14"/>
      <c r="G54" s="14"/>
      <c r="H54" s="14"/>
      <c r="I54" s="14"/>
      <c r="J54" s="19"/>
    </row>
    <row r="55" spans="1:10" ht="15">
      <c r="A55" s="44"/>
      <c r="B55" s="24"/>
      <c r="C55" s="14"/>
      <c r="D55" s="14"/>
      <c r="E55" s="14"/>
      <c r="F55" s="14"/>
      <c r="G55" s="14"/>
      <c r="H55" s="14"/>
      <c r="I55" s="14"/>
      <c r="J55" s="19"/>
    </row>
    <row r="56" spans="1:10" ht="15">
      <c r="A56" s="44"/>
      <c r="B56" s="24"/>
      <c r="C56" s="14"/>
      <c r="D56" s="14"/>
      <c r="E56" s="14"/>
      <c r="F56" s="14"/>
      <c r="G56" s="14"/>
      <c r="H56" s="14"/>
      <c r="I56" s="14"/>
      <c r="J56" s="19"/>
    </row>
    <row r="57" spans="1:10" ht="15">
      <c r="A57" s="44"/>
      <c r="B57" s="25" t="s">
        <v>165</v>
      </c>
      <c r="C57" s="13" t="s">
        <v>156</v>
      </c>
      <c r="D57" s="14"/>
      <c r="E57" s="14"/>
      <c r="F57" s="14"/>
      <c r="G57" s="14"/>
      <c r="H57" s="14"/>
      <c r="I57" s="14"/>
      <c r="J57" s="19"/>
    </row>
    <row r="58" spans="1:10" ht="15">
      <c r="A58" s="44">
        <v>5</v>
      </c>
      <c r="B58" s="26" t="s">
        <v>132</v>
      </c>
      <c r="C58" s="4">
        <f>COUNTIF('Defect Sheet'!$E$7:$E$99,"Content")</f>
        <v>1</v>
      </c>
      <c r="D58" s="14"/>
      <c r="E58" s="14"/>
      <c r="F58" s="14"/>
      <c r="G58" s="14"/>
      <c r="H58" s="14"/>
      <c r="I58" s="14"/>
      <c r="J58" s="19"/>
    </row>
    <row r="59" spans="1:10" ht="15">
      <c r="A59" s="44"/>
      <c r="B59" s="26" t="s">
        <v>245</v>
      </c>
      <c r="C59" s="4">
        <f>COUNTIF('Defect Sheet'!$E$7:$E$99,"Functionality")</f>
        <v>11</v>
      </c>
      <c r="D59" s="14"/>
      <c r="E59" s="14"/>
      <c r="F59" s="14"/>
      <c r="G59" s="14"/>
      <c r="H59" s="14"/>
      <c r="I59" s="14"/>
      <c r="J59" s="19"/>
    </row>
    <row r="60" spans="1:10" ht="15">
      <c r="A60" s="44"/>
      <c r="B60" s="26" t="s">
        <v>246</v>
      </c>
      <c r="C60" s="4">
        <f>COUNTIF('Defect Sheet'!$E$7:$E$99,"Graphics")</f>
        <v>0</v>
      </c>
      <c r="D60" s="14"/>
      <c r="E60" s="14"/>
      <c r="F60" s="14"/>
      <c r="G60" s="14"/>
      <c r="H60" s="14"/>
      <c r="I60" s="14"/>
      <c r="J60" s="19"/>
    </row>
    <row r="61" spans="1:10" ht="15">
      <c r="A61" s="44"/>
      <c r="B61" s="26" t="s">
        <v>247</v>
      </c>
      <c r="C61" s="4">
        <f>COUNTIF('Defect Sheet'!$E$7:$E$99,"Other")</f>
        <v>0</v>
      </c>
      <c r="D61" s="14"/>
      <c r="E61" s="14"/>
      <c r="F61" s="14"/>
      <c r="G61" s="14"/>
      <c r="H61" s="14"/>
      <c r="I61" s="14"/>
      <c r="J61" s="19"/>
    </row>
    <row r="62" spans="1:10" ht="15">
      <c r="A62" s="44"/>
      <c r="B62" s="24"/>
      <c r="C62" s="14"/>
      <c r="D62" s="14"/>
      <c r="E62" s="14"/>
      <c r="F62" s="14"/>
      <c r="G62" s="14"/>
      <c r="H62" s="14"/>
      <c r="I62" s="14"/>
      <c r="J62" s="19"/>
    </row>
    <row r="63" spans="1:10" ht="15">
      <c r="A63" s="44"/>
      <c r="B63" s="24"/>
      <c r="C63" s="14"/>
      <c r="D63" s="14"/>
      <c r="E63" s="14"/>
      <c r="F63" s="14"/>
      <c r="G63" s="14"/>
      <c r="H63" s="14"/>
      <c r="I63" s="14"/>
      <c r="J63" s="19"/>
    </row>
    <row r="64" spans="1:10" ht="15">
      <c r="A64" s="44"/>
      <c r="B64" s="24"/>
      <c r="C64" s="14"/>
      <c r="D64" s="14"/>
      <c r="E64" s="14"/>
      <c r="F64" s="14"/>
      <c r="G64" s="14"/>
      <c r="H64" s="14"/>
      <c r="I64" s="14"/>
      <c r="J64" s="19"/>
    </row>
    <row r="65" spans="1:10" ht="15">
      <c r="A65" s="44"/>
      <c r="B65" s="24"/>
      <c r="C65" s="14"/>
      <c r="D65" s="14"/>
      <c r="E65" s="14"/>
      <c r="F65" s="14"/>
      <c r="G65" s="14"/>
      <c r="H65" s="14"/>
      <c r="I65" s="14"/>
      <c r="J65" s="19"/>
    </row>
    <row r="66" spans="1:10" ht="15.75" thickBot="1">
      <c r="A66" s="44"/>
      <c r="B66" s="21"/>
      <c r="C66" s="22"/>
      <c r="D66" s="22"/>
      <c r="E66" s="22"/>
      <c r="F66" s="22"/>
      <c r="G66" s="22"/>
      <c r="H66" s="22"/>
      <c r="I66" s="22"/>
      <c r="J66" s="23"/>
    </row>
    <row r="67" spans="1:10" ht="15.75" thickBot="1">
      <c r="A67" s="44"/>
    </row>
    <row r="68" spans="1:10" ht="15">
      <c r="A68" s="44"/>
      <c r="B68" s="15"/>
      <c r="C68" s="16"/>
      <c r="D68" s="16"/>
      <c r="E68" s="16"/>
      <c r="F68" s="16"/>
      <c r="G68" s="16"/>
      <c r="H68" s="16"/>
      <c r="I68" s="16"/>
      <c r="J68" s="17"/>
    </row>
    <row r="69" spans="1:10" ht="15">
      <c r="A69" s="44"/>
      <c r="B69" s="24"/>
      <c r="C69" s="14"/>
      <c r="D69" s="14"/>
      <c r="E69" s="14"/>
      <c r="F69" s="14"/>
      <c r="G69" s="14"/>
      <c r="H69" s="14"/>
      <c r="I69" s="14"/>
      <c r="J69" s="19"/>
    </row>
    <row r="70" spans="1:10" ht="15">
      <c r="A70" s="44"/>
      <c r="B70" s="24"/>
      <c r="C70" s="14"/>
      <c r="D70" s="14"/>
      <c r="E70" s="14"/>
      <c r="F70" s="14"/>
      <c r="G70" s="14"/>
      <c r="H70" s="14"/>
      <c r="I70" s="14"/>
      <c r="J70" s="19"/>
    </row>
    <row r="71" spans="1:10" ht="15">
      <c r="A71" s="44"/>
      <c r="B71" s="24"/>
      <c r="C71" s="14"/>
      <c r="D71" s="14"/>
      <c r="E71" s="14"/>
      <c r="F71" s="14"/>
      <c r="G71" s="14"/>
      <c r="H71" s="14"/>
      <c r="I71" s="14"/>
      <c r="J71" s="19"/>
    </row>
    <row r="72" spans="1:10" ht="15">
      <c r="A72" s="44"/>
      <c r="B72" s="24"/>
      <c r="C72" s="14"/>
      <c r="D72" s="14"/>
      <c r="E72" s="14"/>
      <c r="F72" s="14"/>
      <c r="G72" s="14"/>
      <c r="H72" s="14"/>
      <c r="I72" s="14"/>
      <c r="J72" s="19"/>
    </row>
    <row r="73" spans="1:10" ht="15">
      <c r="A73" s="44"/>
      <c r="B73" s="25" t="s">
        <v>169</v>
      </c>
      <c r="C73" s="10" t="s">
        <v>156</v>
      </c>
      <c r="D73" s="14"/>
      <c r="E73" s="14"/>
      <c r="F73" s="14"/>
      <c r="G73" s="14"/>
      <c r="H73" s="14"/>
      <c r="I73" s="14"/>
      <c r="J73" s="19"/>
    </row>
    <row r="74" spans="1:10" ht="15">
      <c r="A74" s="44"/>
      <c r="B74" s="20" t="s">
        <v>170</v>
      </c>
      <c r="C74" s="4">
        <f>COUNTIF('Defect Sheet'!$F$7:$F$99,"Low")</f>
        <v>0</v>
      </c>
      <c r="D74" s="14"/>
      <c r="E74" s="14"/>
      <c r="F74" s="14"/>
      <c r="G74" s="14"/>
      <c r="H74" s="14"/>
      <c r="I74" s="14"/>
      <c r="J74" s="19"/>
    </row>
    <row r="75" spans="1:10" ht="15">
      <c r="A75" s="44">
        <v>6</v>
      </c>
      <c r="B75" s="20" t="s">
        <v>171</v>
      </c>
      <c r="C75" s="4">
        <f>COUNTIF('Defect Sheet'!$F$7:$F$99,"Medium")</f>
        <v>0</v>
      </c>
      <c r="D75" s="14"/>
      <c r="E75" s="14"/>
      <c r="F75" s="14"/>
      <c r="G75" s="14"/>
      <c r="H75" s="14"/>
      <c r="I75" s="14"/>
      <c r="J75" s="19"/>
    </row>
    <row r="76" spans="1:10" ht="15">
      <c r="A76" s="44"/>
      <c r="B76" s="20" t="s">
        <v>172</v>
      </c>
      <c r="C76" s="4">
        <f>COUNTIF('Defect Sheet'!$F$7:$F$99,"High")</f>
        <v>0</v>
      </c>
      <c r="D76" s="14"/>
      <c r="E76" s="14"/>
      <c r="F76" s="14"/>
      <c r="G76" s="14"/>
      <c r="H76" s="14"/>
      <c r="I76" s="14"/>
      <c r="J76" s="19"/>
    </row>
    <row r="77" spans="1:10" ht="15">
      <c r="A77" s="44"/>
      <c r="B77" s="24"/>
      <c r="C77" s="14"/>
      <c r="D77" s="14"/>
      <c r="E77" s="14"/>
      <c r="F77" s="14"/>
      <c r="G77" s="14"/>
      <c r="H77" s="14"/>
      <c r="I77" s="14"/>
      <c r="J77" s="19"/>
    </row>
    <row r="78" spans="1:10" ht="15">
      <c r="A78" s="44"/>
      <c r="B78" s="24"/>
      <c r="C78" s="14"/>
      <c r="D78" s="14"/>
      <c r="E78" s="14"/>
      <c r="F78" s="14"/>
      <c r="G78" s="14"/>
      <c r="H78" s="14"/>
      <c r="I78" s="14"/>
      <c r="J78" s="19"/>
    </row>
    <row r="79" spans="1:10" ht="15">
      <c r="A79" s="44"/>
      <c r="B79" s="24"/>
      <c r="C79" s="14"/>
      <c r="D79" s="14"/>
      <c r="E79" s="14"/>
      <c r="F79" s="14"/>
      <c r="G79" s="14"/>
      <c r="H79" s="14"/>
      <c r="I79" s="14"/>
      <c r="J79" s="19"/>
    </row>
    <row r="80" spans="1:10" ht="15">
      <c r="A80" s="44"/>
      <c r="B80" s="24"/>
      <c r="C80" s="14"/>
      <c r="D80" s="14"/>
      <c r="E80" s="14"/>
      <c r="F80" s="14"/>
      <c r="G80" s="14"/>
      <c r="H80" s="14"/>
      <c r="I80" s="14"/>
      <c r="J80" s="19"/>
    </row>
    <row r="81" spans="1:10" ht="15">
      <c r="A81" s="44"/>
      <c r="B81" s="24"/>
      <c r="C81" s="14"/>
      <c r="D81" s="14"/>
      <c r="E81" s="14"/>
      <c r="F81" s="14"/>
      <c r="G81" s="14"/>
      <c r="H81" s="14"/>
      <c r="I81" s="14"/>
      <c r="J81" s="19"/>
    </row>
    <row r="82" spans="1:10" ht="15.75" thickBot="1">
      <c r="A82" s="44"/>
      <c r="B82" s="21"/>
      <c r="C82" s="22"/>
      <c r="D82" s="22"/>
      <c r="E82" s="22"/>
      <c r="F82" s="22"/>
      <c r="G82" s="22"/>
      <c r="H82" s="22"/>
      <c r="I82" s="22"/>
      <c r="J82" s="23"/>
    </row>
    <row r="83" spans="1:10" ht="15.75" thickBot="1">
      <c r="A83" s="44"/>
    </row>
    <row r="84" spans="1:10" ht="15">
      <c r="A84" s="44"/>
      <c r="B84" s="15"/>
      <c r="C84" s="16"/>
      <c r="D84" s="16"/>
      <c r="E84" s="16"/>
      <c r="F84" s="16"/>
      <c r="G84" s="16"/>
      <c r="H84" s="16"/>
      <c r="I84" s="16"/>
      <c r="J84" s="17"/>
    </row>
    <row r="85" spans="1:10" ht="15">
      <c r="A85" s="44"/>
      <c r="B85" s="24"/>
      <c r="C85" s="14"/>
      <c r="D85" s="14"/>
      <c r="E85" s="14"/>
      <c r="F85" s="14"/>
      <c r="G85" s="14"/>
      <c r="H85" s="14"/>
      <c r="I85" s="14"/>
      <c r="J85" s="19"/>
    </row>
    <row r="86" spans="1:10" ht="15">
      <c r="A86" s="44"/>
      <c r="B86" s="24"/>
      <c r="C86" s="14"/>
      <c r="D86" s="14"/>
      <c r="E86" s="14"/>
      <c r="F86" s="14"/>
      <c r="G86" s="14"/>
      <c r="H86" s="14"/>
      <c r="I86" s="14"/>
      <c r="J86" s="19"/>
    </row>
    <row r="87" spans="1:10" ht="15">
      <c r="A87" s="44"/>
      <c r="B87" s="24"/>
      <c r="C87" s="14"/>
      <c r="D87" s="14"/>
      <c r="E87" s="14"/>
      <c r="F87" s="14"/>
      <c r="G87" s="14"/>
      <c r="H87" s="14"/>
      <c r="I87" s="14"/>
      <c r="J87" s="19"/>
    </row>
    <row r="88" spans="1:10" ht="15">
      <c r="A88" s="44"/>
      <c r="B88" s="25" t="s">
        <v>166</v>
      </c>
      <c r="C88" s="10" t="s">
        <v>156</v>
      </c>
      <c r="D88" s="14"/>
      <c r="E88" s="14"/>
      <c r="F88" s="14"/>
      <c r="G88" s="14"/>
      <c r="H88" s="14"/>
      <c r="I88" s="14"/>
      <c r="J88" s="19"/>
    </row>
    <row r="89" spans="1:10" ht="15">
      <c r="A89" s="44"/>
      <c r="B89" s="20" t="s">
        <v>43</v>
      </c>
      <c r="C89" s="4">
        <f>COUNTIF('Defect Sheet'!$G$7:$G$99,"Critical")</f>
        <v>0</v>
      </c>
      <c r="D89" s="14"/>
      <c r="E89" s="14"/>
      <c r="F89" s="14"/>
      <c r="G89" s="14"/>
      <c r="H89" s="14"/>
      <c r="I89" s="14"/>
      <c r="J89" s="19"/>
    </row>
    <row r="90" spans="1:10" ht="15">
      <c r="A90" s="44">
        <v>7</v>
      </c>
      <c r="B90" s="20" t="s">
        <v>31</v>
      </c>
      <c r="C90" s="4">
        <f>COUNTIF('Defect Sheet'!$G$7:$G$99,"Major")</f>
        <v>5</v>
      </c>
      <c r="D90" s="14"/>
      <c r="E90" s="14"/>
      <c r="F90" s="14"/>
      <c r="G90" s="14"/>
      <c r="H90" s="14"/>
      <c r="I90" s="14"/>
      <c r="J90" s="19"/>
    </row>
    <row r="91" spans="1:10" ht="15">
      <c r="A91" s="44"/>
      <c r="B91" s="20" t="s">
        <v>34</v>
      </c>
      <c r="C91" s="4">
        <f>COUNTIF('Defect Sheet'!$G$7:$G$99,"Moderate")</f>
        <v>5</v>
      </c>
      <c r="D91" s="14"/>
      <c r="E91" s="14"/>
      <c r="F91" s="14"/>
      <c r="G91" s="14"/>
      <c r="H91" s="14"/>
      <c r="I91" s="14"/>
      <c r="J91" s="19"/>
    </row>
    <row r="92" spans="1:10" ht="15">
      <c r="A92" s="44"/>
      <c r="B92" s="20" t="s">
        <v>28</v>
      </c>
      <c r="C92" s="4">
        <f>COUNTIF('Defect Sheet'!$G$7:$G$99,"Minor")</f>
        <v>2</v>
      </c>
      <c r="D92" s="14"/>
      <c r="E92" s="14"/>
      <c r="F92" s="14"/>
      <c r="G92" s="14"/>
      <c r="H92" s="14"/>
      <c r="I92" s="14"/>
      <c r="J92" s="19"/>
    </row>
    <row r="93" spans="1:10" ht="15">
      <c r="A93" s="44"/>
      <c r="B93" s="20" t="s">
        <v>37</v>
      </c>
      <c r="C93" s="4">
        <f>COUNTIF('Defect Sheet'!$G$7:$G$99,"Cosmetic")</f>
        <v>0</v>
      </c>
      <c r="D93" s="14"/>
      <c r="E93" s="14"/>
      <c r="F93" s="14"/>
      <c r="G93" s="14"/>
      <c r="H93" s="14"/>
      <c r="I93" s="14"/>
      <c r="J93" s="19"/>
    </row>
    <row r="94" spans="1:10" ht="15">
      <c r="A94" s="44"/>
      <c r="B94" s="24"/>
      <c r="C94" s="14"/>
      <c r="D94" s="14"/>
      <c r="E94" s="14"/>
      <c r="F94" s="14"/>
      <c r="G94" s="14"/>
      <c r="H94" s="14"/>
      <c r="I94" s="14"/>
      <c r="J94" s="19"/>
    </row>
    <row r="95" spans="1:10" ht="15">
      <c r="A95" s="44"/>
      <c r="B95" s="24"/>
      <c r="C95" s="14"/>
      <c r="D95" s="14"/>
      <c r="E95" s="14"/>
      <c r="F95" s="14"/>
      <c r="G95" s="14"/>
      <c r="H95" s="14"/>
      <c r="I95" s="14"/>
      <c r="J95" s="19"/>
    </row>
    <row r="96" spans="1:10" ht="15">
      <c r="A96" s="44"/>
      <c r="B96" s="24"/>
      <c r="C96" s="14"/>
      <c r="D96" s="14"/>
      <c r="E96" s="14"/>
      <c r="F96" s="14"/>
      <c r="G96" s="14"/>
      <c r="H96" s="14"/>
      <c r="I96" s="14"/>
      <c r="J96" s="19"/>
    </row>
    <row r="97" spans="1:10" ht="15">
      <c r="A97" s="44"/>
      <c r="B97" s="24"/>
      <c r="C97" s="14"/>
      <c r="D97" s="14"/>
      <c r="E97" s="14"/>
      <c r="F97" s="14"/>
      <c r="G97" s="14"/>
      <c r="H97" s="14"/>
      <c r="I97" s="14"/>
      <c r="J97" s="19"/>
    </row>
    <row r="98" spans="1:10" ht="15.75" thickBot="1">
      <c r="A98" s="44"/>
      <c r="B98" s="21"/>
      <c r="C98" s="22"/>
      <c r="D98" s="22"/>
      <c r="E98" s="22"/>
      <c r="F98" s="22"/>
      <c r="G98" s="22"/>
      <c r="H98" s="22"/>
      <c r="I98" s="22"/>
      <c r="J98" s="23"/>
    </row>
    <row r="99" spans="1:10" ht="15.75" thickBot="1">
      <c r="A99" s="44"/>
    </row>
    <row r="100" spans="1:10" ht="15">
      <c r="A100" s="44"/>
      <c r="B100" s="15"/>
      <c r="C100" s="16"/>
      <c r="D100" s="16"/>
      <c r="E100" s="16"/>
      <c r="F100" s="16"/>
      <c r="G100" s="16"/>
      <c r="H100" s="16"/>
      <c r="I100" s="16"/>
      <c r="J100" s="17"/>
    </row>
    <row r="101" spans="1:10" ht="15">
      <c r="A101" s="44"/>
      <c r="B101" s="24"/>
      <c r="C101" s="14"/>
      <c r="D101" s="14"/>
      <c r="E101" s="14"/>
      <c r="F101" s="14"/>
      <c r="G101" s="14"/>
      <c r="H101" s="14"/>
      <c r="I101" s="14"/>
      <c r="J101" s="19"/>
    </row>
    <row r="102" spans="1:10" ht="15">
      <c r="A102" s="44"/>
      <c r="B102" s="24"/>
      <c r="C102" s="14"/>
      <c r="D102" s="14"/>
      <c r="E102" s="14"/>
      <c r="F102" s="14"/>
      <c r="G102" s="14"/>
      <c r="H102" s="14"/>
      <c r="I102" s="14"/>
      <c r="J102" s="19"/>
    </row>
    <row r="103" spans="1:10" ht="15">
      <c r="A103" s="44"/>
      <c r="B103" s="24"/>
      <c r="C103" s="14"/>
      <c r="D103" s="14"/>
      <c r="E103" s="14"/>
      <c r="F103" s="14"/>
      <c r="G103" s="14"/>
      <c r="H103" s="14"/>
      <c r="I103" s="14"/>
      <c r="J103" s="19"/>
    </row>
    <row r="104" spans="1:10" ht="15">
      <c r="A104" s="44"/>
      <c r="B104" s="25" t="s">
        <v>160</v>
      </c>
      <c r="C104" s="10" t="s">
        <v>156</v>
      </c>
      <c r="D104" s="14"/>
      <c r="E104" s="14"/>
      <c r="F104" s="14"/>
      <c r="G104" s="14"/>
      <c r="H104" s="14"/>
      <c r="I104" s="14"/>
      <c r="J104" s="19"/>
    </row>
    <row r="105" spans="1:10" ht="15">
      <c r="A105" s="44"/>
      <c r="B105" s="20" t="s">
        <v>177</v>
      </c>
      <c r="C105" s="4">
        <f>COUNTIF('Defect Sheet'!$I$7:$I$99,"Joe")</f>
        <v>0</v>
      </c>
      <c r="D105" s="14"/>
      <c r="E105" s="14"/>
      <c r="F105" s="14"/>
      <c r="G105" s="14"/>
      <c r="H105" s="14"/>
      <c r="I105" s="14"/>
      <c r="J105" s="19"/>
    </row>
    <row r="106" spans="1:10" ht="15">
      <c r="A106" s="44"/>
      <c r="B106" s="20" t="s">
        <v>178</v>
      </c>
      <c r="C106" s="4">
        <f>COUNTIF('Defect Sheet'!$I$7:$I$99,"Ravi")</f>
        <v>0</v>
      </c>
      <c r="D106" s="14"/>
      <c r="E106" s="14"/>
      <c r="F106" s="14"/>
      <c r="G106" s="14"/>
      <c r="H106" s="14"/>
      <c r="I106" s="14"/>
      <c r="J106" s="19"/>
    </row>
    <row r="107" spans="1:10" ht="15">
      <c r="A107" s="44">
        <v>8</v>
      </c>
      <c r="B107" s="20" t="s">
        <v>181</v>
      </c>
      <c r="C107" s="4">
        <f>COUNTIF('Defect Sheet'!$I$7:$I$99,"Muthu")</f>
        <v>4</v>
      </c>
      <c r="D107" s="14"/>
      <c r="E107" s="14"/>
      <c r="F107" s="14"/>
      <c r="G107" s="14"/>
      <c r="H107" s="14"/>
      <c r="I107" s="14"/>
      <c r="J107" s="19"/>
    </row>
    <row r="108" spans="1:10" ht="15">
      <c r="A108" s="44"/>
      <c r="B108" s="20" t="s">
        <v>179</v>
      </c>
      <c r="C108" s="4">
        <f>COUNTIF('Defect Sheet'!$I$7:$I$99,"Silas")</f>
        <v>0</v>
      </c>
      <c r="D108" s="14"/>
      <c r="E108" s="14"/>
      <c r="F108" s="14"/>
      <c r="G108" s="14"/>
      <c r="H108" s="14"/>
      <c r="I108" s="14"/>
      <c r="J108" s="19"/>
    </row>
    <row r="109" spans="1:10" ht="15">
      <c r="A109" s="44"/>
      <c r="B109" s="20" t="s">
        <v>182</v>
      </c>
      <c r="C109" s="4">
        <f>COUNTIF('Defect Sheet'!$I$7:$I$99,"Surya")</f>
        <v>0</v>
      </c>
      <c r="D109" s="14"/>
      <c r="E109" s="14"/>
      <c r="F109" s="14"/>
      <c r="G109" s="14"/>
      <c r="H109" s="14"/>
      <c r="I109" s="14"/>
      <c r="J109" s="19"/>
    </row>
    <row r="110" spans="1:10" ht="15">
      <c r="A110" s="44"/>
      <c r="B110" s="20" t="s">
        <v>180</v>
      </c>
      <c r="C110" s="4">
        <f>COUNTIF('Defect Sheet'!$I$7:$I$99,"Gopi")</f>
        <v>0</v>
      </c>
      <c r="D110" s="14"/>
      <c r="E110" s="14"/>
      <c r="F110" s="14"/>
      <c r="G110" s="14"/>
      <c r="H110" s="14"/>
      <c r="I110" s="14"/>
      <c r="J110" s="19"/>
    </row>
    <row r="111" spans="1:10" ht="15">
      <c r="A111" s="44"/>
      <c r="B111" s="24"/>
      <c r="C111" s="14"/>
      <c r="D111" s="14"/>
      <c r="E111" s="14"/>
      <c r="F111" s="14"/>
      <c r="G111" s="14"/>
      <c r="H111" s="14"/>
      <c r="I111" s="14"/>
      <c r="J111" s="19"/>
    </row>
    <row r="112" spans="1:10" ht="15">
      <c r="A112" s="44"/>
      <c r="B112" s="24"/>
      <c r="C112" s="14"/>
      <c r="D112" s="14"/>
      <c r="E112" s="14"/>
      <c r="F112" s="14"/>
      <c r="G112" s="14"/>
      <c r="H112" s="14"/>
      <c r="I112" s="14"/>
      <c r="J112" s="19"/>
    </row>
    <row r="113" spans="1:10" ht="15">
      <c r="A113" s="44"/>
      <c r="B113" s="24"/>
      <c r="C113" s="14"/>
      <c r="D113" s="14"/>
      <c r="E113" s="14"/>
      <c r="F113" s="14"/>
      <c r="G113" s="14"/>
      <c r="H113" s="14"/>
      <c r="I113" s="14"/>
      <c r="J113" s="19"/>
    </row>
    <row r="114" spans="1:10" ht="15.75" thickBot="1">
      <c r="A114" s="44"/>
      <c r="B114" s="21"/>
      <c r="C114" s="22"/>
      <c r="D114" s="22"/>
      <c r="E114" s="22"/>
      <c r="F114" s="22"/>
      <c r="G114" s="22"/>
      <c r="H114" s="22"/>
      <c r="I114" s="22"/>
      <c r="J114" s="23"/>
    </row>
  </sheetData>
  <sheetProtection password="EE46" sheet="1" objects="1" scenarios="1"/>
  <mergeCells count="8">
    <mergeCell ref="B19:Q19"/>
    <mergeCell ref="A1:I1"/>
    <mergeCell ref="B10:Q10"/>
    <mergeCell ref="A10:A16"/>
    <mergeCell ref="A5:A7"/>
    <mergeCell ref="B5:Q5"/>
    <mergeCell ref="B3:Q3"/>
    <mergeCell ref="D13:D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6"/>
  <sheetViews>
    <sheetView showGridLines="0" topLeftCell="C1" zoomScaleNormal="100" workbookViewId="0">
      <selection activeCell="F9" sqref="F9:F13"/>
    </sheetView>
  </sheetViews>
  <sheetFormatPr defaultRowHeight="14.25"/>
  <cols>
    <col min="1" max="1" width="9" style="48"/>
    <col min="2" max="2" width="41" style="48" customWidth="1"/>
    <col min="3" max="3" width="74.25" style="48" customWidth="1"/>
    <col min="4" max="4" width="12.75" style="48" customWidth="1"/>
    <col min="5" max="5" width="16.875" style="48" customWidth="1"/>
    <col min="6" max="6" width="22.5" style="48" customWidth="1"/>
    <col min="7" max="7" width="33.25" style="48" customWidth="1"/>
    <col min="8" max="8" width="10.25" style="48" bestFit="1" customWidth="1"/>
    <col min="9" max="16384" width="9" style="48"/>
  </cols>
  <sheetData>
    <row r="2" spans="1:7">
      <c r="A2" s="45"/>
      <c r="B2" s="46" t="s">
        <v>18</v>
      </c>
      <c r="C2" s="47"/>
      <c r="D2" s="45"/>
      <c r="E2" s="45"/>
      <c r="F2" s="45"/>
      <c r="G2" s="45"/>
    </row>
    <row r="3" spans="1:7">
      <c r="A3" s="45"/>
      <c r="B3" s="46" t="s">
        <v>19</v>
      </c>
      <c r="C3" s="47"/>
      <c r="D3" s="45"/>
      <c r="E3" s="45"/>
      <c r="F3" s="45"/>
      <c r="G3" s="45"/>
    </row>
    <row r="4" spans="1:7">
      <c r="A4" s="45"/>
      <c r="B4" s="46" t="s">
        <v>20</v>
      </c>
      <c r="C4" s="47"/>
      <c r="D4" s="45"/>
      <c r="E4" s="45"/>
      <c r="F4" s="45"/>
      <c r="G4" s="45"/>
    </row>
    <row r="5" spans="1:7">
      <c r="A5" s="45"/>
      <c r="B5" s="46" t="s">
        <v>9</v>
      </c>
      <c r="C5" s="47"/>
      <c r="D5" s="45"/>
      <c r="E5" s="45"/>
      <c r="F5" s="45"/>
      <c r="G5" s="45"/>
    </row>
    <row r="6" spans="1:7">
      <c r="A6" s="45"/>
      <c r="B6" s="46" t="s">
        <v>21</v>
      </c>
      <c r="C6" s="47"/>
      <c r="D6" s="45"/>
      <c r="E6" s="45"/>
      <c r="F6" s="45"/>
      <c r="G6" s="45"/>
    </row>
    <row r="7" spans="1:7">
      <c r="A7" s="49"/>
      <c r="B7" s="49"/>
      <c r="C7" s="49"/>
      <c r="D7" s="49"/>
      <c r="E7" s="49"/>
      <c r="F7" s="49"/>
      <c r="G7" s="49"/>
    </row>
    <row r="8" spans="1:7">
      <c r="A8" s="57"/>
      <c r="B8" s="57" t="s">
        <v>23</v>
      </c>
      <c r="C8" s="57" t="s">
        <v>24</v>
      </c>
      <c r="D8" s="57" t="s">
        <v>25</v>
      </c>
      <c r="E8" s="57" t="s">
        <v>130</v>
      </c>
      <c r="F8" s="50" t="s">
        <v>10</v>
      </c>
      <c r="G8" s="50" t="s">
        <v>26</v>
      </c>
    </row>
    <row r="9" spans="1:7" ht="94.5" customHeight="1">
      <c r="A9" s="58">
        <v>1</v>
      </c>
      <c r="B9" s="58" t="s">
        <v>27</v>
      </c>
      <c r="C9" s="59" t="s">
        <v>129</v>
      </c>
      <c r="D9" s="60" t="s">
        <v>28</v>
      </c>
      <c r="E9" s="60" t="s">
        <v>131</v>
      </c>
      <c r="F9" s="51"/>
      <c r="G9" s="51"/>
    </row>
    <row r="10" spans="1:7" ht="126" customHeight="1">
      <c r="A10" s="58">
        <v>2</v>
      </c>
      <c r="B10" s="58" t="s">
        <v>29</v>
      </c>
      <c r="C10" s="59" t="s">
        <v>30</v>
      </c>
      <c r="D10" s="60" t="s">
        <v>37</v>
      </c>
      <c r="E10" s="60" t="s">
        <v>131</v>
      </c>
      <c r="F10" s="51"/>
      <c r="G10" s="51"/>
    </row>
    <row r="11" spans="1:7" ht="18" customHeight="1">
      <c r="A11" s="58">
        <v>3</v>
      </c>
      <c r="B11" s="58" t="s">
        <v>32</v>
      </c>
      <c r="C11" s="59" t="s">
        <v>33</v>
      </c>
      <c r="D11" s="60" t="s">
        <v>34</v>
      </c>
      <c r="E11" s="60" t="s">
        <v>131</v>
      </c>
      <c r="F11" s="51"/>
      <c r="G11" s="51"/>
    </row>
    <row r="12" spans="1:7" ht="176.25" customHeight="1">
      <c r="A12" s="58">
        <v>4</v>
      </c>
      <c r="B12" s="58" t="s">
        <v>35</v>
      </c>
      <c r="C12" s="61" t="s">
        <v>36</v>
      </c>
      <c r="D12" s="60" t="s">
        <v>37</v>
      </c>
      <c r="E12" s="60" t="s">
        <v>131</v>
      </c>
      <c r="F12" s="51"/>
      <c r="G12" s="51"/>
    </row>
    <row r="13" spans="1:7" ht="312" customHeight="1">
      <c r="A13" s="58">
        <v>5</v>
      </c>
      <c r="B13" s="58" t="s">
        <v>38</v>
      </c>
      <c r="C13" s="61" t="s">
        <v>39</v>
      </c>
      <c r="D13" s="60" t="s">
        <v>37</v>
      </c>
      <c r="E13" s="60" t="s">
        <v>131</v>
      </c>
      <c r="F13" s="51"/>
      <c r="G13" s="51"/>
    </row>
    <row r="14" spans="1:7" ht="213.75" customHeight="1">
      <c r="A14" s="58">
        <v>6</v>
      </c>
      <c r="B14" s="58" t="s">
        <v>40</v>
      </c>
      <c r="C14" s="61" t="s">
        <v>41</v>
      </c>
      <c r="D14" s="60" t="s">
        <v>37</v>
      </c>
      <c r="E14" s="60" t="s">
        <v>131</v>
      </c>
      <c r="F14" s="51"/>
      <c r="G14" s="51"/>
    </row>
    <row r="15" spans="1:7" ht="38.25" customHeight="1">
      <c r="A15" s="58">
        <v>7</v>
      </c>
      <c r="B15" s="58" t="s">
        <v>152</v>
      </c>
      <c r="C15" s="61" t="s">
        <v>42</v>
      </c>
      <c r="D15" s="60" t="s">
        <v>34</v>
      </c>
      <c r="E15" s="60" t="s">
        <v>132</v>
      </c>
      <c r="F15" s="51"/>
      <c r="G15" s="51"/>
    </row>
    <row r="16" spans="1:7" ht="170.25" customHeight="1">
      <c r="A16" s="58">
        <v>8</v>
      </c>
      <c r="B16" s="58" t="s">
        <v>44</v>
      </c>
      <c r="C16" s="58" t="s">
        <v>186</v>
      </c>
      <c r="D16" s="60" t="s">
        <v>34</v>
      </c>
      <c r="E16" s="60" t="s">
        <v>132</v>
      </c>
      <c r="F16" s="51"/>
      <c r="G16" s="51"/>
    </row>
    <row r="17" spans="1:7" ht="49.5" customHeight="1">
      <c r="A17" s="58">
        <v>9</v>
      </c>
      <c r="B17" s="58" t="s">
        <v>45</v>
      </c>
      <c r="C17" s="61" t="s">
        <v>46</v>
      </c>
      <c r="D17" s="60" t="s">
        <v>34</v>
      </c>
      <c r="E17" s="60" t="s">
        <v>131</v>
      </c>
      <c r="F17" s="51"/>
      <c r="G17" s="51"/>
    </row>
    <row r="18" spans="1:7" ht="67.5" customHeight="1">
      <c r="A18" s="58">
        <v>10</v>
      </c>
      <c r="B18" s="58" t="s">
        <v>47</v>
      </c>
      <c r="C18" s="61" t="s">
        <v>48</v>
      </c>
      <c r="D18" s="60" t="s">
        <v>31</v>
      </c>
      <c r="E18" s="60" t="s">
        <v>132</v>
      </c>
      <c r="F18" s="51"/>
      <c r="G18" s="51"/>
    </row>
    <row r="19" spans="1:7" ht="70.5" customHeight="1">
      <c r="A19" s="58">
        <v>11</v>
      </c>
      <c r="B19" s="58" t="s">
        <v>47</v>
      </c>
      <c r="C19" s="61" t="s">
        <v>49</v>
      </c>
      <c r="D19" s="60" t="s">
        <v>31</v>
      </c>
      <c r="E19" s="60" t="s">
        <v>132</v>
      </c>
      <c r="F19" s="51"/>
      <c r="G19" s="51"/>
    </row>
    <row r="20" spans="1:7" ht="51.75" customHeight="1">
      <c r="A20" s="58">
        <v>12</v>
      </c>
      <c r="B20" s="62" t="s">
        <v>50</v>
      </c>
      <c r="C20" s="63" t="s">
        <v>51</v>
      </c>
      <c r="D20" s="60" t="s">
        <v>31</v>
      </c>
      <c r="E20" s="60" t="s">
        <v>133</v>
      </c>
      <c r="F20" s="51"/>
      <c r="G20" s="52"/>
    </row>
    <row r="21" spans="1:7" ht="66.75" customHeight="1">
      <c r="A21" s="58">
        <v>13</v>
      </c>
      <c r="B21" s="62" t="s">
        <v>52</v>
      </c>
      <c r="C21" s="63" t="s">
        <v>51</v>
      </c>
      <c r="D21" s="60" t="s">
        <v>31</v>
      </c>
      <c r="E21" s="60" t="s">
        <v>133</v>
      </c>
      <c r="F21" s="51"/>
      <c r="G21" s="52"/>
    </row>
    <row r="22" spans="1:7" ht="66.75" customHeight="1">
      <c r="A22" s="58">
        <v>14</v>
      </c>
      <c r="B22" s="62" t="s">
        <v>53</v>
      </c>
      <c r="C22" s="63" t="s">
        <v>54</v>
      </c>
      <c r="D22" s="60" t="s">
        <v>31</v>
      </c>
      <c r="E22" s="60" t="s">
        <v>133</v>
      </c>
      <c r="F22" s="51"/>
      <c r="G22" s="52"/>
    </row>
    <row r="23" spans="1:7" ht="39" customHeight="1">
      <c r="A23" s="58">
        <v>15</v>
      </c>
      <c r="B23" s="62" t="s">
        <v>55</v>
      </c>
      <c r="C23" s="63" t="s">
        <v>56</v>
      </c>
      <c r="D23" s="60" t="s">
        <v>31</v>
      </c>
      <c r="E23" s="60" t="s">
        <v>131</v>
      </c>
      <c r="F23" s="51"/>
      <c r="G23" s="52"/>
    </row>
    <row r="24" spans="1:7" ht="21.75" customHeight="1">
      <c r="A24" s="58">
        <v>16</v>
      </c>
      <c r="B24" s="62" t="s">
        <v>134</v>
      </c>
      <c r="C24" s="63" t="s">
        <v>57</v>
      </c>
      <c r="D24" s="60" t="s">
        <v>37</v>
      </c>
      <c r="E24" s="60" t="s">
        <v>135</v>
      </c>
      <c r="F24" s="51"/>
      <c r="G24" s="52"/>
    </row>
    <row r="25" spans="1:7" ht="38.25">
      <c r="A25" s="58">
        <v>17</v>
      </c>
      <c r="B25" s="62" t="s">
        <v>58</v>
      </c>
      <c r="C25" s="63" t="s">
        <v>59</v>
      </c>
      <c r="D25" s="60" t="s">
        <v>37</v>
      </c>
      <c r="E25" s="60" t="s">
        <v>131</v>
      </c>
      <c r="F25" s="51"/>
      <c r="G25" s="52"/>
    </row>
    <row r="26" spans="1:7" ht="73.5" customHeight="1">
      <c r="A26" s="58">
        <v>18</v>
      </c>
      <c r="B26" s="62" t="s">
        <v>60</v>
      </c>
      <c r="C26" s="63" t="s">
        <v>61</v>
      </c>
      <c r="D26" s="60" t="s">
        <v>31</v>
      </c>
      <c r="E26" s="60" t="s">
        <v>136</v>
      </c>
      <c r="F26" s="51"/>
      <c r="G26" s="52"/>
    </row>
    <row r="27" spans="1:7" ht="66.75" customHeight="1">
      <c r="A27" s="58">
        <v>19</v>
      </c>
      <c r="B27" s="62" t="s">
        <v>187</v>
      </c>
      <c r="C27" s="63" t="s">
        <v>62</v>
      </c>
      <c r="D27" s="60" t="s">
        <v>31</v>
      </c>
      <c r="E27" s="60" t="s">
        <v>136</v>
      </c>
      <c r="F27" s="51"/>
      <c r="G27" s="52"/>
    </row>
    <row r="28" spans="1:7" ht="76.5">
      <c r="A28" s="58">
        <v>20</v>
      </c>
      <c r="B28" s="62" t="s">
        <v>200</v>
      </c>
      <c r="C28" s="63" t="s">
        <v>202</v>
      </c>
      <c r="D28" s="60" t="s">
        <v>31</v>
      </c>
      <c r="E28" s="60" t="s">
        <v>136</v>
      </c>
      <c r="F28" s="51"/>
      <c r="G28" s="52"/>
    </row>
    <row r="29" spans="1:7" ht="38.25">
      <c r="A29" s="58">
        <v>21</v>
      </c>
      <c r="B29" s="62" t="s">
        <v>201</v>
      </c>
      <c r="C29" s="63" t="s">
        <v>203</v>
      </c>
      <c r="D29" s="60" t="s">
        <v>31</v>
      </c>
      <c r="E29" s="60" t="s">
        <v>136</v>
      </c>
      <c r="F29" s="51"/>
      <c r="G29" s="52"/>
    </row>
    <row r="30" spans="1:7" ht="63.75">
      <c r="A30" s="58">
        <v>22</v>
      </c>
      <c r="B30" s="62" t="s">
        <v>205</v>
      </c>
      <c r="C30" s="63" t="s">
        <v>204</v>
      </c>
      <c r="D30" s="60" t="s">
        <v>31</v>
      </c>
      <c r="E30" s="60" t="s">
        <v>136</v>
      </c>
      <c r="F30" s="51"/>
      <c r="G30" s="52"/>
    </row>
    <row r="31" spans="1:7" ht="38.25" customHeight="1">
      <c r="A31" s="58">
        <v>23</v>
      </c>
      <c r="B31" s="62" t="s">
        <v>63</v>
      </c>
      <c r="C31" s="63" t="s">
        <v>64</v>
      </c>
      <c r="D31" s="60" t="s">
        <v>31</v>
      </c>
      <c r="E31" s="60" t="s">
        <v>136</v>
      </c>
      <c r="F31" s="51"/>
      <c r="G31" s="52"/>
    </row>
    <row r="32" spans="1:7">
      <c r="A32" s="58">
        <v>24</v>
      </c>
      <c r="B32" s="62" t="s">
        <v>65</v>
      </c>
      <c r="C32" s="63" t="s">
        <v>66</v>
      </c>
      <c r="D32" s="60" t="s">
        <v>28</v>
      </c>
      <c r="E32" s="60" t="s">
        <v>136</v>
      </c>
      <c r="F32" s="51"/>
      <c r="G32" s="52"/>
    </row>
    <row r="33" spans="1:7">
      <c r="A33" s="58">
        <v>25</v>
      </c>
      <c r="B33" s="64" t="s">
        <v>67</v>
      </c>
      <c r="C33" s="65" t="s">
        <v>68</v>
      </c>
      <c r="D33" s="60" t="s">
        <v>28</v>
      </c>
      <c r="E33" s="60" t="s">
        <v>136</v>
      </c>
      <c r="F33" s="51"/>
      <c r="G33" s="53"/>
    </row>
    <row r="34" spans="1:7" ht="121.5" customHeight="1">
      <c r="A34" s="58">
        <v>26</v>
      </c>
      <c r="B34" s="62" t="s">
        <v>209</v>
      </c>
      <c r="C34" s="63" t="s">
        <v>150</v>
      </c>
      <c r="D34" s="60" t="s">
        <v>34</v>
      </c>
      <c r="E34" s="60" t="s">
        <v>135</v>
      </c>
      <c r="F34" s="51"/>
      <c r="G34" s="52"/>
    </row>
    <row r="35" spans="1:7" ht="84.75" customHeight="1">
      <c r="A35" s="58">
        <v>27</v>
      </c>
      <c r="B35" s="62" t="s">
        <v>210</v>
      </c>
      <c r="C35" s="63" t="s">
        <v>149</v>
      </c>
      <c r="D35" s="60" t="s">
        <v>34</v>
      </c>
      <c r="E35" s="60" t="s">
        <v>135</v>
      </c>
      <c r="F35" s="51"/>
      <c r="G35" s="52"/>
    </row>
    <row r="36" spans="1:7" ht="27" customHeight="1">
      <c r="A36" s="58">
        <v>28</v>
      </c>
      <c r="B36" s="62" t="s">
        <v>211</v>
      </c>
      <c r="C36" s="63" t="s">
        <v>69</v>
      </c>
      <c r="D36" s="60" t="s">
        <v>34</v>
      </c>
      <c r="E36" s="60" t="s">
        <v>135</v>
      </c>
      <c r="F36" s="51"/>
      <c r="G36" s="52"/>
    </row>
    <row r="37" spans="1:7">
      <c r="A37" s="58">
        <v>29</v>
      </c>
      <c r="B37" s="62" t="s">
        <v>70</v>
      </c>
      <c r="C37" s="63" t="s">
        <v>71</v>
      </c>
      <c r="D37" s="60" t="s">
        <v>28</v>
      </c>
      <c r="E37" s="60" t="s">
        <v>135</v>
      </c>
      <c r="F37" s="51"/>
      <c r="G37" s="52"/>
    </row>
    <row r="38" spans="1:7">
      <c r="A38" s="58">
        <v>30</v>
      </c>
      <c r="B38" s="64" t="s">
        <v>72</v>
      </c>
      <c r="C38" s="65" t="s">
        <v>73</v>
      </c>
      <c r="D38" s="60" t="s">
        <v>28</v>
      </c>
      <c r="E38" s="60" t="s">
        <v>135</v>
      </c>
      <c r="F38" s="51"/>
      <c r="G38" s="53"/>
    </row>
    <row r="39" spans="1:7" ht="75.75" customHeight="1">
      <c r="A39" s="58">
        <v>31</v>
      </c>
      <c r="B39" s="62" t="s">
        <v>74</v>
      </c>
      <c r="C39" s="63" t="s">
        <v>75</v>
      </c>
      <c r="D39" s="60" t="s">
        <v>31</v>
      </c>
      <c r="E39" s="60" t="s">
        <v>132</v>
      </c>
      <c r="F39" s="51"/>
      <c r="G39" s="52"/>
    </row>
    <row r="40" spans="1:7" ht="75.75" customHeight="1">
      <c r="A40" s="58">
        <v>32</v>
      </c>
      <c r="B40" s="62" t="s">
        <v>76</v>
      </c>
      <c r="C40" s="63" t="s">
        <v>77</v>
      </c>
      <c r="D40" s="60" t="s">
        <v>31</v>
      </c>
      <c r="E40" s="60" t="s">
        <v>132</v>
      </c>
      <c r="F40" s="51"/>
      <c r="G40" s="52"/>
    </row>
    <row r="41" spans="1:7" ht="53.25" customHeight="1">
      <c r="A41" s="58">
        <v>33</v>
      </c>
      <c r="B41" s="62" t="s">
        <v>78</v>
      </c>
      <c r="C41" s="63" t="s">
        <v>79</v>
      </c>
      <c r="D41" s="60" t="s">
        <v>31</v>
      </c>
      <c r="E41" s="60" t="s">
        <v>132</v>
      </c>
      <c r="F41" s="51"/>
      <c r="G41" s="52"/>
    </row>
    <row r="42" spans="1:7" ht="36.75" customHeight="1">
      <c r="A42" s="58">
        <v>34</v>
      </c>
      <c r="B42" s="66" t="s">
        <v>80</v>
      </c>
      <c r="C42" s="67" t="s">
        <v>208</v>
      </c>
      <c r="D42" s="68" t="s">
        <v>31</v>
      </c>
      <c r="E42" s="68" t="s">
        <v>132</v>
      </c>
      <c r="F42" s="51" t="s">
        <v>15</v>
      </c>
      <c r="G42" s="55" t="s">
        <v>207</v>
      </c>
    </row>
    <row r="43" spans="1:7" ht="54" customHeight="1">
      <c r="A43" s="58">
        <v>35</v>
      </c>
      <c r="B43" s="62" t="s">
        <v>197</v>
      </c>
      <c r="C43" s="63" t="s">
        <v>198</v>
      </c>
      <c r="D43" s="60" t="s">
        <v>34</v>
      </c>
      <c r="E43" s="60" t="s">
        <v>132</v>
      </c>
      <c r="F43" s="51"/>
      <c r="G43" s="52"/>
    </row>
    <row r="44" spans="1:7" ht="35.25" customHeight="1">
      <c r="A44" s="58">
        <v>36</v>
      </c>
      <c r="B44" s="62" t="s">
        <v>81</v>
      </c>
      <c r="C44" s="63" t="s">
        <v>82</v>
      </c>
      <c r="D44" s="60" t="s">
        <v>34</v>
      </c>
      <c r="E44" s="60" t="s">
        <v>131</v>
      </c>
      <c r="F44" s="51"/>
      <c r="G44" s="52"/>
    </row>
    <row r="45" spans="1:7" ht="18.75" customHeight="1">
      <c r="A45" s="58">
        <v>37</v>
      </c>
      <c r="B45" s="62" t="s">
        <v>83</v>
      </c>
      <c r="C45" s="63" t="s">
        <v>84</v>
      </c>
      <c r="D45" s="60" t="s">
        <v>28</v>
      </c>
      <c r="E45" s="60" t="s">
        <v>132</v>
      </c>
      <c r="F45" s="51"/>
      <c r="G45" s="52"/>
    </row>
    <row r="46" spans="1:7" ht="33.75" customHeight="1">
      <c r="A46" s="58">
        <v>38</v>
      </c>
      <c r="B46" s="62" t="s">
        <v>85</v>
      </c>
      <c r="C46" s="63" t="s">
        <v>86</v>
      </c>
      <c r="D46" s="60" t="s">
        <v>34</v>
      </c>
      <c r="E46" s="60" t="s">
        <v>132</v>
      </c>
      <c r="F46" s="51"/>
      <c r="G46" s="52"/>
    </row>
    <row r="47" spans="1:7" ht="75.75" customHeight="1">
      <c r="A47" s="58">
        <v>39</v>
      </c>
      <c r="B47" s="69" t="s">
        <v>188</v>
      </c>
      <c r="C47" s="69" t="s">
        <v>87</v>
      </c>
      <c r="D47" s="60" t="s">
        <v>34</v>
      </c>
      <c r="E47" s="60" t="s">
        <v>137</v>
      </c>
      <c r="F47" s="51"/>
      <c r="G47" s="53"/>
    </row>
    <row r="48" spans="1:7" ht="63.75">
      <c r="A48" s="58">
        <v>40</v>
      </c>
      <c r="B48" s="69" t="s">
        <v>88</v>
      </c>
      <c r="C48" s="69" t="s">
        <v>189</v>
      </c>
      <c r="D48" s="60" t="s">
        <v>31</v>
      </c>
      <c r="E48" s="60" t="s">
        <v>137</v>
      </c>
      <c r="F48" s="51"/>
      <c r="G48" s="53"/>
    </row>
    <row r="49" spans="1:7" ht="150.75" customHeight="1">
      <c r="A49" s="58">
        <v>41</v>
      </c>
      <c r="B49" s="69" t="s">
        <v>89</v>
      </c>
      <c r="C49" s="69" t="s">
        <v>90</v>
      </c>
      <c r="D49" s="60" t="s">
        <v>31</v>
      </c>
      <c r="E49" s="60" t="s">
        <v>137</v>
      </c>
      <c r="F49" s="51"/>
      <c r="G49" s="53"/>
    </row>
    <row r="50" spans="1:7" ht="127.5">
      <c r="A50" s="58">
        <v>42</v>
      </c>
      <c r="B50" s="69" t="s">
        <v>89</v>
      </c>
      <c r="C50" s="69" t="s">
        <v>91</v>
      </c>
      <c r="D50" s="60" t="s">
        <v>31</v>
      </c>
      <c r="E50" s="60" t="s">
        <v>137</v>
      </c>
      <c r="F50" s="51"/>
      <c r="G50" s="53"/>
    </row>
    <row r="51" spans="1:7" ht="51">
      <c r="A51" s="58">
        <v>43</v>
      </c>
      <c r="B51" s="62" t="s">
        <v>117</v>
      </c>
      <c r="C51" s="63" t="s">
        <v>118</v>
      </c>
      <c r="D51" s="60" t="s">
        <v>31</v>
      </c>
      <c r="E51" s="60" t="s">
        <v>137</v>
      </c>
      <c r="F51" s="51"/>
      <c r="G51" s="52"/>
    </row>
    <row r="52" spans="1:7" ht="25.5">
      <c r="A52" s="58">
        <v>44</v>
      </c>
      <c r="B52" s="62" t="s">
        <v>119</v>
      </c>
      <c r="C52" s="63" t="s">
        <v>120</v>
      </c>
      <c r="D52" s="60" t="s">
        <v>31</v>
      </c>
      <c r="E52" s="60" t="s">
        <v>137</v>
      </c>
      <c r="F52" s="51"/>
      <c r="G52" s="52"/>
    </row>
    <row r="53" spans="1:7" ht="63" customHeight="1">
      <c r="A53" s="58">
        <v>45</v>
      </c>
      <c r="B53" s="69" t="s">
        <v>92</v>
      </c>
      <c r="C53" s="69" t="s">
        <v>93</v>
      </c>
      <c r="D53" s="60" t="s">
        <v>31</v>
      </c>
      <c r="E53" s="60" t="s">
        <v>137</v>
      </c>
      <c r="F53" s="51"/>
      <c r="G53" s="53"/>
    </row>
    <row r="54" spans="1:7" ht="25.5">
      <c r="A54" s="70">
        <v>46</v>
      </c>
      <c r="B54" s="67" t="s">
        <v>94</v>
      </c>
      <c r="C54" s="67" t="s">
        <v>95</v>
      </c>
      <c r="D54" s="68" t="s">
        <v>31</v>
      </c>
      <c r="E54" s="68" t="s">
        <v>138</v>
      </c>
      <c r="F54" s="51" t="s">
        <v>15</v>
      </c>
      <c r="G54" s="54" t="s">
        <v>206</v>
      </c>
    </row>
    <row r="55" spans="1:7">
      <c r="A55" s="58">
        <v>47</v>
      </c>
      <c r="B55" s="63" t="s">
        <v>96</v>
      </c>
      <c r="C55" s="63" t="s">
        <v>97</v>
      </c>
      <c r="D55" s="60" t="s">
        <v>43</v>
      </c>
      <c r="E55" s="60" t="s">
        <v>138</v>
      </c>
      <c r="F55" s="51"/>
      <c r="G55" s="52"/>
    </row>
    <row r="56" spans="1:7" ht="33.75" customHeight="1">
      <c r="A56" s="58">
        <v>48</v>
      </c>
      <c r="B56" s="63" t="s">
        <v>98</v>
      </c>
      <c r="C56" s="63" t="s">
        <v>99</v>
      </c>
      <c r="D56" s="60" t="s">
        <v>43</v>
      </c>
      <c r="E56" s="60" t="s">
        <v>138</v>
      </c>
      <c r="F56" s="51"/>
      <c r="G56" s="52"/>
    </row>
    <row r="57" spans="1:7" ht="29.25" customHeight="1">
      <c r="A57" s="58">
        <v>49</v>
      </c>
      <c r="B57" s="63" t="s">
        <v>100</v>
      </c>
      <c r="C57" s="63" t="s">
        <v>99</v>
      </c>
      <c r="D57" s="60" t="s">
        <v>43</v>
      </c>
      <c r="E57" s="60" t="s">
        <v>138</v>
      </c>
      <c r="F57" s="51"/>
      <c r="G57" s="52"/>
    </row>
    <row r="58" spans="1:7" ht="48.75" customHeight="1">
      <c r="A58" s="58">
        <v>50</v>
      </c>
      <c r="B58" s="63" t="s">
        <v>101</v>
      </c>
      <c r="C58" s="63" t="s">
        <v>102</v>
      </c>
      <c r="D58" s="60" t="s">
        <v>43</v>
      </c>
      <c r="E58" s="60" t="s">
        <v>138</v>
      </c>
      <c r="F58" s="51"/>
      <c r="G58" s="52"/>
    </row>
    <row r="59" spans="1:7" ht="31.5" customHeight="1">
      <c r="A59" s="58">
        <v>51</v>
      </c>
      <c r="B59" s="63" t="s">
        <v>103</v>
      </c>
      <c r="C59" s="63" t="s">
        <v>104</v>
      </c>
      <c r="D59" s="60" t="s">
        <v>43</v>
      </c>
      <c r="E59" s="60" t="s">
        <v>138</v>
      </c>
      <c r="F59" s="51"/>
      <c r="G59" s="52"/>
    </row>
    <row r="60" spans="1:7" ht="56.25" customHeight="1">
      <c r="A60" s="58">
        <v>52</v>
      </c>
      <c r="B60" s="63" t="s">
        <v>105</v>
      </c>
      <c r="C60" s="63" t="s">
        <v>104</v>
      </c>
      <c r="D60" s="60" t="s">
        <v>43</v>
      </c>
      <c r="E60" s="60" t="s">
        <v>138</v>
      </c>
      <c r="F60" s="51"/>
      <c r="G60" s="52"/>
    </row>
    <row r="61" spans="1:7" ht="25.5">
      <c r="A61" s="58">
        <v>53</v>
      </c>
      <c r="B61" s="62" t="s">
        <v>106</v>
      </c>
      <c r="C61" s="63" t="s">
        <v>107</v>
      </c>
      <c r="D61" s="60" t="s">
        <v>31</v>
      </c>
      <c r="E61" s="60" t="s">
        <v>138</v>
      </c>
      <c r="F61" s="51"/>
      <c r="G61" s="52"/>
    </row>
    <row r="62" spans="1:7" ht="25.5">
      <c r="A62" s="58">
        <v>54</v>
      </c>
      <c r="B62" s="62" t="s">
        <v>108</v>
      </c>
      <c r="C62" s="63" t="s">
        <v>109</v>
      </c>
      <c r="D62" s="60" t="s">
        <v>31</v>
      </c>
      <c r="E62" s="60" t="s">
        <v>138</v>
      </c>
      <c r="F62" s="51"/>
      <c r="G62" s="52"/>
    </row>
    <row r="63" spans="1:7" ht="100.5" customHeight="1">
      <c r="A63" s="58">
        <v>55</v>
      </c>
      <c r="B63" s="62" t="s">
        <v>110</v>
      </c>
      <c r="C63" s="63" t="s">
        <v>111</v>
      </c>
      <c r="D63" s="60" t="s">
        <v>43</v>
      </c>
      <c r="E63" s="60" t="s">
        <v>135</v>
      </c>
      <c r="F63" s="51"/>
      <c r="G63" s="52"/>
    </row>
    <row r="64" spans="1:7" ht="102.75" customHeight="1">
      <c r="A64" s="58">
        <v>56</v>
      </c>
      <c r="B64" s="62" t="s">
        <v>110</v>
      </c>
      <c r="C64" s="63" t="s">
        <v>112</v>
      </c>
      <c r="D64" s="60" t="s">
        <v>43</v>
      </c>
      <c r="E64" s="60" t="s">
        <v>135</v>
      </c>
      <c r="F64" s="51"/>
      <c r="G64" s="52"/>
    </row>
    <row r="65" spans="1:7" ht="102.75" customHeight="1">
      <c r="A65" s="58">
        <v>57</v>
      </c>
      <c r="B65" s="62" t="s">
        <v>110</v>
      </c>
      <c r="C65" s="63" t="s">
        <v>113</v>
      </c>
      <c r="D65" s="60" t="s">
        <v>43</v>
      </c>
      <c r="E65" s="60" t="s">
        <v>135</v>
      </c>
      <c r="F65" s="51"/>
      <c r="G65" s="52"/>
    </row>
    <row r="66" spans="1:7" ht="89.25">
      <c r="A66" s="58">
        <v>58</v>
      </c>
      <c r="B66" s="62" t="s">
        <v>110</v>
      </c>
      <c r="C66" s="63" t="s">
        <v>114</v>
      </c>
      <c r="D66" s="60" t="s">
        <v>43</v>
      </c>
      <c r="E66" s="60" t="s">
        <v>135</v>
      </c>
      <c r="F66" s="51"/>
      <c r="G66" s="52"/>
    </row>
    <row r="67" spans="1:7" ht="140.25">
      <c r="A67" s="58">
        <v>59</v>
      </c>
      <c r="B67" s="62" t="s">
        <v>115</v>
      </c>
      <c r="C67" s="63" t="s">
        <v>116</v>
      </c>
      <c r="D67" s="60" t="s">
        <v>43</v>
      </c>
      <c r="E67" s="60" t="s">
        <v>138</v>
      </c>
      <c r="F67" s="51"/>
      <c r="G67" s="52"/>
    </row>
    <row r="68" spans="1:7" ht="201.75" customHeight="1">
      <c r="A68" s="58">
        <v>60</v>
      </c>
      <c r="B68" s="62" t="s">
        <v>127</v>
      </c>
      <c r="C68" s="63" t="s">
        <v>154</v>
      </c>
      <c r="D68" s="60" t="s">
        <v>31</v>
      </c>
      <c r="E68" s="60" t="s">
        <v>138</v>
      </c>
      <c r="F68" s="51"/>
      <c r="G68" s="52"/>
    </row>
    <row r="69" spans="1:7" ht="74.25" customHeight="1">
      <c r="A69" s="58">
        <v>61</v>
      </c>
      <c r="B69" s="62" t="s">
        <v>128</v>
      </c>
      <c r="C69" s="63" t="s">
        <v>153</v>
      </c>
      <c r="D69" s="60" t="s">
        <v>43</v>
      </c>
      <c r="E69" s="60" t="s">
        <v>138</v>
      </c>
      <c r="F69" s="51"/>
      <c r="G69" s="52"/>
    </row>
    <row r="70" spans="1:7" ht="37.5" customHeight="1">
      <c r="A70" s="58">
        <v>62</v>
      </c>
      <c r="B70" s="62" t="s">
        <v>122</v>
      </c>
      <c r="C70" s="63" t="s">
        <v>123</v>
      </c>
      <c r="D70" s="60" t="s">
        <v>31</v>
      </c>
      <c r="E70" s="60" t="s">
        <v>121</v>
      </c>
      <c r="F70" s="51"/>
      <c r="G70" s="52"/>
    </row>
    <row r="71" spans="1:7" ht="258.75" customHeight="1">
      <c r="A71" s="58">
        <v>63</v>
      </c>
      <c r="B71" s="64" t="s">
        <v>190</v>
      </c>
      <c r="C71" s="65" t="s">
        <v>192</v>
      </c>
      <c r="D71" s="60" t="s">
        <v>31</v>
      </c>
      <c r="E71" s="60" t="s">
        <v>121</v>
      </c>
      <c r="F71" s="51"/>
      <c r="G71" s="52"/>
    </row>
    <row r="72" spans="1:7" ht="35.25" customHeight="1">
      <c r="A72" s="58">
        <v>64</v>
      </c>
      <c r="B72" s="64" t="s">
        <v>191</v>
      </c>
      <c r="C72" s="65" t="s">
        <v>124</v>
      </c>
      <c r="D72" s="60" t="s">
        <v>37</v>
      </c>
      <c r="E72" s="60" t="s">
        <v>121</v>
      </c>
      <c r="F72" s="51"/>
      <c r="G72" s="52"/>
    </row>
    <row r="73" spans="1:7" ht="153" customHeight="1">
      <c r="A73" s="58">
        <v>65</v>
      </c>
      <c r="B73" s="62" t="s">
        <v>125</v>
      </c>
      <c r="C73" s="63" t="s">
        <v>126</v>
      </c>
      <c r="D73" s="60" t="s">
        <v>31</v>
      </c>
      <c r="E73" s="60" t="s">
        <v>121</v>
      </c>
      <c r="F73" s="51"/>
      <c r="G73" s="52"/>
    </row>
    <row r="74" spans="1:7" ht="108.75" customHeight="1">
      <c r="A74" s="58">
        <v>66</v>
      </c>
      <c r="B74" s="62" t="s">
        <v>194</v>
      </c>
      <c r="C74" s="63" t="s">
        <v>195</v>
      </c>
      <c r="D74" s="60" t="s">
        <v>34</v>
      </c>
      <c r="E74" s="60" t="s">
        <v>121</v>
      </c>
      <c r="F74" s="51"/>
      <c r="G74" s="52"/>
    </row>
    <row r="75" spans="1:7" ht="37.5" customHeight="1">
      <c r="A75" s="58">
        <v>67</v>
      </c>
      <c r="B75" s="62" t="s">
        <v>193</v>
      </c>
      <c r="C75" s="63" t="s">
        <v>196</v>
      </c>
      <c r="D75" s="60" t="s">
        <v>34</v>
      </c>
      <c r="E75" s="60" t="s">
        <v>121</v>
      </c>
      <c r="F75" s="51"/>
      <c r="G75" s="52"/>
    </row>
    <row r="83" spans="2:8" hidden="1"/>
    <row r="84" spans="2:8" hidden="1">
      <c r="B84" s="56" t="s">
        <v>155</v>
      </c>
    </row>
    <row r="85" spans="2:8" hidden="1"/>
    <row r="86" spans="2:8" hidden="1">
      <c r="C86" s="46" t="s">
        <v>157</v>
      </c>
      <c r="D86" s="46" t="s">
        <v>146</v>
      </c>
      <c r="E86" s="46" t="s">
        <v>147</v>
      </c>
      <c r="F86" s="46" t="s">
        <v>15</v>
      </c>
      <c r="G86" s="46" t="s">
        <v>17</v>
      </c>
      <c r="H86" s="46" t="s">
        <v>199</v>
      </c>
    </row>
    <row r="87" spans="2:8" hidden="1">
      <c r="B87" s="46" t="s">
        <v>131</v>
      </c>
      <c r="C87" s="47">
        <f>COUNTIF(E8:E82,"Template")</f>
        <v>10</v>
      </c>
      <c r="D87" s="47">
        <f>COUNTIFS($E$9:$E$82,"Template", $F$9:$F$82,"Passed")</f>
        <v>0</v>
      </c>
      <c r="E87" s="47">
        <f>COUNTIFS($E$9:$E$82,"Template", $F$9:$F$82,"Failed")</f>
        <v>0</v>
      </c>
      <c r="F87" s="47">
        <f>COUNTIFS($E$9:$E$82,"Template", $F$9:$F$82,"NA")</f>
        <v>0</v>
      </c>
      <c r="G87" s="47">
        <f>COUNTIFS($E$9:$E$82,"Template", $F$9:$F$82,"Pending")</f>
        <v>0</v>
      </c>
      <c r="H87" s="47">
        <f>COUNTIFS($E$9:$E$82,"Template", $F$9:$F$82,"")</f>
        <v>10</v>
      </c>
    </row>
    <row r="88" spans="2:8" hidden="1">
      <c r="B88" s="46" t="s">
        <v>133</v>
      </c>
      <c r="C88" s="47">
        <f>COUNTIF(E8:E82,"Navigation")</f>
        <v>3</v>
      </c>
      <c r="D88" s="47">
        <f>COUNTIFS($E$9:$E$82,"Navigation", $F$9:$F$82,"Passed")</f>
        <v>0</v>
      </c>
      <c r="E88" s="47">
        <f>COUNTIFS($E$9:$E$82,"Navigation", $F$9:$F$82,"Failed")</f>
        <v>0</v>
      </c>
      <c r="F88" s="47">
        <f>COUNTIFS($E$9:$E$82,"Navigation", $F$9:$F$82,"NA")</f>
        <v>0</v>
      </c>
      <c r="G88" s="47">
        <f>COUNTIFS($E$9:$E$82,"Navigation", $F$9:$F$82,"Pending")</f>
        <v>0</v>
      </c>
      <c r="H88" s="47">
        <f>COUNTIFS($E$9:$E$82,"Navigation", $F$9:$F$82,"")</f>
        <v>3</v>
      </c>
    </row>
    <row r="89" spans="2:8" hidden="1">
      <c r="B89" s="46" t="s">
        <v>135</v>
      </c>
      <c r="C89" s="47">
        <f>COUNTIF(E8:E82,"eLearning")</f>
        <v>10</v>
      </c>
      <c r="D89" s="47">
        <f>COUNTIFS($E$9:$E$82,"eLearning", $F$9:$F$82,"Passed")</f>
        <v>0</v>
      </c>
      <c r="E89" s="47">
        <f>COUNTIFS($E$9:$E$82,"eLearning", $F$9:$F$82,"Failed")</f>
        <v>0</v>
      </c>
      <c r="F89" s="47">
        <f>COUNTIFS($E$9:$E$82,"eLearning", $F$9:$F$82,"NA")</f>
        <v>0</v>
      </c>
      <c r="G89" s="47">
        <f>COUNTIFS($E$9:$E$82,"eLearning", $F$9:$F$82,"Pending")</f>
        <v>0</v>
      </c>
      <c r="H89" s="47">
        <f>COUNTIFS($E$9:$E$82,"eLearning", $F$9:$F$82,"")</f>
        <v>10</v>
      </c>
    </row>
    <row r="90" spans="2:8" hidden="1">
      <c r="B90" s="46" t="s">
        <v>137</v>
      </c>
      <c r="C90" s="47">
        <f>COUNTIF(E8:E82,"eAssessment")</f>
        <v>7</v>
      </c>
      <c r="D90" s="47">
        <f>COUNTIFS($E$9:$E$82,"eAssessment", $F$9:$F$82,"Passed")</f>
        <v>0</v>
      </c>
      <c r="E90" s="47">
        <f>COUNTIFS($E$9:$E$82,"eAssessment", $F$9:$F$82,"Failed")</f>
        <v>0</v>
      </c>
      <c r="F90" s="47">
        <f>COUNTIFS($E$9:$E$82,"eAssessment", $F$9:$F$82,"NA")</f>
        <v>0</v>
      </c>
      <c r="G90" s="47">
        <f>COUNTIFS($E$9:$E$82,"eAssessment", $F$9:$F$82,"eAssessment")</f>
        <v>0</v>
      </c>
      <c r="H90" s="47">
        <f>COUNTIFS($E$9:$E$82,"eAssessment", $F$9:$F$82,"")</f>
        <v>7</v>
      </c>
    </row>
    <row r="91" spans="2:8" hidden="1">
      <c r="B91" s="46" t="s">
        <v>132</v>
      </c>
      <c r="C91" s="47">
        <f>COUNTIF(E8:E82,"Content")</f>
        <v>11</v>
      </c>
      <c r="D91" s="47">
        <f>COUNTIFS($E$9:$E$82,"Content", $F$9:$F$82,"Passed")</f>
        <v>0</v>
      </c>
      <c r="E91" s="47">
        <f>COUNTIFS($E$9:$E$82,"Content", $F$9:$F$82,"Failed")</f>
        <v>0</v>
      </c>
      <c r="F91" s="47">
        <f>COUNTIFS($E$9:$E$82,"Content", $F$9:$F$82,"NA")</f>
        <v>1</v>
      </c>
      <c r="G91" s="47">
        <f>COUNTIFS($E$9:$E$82,"Content", $F$9:$F$82,"Pending")</f>
        <v>0</v>
      </c>
      <c r="H91" s="47">
        <f>COUNTIFS($E$9:$E$82,"Content", $F$9:$F$82,"")</f>
        <v>10</v>
      </c>
    </row>
    <row r="92" spans="2:8" hidden="1">
      <c r="B92" s="46" t="s">
        <v>138</v>
      </c>
      <c r="C92" s="47">
        <f>COUNTIF(E8:E82,"Communication")</f>
        <v>12</v>
      </c>
      <c r="D92" s="47">
        <f>COUNTIFS($E$9:$E$82,"Communication", $F$9:$F$82,"Passed")</f>
        <v>0</v>
      </c>
      <c r="E92" s="47">
        <f>COUNTIFS($E$9:$E$82,"Communication", $F$9:$F$82,"Failed")</f>
        <v>0</v>
      </c>
      <c r="F92" s="47">
        <f>COUNTIFS($E$9:$E$82,"Communication", $F$9:$F$82,"NA")</f>
        <v>1</v>
      </c>
      <c r="G92" s="47">
        <f>COUNTIFS($E$9:$E$82,"communication", $F$9:$F$82,"Pending")</f>
        <v>0</v>
      </c>
      <c r="H92" s="47">
        <f>COUNTIFS($E$9:$E$82,"Communication", $F$9:$F$82,"")</f>
        <v>11</v>
      </c>
    </row>
    <row r="93" spans="2:8" hidden="1">
      <c r="B93" s="46" t="s">
        <v>136</v>
      </c>
      <c r="C93" s="47">
        <f>COUNTIF(E8:E82,"Bookmark")</f>
        <v>8</v>
      </c>
      <c r="D93" s="47">
        <f>COUNTIFS(E2:E83,"Bookmark", F2:F83,"Passed")</f>
        <v>0</v>
      </c>
      <c r="E93" s="47">
        <f>COUNTIFS(E2:E83,"Bookmark", F2:F83,"Failed")</f>
        <v>0</v>
      </c>
      <c r="F93" s="47">
        <f>COUNTIFS(E2:E83,"Bookmark", F2:F83,"NA")</f>
        <v>0</v>
      </c>
      <c r="G93" s="47">
        <f>COUNTIFS(E2:E83,"Bookmark", F2:F83,"Pending")</f>
        <v>0</v>
      </c>
      <c r="H93" s="47">
        <f>COUNTIFS($E$9:$E$82,"Bookmark", $F$9:$F$82,"")</f>
        <v>8</v>
      </c>
    </row>
    <row r="94" spans="2:8" hidden="1">
      <c r="B94" s="46" t="s">
        <v>121</v>
      </c>
      <c r="C94" s="47">
        <f>COUNTIF(E8:E82,"Certificate")</f>
        <v>6</v>
      </c>
      <c r="D94" s="47">
        <f>COUNTIFS(E2:E84,"Certificate", F2:F84,"Passed")</f>
        <v>0</v>
      </c>
      <c r="E94" s="47">
        <f>COUNTIFS(E2:E84,"Certificate", F2:F84,"Failed")</f>
        <v>0</v>
      </c>
      <c r="F94" s="47">
        <f>COUNTIFS(E2:E84,"Certificate", F2:F84,"NA")</f>
        <v>0</v>
      </c>
      <c r="G94" s="47">
        <f>COUNTIFS(E2:E84,"Certificate", F2:F84,"Pending")</f>
        <v>0</v>
      </c>
      <c r="H94" s="47">
        <f>COUNTIFS($E$9:$E$82,"Certificate", $F$9:$F$82,"")</f>
        <v>6</v>
      </c>
    </row>
    <row r="95" spans="2:8" hidden="1">
      <c r="B95" s="46" t="s">
        <v>156</v>
      </c>
      <c r="C95" s="46">
        <f>SUBTOTAL(9,C87:C94)</f>
        <v>67</v>
      </c>
      <c r="D95" s="46">
        <f>SUBTOTAL(9,D87:D94)</f>
        <v>0</v>
      </c>
      <c r="E95" s="46">
        <f>SUBTOTAL(9,E87:E94)</f>
        <v>0</v>
      </c>
      <c r="F95" s="46">
        <f>SUBTOTAL(9,F87:F94)</f>
        <v>2</v>
      </c>
      <c r="G95" s="46">
        <f>SUBTOTAL(9,G87:G94)</f>
        <v>0</v>
      </c>
      <c r="H95" s="46"/>
    </row>
    <row r="96" spans="2:8" hidden="1"/>
  </sheetData>
  <sheetProtection password="EE46" sheet="1" objects="1" scenarios="1"/>
  <protectedRanges>
    <protectedRange sqref="F8:G75" name="Range1"/>
  </protectedRanges>
  <autoFilter ref="A8:G75"/>
  <conditionalFormatting sqref="B9:E9">
    <cfRule type="cellIs" dxfId="65" priority="16" operator="equal">
      <formula>"""Passed"""</formula>
    </cfRule>
  </conditionalFormatting>
  <conditionalFormatting sqref="D9">
    <cfRule type="cellIs" dxfId="64" priority="15" operator="equal">
      <formula>"""Passed"""</formula>
    </cfRule>
  </conditionalFormatting>
  <conditionalFormatting sqref="F9:F75">
    <cfRule type="containsText" dxfId="63" priority="10" operator="containsText" text="NA">
      <formula>NOT(ISERROR(SEARCH("NA",F9)))</formula>
    </cfRule>
    <cfRule type="containsText" dxfId="62" priority="11" operator="containsText" text="Pending">
      <formula>NOT(ISERROR(SEARCH("Pending",F9)))</formula>
    </cfRule>
    <cfRule type="containsText" dxfId="61" priority="12" operator="containsText" text="Failed">
      <formula>NOT(ISERROR(SEARCH("Failed",F9)))</formula>
    </cfRule>
    <cfRule type="containsText" dxfId="60" priority="13" operator="containsText" text="Passed">
      <formula>NOT(ISERROR(SEARCH("Passed",F9)))</formula>
    </cfRule>
    <cfRule type="colorScale" priority="14">
      <colorScale>
        <cfvo type="min"/>
        <cfvo type="percentile" val="50"/>
        <cfvo type="max"/>
        <color rgb="FFF8696B"/>
        <color rgb="FFFFEB84"/>
        <color rgb="FF63BE7B"/>
      </colorScale>
    </cfRule>
  </conditionalFormatting>
  <conditionalFormatting sqref="G42">
    <cfRule type="expression" dxfId="59" priority="1">
      <formula>$F42="Pending"</formula>
    </cfRule>
    <cfRule type="expression" dxfId="58" priority="2">
      <formula>$F42="NA"</formula>
    </cfRule>
    <cfRule type="expression" dxfId="57" priority="3">
      <formula>$F42="Failed"</formula>
    </cfRule>
    <cfRule type="expression" dxfId="56" priority="4">
      <formula>$F42="Passed"</formula>
    </cfRule>
  </conditionalFormatting>
  <conditionalFormatting sqref="B9:G75">
    <cfRule type="expression" dxfId="55" priority="5">
      <formula>$F9="Pending"</formula>
    </cfRule>
    <cfRule type="expression" dxfId="54" priority="6">
      <formula>$F9="NA"</formula>
    </cfRule>
    <cfRule type="expression" dxfId="53" priority="7">
      <formula>$F9="Failed"</formula>
    </cfRule>
    <cfRule type="expression" dxfId="52" priority="8">
      <formula>$F9="Passed"</formula>
    </cfRule>
  </conditionalFormatting>
  <dataValidations count="4">
    <dataValidation type="list" allowBlank="1" showInputMessage="1" showErrorMessage="1" sqref="D9:D75">
      <formula1>"Critical,Major,Moderate,Minor,Cosmetic"</formula1>
    </dataValidation>
    <dataValidation type="list" allowBlank="1" showInputMessage="1" showErrorMessage="1" sqref="F10:F75">
      <formula1>"Passed, Failed, NA, Pending"</formula1>
    </dataValidation>
    <dataValidation type="list" allowBlank="1" showInputMessage="1" showErrorMessage="1" sqref="E9:E75">
      <formula1>"Template,Navigation,eLearning,eAssessment,Content,Communication,Bookmark,Certificate"</formula1>
    </dataValidation>
    <dataValidation type="list" showInputMessage="1" showErrorMessage="1" sqref="F9">
      <formula1>"Passed, Failed, NA, Pending"</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showGridLines="0" tabSelected="1" topLeftCell="A6" zoomScale="106" zoomScaleNormal="106" workbookViewId="0">
      <pane xSplit="4" topLeftCell="K1" activePane="topRight" state="frozen"/>
      <selection pane="topRight" activeCell="K6" sqref="K6"/>
    </sheetView>
  </sheetViews>
  <sheetFormatPr defaultColWidth="12.75" defaultRowHeight="15"/>
  <cols>
    <col min="1" max="1" width="4.5" style="74" bestFit="1" customWidth="1"/>
    <col min="2" max="2" width="7.875" style="74" bestFit="1" customWidth="1"/>
    <col min="3" max="3" width="17.75" style="74" customWidth="1"/>
    <col min="4" max="4" width="53.125" style="74" customWidth="1"/>
    <col min="5" max="5" width="13.125" style="74" customWidth="1"/>
    <col min="6" max="6" width="20.25" style="74" hidden="1" customWidth="1"/>
    <col min="7" max="7" width="13.125" style="74" customWidth="1"/>
    <col min="8" max="8" width="17.875" style="74" bestFit="1" customWidth="1"/>
    <col min="9" max="9" width="10.625" style="74" bestFit="1" customWidth="1"/>
    <col min="10" max="10" width="50.375" style="74" customWidth="1"/>
    <col min="11" max="11" width="47.125" style="74" customWidth="1"/>
    <col min="12" max="12" width="15.25" style="74" customWidth="1"/>
    <col min="13" max="13" width="14.5" style="74" customWidth="1"/>
    <col min="14" max="16384" width="12.75" style="74"/>
  </cols>
  <sheetData>
    <row r="1" spans="1:14">
      <c r="A1" s="71"/>
      <c r="B1" s="71"/>
      <c r="C1" s="72" t="s">
        <v>18</v>
      </c>
      <c r="D1" s="73" t="s">
        <v>254</v>
      </c>
      <c r="E1" s="71"/>
      <c r="H1" s="71"/>
      <c r="I1" s="71"/>
    </row>
    <row r="2" spans="1:14" ht="45">
      <c r="A2" s="71"/>
      <c r="B2" s="71"/>
      <c r="C2" s="72" t="s">
        <v>159</v>
      </c>
      <c r="D2" s="75" t="s">
        <v>264</v>
      </c>
      <c r="E2" s="71"/>
      <c r="H2" s="71"/>
      <c r="I2" s="71"/>
    </row>
    <row r="3" spans="1:14">
      <c r="A3" s="71"/>
      <c r="B3" s="71"/>
      <c r="C3" s="72" t="s">
        <v>21</v>
      </c>
      <c r="D3" s="73" t="s">
        <v>263</v>
      </c>
      <c r="E3" s="71"/>
      <c r="F3" s="71"/>
      <c r="G3" s="71"/>
      <c r="H3" s="71"/>
      <c r="I3" s="71"/>
    </row>
    <row r="4" spans="1:14">
      <c r="A4" s="71"/>
      <c r="B4" s="71"/>
      <c r="C4" s="72" t="s">
        <v>161</v>
      </c>
      <c r="D4" s="73" t="s">
        <v>262</v>
      </c>
      <c r="E4" s="71"/>
      <c r="F4" s="71"/>
      <c r="G4" s="71"/>
      <c r="H4" s="71"/>
      <c r="I4" s="71"/>
    </row>
    <row r="5" spans="1:14">
      <c r="A5" s="71"/>
      <c r="B5" s="71"/>
      <c r="C5" s="71"/>
      <c r="D5" s="71"/>
      <c r="E5" s="71"/>
      <c r="F5" s="71"/>
      <c r="G5" s="71"/>
      <c r="H5" s="71"/>
      <c r="I5" s="71"/>
      <c r="J5" s="71"/>
    </row>
    <row r="6" spans="1:14">
      <c r="A6" s="80" t="s">
        <v>22</v>
      </c>
      <c r="B6" s="80" t="s">
        <v>162</v>
      </c>
      <c r="C6" s="80" t="s">
        <v>158</v>
      </c>
      <c r="D6" s="80" t="s">
        <v>163</v>
      </c>
      <c r="E6" s="80" t="s">
        <v>165</v>
      </c>
      <c r="F6" s="80" t="s">
        <v>169</v>
      </c>
      <c r="G6" s="80" t="s">
        <v>166</v>
      </c>
      <c r="H6" s="76" t="s">
        <v>10</v>
      </c>
      <c r="I6" s="80" t="s">
        <v>160</v>
      </c>
      <c r="J6" s="76" t="s">
        <v>164</v>
      </c>
      <c r="K6" s="76" t="s">
        <v>167</v>
      </c>
      <c r="L6" s="80" t="s">
        <v>7</v>
      </c>
      <c r="M6" s="80" t="s">
        <v>243</v>
      </c>
      <c r="N6" s="80" t="s">
        <v>244</v>
      </c>
    </row>
    <row r="7" spans="1:14" s="78" customFormat="1" ht="75">
      <c r="A7" s="81">
        <v>1</v>
      </c>
      <c r="B7" s="81">
        <v>1</v>
      </c>
      <c r="C7" s="82">
        <v>42864</v>
      </c>
      <c r="D7" s="81" t="s">
        <v>265</v>
      </c>
      <c r="E7" s="81" t="s">
        <v>245</v>
      </c>
      <c r="F7" s="81"/>
      <c r="G7" s="81" t="s">
        <v>34</v>
      </c>
      <c r="H7" s="77" t="s">
        <v>168</v>
      </c>
      <c r="I7" s="81" t="s">
        <v>181</v>
      </c>
      <c r="J7" s="77"/>
      <c r="K7" s="85" t="s">
        <v>270</v>
      </c>
      <c r="L7" s="82">
        <v>42864</v>
      </c>
      <c r="M7" s="82"/>
      <c r="N7" s="84">
        <f>M7-C7</f>
        <v>-42864</v>
      </c>
    </row>
    <row r="8" spans="1:14" ht="45">
      <c r="A8" s="81">
        <v>2</v>
      </c>
      <c r="B8" s="81">
        <v>1</v>
      </c>
      <c r="C8" s="82">
        <v>42864</v>
      </c>
      <c r="D8" s="81" t="s">
        <v>255</v>
      </c>
      <c r="E8" s="81" t="s">
        <v>245</v>
      </c>
      <c r="F8" s="81"/>
      <c r="G8" s="81" t="s">
        <v>34</v>
      </c>
      <c r="H8" s="77" t="s">
        <v>168</v>
      </c>
      <c r="I8" s="81" t="s">
        <v>181</v>
      </c>
      <c r="J8" s="77"/>
      <c r="K8" s="77" t="s">
        <v>273</v>
      </c>
      <c r="L8" s="82">
        <v>42864</v>
      </c>
      <c r="M8" s="82"/>
      <c r="N8" s="84">
        <f t="shared" ref="N8:N73" si="0">M8-C8</f>
        <v>-42864</v>
      </c>
    </row>
    <row r="9" spans="1:14" ht="41.25" customHeight="1">
      <c r="A9" s="81">
        <v>3</v>
      </c>
      <c r="B9" s="81">
        <v>1</v>
      </c>
      <c r="C9" s="82">
        <v>42864</v>
      </c>
      <c r="D9" s="81" t="s">
        <v>260</v>
      </c>
      <c r="E9" s="81" t="s">
        <v>245</v>
      </c>
      <c r="F9" s="81"/>
      <c r="G9" s="81" t="s">
        <v>34</v>
      </c>
      <c r="H9" s="77" t="s">
        <v>168</v>
      </c>
      <c r="I9" s="81" t="s">
        <v>181</v>
      </c>
      <c r="J9" s="77"/>
      <c r="K9" s="85" t="s">
        <v>270</v>
      </c>
      <c r="L9" s="82">
        <v>42864</v>
      </c>
      <c r="M9" s="82"/>
      <c r="N9" s="84"/>
    </row>
    <row r="10" spans="1:14" ht="255">
      <c r="A10" s="81">
        <v>4</v>
      </c>
      <c r="B10" s="81">
        <v>1</v>
      </c>
      <c r="C10" s="82">
        <v>42864</v>
      </c>
      <c r="D10" s="81" t="s">
        <v>256</v>
      </c>
      <c r="E10" s="81" t="s">
        <v>245</v>
      </c>
      <c r="F10" s="81"/>
      <c r="G10" s="81" t="s">
        <v>31</v>
      </c>
      <c r="H10" s="77" t="s">
        <v>168</v>
      </c>
      <c r="I10" s="81" t="s">
        <v>181</v>
      </c>
      <c r="J10" s="77"/>
      <c r="K10" s="85" t="s">
        <v>271</v>
      </c>
      <c r="L10" s="82">
        <v>42864</v>
      </c>
      <c r="M10" s="82"/>
      <c r="N10" s="84">
        <f t="shared" si="0"/>
        <v>-42864</v>
      </c>
    </row>
    <row r="11" spans="1:14" ht="90">
      <c r="A11" s="81">
        <v>5</v>
      </c>
      <c r="B11" s="81">
        <v>1</v>
      </c>
      <c r="C11" s="82">
        <v>42864</v>
      </c>
      <c r="D11" s="81" t="s">
        <v>266</v>
      </c>
      <c r="E11" s="81" t="s">
        <v>245</v>
      </c>
      <c r="F11" s="81"/>
      <c r="G11" s="81" t="s">
        <v>34</v>
      </c>
      <c r="H11" s="77" t="s">
        <v>168</v>
      </c>
      <c r="I11" s="81"/>
      <c r="J11" s="77"/>
      <c r="K11" s="85" t="s">
        <v>270</v>
      </c>
      <c r="L11" s="82">
        <v>42864</v>
      </c>
      <c r="M11" s="82"/>
      <c r="N11" s="84">
        <f t="shared" si="0"/>
        <v>-42864</v>
      </c>
    </row>
    <row r="12" spans="1:14" ht="30">
      <c r="A12" s="81">
        <v>6</v>
      </c>
      <c r="B12" s="81">
        <v>1</v>
      </c>
      <c r="C12" s="82">
        <v>42864</v>
      </c>
      <c r="D12" s="81" t="s">
        <v>257</v>
      </c>
      <c r="E12" s="81" t="s">
        <v>245</v>
      </c>
      <c r="F12" s="81"/>
      <c r="G12" s="81" t="s">
        <v>28</v>
      </c>
      <c r="H12" s="77" t="s">
        <v>168</v>
      </c>
      <c r="I12" s="81"/>
      <c r="J12" s="77"/>
      <c r="K12" s="77" t="s">
        <v>270</v>
      </c>
      <c r="L12" s="82">
        <v>42864</v>
      </c>
      <c r="M12" s="82"/>
      <c r="N12" s="84">
        <f t="shared" si="0"/>
        <v>-42864</v>
      </c>
    </row>
    <row r="13" spans="1:14" ht="30">
      <c r="A13" s="81">
        <v>7</v>
      </c>
      <c r="B13" s="81">
        <v>1</v>
      </c>
      <c r="C13" s="82">
        <v>42864</v>
      </c>
      <c r="D13" s="81" t="s">
        <v>259</v>
      </c>
      <c r="E13" s="81" t="s">
        <v>132</v>
      </c>
      <c r="F13" s="81"/>
      <c r="G13" s="81" t="s">
        <v>28</v>
      </c>
      <c r="H13" s="77" t="s">
        <v>168</v>
      </c>
      <c r="I13" s="81"/>
      <c r="J13" s="77"/>
      <c r="K13" s="77" t="s">
        <v>270</v>
      </c>
      <c r="L13" s="82">
        <v>42864</v>
      </c>
      <c r="M13" s="82"/>
      <c r="N13" s="84">
        <f t="shared" si="0"/>
        <v>-42864</v>
      </c>
    </row>
    <row r="14" spans="1:14" ht="60">
      <c r="A14" s="81">
        <v>8</v>
      </c>
      <c r="B14" s="81">
        <v>1</v>
      </c>
      <c r="C14" s="82">
        <v>42864</v>
      </c>
      <c r="D14" s="81" t="s">
        <v>261</v>
      </c>
      <c r="E14" s="81" t="s">
        <v>245</v>
      </c>
      <c r="F14" s="81"/>
      <c r="G14" s="81" t="s">
        <v>31</v>
      </c>
      <c r="H14" s="77" t="s">
        <v>168</v>
      </c>
      <c r="I14" s="81"/>
      <c r="J14" s="77"/>
      <c r="K14" s="77" t="s">
        <v>270</v>
      </c>
      <c r="L14" s="82">
        <v>42864</v>
      </c>
      <c r="M14" s="82"/>
      <c r="N14" s="84">
        <f t="shared" si="0"/>
        <v>-42864</v>
      </c>
    </row>
    <row r="15" spans="1:14" ht="124.5" customHeight="1">
      <c r="A15" s="81">
        <v>9</v>
      </c>
      <c r="B15" s="81">
        <v>1</v>
      </c>
      <c r="C15" s="82">
        <v>42864</v>
      </c>
      <c r="D15" s="81" t="s">
        <v>267</v>
      </c>
      <c r="E15" s="81" t="s">
        <v>245</v>
      </c>
      <c r="F15" s="81"/>
      <c r="G15" s="81" t="s">
        <v>31</v>
      </c>
      <c r="H15" s="77" t="s">
        <v>168</v>
      </c>
      <c r="I15" s="81"/>
      <c r="J15" s="77"/>
      <c r="K15" s="77" t="s">
        <v>272</v>
      </c>
      <c r="L15" s="82">
        <v>42864</v>
      </c>
      <c r="M15" s="82"/>
      <c r="N15" s="84">
        <f t="shared" si="0"/>
        <v>-42864</v>
      </c>
    </row>
    <row r="16" spans="1:14" ht="164.25" customHeight="1">
      <c r="A16" s="81">
        <v>10</v>
      </c>
      <c r="B16" s="81">
        <v>1</v>
      </c>
      <c r="C16" s="82">
        <v>42864</v>
      </c>
      <c r="D16" s="81" t="s">
        <v>268</v>
      </c>
      <c r="E16" s="81" t="s">
        <v>245</v>
      </c>
      <c r="F16" s="81"/>
      <c r="G16" s="81" t="s">
        <v>31</v>
      </c>
      <c r="H16" s="77" t="s">
        <v>168</v>
      </c>
      <c r="I16" s="81"/>
      <c r="J16" s="77"/>
      <c r="K16" s="85" t="s">
        <v>270</v>
      </c>
      <c r="L16" s="82">
        <v>42864</v>
      </c>
      <c r="M16" s="82"/>
      <c r="N16" s="84"/>
    </row>
    <row r="17" spans="1:14" ht="30">
      <c r="A17" s="81">
        <v>11</v>
      </c>
      <c r="B17" s="81">
        <v>1</v>
      </c>
      <c r="C17" s="82">
        <v>42864</v>
      </c>
      <c r="D17" s="81" t="s">
        <v>258</v>
      </c>
      <c r="E17" s="81" t="s">
        <v>245</v>
      </c>
      <c r="F17" s="81"/>
      <c r="G17" s="81" t="s">
        <v>34</v>
      </c>
      <c r="H17" s="77" t="s">
        <v>168</v>
      </c>
      <c r="I17" s="81"/>
      <c r="J17" s="77"/>
      <c r="K17" s="77" t="s">
        <v>270</v>
      </c>
      <c r="L17" s="82">
        <v>42864</v>
      </c>
      <c r="M17" s="82"/>
      <c r="N17" s="84">
        <f>M17-C17</f>
        <v>-42864</v>
      </c>
    </row>
    <row r="18" spans="1:14" ht="30">
      <c r="A18" s="81">
        <v>12</v>
      </c>
      <c r="B18" s="81">
        <v>1</v>
      </c>
      <c r="C18" s="82">
        <v>42864</v>
      </c>
      <c r="D18" s="81" t="s">
        <v>269</v>
      </c>
      <c r="E18" s="81" t="s">
        <v>245</v>
      </c>
      <c r="F18" s="81"/>
      <c r="G18" s="81" t="s">
        <v>31</v>
      </c>
      <c r="H18" s="77" t="s">
        <v>168</v>
      </c>
      <c r="I18" s="81"/>
      <c r="J18" s="77"/>
      <c r="K18" s="77" t="s">
        <v>274</v>
      </c>
      <c r="L18" s="82">
        <v>42864</v>
      </c>
      <c r="M18" s="82"/>
      <c r="N18" s="84">
        <f t="shared" si="0"/>
        <v>-42864</v>
      </c>
    </row>
    <row r="19" spans="1:14">
      <c r="A19" s="81"/>
      <c r="B19" s="81"/>
      <c r="C19" s="82"/>
      <c r="D19" s="81"/>
      <c r="E19" s="81"/>
      <c r="F19" s="81"/>
      <c r="G19" s="81"/>
      <c r="H19" s="77"/>
      <c r="I19" s="81"/>
      <c r="J19" s="77"/>
      <c r="K19" s="77"/>
      <c r="L19" s="82"/>
      <c r="M19" s="82"/>
      <c r="N19" s="84">
        <f t="shared" si="0"/>
        <v>0</v>
      </c>
    </row>
    <row r="20" spans="1:14">
      <c r="A20" s="81"/>
      <c r="B20" s="81"/>
      <c r="C20" s="82"/>
      <c r="D20" s="81"/>
      <c r="E20" s="81"/>
      <c r="F20" s="81"/>
      <c r="G20" s="81"/>
      <c r="H20" s="77"/>
      <c r="I20" s="81"/>
      <c r="J20" s="77"/>
      <c r="K20" s="77"/>
      <c r="L20" s="82"/>
      <c r="M20" s="82"/>
      <c r="N20" s="84">
        <f t="shared" si="0"/>
        <v>0</v>
      </c>
    </row>
    <row r="21" spans="1:14">
      <c r="A21" s="81"/>
      <c r="B21" s="81"/>
      <c r="C21" s="82"/>
      <c r="D21" s="81"/>
      <c r="E21" s="81"/>
      <c r="F21" s="81"/>
      <c r="G21" s="81"/>
      <c r="H21" s="77"/>
      <c r="I21" s="81"/>
      <c r="J21" s="77"/>
      <c r="K21" s="77"/>
      <c r="L21" s="82"/>
      <c r="M21" s="82"/>
      <c r="N21" s="84">
        <f t="shared" si="0"/>
        <v>0</v>
      </c>
    </row>
    <row r="22" spans="1:14">
      <c r="A22" s="81"/>
      <c r="B22" s="81"/>
      <c r="C22" s="82"/>
      <c r="D22" s="81"/>
      <c r="E22" s="81"/>
      <c r="F22" s="81"/>
      <c r="G22" s="81"/>
      <c r="H22" s="77"/>
      <c r="I22" s="81"/>
      <c r="J22" s="77"/>
      <c r="K22" s="77"/>
      <c r="L22" s="82"/>
      <c r="M22" s="82"/>
      <c r="N22" s="84">
        <f t="shared" si="0"/>
        <v>0</v>
      </c>
    </row>
    <row r="23" spans="1:14">
      <c r="A23" s="81"/>
      <c r="B23" s="81"/>
      <c r="C23" s="82"/>
      <c r="D23" s="81"/>
      <c r="E23" s="81"/>
      <c r="F23" s="81"/>
      <c r="G23" s="81"/>
      <c r="H23" s="77"/>
      <c r="I23" s="81"/>
      <c r="J23" s="77"/>
      <c r="K23" s="77"/>
      <c r="L23" s="82"/>
      <c r="M23" s="82"/>
      <c r="N23" s="84">
        <f t="shared" si="0"/>
        <v>0</v>
      </c>
    </row>
    <row r="24" spans="1:14">
      <c r="A24" s="81"/>
      <c r="B24" s="81"/>
      <c r="C24" s="82"/>
      <c r="D24" s="81"/>
      <c r="E24" s="81"/>
      <c r="F24" s="81"/>
      <c r="G24" s="81"/>
      <c r="H24" s="77"/>
      <c r="I24" s="81"/>
      <c r="J24" s="77"/>
      <c r="K24" s="77"/>
      <c r="L24" s="82"/>
      <c r="M24" s="82"/>
      <c r="N24" s="84">
        <f t="shared" si="0"/>
        <v>0</v>
      </c>
    </row>
    <row r="25" spans="1:14">
      <c r="A25" s="81"/>
      <c r="B25" s="81"/>
      <c r="C25" s="82"/>
      <c r="D25" s="81"/>
      <c r="E25" s="81"/>
      <c r="F25" s="81"/>
      <c r="G25" s="81"/>
      <c r="H25" s="77"/>
      <c r="I25" s="81"/>
      <c r="J25" s="77"/>
      <c r="K25" s="77"/>
      <c r="L25" s="82"/>
      <c r="M25" s="82"/>
      <c r="N25" s="84">
        <f t="shared" si="0"/>
        <v>0</v>
      </c>
    </row>
    <row r="26" spans="1:14">
      <c r="A26" s="81"/>
      <c r="B26" s="81"/>
      <c r="C26" s="82"/>
      <c r="D26" s="81"/>
      <c r="E26" s="81"/>
      <c r="F26" s="81"/>
      <c r="G26" s="81"/>
      <c r="H26" s="77"/>
      <c r="I26" s="81"/>
      <c r="J26" s="77"/>
      <c r="K26" s="77"/>
      <c r="L26" s="82"/>
      <c r="M26" s="82"/>
      <c r="N26" s="84">
        <f t="shared" si="0"/>
        <v>0</v>
      </c>
    </row>
    <row r="27" spans="1:14">
      <c r="A27" s="81"/>
      <c r="B27" s="81"/>
      <c r="C27" s="82"/>
      <c r="D27" s="81"/>
      <c r="E27" s="81"/>
      <c r="F27" s="81"/>
      <c r="G27" s="81"/>
      <c r="H27" s="77"/>
      <c r="I27" s="81"/>
      <c r="J27" s="77"/>
      <c r="K27" s="77"/>
      <c r="L27" s="82"/>
      <c r="M27" s="82"/>
      <c r="N27" s="84">
        <f t="shared" si="0"/>
        <v>0</v>
      </c>
    </row>
    <row r="28" spans="1:14">
      <c r="A28" s="81"/>
      <c r="B28" s="81"/>
      <c r="C28" s="82"/>
      <c r="D28" s="81"/>
      <c r="E28" s="81"/>
      <c r="F28" s="81"/>
      <c r="G28" s="81"/>
      <c r="H28" s="77"/>
      <c r="I28" s="81"/>
      <c r="J28" s="77"/>
      <c r="K28" s="77"/>
      <c r="L28" s="82"/>
      <c r="M28" s="82"/>
      <c r="N28" s="84">
        <f t="shared" si="0"/>
        <v>0</v>
      </c>
    </row>
    <row r="29" spans="1:14">
      <c r="A29" s="81"/>
      <c r="B29" s="81"/>
      <c r="C29" s="82"/>
      <c r="D29" s="81"/>
      <c r="E29" s="81"/>
      <c r="F29" s="81"/>
      <c r="G29" s="81"/>
      <c r="H29" s="77"/>
      <c r="I29" s="81"/>
      <c r="J29" s="77"/>
      <c r="K29" s="77"/>
      <c r="L29" s="82"/>
      <c r="M29" s="82"/>
      <c r="N29" s="84">
        <f t="shared" si="0"/>
        <v>0</v>
      </c>
    </row>
    <row r="30" spans="1:14">
      <c r="A30" s="81"/>
      <c r="B30" s="81"/>
      <c r="C30" s="82"/>
      <c r="D30" s="81"/>
      <c r="E30" s="81"/>
      <c r="F30" s="81"/>
      <c r="G30" s="81"/>
      <c r="H30" s="77"/>
      <c r="I30" s="81"/>
      <c r="J30" s="77"/>
      <c r="K30" s="77"/>
      <c r="L30" s="82"/>
      <c r="M30" s="82"/>
      <c r="N30" s="84">
        <f t="shared" si="0"/>
        <v>0</v>
      </c>
    </row>
    <row r="31" spans="1:14">
      <c r="A31" s="81"/>
      <c r="B31" s="81"/>
      <c r="C31" s="82"/>
      <c r="D31" s="81"/>
      <c r="E31" s="81"/>
      <c r="F31" s="81"/>
      <c r="G31" s="81"/>
      <c r="H31" s="77"/>
      <c r="I31" s="81"/>
      <c r="J31" s="77"/>
      <c r="K31" s="77"/>
      <c r="L31" s="82"/>
      <c r="M31" s="82"/>
      <c r="N31" s="84">
        <f t="shared" si="0"/>
        <v>0</v>
      </c>
    </row>
    <row r="32" spans="1:14">
      <c r="A32" s="81"/>
      <c r="B32" s="81"/>
      <c r="C32" s="82"/>
      <c r="D32" s="81"/>
      <c r="E32" s="81"/>
      <c r="F32" s="81"/>
      <c r="G32" s="81"/>
      <c r="H32" s="77"/>
      <c r="I32" s="81"/>
      <c r="J32" s="77"/>
      <c r="K32" s="77"/>
      <c r="L32" s="82"/>
      <c r="M32" s="82"/>
      <c r="N32" s="84">
        <f t="shared" si="0"/>
        <v>0</v>
      </c>
    </row>
    <row r="33" spans="1:14">
      <c r="A33" s="81"/>
      <c r="B33" s="81"/>
      <c r="C33" s="82"/>
      <c r="D33" s="81"/>
      <c r="E33" s="81"/>
      <c r="F33" s="81"/>
      <c r="G33" s="81"/>
      <c r="H33" s="77"/>
      <c r="I33" s="81"/>
      <c r="J33" s="77"/>
      <c r="K33" s="77"/>
      <c r="L33" s="82"/>
      <c r="M33" s="82"/>
      <c r="N33" s="84">
        <f t="shared" si="0"/>
        <v>0</v>
      </c>
    </row>
    <row r="34" spans="1:14">
      <c r="A34" s="81"/>
      <c r="B34" s="81"/>
      <c r="C34" s="82"/>
      <c r="D34" s="81"/>
      <c r="E34" s="81"/>
      <c r="F34" s="81"/>
      <c r="G34" s="81"/>
      <c r="H34" s="77"/>
      <c r="I34" s="81"/>
      <c r="J34" s="77"/>
      <c r="K34" s="77"/>
      <c r="L34" s="82"/>
      <c r="M34" s="82"/>
      <c r="N34" s="84">
        <f t="shared" si="0"/>
        <v>0</v>
      </c>
    </row>
    <row r="35" spans="1:14">
      <c r="A35" s="81"/>
      <c r="B35" s="81"/>
      <c r="C35" s="82"/>
      <c r="D35" s="81"/>
      <c r="E35" s="81"/>
      <c r="F35" s="81"/>
      <c r="G35" s="81"/>
      <c r="H35" s="77"/>
      <c r="I35" s="81"/>
      <c r="J35" s="77"/>
      <c r="K35" s="77"/>
      <c r="L35" s="82"/>
      <c r="M35" s="82"/>
      <c r="N35" s="84">
        <f t="shared" si="0"/>
        <v>0</v>
      </c>
    </row>
    <row r="36" spans="1:14">
      <c r="A36" s="83"/>
      <c r="B36" s="81"/>
      <c r="C36" s="83"/>
      <c r="D36" s="83"/>
      <c r="E36" s="83"/>
      <c r="F36" s="83"/>
      <c r="G36" s="83"/>
      <c r="H36" s="77"/>
      <c r="I36" s="83"/>
      <c r="J36" s="79"/>
      <c r="K36" s="79"/>
      <c r="L36" s="83"/>
      <c r="M36" s="83"/>
      <c r="N36" s="84">
        <f t="shared" si="0"/>
        <v>0</v>
      </c>
    </row>
    <row r="37" spans="1:14">
      <c r="A37" s="83"/>
      <c r="B37" s="81"/>
      <c r="C37" s="83"/>
      <c r="D37" s="83"/>
      <c r="E37" s="83"/>
      <c r="F37" s="83"/>
      <c r="G37" s="83"/>
      <c r="H37" s="77"/>
      <c r="I37" s="83"/>
      <c r="J37" s="79"/>
      <c r="K37" s="79"/>
      <c r="L37" s="83"/>
      <c r="M37" s="83"/>
      <c r="N37" s="84">
        <f t="shared" si="0"/>
        <v>0</v>
      </c>
    </row>
    <row r="38" spans="1:14">
      <c r="A38" s="83"/>
      <c r="B38" s="81"/>
      <c r="C38" s="83"/>
      <c r="D38" s="83"/>
      <c r="E38" s="83"/>
      <c r="F38" s="83"/>
      <c r="G38" s="83"/>
      <c r="H38" s="77"/>
      <c r="I38" s="83"/>
      <c r="J38" s="79"/>
      <c r="K38" s="79"/>
      <c r="L38" s="83"/>
      <c r="M38" s="83"/>
      <c r="N38" s="84">
        <f t="shared" si="0"/>
        <v>0</v>
      </c>
    </row>
    <row r="39" spans="1:14">
      <c r="A39" s="83"/>
      <c r="B39" s="81"/>
      <c r="C39" s="83"/>
      <c r="D39" s="83"/>
      <c r="E39" s="83"/>
      <c r="F39" s="83"/>
      <c r="G39" s="83"/>
      <c r="H39" s="77"/>
      <c r="I39" s="83"/>
      <c r="J39" s="79"/>
      <c r="K39" s="79"/>
      <c r="L39" s="83"/>
      <c r="M39" s="83"/>
      <c r="N39" s="84">
        <f t="shared" si="0"/>
        <v>0</v>
      </c>
    </row>
    <row r="40" spans="1:14">
      <c r="A40" s="83"/>
      <c r="B40" s="81"/>
      <c r="C40" s="83"/>
      <c r="D40" s="83"/>
      <c r="E40" s="83"/>
      <c r="F40" s="83"/>
      <c r="G40" s="83"/>
      <c r="H40" s="77"/>
      <c r="I40" s="83"/>
      <c r="J40" s="79"/>
      <c r="K40" s="79"/>
      <c r="L40" s="83"/>
      <c r="M40" s="83"/>
      <c r="N40" s="84">
        <f t="shared" si="0"/>
        <v>0</v>
      </c>
    </row>
    <row r="41" spans="1:14">
      <c r="A41" s="83"/>
      <c r="B41" s="81"/>
      <c r="C41" s="83"/>
      <c r="D41" s="83"/>
      <c r="E41" s="83"/>
      <c r="F41" s="83"/>
      <c r="G41" s="83"/>
      <c r="H41" s="77"/>
      <c r="I41" s="83"/>
      <c r="J41" s="79"/>
      <c r="K41" s="79"/>
      <c r="L41" s="83"/>
      <c r="M41" s="83"/>
      <c r="N41" s="84">
        <f t="shared" si="0"/>
        <v>0</v>
      </c>
    </row>
    <row r="42" spans="1:14">
      <c r="A42" s="83"/>
      <c r="B42" s="81"/>
      <c r="C42" s="83"/>
      <c r="D42" s="83"/>
      <c r="E42" s="83"/>
      <c r="F42" s="83"/>
      <c r="G42" s="83"/>
      <c r="H42" s="77"/>
      <c r="I42" s="83"/>
      <c r="J42" s="79"/>
      <c r="K42" s="79"/>
      <c r="L42" s="83"/>
      <c r="M42" s="83"/>
      <c r="N42" s="84">
        <f t="shared" si="0"/>
        <v>0</v>
      </c>
    </row>
    <row r="43" spans="1:14">
      <c r="A43" s="83"/>
      <c r="B43" s="81"/>
      <c r="C43" s="83"/>
      <c r="D43" s="83"/>
      <c r="E43" s="83"/>
      <c r="F43" s="83"/>
      <c r="G43" s="83"/>
      <c r="H43" s="77"/>
      <c r="I43" s="83"/>
      <c r="J43" s="79"/>
      <c r="K43" s="79"/>
      <c r="L43" s="83"/>
      <c r="M43" s="83"/>
      <c r="N43" s="84">
        <f t="shared" si="0"/>
        <v>0</v>
      </c>
    </row>
    <row r="44" spans="1:14">
      <c r="A44" s="83"/>
      <c r="B44" s="81"/>
      <c r="C44" s="83"/>
      <c r="D44" s="83"/>
      <c r="E44" s="83"/>
      <c r="F44" s="83"/>
      <c r="G44" s="83"/>
      <c r="H44" s="77"/>
      <c r="I44" s="83"/>
      <c r="J44" s="79"/>
      <c r="K44" s="79"/>
      <c r="L44" s="83"/>
      <c r="M44" s="83"/>
      <c r="N44" s="84">
        <f t="shared" si="0"/>
        <v>0</v>
      </c>
    </row>
    <row r="45" spans="1:14">
      <c r="A45" s="83"/>
      <c r="B45" s="81"/>
      <c r="C45" s="83"/>
      <c r="D45" s="83"/>
      <c r="E45" s="83"/>
      <c r="F45" s="83"/>
      <c r="G45" s="83"/>
      <c r="H45" s="77"/>
      <c r="I45" s="83"/>
      <c r="J45" s="79"/>
      <c r="K45" s="79"/>
      <c r="L45" s="83"/>
      <c r="M45" s="83"/>
      <c r="N45" s="84">
        <f t="shared" si="0"/>
        <v>0</v>
      </c>
    </row>
    <row r="46" spans="1:14">
      <c r="A46" s="83"/>
      <c r="B46" s="81"/>
      <c r="C46" s="83"/>
      <c r="D46" s="83"/>
      <c r="E46" s="83"/>
      <c r="F46" s="83"/>
      <c r="G46" s="83"/>
      <c r="H46" s="77"/>
      <c r="I46" s="83"/>
      <c r="J46" s="79"/>
      <c r="K46" s="79"/>
      <c r="L46" s="83"/>
      <c r="M46" s="83"/>
      <c r="N46" s="84">
        <f t="shared" si="0"/>
        <v>0</v>
      </c>
    </row>
    <row r="47" spans="1:14">
      <c r="A47" s="83"/>
      <c r="B47" s="81"/>
      <c r="C47" s="83"/>
      <c r="D47" s="83"/>
      <c r="E47" s="83"/>
      <c r="F47" s="83"/>
      <c r="G47" s="83"/>
      <c r="H47" s="77"/>
      <c r="I47" s="83"/>
      <c r="J47" s="79"/>
      <c r="K47" s="79"/>
      <c r="L47" s="83"/>
      <c r="M47" s="83"/>
      <c r="N47" s="84">
        <f t="shared" si="0"/>
        <v>0</v>
      </c>
    </row>
    <row r="48" spans="1:14">
      <c r="A48" s="83"/>
      <c r="B48" s="81"/>
      <c r="C48" s="83"/>
      <c r="D48" s="83"/>
      <c r="E48" s="83"/>
      <c r="F48" s="83"/>
      <c r="G48" s="83"/>
      <c r="H48" s="77"/>
      <c r="I48" s="83"/>
      <c r="J48" s="79"/>
      <c r="K48" s="79"/>
      <c r="L48" s="83"/>
      <c r="M48" s="83"/>
      <c r="N48" s="84">
        <f t="shared" si="0"/>
        <v>0</v>
      </c>
    </row>
    <row r="49" spans="1:14">
      <c r="A49" s="83"/>
      <c r="B49" s="81"/>
      <c r="C49" s="83"/>
      <c r="D49" s="83"/>
      <c r="E49" s="83"/>
      <c r="F49" s="83"/>
      <c r="G49" s="83"/>
      <c r="H49" s="77"/>
      <c r="I49" s="83"/>
      <c r="J49" s="79"/>
      <c r="K49" s="79"/>
      <c r="L49" s="83"/>
      <c r="M49" s="83"/>
      <c r="N49" s="84">
        <f t="shared" si="0"/>
        <v>0</v>
      </c>
    </row>
    <row r="50" spans="1:14">
      <c r="A50" s="83"/>
      <c r="B50" s="81"/>
      <c r="C50" s="83"/>
      <c r="D50" s="83"/>
      <c r="E50" s="83"/>
      <c r="F50" s="83"/>
      <c r="G50" s="83"/>
      <c r="H50" s="77"/>
      <c r="I50" s="83"/>
      <c r="J50" s="79"/>
      <c r="K50" s="79"/>
      <c r="L50" s="83"/>
      <c r="M50" s="83"/>
      <c r="N50" s="84">
        <f t="shared" si="0"/>
        <v>0</v>
      </c>
    </row>
    <row r="51" spans="1:14">
      <c r="A51" s="83"/>
      <c r="B51" s="81"/>
      <c r="C51" s="83"/>
      <c r="D51" s="83"/>
      <c r="E51" s="83"/>
      <c r="F51" s="83"/>
      <c r="G51" s="83"/>
      <c r="H51" s="77"/>
      <c r="I51" s="83"/>
      <c r="J51" s="79"/>
      <c r="K51" s="79"/>
      <c r="L51" s="83"/>
      <c r="M51" s="83"/>
      <c r="N51" s="84">
        <f t="shared" si="0"/>
        <v>0</v>
      </c>
    </row>
    <row r="52" spans="1:14">
      <c r="A52" s="83"/>
      <c r="B52" s="81"/>
      <c r="C52" s="83"/>
      <c r="D52" s="83"/>
      <c r="E52" s="83"/>
      <c r="F52" s="83"/>
      <c r="G52" s="83"/>
      <c r="H52" s="77"/>
      <c r="I52" s="83"/>
      <c r="J52" s="79"/>
      <c r="K52" s="79"/>
      <c r="L52" s="83"/>
      <c r="M52" s="83"/>
      <c r="N52" s="84">
        <f t="shared" si="0"/>
        <v>0</v>
      </c>
    </row>
    <row r="53" spans="1:14">
      <c r="A53" s="83"/>
      <c r="B53" s="81"/>
      <c r="C53" s="83"/>
      <c r="D53" s="83"/>
      <c r="E53" s="83"/>
      <c r="F53" s="83"/>
      <c r="G53" s="83"/>
      <c r="H53" s="77"/>
      <c r="I53" s="83"/>
      <c r="J53" s="79"/>
      <c r="K53" s="79"/>
      <c r="L53" s="83"/>
      <c r="M53" s="83"/>
      <c r="N53" s="84">
        <f t="shared" si="0"/>
        <v>0</v>
      </c>
    </row>
    <row r="54" spans="1:14">
      <c r="A54" s="83"/>
      <c r="B54" s="81"/>
      <c r="C54" s="83"/>
      <c r="D54" s="83"/>
      <c r="E54" s="83"/>
      <c r="F54" s="83"/>
      <c r="G54" s="83"/>
      <c r="H54" s="77"/>
      <c r="I54" s="83"/>
      <c r="J54" s="79"/>
      <c r="K54" s="79"/>
      <c r="L54" s="83"/>
      <c r="M54" s="83"/>
      <c r="N54" s="84">
        <f t="shared" si="0"/>
        <v>0</v>
      </c>
    </row>
    <row r="55" spans="1:14">
      <c r="A55" s="83"/>
      <c r="B55" s="81"/>
      <c r="C55" s="83"/>
      <c r="D55" s="83"/>
      <c r="E55" s="83"/>
      <c r="F55" s="83"/>
      <c r="G55" s="83"/>
      <c r="H55" s="77"/>
      <c r="I55" s="83"/>
      <c r="J55" s="79"/>
      <c r="K55" s="79"/>
      <c r="L55" s="83"/>
      <c r="M55" s="83"/>
      <c r="N55" s="84">
        <f t="shared" si="0"/>
        <v>0</v>
      </c>
    </row>
    <row r="56" spans="1:14">
      <c r="A56" s="83"/>
      <c r="B56" s="81"/>
      <c r="C56" s="83"/>
      <c r="D56" s="83"/>
      <c r="E56" s="83"/>
      <c r="F56" s="83"/>
      <c r="G56" s="83"/>
      <c r="H56" s="77"/>
      <c r="I56" s="83"/>
      <c r="J56" s="79"/>
      <c r="K56" s="79"/>
      <c r="L56" s="83"/>
      <c r="M56" s="83"/>
      <c r="N56" s="84">
        <f t="shared" si="0"/>
        <v>0</v>
      </c>
    </row>
    <row r="57" spans="1:14">
      <c r="A57" s="83"/>
      <c r="B57" s="81"/>
      <c r="C57" s="83"/>
      <c r="D57" s="83"/>
      <c r="E57" s="83"/>
      <c r="F57" s="83"/>
      <c r="G57" s="83"/>
      <c r="H57" s="77"/>
      <c r="I57" s="83"/>
      <c r="J57" s="79"/>
      <c r="K57" s="79"/>
      <c r="L57" s="83"/>
      <c r="M57" s="83"/>
      <c r="N57" s="84">
        <f t="shared" si="0"/>
        <v>0</v>
      </c>
    </row>
    <row r="58" spans="1:14">
      <c r="A58" s="83"/>
      <c r="B58" s="81"/>
      <c r="C58" s="83"/>
      <c r="D58" s="83"/>
      <c r="E58" s="83"/>
      <c r="F58" s="83"/>
      <c r="G58" s="83"/>
      <c r="H58" s="77"/>
      <c r="I58" s="83"/>
      <c r="J58" s="79"/>
      <c r="K58" s="79"/>
      <c r="L58" s="83"/>
      <c r="M58" s="83"/>
      <c r="N58" s="84">
        <f t="shared" si="0"/>
        <v>0</v>
      </c>
    </row>
    <row r="59" spans="1:14">
      <c r="A59" s="83"/>
      <c r="B59" s="81"/>
      <c r="C59" s="83"/>
      <c r="D59" s="83"/>
      <c r="E59" s="83"/>
      <c r="F59" s="83"/>
      <c r="G59" s="83"/>
      <c r="H59" s="77"/>
      <c r="I59" s="83"/>
      <c r="J59" s="79"/>
      <c r="K59" s="79"/>
      <c r="L59" s="83"/>
      <c r="M59" s="83"/>
      <c r="N59" s="84">
        <f t="shared" si="0"/>
        <v>0</v>
      </c>
    </row>
    <row r="60" spans="1:14">
      <c r="A60" s="83"/>
      <c r="B60" s="81"/>
      <c r="C60" s="83"/>
      <c r="D60" s="83"/>
      <c r="E60" s="83"/>
      <c r="F60" s="83"/>
      <c r="G60" s="83"/>
      <c r="H60" s="77"/>
      <c r="I60" s="83"/>
      <c r="J60" s="79"/>
      <c r="K60" s="79"/>
      <c r="L60" s="83"/>
      <c r="M60" s="83"/>
      <c r="N60" s="84">
        <f t="shared" si="0"/>
        <v>0</v>
      </c>
    </row>
    <row r="61" spans="1:14">
      <c r="A61" s="83"/>
      <c r="B61" s="81"/>
      <c r="C61" s="83"/>
      <c r="D61" s="83"/>
      <c r="E61" s="83"/>
      <c r="F61" s="83"/>
      <c r="G61" s="83"/>
      <c r="H61" s="77"/>
      <c r="I61" s="83"/>
      <c r="J61" s="79"/>
      <c r="K61" s="79"/>
      <c r="L61" s="83"/>
      <c r="M61" s="83"/>
      <c r="N61" s="84">
        <f t="shared" si="0"/>
        <v>0</v>
      </c>
    </row>
    <row r="62" spans="1:14">
      <c r="A62" s="83"/>
      <c r="B62" s="81"/>
      <c r="C62" s="83"/>
      <c r="D62" s="83"/>
      <c r="E62" s="83"/>
      <c r="F62" s="83"/>
      <c r="G62" s="83"/>
      <c r="H62" s="77"/>
      <c r="I62" s="83"/>
      <c r="J62" s="79"/>
      <c r="K62" s="79"/>
      <c r="L62" s="83"/>
      <c r="M62" s="83"/>
      <c r="N62" s="84">
        <f t="shared" si="0"/>
        <v>0</v>
      </c>
    </row>
    <row r="63" spans="1:14">
      <c r="A63" s="83"/>
      <c r="B63" s="81"/>
      <c r="C63" s="83"/>
      <c r="D63" s="83"/>
      <c r="E63" s="83"/>
      <c r="F63" s="83"/>
      <c r="G63" s="83"/>
      <c r="H63" s="77"/>
      <c r="I63" s="83"/>
      <c r="J63" s="79"/>
      <c r="K63" s="79"/>
      <c r="L63" s="83"/>
      <c r="M63" s="83"/>
      <c r="N63" s="84">
        <f t="shared" si="0"/>
        <v>0</v>
      </c>
    </row>
    <row r="64" spans="1:14">
      <c r="A64" s="83"/>
      <c r="B64" s="81"/>
      <c r="C64" s="83"/>
      <c r="D64" s="83"/>
      <c r="E64" s="83"/>
      <c r="F64" s="83"/>
      <c r="G64" s="83"/>
      <c r="H64" s="77"/>
      <c r="I64" s="83"/>
      <c r="J64" s="79"/>
      <c r="K64" s="79"/>
      <c r="L64" s="83"/>
      <c r="M64" s="83"/>
      <c r="N64" s="84">
        <f t="shared" si="0"/>
        <v>0</v>
      </c>
    </row>
    <row r="65" spans="1:14">
      <c r="A65" s="83"/>
      <c r="B65" s="81"/>
      <c r="C65" s="83"/>
      <c r="D65" s="83"/>
      <c r="E65" s="83"/>
      <c r="F65" s="83"/>
      <c r="G65" s="83"/>
      <c r="H65" s="77"/>
      <c r="I65" s="83"/>
      <c r="J65" s="79"/>
      <c r="K65" s="79"/>
      <c r="L65" s="83"/>
      <c r="M65" s="83"/>
      <c r="N65" s="84">
        <f t="shared" si="0"/>
        <v>0</v>
      </c>
    </row>
    <row r="66" spans="1:14">
      <c r="A66" s="83"/>
      <c r="B66" s="81"/>
      <c r="C66" s="83"/>
      <c r="D66" s="83"/>
      <c r="E66" s="83"/>
      <c r="F66" s="83"/>
      <c r="G66" s="83"/>
      <c r="H66" s="77"/>
      <c r="I66" s="83"/>
      <c r="J66" s="79"/>
      <c r="K66" s="79"/>
      <c r="L66" s="83"/>
      <c r="M66" s="83"/>
      <c r="N66" s="84">
        <f t="shared" si="0"/>
        <v>0</v>
      </c>
    </row>
    <row r="67" spans="1:14">
      <c r="A67" s="83"/>
      <c r="B67" s="81"/>
      <c r="C67" s="83"/>
      <c r="D67" s="83"/>
      <c r="E67" s="83"/>
      <c r="F67" s="83"/>
      <c r="G67" s="83"/>
      <c r="H67" s="77"/>
      <c r="I67" s="83"/>
      <c r="J67" s="79"/>
      <c r="K67" s="79"/>
      <c r="L67" s="83"/>
      <c r="M67" s="83"/>
      <c r="N67" s="84">
        <f t="shared" si="0"/>
        <v>0</v>
      </c>
    </row>
    <row r="68" spans="1:14">
      <c r="A68" s="83"/>
      <c r="B68" s="81"/>
      <c r="C68" s="83"/>
      <c r="D68" s="83"/>
      <c r="E68" s="83"/>
      <c r="F68" s="83"/>
      <c r="G68" s="83"/>
      <c r="H68" s="77"/>
      <c r="I68" s="83"/>
      <c r="J68" s="79"/>
      <c r="K68" s="79"/>
      <c r="L68" s="83"/>
      <c r="M68" s="83"/>
      <c r="N68" s="84">
        <f t="shared" si="0"/>
        <v>0</v>
      </c>
    </row>
    <row r="69" spans="1:14">
      <c r="A69" s="83"/>
      <c r="B69" s="81"/>
      <c r="C69" s="83"/>
      <c r="D69" s="83"/>
      <c r="E69" s="83"/>
      <c r="F69" s="83"/>
      <c r="G69" s="83"/>
      <c r="H69" s="77"/>
      <c r="I69" s="83"/>
      <c r="J69" s="79"/>
      <c r="K69" s="79"/>
      <c r="L69" s="83"/>
      <c r="M69" s="83"/>
      <c r="N69" s="84">
        <f t="shared" si="0"/>
        <v>0</v>
      </c>
    </row>
    <row r="70" spans="1:14">
      <c r="A70" s="83"/>
      <c r="B70" s="81"/>
      <c r="C70" s="83"/>
      <c r="D70" s="83"/>
      <c r="E70" s="83"/>
      <c r="F70" s="83"/>
      <c r="G70" s="83"/>
      <c r="H70" s="77"/>
      <c r="I70" s="83"/>
      <c r="J70" s="79"/>
      <c r="K70" s="79"/>
      <c r="L70" s="83"/>
      <c r="M70" s="83"/>
      <c r="N70" s="84">
        <f t="shared" si="0"/>
        <v>0</v>
      </c>
    </row>
    <row r="71" spans="1:14">
      <c r="A71" s="83"/>
      <c r="B71" s="81"/>
      <c r="C71" s="83"/>
      <c r="D71" s="83"/>
      <c r="E71" s="83"/>
      <c r="F71" s="83"/>
      <c r="G71" s="83"/>
      <c r="H71" s="77"/>
      <c r="I71" s="83"/>
      <c r="J71" s="79"/>
      <c r="K71" s="79"/>
      <c r="L71" s="83"/>
      <c r="M71" s="83"/>
      <c r="N71" s="84">
        <f t="shared" si="0"/>
        <v>0</v>
      </c>
    </row>
    <row r="72" spans="1:14">
      <c r="A72" s="83"/>
      <c r="B72" s="81"/>
      <c r="C72" s="83"/>
      <c r="D72" s="83"/>
      <c r="E72" s="83"/>
      <c r="F72" s="83"/>
      <c r="G72" s="83"/>
      <c r="H72" s="77"/>
      <c r="I72" s="83"/>
      <c r="J72" s="79"/>
      <c r="K72" s="79"/>
      <c r="L72" s="83"/>
      <c r="M72" s="83"/>
      <c r="N72" s="84">
        <f t="shared" si="0"/>
        <v>0</v>
      </c>
    </row>
    <row r="73" spans="1:14">
      <c r="A73" s="83"/>
      <c r="B73" s="81"/>
      <c r="C73" s="83"/>
      <c r="D73" s="83"/>
      <c r="E73" s="83"/>
      <c r="F73" s="83"/>
      <c r="G73" s="83"/>
      <c r="H73" s="77"/>
      <c r="I73" s="83"/>
      <c r="J73" s="79"/>
      <c r="K73" s="79"/>
      <c r="L73" s="83"/>
      <c r="M73" s="83"/>
      <c r="N73" s="84">
        <f t="shared" si="0"/>
        <v>0</v>
      </c>
    </row>
    <row r="74" spans="1:14">
      <c r="A74" s="83"/>
      <c r="B74" s="81"/>
      <c r="C74" s="83"/>
      <c r="D74" s="83"/>
      <c r="E74" s="83"/>
      <c r="F74" s="83"/>
      <c r="G74" s="83"/>
      <c r="H74" s="77"/>
      <c r="I74" s="83"/>
      <c r="J74" s="79"/>
      <c r="K74" s="79"/>
      <c r="L74" s="83"/>
      <c r="M74" s="83"/>
      <c r="N74" s="84">
        <f t="shared" ref="N74:N102" si="1">M74-C74</f>
        <v>0</v>
      </c>
    </row>
    <row r="75" spans="1:14">
      <c r="A75" s="83"/>
      <c r="B75" s="81"/>
      <c r="C75" s="83"/>
      <c r="D75" s="83"/>
      <c r="E75" s="83"/>
      <c r="F75" s="83"/>
      <c r="G75" s="83"/>
      <c r="H75" s="77"/>
      <c r="I75" s="83"/>
      <c r="J75" s="79"/>
      <c r="K75" s="79"/>
      <c r="L75" s="83"/>
      <c r="M75" s="83"/>
      <c r="N75" s="84">
        <f t="shared" si="1"/>
        <v>0</v>
      </c>
    </row>
    <row r="76" spans="1:14">
      <c r="A76" s="83"/>
      <c r="B76" s="81"/>
      <c r="C76" s="83"/>
      <c r="D76" s="83"/>
      <c r="E76" s="83"/>
      <c r="F76" s="83"/>
      <c r="G76" s="83"/>
      <c r="H76" s="77"/>
      <c r="I76" s="83"/>
      <c r="J76" s="79"/>
      <c r="K76" s="79"/>
      <c r="L76" s="83"/>
      <c r="M76" s="83"/>
      <c r="N76" s="84">
        <f t="shared" si="1"/>
        <v>0</v>
      </c>
    </row>
    <row r="77" spans="1:14">
      <c r="A77" s="83"/>
      <c r="B77" s="81"/>
      <c r="C77" s="83"/>
      <c r="D77" s="83"/>
      <c r="E77" s="83"/>
      <c r="F77" s="83"/>
      <c r="G77" s="83"/>
      <c r="H77" s="77"/>
      <c r="I77" s="83"/>
      <c r="J77" s="79"/>
      <c r="K77" s="79"/>
      <c r="L77" s="83"/>
      <c r="M77" s="83"/>
      <c r="N77" s="84">
        <f t="shared" si="1"/>
        <v>0</v>
      </c>
    </row>
    <row r="78" spans="1:14">
      <c r="A78" s="83"/>
      <c r="B78" s="81"/>
      <c r="C78" s="83"/>
      <c r="D78" s="83"/>
      <c r="E78" s="83"/>
      <c r="F78" s="83"/>
      <c r="G78" s="83"/>
      <c r="H78" s="77"/>
      <c r="I78" s="83"/>
      <c r="J78" s="79"/>
      <c r="K78" s="79"/>
      <c r="L78" s="83"/>
      <c r="M78" s="83"/>
      <c r="N78" s="84">
        <f t="shared" si="1"/>
        <v>0</v>
      </c>
    </row>
    <row r="79" spans="1:14">
      <c r="A79" s="83"/>
      <c r="B79" s="81"/>
      <c r="C79" s="83"/>
      <c r="D79" s="83"/>
      <c r="E79" s="83"/>
      <c r="F79" s="83"/>
      <c r="G79" s="83"/>
      <c r="H79" s="77"/>
      <c r="I79" s="83"/>
      <c r="J79" s="79"/>
      <c r="K79" s="79"/>
      <c r="L79" s="83"/>
      <c r="M79" s="83"/>
      <c r="N79" s="84">
        <f t="shared" si="1"/>
        <v>0</v>
      </c>
    </row>
    <row r="80" spans="1:14">
      <c r="A80" s="83"/>
      <c r="B80" s="81"/>
      <c r="C80" s="83"/>
      <c r="D80" s="83"/>
      <c r="E80" s="83"/>
      <c r="F80" s="83"/>
      <c r="G80" s="83"/>
      <c r="H80" s="77"/>
      <c r="I80" s="83"/>
      <c r="J80" s="79"/>
      <c r="K80" s="79"/>
      <c r="L80" s="83"/>
      <c r="M80" s="83"/>
      <c r="N80" s="84">
        <f t="shared" si="1"/>
        <v>0</v>
      </c>
    </row>
    <row r="81" spans="1:14">
      <c r="A81" s="83"/>
      <c r="B81" s="81"/>
      <c r="C81" s="83"/>
      <c r="D81" s="83"/>
      <c r="E81" s="83"/>
      <c r="F81" s="83"/>
      <c r="G81" s="83"/>
      <c r="H81" s="77"/>
      <c r="I81" s="83"/>
      <c r="J81" s="79"/>
      <c r="K81" s="79"/>
      <c r="L81" s="83"/>
      <c r="M81" s="83"/>
      <c r="N81" s="84">
        <f t="shared" si="1"/>
        <v>0</v>
      </c>
    </row>
    <row r="82" spans="1:14">
      <c r="A82" s="83"/>
      <c r="B82" s="81"/>
      <c r="C82" s="83"/>
      <c r="D82" s="83"/>
      <c r="E82" s="83"/>
      <c r="F82" s="83"/>
      <c r="G82" s="83"/>
      <c r="H82" s="77"/>
      <c r="I82" s="83"/>
      <c r="J82" s="79"/>
      <c r="K82" s="79"/>
      <c r="L82" s="83"/>
      <c r="M82" s="83"/>
      <c r="N82" s="84">
        <f t="shared" si="1"/>
        <v>0</v>
      </c>
    </row>
    <row r="83" spans="1:14">
      <c r="A83" s="83"/>
      <c r="B83" s="81"/>
      <c r="C83" s="83"/>
      <c r="D83" s="83"/>
      <c r="E83" s="83"/>
      <c r="F83" s="83"/>
      <c r="G83" s="83"/>
      <c r="H83" s="77"/>
      <c r="I83" s="83"/>
      <c r="J83" s="79"/>
      <c r="K83" s="79"/>
      <c r="L83" s="83"/>
      <c r="M83" s="83"/>
      <c r="N83" s="84">
        <f t="shared" si="1"/>
        <v>0</v>
      </c>
    </row>
    <row r="84" spans="1:14">
      <c r="A84" s="83"/>
      <c r="B84" s="81"/>
      <c r="C84" s="83"/>
      <c r="D84" s="83"/>
      <c r="E84" s="83"/>
      <c r="F84" s="83"/>
      <c r="G84" s="83"/>
      <c r="H84" s="77"/>
      <c r="I84" s="83"/>
      <c r="J84" s="79"/>
      <c r="K84" s="79"/>
      <c r="L84" s="83"/>
      <c r="M84" s="83"/>
      <c r="N84" s="84">
        <f t="shared" si="1"/>
        <v>0</v>
      </c>
    </row>
    <row r="85" spans="1:14">
      <c r="A85" s="83"/>
      <c r="B85" s="81"/>
      <c r="C85" s="83"/>
      <c r="D85" s="83"/>
      <c r="E85" s="83"/>
      <c r="F85" s="83"/>
      <c r="G85" s="83"/>
      <c r="H85" s="77"/>
      <c r="I85" s="83"/>
      <c r="J85" s="79"/>
      <c r="K85" s="79"/>
      <c r="L85" s="83"/>
      <c r="M85" s="83"/>
      <c r="N85" s="84">
        <f t="shared" si="1"/>
        <v>0</v>
      </c>
    </row>
    <row r="86" spans="1:14">
      <c r="A86" s="83"/>
      <c r="B86" s="81"/>
      <c r="C86" s="83"/>
      <c r="D86" s="83"/>
      <c r="E86" s="83"/>
      <c r="F86" s="83"/>
      <c r="G86" s="83"/>
      <c r="H86" s="77"/>
      <c r="I86" s="83"/>
      <c r="J86" s="79"/>
      <c r="K86" s="79"/>
      <c r="L86" s="83"/>
      <c r="M86" s="83"/>
      <c r="N86" s="84">
        <f t="shared" si="1"/>
        <v>0</v>
      </c>
    </row>
    <row r="87" spans="1:14">
      <c r="A87" s="83"/>
      <c r="B87" s="81"/>
      <c r="C87" s="83"/>
      <c r="D87" s="83"/>
      <c r="E87" s="83"/>
      <c r="F87" s="83"/>
      <c r="G87" s="83"/>
      <c r="H87" s="77"/>
      <c r="I87" s="83"/>
      <c r="J87" s="79"/>
      <c r="K87" s="79"/>
      <c r="L87" s="83"/>
      <c r="M87" s="83"/>
      <c r="N87" s="84">
        <f t="shared" si="1"/>
        <v>0</v>
      </c>
    </row>
    <row r="88" spans="1:14">
      <c r="A88" s="83"/>
      <c r="B88" s="81"/>
      <c r="C88" s="83"/>
      <c r="D88" s="83"/>
      <c r="E88" s="83"/>
      <c r="F88" s="83"/>
      <c r="G88" s="83"/>
      <c r="H88" s="77"/>
      <c r="I88" s="83"/>
      <c r="J88" s="79"/>
      <c r="K88" s="79"/>
      <c r="L88" s="83"/>
      <c r="M88" s="83"/>
      <c r="N88" s="84">
        <f t="shared" si="1"/>
        <v>0</v>
      </c>
    </row>
    <row r="89" spans="1:14">
      <c r="A89" s="83"/>
      <c r="B89" s="81"/>
      <c r="C89" s="83"/>
      <c r="D89" s="83"/>
      <c r="E89" s="83"/>
      <c r="F89" s="83"/>
      <c r="G89" s="83"/>
      <c r="H89" s="77"/>
      <c r="I89" s="83"/>
      <c r="J89" s="79"/>
      <c r="K89" s="79"/>
      <c r="L89" s="83"/>
      <c r="M89" s="83"/>
      <c r="N89" s="84">
        <f t="shared" si="1"/>
        <v>0</v>
      </c>
    </row>
    <row r="90" spans="1:14">
      <c r="A90" s="83"/>
      <c r="B90" s="81"/>
      <c r="C90" s="83"/>
      <c r="D90" s="83"/>
      <c r="E90" s="83"/>
      <c r="F90" s="83"/>
      <c r="G90" s="83"/>
      <c r="H90" s="77"/>
      <c r="I90" s="83"/>
      <c r="J90" s="79"/>
      <c r="K90" s="79"/>
      <c r="L90" s="83"/>
      <c r="M90" s="83"/>
      <c r="N90" s="84">
        <f t="shared" si="1"/>
        <v>0</v>
      </c>
    </row>
    <row r="91" spans="1:14">
      <c r="A91" s="83"/>
      <c r="B91" s="81"/>
      <c r="C91" s="83"/>
      <c r="D91" s="83"/>
      <c r="E91" s="83"/>
      <c r="F91" s="83"/>
      <c r="G91" s="83"/>
      <c r="H91" s="77"/>
      <c r="I91" s="83"/>
      <c r="J91" s="79"/>
      <c r="K91" s="79"/>
      <c r="L91" s="83"/>
      <c r="M91" s="83"/>
      <c r="N91" s="84">
        <f t="shared" si="1"/>
        <v>0</v>
      </c>
    </row>
    <row r="92" spans="1:14">
      <c r="A92" s="83"/>
      <c r="B92" s="81"/>
      <c r="C92" s="83"/>
      <c r="D92" s="83"/>
      <c r="E92" s="83"/>
      <c r="F92" s="83"/>
      <c r="G92" s="83"/>
      <c r="H92" s="77"/>
      <c r="I92" s="83"/>
      <c r="J92" s="79"/>
      <c r="K92" s="79"/>
      <c r="L92" s="83"/>
      <c r="M92" s="83"/>
      <c r="N92" s="84">
        <f t="shared" si="1"/>
        <v>0</v>
      </c>
    </row>
    <row r="93" spans="1:14">
      <c r="A93" s="83"/>
      <c r="B93" s="81"/>
      <c r="C93" s="83"/>
      <c r="D93" s="83"/>
      <c r="E93" s="83"/>
      <c r="F93" s="83"/>
      <c r="G93" s="83"/>
      <c r="H93" s="77"/>
      <c r="I93" s="83"/>
      <c r="J93" s="79"/>
      <c r="K93" s="79"/>
      <c r="L93" s="83"/>
      <c r="M93" s="83"/>
      <c r="N93" s="84">
        <f t="shared" si="1"/>
        <v>0</v>
      </c>
    </row>
    <row r="94" spans="1:14">
      <c r="A94" s="83"/>
      <c r="B94" s="81"/>
      <c r="C94" s="83"/>
      <c r="D94" s="83"/>
      <c r="E94" s="83"/>
      <c r="F94" s="83"/>
      <c r="G94" s="83"/>
      <c r="H94" s="77"/>
      <c r="I94" s="83"/>
      <c r="J94" s="79"/>
      <c r="K94" s="79"/>
      <c r="L94" s="83"/>
      <c r="M94" s="83"/>
      <c r="N94" s="84">
        <f t="shared" si="1"/>
        <v>0</v>
      </c>
    </row>
    <row r="95" spans="1:14">
      <c r="A95" s="83"/>
      <c r="B95" s="81"/>
      <c r="C95" s="83"/>
      <c r="D95" s="83"/>
      <c r="E95" s="83"/>
      <c r="F95" s="83"/>
      <c r="G95" s="83"/>
      <c r="H95" s="77"/>
      <c r="I95" s="83"/>
      <c r="J95" s="79"/>
      <c r="K95" s="79"/>
      <c r="L95" s="83"/>
      <c r="M95" s="83"/>
      <c r="N95" s="84">
        <f t="shared" si="1"/>
        <v>0</v>
      </c>
    </row>
    <row r="96" spans="1:14">
      <c r="A96" s="83"/>
      <c r="B96" s="81"/>
      <c r="C96" s="83"/>
      <c r="D96" s="83"/>
      <c r="E96" s="83"/>
      <c r="F96" s="83"/>
      <c r="G96" s="83"/>
      <c r="H96" s="77"/>
      <c r="I96" s="83"/>
      <c r="J96" s="79"/>
      <c r="K96" s="79"/>
      <c r="L96" s="83"/>
      <c r="M96" s="83"/>
      <c r="N96" s="84">
        <f t="shared" si="1"/>
        <v>0</v>
      </c>
    </row>
    <row r="97" spans="1:14">
      <c r="A97" s="83"/>
      <c r="B97" s="81"/>
      <c r="C97" s="83"/>
      <c r="D97" s="83"/>
      <c r="E97" s="83"/>
      <c r="F97" s="83"/>
      <c r="G97" s="83"/>
      <c r="H97" s="77"/>
      <c r="I97" s="83"/>
      <c r="J97" s="79"/>
      <c r="K97" s="79"/>
      <c r="L97" s="83"/>
      <c r="M97" s="83"/>
      <c r="N97" s="84">
        <f t="shared" si="1"/>
        <v>0</v>
      </c>
    </row>
    <row r="98" spans="1:14">
      <c r="A98" s="83"/>
      <c r="B98" s="81"/>
      <c r="C98" s="83"/>
      <c r="D98" s="83"/>
      <c r="E98" s="83"/>
      <c r="F98" s="83"/>
      <c r="G98" s="83"/>
      <c r="H98" s="77"/>
      <c r="I98" s="83"/>
      <c r="J98" s="79"/>
      <c r="K98" s="79"/>
      <c r="L98" s="83"/>
      <c r="M98" s="83"/>
      <c r="N98" s="84">
        <f t="shared" si="1"/>
        <v>0</v>
      </c>
    </row>
    <row r="99" spans="1:14">
      <c r="A99" s="83"/>
      <c r="B99" s="81"/>
      <c r="C99" s="83"/>
      <c r="D99" s="83"/>
      <c r="E99" s="83"/>
      <c r="F99" s="83"/>
      <c r="G99" s="83"/>
      <c r="H99" s="77"/>
      <c r="I99" s="83"/>
      <c r="J99" s="79"/>
      <c r="K99" s="79"/>
      <c r="L99" s="83"/>
      <c r="M99" s="83"/>
      <c r="N99" s="84">
        <f t="shared" si="1"/>
        <v>0</v>
      </c>
    </row>
    <row r="100" spans="1:14">
      <c r="A100" s="83"/>
      <c r="B100" s="81"/>
      <c r="C100" s="83"/>
      <c r="D100" s="83"/>
      <c r="E100" s="83"/>
      <c r="F100" s="83"/>
      <c r="G100" s="83"/>
      <c r="H100" s="77"/>
      <c r="I100" s="83"/>
      <c r="J100" s="79"/>
      <c r="K100" s="79"/>
      <c r="L100" s="83"/>
      <c r="M100" s="83"/>
      <c r="N100" s="84">
        <f t="shared" si="1"/>
        <v>0</v>
      </c>
    </row>
    <row r="101" spans="1:14">
      <c r="A101" s="83"/>
      <c r="B101" s="81"/>
      <c r="C101" s="83"/>
      <c r="D101" s="83"/>
      <c r="E101" s="83"/>
      <c r="F101" s="83"/>
      <c r="G101" s="83"/>
      <c r="H101" s="77"/>
      <c r="I101" s="83"/>
      <c r="J101" s="79"/>
      <c r="K101" s="79"/>
      <c r="L101" s="83"/>
      <c r="M101" s="83"/>
      <c r="N101" s="84">
        <f t="shared" si="1"/>
        <v>0</v>
      </c>
    </row>
    <row r="102" spans="1:14">
      <c r="A102" s="83"/>
      <c r="B102" s="81"/>
      <c r="C102" s="83"/>
      <c r="D102" s="83"/>
      <c r="E102" s="83"/>
      <c r="F102" s="83"/>
      <c r="G102" s="83"/>
      <c r="H102" s="77"/>
      <c r="I102" s="83"/>
      <c r="J102" s="79"/>
      <c r="K102" s="79"/>
      <c r="L102" s="83"/>
      <c r="M102" s="83"/>
      <c r="N102" s="84">
        <f t="shared" si="1"/>
        <v>0</v>
      </c>
    </row>
  </sheetData>
  <conditionalFormatting sqref="E18:G34 H18:H102 E7:H17">
    <cfRule type="cellIs" dxfId="51" priority="49" stopIfTrue="1" operator="equal">
      <formula>"Fail"</formula>
    </cfRule>
    <cfRule type="expression" dxfId="50" priority="50" stopIfTrue="1">
      <formula>LEFT(E7,4)="Pass"</formula>
    </cfRule>
  </conditionalFormatting>
  <conditionalFormatting sqref="B18:B102 N18:N102 H18:H102 A19:N35 A7:J18 L7:N18">
    <cfRule type="expression" dxfId="49" priority="31">
      <formula>$H7="Waived-Off-UAT"</formula>
    </cfRule>
    <cfRule type="expression" dxfId="48" priority="32">
      <formula>$H7="Waived-Off-Business"</formula>
    </cfRule>
    <cfRule type="expression" dxfId="47" priority="33">
      <formula>$H7="Closed"</formula>
    </cfRule>
    <cfRule type="expression" dxfId="46" priority="34">
      <formula>$H7="Fixed"</formula>
    </cfRule>
    <cfRule type="expression" dxfId="45" priority="35">
      <formula>$H7="Not Reproducible"</formula>
    </cfRule>
    <cfRule type="expression" dxfId="44" priority="36">
      <formula>$H7="Pending"</formula>
    </cfRule>
    <cfRule type="expression" dxfId="43" priority="37">
      <formula>$H7="NA"</formula>
    </cfRule>
    <cfRule type="expression" dxfId="42" priority="38">
      <formula>$H7="Deffered"</formula>
    </cfRule>
    <cfRule type="expression" dxfId="41" priority="39">
      <formula>$H7="Re-Open"</formula>
    </cfRule>
    <cfRule type="expression" dxfId="40" priority="40">
      <formula>$H7="Open"</formula>
    </cfRule>
  </conditionalFormatting>
  <conditionalFormatting sqref="K7:K17">
    <cfRule type="expression" dxfId="39" priority="21">
      <formula>$H7="Waived-Off-UAT"</formula>
    </cfRule>
    <cfRule type="expression" dxfId="38" priority="22">
      <formula>$H7="Waived-Off-Business"</formula>
    </cfRule>
    <cfRule type="expression" dxfId="37" priority="23">
      <formula>$H7="Closed"</formula>
    </cfRule>
    <cfRule type="expression" dxfId="36" priority="24">
      <formula>$H7="Fixed"</formula>
    </cfRule>
    <cfRule type="expression" dxfId="35" priority="25">
      <formula>$H7="Not Reproducible"</formula>
    </cfRule>
    <cfRule type="expression" dxfId="34" priority="26">
      <formula>$H7="Pending"</formula>
    </cfRule>
    <cfRule type="expression" dxfId="33" priority="27">
      <formula>$H7="NA"</formula>
    </cfRule>
    <cfRule type="expression" dxfId="32" priority="28">
      <formula>$H7="Deffered"</formula>
    </cfRule>
    <cfRule type="expression" dxfId="31" priority="29">
      <formula>$H7="Re-Open"</formula>
    </cfRule>
    <cfRule type="expression" dxfId="30" priority="30">
      <formula>$H7="Open"</formula>
    </cfRule>
  </conditionalFormatting>
  <conditionalFormatting sqref="K18">
    <cfRule type="expression" dxfId="19" priority="1">
      <formula>$H18="Waived-Off-UAT"</formula>
    </cfRule>
    <cfRule type="expression" dxfId="18" priority="2">
      <formula>$H18="Waived-Off-Business"</formula>
    </cfRule>
    <cfRule type="expression" dxfId="17" priority="3">
      <formula>$H18="Closed"</formula>
    </cfRule>
    <cfRule type="expression" dxfId="16" priority="4">
      <formula>$H18="Fixed"</formula>
    </cfRule>
    <cfRule type="expression" dxfId="15" priority="5">
      <formula>$H18="Not Reproducible"</formula>
    </cfRule>
    <cfRule type="expression" dxfId="14" priority="6">
      <formula>$H18="Pending"</formula>
    </cfRule>
    <cfRule type="expression" dxfId="13" priority="7">
      <formula>$H18="NA"</formula>
    </cfRule>
    <cfRule type="expression" dxfId="12" priority="8">
      <formula>$H18="Deffered"</formula>
    </cfRule>
    <cfRule type="expression" dxfId="11" priority="9">
      <formula>$H18="Re-Open"</formula>
    </cfRule>
    <cfRule type="expression" dxfId="10" priority="10">
      <formula>$H18="Open"</formula>
    </cfRule>
  </conditionalFormatting>
  <dataValidations count="6">
    <dataValidation type="list" allowBlank="1" showInputMessage="1" showErrorMessage="1" sqref="H7:H102">
      <formula1>"Open,Re-Open,Deffered,NA,Pending,Not Reproducible,Fixed,Closed,Waived-Off-Business, Waived-Off-UAT"</formula1>
    </dataValidation>
    <dataValidation type="list" allowBlank="1" showInputMessage="1" showErrorMessage="1" sqref="E7:E34">
      <formula1>"Content,Functionality,Graphics,Others"</formula1>
    </dataValidation>
    <dataValidation type="list" allowBlank="1" showInputMessage="1" showErrorMessage="1" sqref="F7:F34">
      <formula1>"Low,Medium,High"</formula1>
    </dataValidation>
    <dataValidation type="list" allowBlank="1" showInputMessage="1" showErrorMessage="1" sqref="G7:G34">
      <formula1>"Critical,Major,Moderate,Minor,Cosmetic"</formula1>
    </dataValidation>
    <dataValidation type="list" allowBlank="1" showInputMessage="1" showErrorMessage="1" sqref="I7:I34">
      <formula1>"Joe, Ravi,Muthu,Silas, Surya,Gopi"</formula1>
    </dataValidation>
    <dataValidation type="list" allowBlank="1" showInputMessage="1" showErrorMessage="1" sqref="B7:B102">
      <formula1>"1,2,3,4,5,6,7,8,9,10,11,12,13,14,15"</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Home</vt:lpstr>
      <vt:lpstr>Dashboard</vt:lpstr>
      <vt:lpstr>Generic Test Cases</vt:lpstr>
      <vt:lpstr>Defect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Muthuramalingam</dc:creator>
  <cp:lastModifiedBy>Rakesh Gupta</cp:lastModifiedBy>
  <dcterms:created xsi:type="dcterms:W3CDTF">2014-07-03T18:35:52Z</dcterms:created>
  <dcterms:modified xsi:type="dcterms:W3CDTF">2017-05-12T15:03:39Z</dcterms:modified>
</cp:coreProperties>
</file>