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erika\Box\code\GECO\gas_properties\"/>
    </mc:Choice>
  </mc:AlternateContent>
  <xr:revisionPtr revIDLastSave="0" documentId="13_ncr:1_{12F86A81-D378-43B6-BEC5-F6FE9C11256A}" xr6:coauthVersionLast="47" xr6:coauthVersionMax="47" xr10:uidLastSave="{00000000-0000-0000-0000-000000000000}"/>
  <bookViews>
    <workbookView xWindow="28680" yWindow="-120" windowWidth="29040" windowHeight="15720" tabRatio="464"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63" i="1" l="1"/>
  <c r="O63" i="1" s="1"/>
  <c r="M62" i="1"/>
  <c r="O62" i="1" s="1"/>
  <c r="M61" i="1"/>
  <c r="O61" i="1" s="1"/>
  <c r="I62" i="1"/>
  <c r="I61" i="1"/>
  <c r="I63" i="1"/>
  <c r="I44" i="1"/>
  <c r="I43" i="1"/>
  <c r="I38" i="1"/>
  <c r="M55" i="1"/>
  <c r="O55" i="1" s="1"/>
  <c r="I55" i="1"/>
  <c r="M125" i="1"/>
  <c r="M124" i="1"/>
  <c r="M123" i="1"/>
  <c r="M122" i="1"/>
  <c r="O122" i="1" s="1"/>
  <c r="M121" i="1"/>
  <c r="O121" i="1" s="1"/>
  <c r="W107" i="1"/>
  <c r="V107" i="1"/>
  <c r="U107" i="1"/>
  <c r="T107" i="1"/>
  <c r="S107" i="1"/>
  <c r="R107" i="1"/>
  <c r="M107" i="1"/>
  <c r="O107" i="1" s="1"/>
  <c r="I107" i="1"/>
  <c r="AD104" i="1"/>
  <c r="M103" i="1"/>
  <c r="M100" i="1"/>
  <c r="M99" i="1"/>
  <c r="M98" i="1"/>
  <c r="M97" i="1"/>
  <c r="M96" i="1"/>
  <c r="M90" i="1"/>
  <c r="O73" i="1"/>
  <c r="M72" i="1"/>
  <c r="M71" i="1"/>
  <c r="M70" i="1"/>
  <c r="AD69" i="1"/>
  <c r="L69" i="1"/>
  <c r="M69" i="1" s="1"/>
  <c r="O69" i="1" s="1"/>
  <c r="AD68" i="1"/>
  <c r="L68" i="1"/>
  <c r="M68" i="1" s="1"/>
  <c r="O68" i="1" s="1"/>
  <c r="AD67" i="1"/>
  <c r="L67" i="1"/>
  <c r="M67" i="1" s="1"/>
  <c r="O67" i="1" s="1"/>
  <c r="AD66" i="1"/>
  <c r="L66" i="1"/>
  <c r="M66" i="1" s="1"/>
  <c r="O66" i="1" s="1"/>
  <c r="AD65" i="1"/>
  <c r="M65" i="1"/>
  <c r="O65" i="1" s="1"/>
  <c r="M44" i="1"/>
  <c r="O44" i="1" s="1"/>
  <c r="M47" i="1"/>
  <c r="M43" i="1"/>
  <c r="O43" i="1" s="1"/>
  <c r="M39" i="1"/>
  <c r="M38" i="1"/>
  <c r="O38" i="1" s="1"/>
  <c r="AB30" i="1"/>
  <c r="T30" i="1"/>
  <c r="S30" i="1"/>
  <c r="AB29" i="1"/>
  <c r="T29" i="1"/>
  <c r="S29" i="1"/>
  <c r="AB28" i="1"/>
  <c r="T28" i="1"/>
  <c r="S28" i="1"/>
  <c r="AB27" i="1"/>
  <c r="T27" i="1"/>
  <c r="S27" i="1"/>
  <c r="AB26" i="1"/>
  <c r="T26" i="1"/>
  <c r="S26" i="1"/>
  <c r="AB25" i="1"/>
  <c r="T25" i="1"/>
  <c r="S25" i="1"/>
  <c r="AB24" i="1"/>
  <c r="T24" i="1"/>
  <c r="S24" i="1"/>
  <c r="AB23" i="1"/>
  <c r="T23" i="1"/>
  <c r="S23" i="1"/>
  <c r="AB22" i="1"/>
  <c r="T22" i="1"/>
  <c r="S22" i="1"/>
  <c r="AB21" i="1"/>
  <c r="T21" i="1"/>
  <c r="S21" i="1"/>
  <c r="AD20" i="1"/>
  <c r="M20" i="1"/>
  <c r="N20" i="1" s="1"/>
  <c r="I20" i="1"/>
  <c r="AD19" i="1"/>
  <c r="M19" i="1"/>
  <c r="N19" i="1" s="1"/>
  <c r="I19" i="1"/>
  <c r="AD18" i="1"/>
  <c r="M18" i="1"/>
  <c r="N18" i="1" s="1"/>
  <c r="I18" i="1"/>
  <c r="AD17" i="1"/>
  <c r="M17" i="1"/>
  <c r="O17" i="1" s="1"/>
  <c r="I17" i="1"/>
  <c r="AD16" i="1"/>
  <c r="M16" i="1"/>
  <c r="N16" i="1" s="1"/>
  <c r="I16" i="1"/>
  <c r="M15" i="1"/>
  <c r="O15" i="1" s="1"/>
  <c r="M14" i="1"/>
  <c r="O14" i="1" s="1"/>
  <c r="M13" i="1"/>
  <c r="O13" i="1" s="1"/>
  <c r="AD12" i="1"/>
  <c r="M12" i="1"/>
  <c r="O12" i="1" s="1"/>
  <c r="I12" i="1"/>
  <c r="AD5" i="1"/>
  <c r="K5" i="1"/>
  <c r="M5" i="1" s="1"/>
  <c r="O5" i="1" s="1"/>
  <c r="I4" i="1"/>
  <c r="I3" i="1"/>
  <c r="O16" i="1" l="1"/>
  <c r="N17" i="1"/>
  <c r="O19" i="1"/>
  <c r="R23" i="1"/>
  <c r="R27" i="1"/>
  <c r="R22" i="1"/>
  <c r="R30" i="1"/>
  <c r="R25" i="1"/>
  <c r="R26" i="1"/>
  <c r="N12" i="1"/>
  <c r="R21" i="1"/>
  <c r="R29" i="1"/>
  <c r="O18" i="1"/>
  <c r="O20" i="1"/>
  <c r="R24" i="1"/>
  <c r="R28" i="1"/>
</calcChain>
</file>

<file path=xl/sharedStrings.xml><?xml version="1.0" encoding="utf-8"?>
<sst xmlns="http://schemas.openxmlformats.org/spreadsheetml/2006/main" count="695" uniqueCount="233">
  <si>
    <t>Run</t>
  </si>
  <si>
    <t>Reference</t>
  </si>
  <si>
    <t>Type of Cell</t>
  </si>
  <si>
    <t>Cathode Chemistry</t>
  </si>
  <si>
    <t>Solvents</t>
  </si>
  <si>
    <t>Initial SOC</t>
  </si>
  <si>
    <t>Failure Test</t>
  </si>
  <si>
    <t>Total Gas Volume (L)</t>
  </si>
  <si>
    <t>Voltage</t>
  </si>
  <si>
    <t>Amp-Hour</t>
  </si>
  <si>
    <t>Energy Stored (Wh)</t>
  </si>
  <si>
    <t>Mass Battery (g)</t>
  </si>
  <si>
    <t>L/Wh</t>
  </si>
  <si>
    <t>Pmax (psi)</t>
  </si>
  <si>
    <t>Notes</t>
  </si>
  <si>
    <t>Species Composition by % Volume or % mol</t>
  </si>
  <si>
    <t>Not in Cantera</t>
  </si>
  <si>
    <t>EMC</t>
  </si>
  <si>
    <t>DMC</t>
  </si>
  <si>
    <t>EC</t>
  </si>
  <si>
    <t>DEC</t>
  </si>
  <si>
    <t>Flamspedd</t>
  </si>
  <si>
    <t>Execute</t>
  </si>
  <si>
    <t>Ref-Author</t>
  </si>
  <si>
    <t>Ref-Year</t>
  </si>
  <si>
    <t>Format</t>
  </si>
  <si>
    <t>Chemistry</t>
  </si>
  <si>
    <t>Electrolyte</t>
  </si>
  <si>
    <t>SOC</t>
  </si>
  <si>
    <t>Failure</t>
  </si>
  <si>
    <t>GasVol</t>
  </si>
  <si>
    <t>WetGasVolume</t>
  </si>
  <si>
    <t>A-hr</t>
  </si>
  <si>
    <t>W-hr</t>
  </si>
  <si>
    <t>Mass</t>
  </si>
  <si>
    <t>Pmax</t>
  </si>
  <si>
    <t>CO2</t>
  </si>
  <si>
    <t>CO</t>
  </si>
  <si>
    <t>H2</t>
  </si>
  <si>
    <t>CH4</t>
  </si>
  <si>
    <t>C2H4</t>
  </si>
  <si>
    <t>C2H6</t>
  </si>
  <si>
    <t>C3H8</t>
  </si>
  <si>
    <t>N2</t>
  </si>
  <si>
    <t>O2</t>
  </si>
  <si>
    <t>CH3OH</t>
  </si>
  <si>
    <t>THC</t>
  </si>
  <si>
    <t>H2O</t>
  </si>
  <si>
    <t>Other</t>
  </si>
  <si>
    <t>C2H2</t>
  </si>
  <si>
    <t>C3H6</t>
  </si>
  <si>
    <t>C4H10</t>
  </si>
  <si>
    <t>C4H102</t>
  </si>
  <si>
    <t>C4H8</t>
  </si>
  <si>
    <t>C5H12</t>
  </si>
  <si>
    <t>C5H123</t>
  </si>
  <si>
    <t>C6H6</t>
  </si>
  <si>
    <t>C7H8</t>
  </si>
  <si>
    <t>C8H10</t>
  </si>
  <si>
    <t>(CH3)2C6H4</t>
  </si>
  <si>
    <t>C2H5F</t>
  </si>
  <si>
    <t>CH3OCH3</t>
  </si>
  <si>
    <t>CH3OCHO</t>
  </si>
  <si>
    <t>C2H5OH</t>
  </si>
  <si>
    <t>CH3F</t>
  </si>
  <si>
    <t>PF3</t>
  </si>
  <si>
    <t>C4H8O3</t>
  </si>
  <si>
    <t>C3H6O3</t>
  </si>
  <si>
    <t>C3H4O3</t>
  </si>
  <si>
    <t>C5H10O3</t>
  </si>
  <si>
    <t>Column4</t>
  </si>
  <si>
    <t>Phi=1</t>
  </si>
  <si>
    <t>Abraham</t>
  </si>
  <si>
    <t>NCA</t>
  </si>
  <si>
    <t>Thermal-Abuse (ARC)</t>
  </si>
  <si>
    <t>Punctured Cell</t>
  </si>
  <si>
    <t>Emailed for Data</t>
  </si>
  <si>
    <t>EC:EMC</t>
  </si>
  <si>
    <t>Vented Cell</t>
  </si>
  <si>
    <t>Done</t>
  </si>
  <si>
    <t>Archibald</t>
  </si>
  <si>
    <t>12_29_2020</t>
  </si>
  <si>
    <t>Cylindrical - K2 24 cell array</t>
  </si>
  <si>
    <t>LFP</t>
  </si>
  <si>
    <t>Thermal Abuse</t>
  </si>
  <si>
    <t>Syngas</t>
  </si>
  <si>
    <t>Bouvet</t>
  </si>
  <si>
    <t>50-50_H2_CO</t>
  </si>
  <si>
    <t>Doughty</t>
  </si>
  <si>
    <t>18650 with 2% VEC and 5% TPP</t>
  </si>
  <si>
    <t>Emailed for data</t>
  </si>
  <si>
    <t>18650 Baseline Test</t>
  </si>
  <si>
    <t>18650 with 2% VEC</t>
  </si>
  <si>
    <t>Cell with 6% GDR Anode</t>
  </si>
  <si>
    <t>EC:PC:EMC</t>
  </si>
  <si>
    <t>Cell with 6% GDR Anode and EC/PC/EMC + 2% VEC electrolyte</t>
  </si>
  <si>
    <t>Essl</t>
  </si>
  <si>
    <t>Pouch</t>
  </si>
  <si>
    <t>NMC-Pouch-60Ah-Thermal</t>
  </si>
  <si>
    <t>NMC/LMO-41Ah</t>
  </si>
  <si>
    <t>EC:DEC:DMC(48:48:4)</t>
  </si>
  <si>
    <t>No</t>
  </si>
  <si>
    <t>Essl-NailPen</t>
  </si>
  <si>
    <t>Prismatic</t>
  </si>
  <si>
    <t>NMC-Prismatic-60Ah-NailPen</t>
  </si>
  <si>
    <t>EC:DMC:EMC</t>
  </si>
  <si>
    <t>Nail Penetration</t>
  </si>
  <si>
    <t>NMC-Pouch-60Ah-NailPen</t>
  </si>
  <si>
    <t>Essl-OCH</t>
  </si>
  <si>
    <t>NMC-Pouch-60Ah-OCH</t>
  </si>
  <si>
    <t>Overcharge</t>
  </si>
  <si>
    <t>NMC-Prismatic-60Ah-OCH</t>
  </si>
  <si>
    <t>Essl-Thermal</t>
  </si>
  <si>
    <t>NMC-Prismatic-60Ah-Thermal</t>
  </si>
  <si>
    <t>FAA</t>
  </si>
  <si>
    <t>LCO</t>
  </si>
  <si>
    <t>Thermal-Abuse (Cone-calorimeter)</t>
  </si>
  <si>
    <t>Tests conducted at cabin pressure at altitude (10psia), compositions are from powerpoint presentation, assuming that the remaining gas is CO2 since only the volumes for hydrogen, CO and THC were given along with the total volumes</t>
  </si>
  <si>
    <t>Fernandes</t>
  </si>
  <si>
    <t>Cylindrical 26650</t>
  </si>
  <si>
    <t>DMC:EMC:EC:PC</t>
  </si>
  <si>
    <t>Overcharged (Explosion Proof Room)</t>
  </si>
  <si>
    <t>190% SOC before rupturing, 300 mL sample tested, average used</t>
  </si>
  <si>
    <t>Fri</t>
  </si>
  <si>
    <t>NMC</t>
  </si>
  <si>
    <t>OCH</t>
  </si>
  <si>
    <t>Thermal Abuse on Overcharged Cells (Combustion Chamber)</t>
  </si>
  <si>
    <t>Fu</t>
  </si>
  <si>
    <t>Goes into detail about time to ignition for different SOC/Heat Flux</t>
  </si>
  <si>
    <t>Golubkov</t>
  </si>
  <si>
    <t>LCO/NMC</t>
  </si>
  <si>
    <t>DMC:EMC:EC</t>
  </si>
  <si>
    <t>Thermal Abuse (Reactor Chamber)</t>
  </si>
  <si>
    <t>* Not sure if charging regimen, leaves them at exactly 100%</t>
  </si>
  <si>
    <t>DMC:EMC:EC:PC:MPC</t>
  </si>
  <si>
    <t>DMC:EC:PC</t>
  </si>
  <si>
    <t>NCA1</t>
  </si>
  <si>
    <t>NCA2</t>
  </si>
  <si>
    <t>Test</t>
  </si>
  <si>
    <t>Hydrogen</t>
  </si>
  <si>
    <t>Kennedy</t>
  </si>
  <si>
    <t>11_11_2019</t>
  </si>
  <si>
    <t>Prismatic_SDI</t>
  </si>
  <si>
    <t>11_5_2019</t>
  </si>
  <si>
    <t>PouchArray_5x18</t>
  </si>
  <si>
    <t>11_7_2019</t>
  </si>
  <si>
    <t>PouchArray_5x10</t>
  </si>
  <si>
    <t>10_3_2019</t>
  </si>
  <si>
    <t>9_13_2019</t>
  </si>
  <si>
    <t>Kong</t>
  </si>
  <si>
    <t xml:space="preserve">EC:DEC </t>
  </si>
  <si>
    <t xml:space="preserve">Overcharged </t>
  </si>
  <si>
    <t xml:space="preserve">No off-gas compositions </t>
  </si>
  <si>
    <t>LMO</t>
  </si>
  <si>
    <t>Kumia</t>
  </si>
  <si>
    <t xml:space="preserve">PC:EMC:DEC:DMC </t>
  </si>
  <si>
    <t>Varied</t>
  </si>
  <si>
    <t>Cycled/Overcharged/Overdischarged at 25 C</t>
  </si>
  <si>
    <t>Varying Tests with different volumes of gases detected, the largest volume recorded</t>
  </si>
  <si>
    <t>Lammer</t>
  </si>
  <si>
    <t>18650-MJ1</t>
  </si>
  <si>
    <t>Deflagration</t>
  </si>
  <si>
    <t>18650-35E</t>
  </si>
  <si>
    <t>18650-32A</t>
  </si>
  <si>
    <t>1st Venting</t>
  </si>
  <si>
    <t>Thermal Runaway</t>
  </si>
  <si>
    <t>Lapalame</t>
  </si>
  <si>
    <t>S50M5</t>
  </si>
  <si>
    <t>S50M20</t>
  </si>
  <si>
    <t>S50M40</t>
  </si>
  <si>
    <t>S50C10</t>
  </si>
  <si>
    <t>S50C20</t>
  </si>
  <si>
    <t>S50C30</t>
  </si>
  <si>
    <t>S50C40</t>
  </si>
  <si>
    <t>Larsson</t>
  </si>
  <si>
    <t>Cylindrical</t>
  </si>
  <si>
    <t>Laptop Battery</t>
  </si>
  <si>
    <t>Thermal Abuse (Fire Test Chamber)</t>
  </si>
  <si>
    <t>Each laptop battery pack has 6 cells of type 18650; arranged 2
in parallel and 3 in series. 2 batteries per test</t>
  </si>
  <si>
    <t>5x EiG ePLB-F007A</t>
  </si>
  <si>
    <t>Measured HF and POF3 off-gas, goes over HF release</t>
  </si>
  <si>
    <t>Measured HF and POF3 off-gas</t>
  </si>
  <si>
    <t>Measured HF and POF3 off-gas, included water mist</t>
  </si>
  <si>
    <t>9x K2 LFP26650EV</t>
  </si>
  <si>
    <t>12x Lenovo laptop
battery packs</t>
  </si>
  <si>
    <t>Prismatic hard
Al-can</t>
  </si>
  <si>
    <t>5-10 batteries per test, goes over HF Release</t>
  </si>
  <si>
    <t>2 batteries per test</t>
  </si>
  <si>
    <t>5 batteries per test</t>
  </si>
  <si>
    <t>9 batteries per test</t>
  </si>
  <si>
    <t>NCA-LATP</t>
  </si>
  <si>
    <t>Liu</t>
  </si>
  <si>
    <t>Tianjin LiShen</t>
  </si>
  <si>
    <t>Methane</t>
  </si>
  <si>
    <t>Mon</t>
  </si>
  <si>
    <t>Ohsaki</t>
  </si>
  <si>
    <t>Prismatic 633048</t>
  </si>
  <si>
    <t xml:space="preserve">Overcharged at 1 C Rate  </t>
  </si>
  <si>
    <t>Unsure of battery voltage, looked up model number</t>
  </si>
  <si>
    <t>Propane</t>
  </si>
  <si>
    <t>Ribiere</t>
  </si>
  <si>
    <t>Pouch Cells</t>
  </si>
  <si>
    <t>EC:DEC:DMC</t>
  </si>
  <si>
    <t>100, 50, 0</t>
  </si>
  <si>
    <t>Thermal-Abuse (Tewarson calorimeter)</t>
  </si>
  <si>
    <t>Gives the mass of CO2, CO and the THC in ppm</t>
  </si>
  <si>
    <t>Roth</t>
  </si>
  <si>
    <t>400 C</t>
  </si>
  <si>
    <t>200 C</t>
  </si>
  <si>
    <t>300 C</t>
  </si>
  <si>
    <t>Somandepalli</t>
  </si>
  <si>
    <t>ED:DEC</t>
  </si>
  <si>
    <t>Thermal Abuse (Combustion chamber)</t>
  </si>
  <si>
    <t>Spinner</t>
  </si>
  <si>
    <t>Thermal Abuse on Overcharged Cells(Fire Test Chamber)</t>
  </si>
  <si>
    <t>Single and Hexagonal cell configuration, hot glued and hose-claps, gives ranges for CO2, CO, SO2, O2 and CH4 released in ppm</t>
  </si>
  <si>
    <t>Sun</t>
  </si>
  <si>
    <t>Gives some concentrations in ppm</t>
  </si>
  <si>
    <t>Viswanathan</t>
  </si>
  <si>
    <t>Yuan</t>
  </si>
  <si>
    <t>EC:DEC:EM</t>
  </si>
  <si>
    <t>Overcharged</t>
  </si>
  <si>
    <t>Zheng</t>
  </si>
  <si>
    <t>Overdischarged (Glove Box)</t>
  </si>
  <si>
    <t>Gas species based on over-discharged battery (0.0 V)</t>
  </si>
  <si>
    <t>Zhou</t>
  </si>
  <si>
    <t>Basis</t>
  </si>
  <si>
    <t>H2-60</t>
  </si>
  <si>
    <t>H2-80</t>
  </si>
  <si>
    <t>CO-60</t>
  </si>
  <si>
    <t>CO-80</t>
  </si>
  <si>
    <t>CH4-60</t>
  </si>
  <si>
    <t>CH4-80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</si>
</sst>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charset val="1"/>
    </font>
    <font>
      <b/>
      <sz val="10"/>
      <name val="Arial"/>
      <family val="2"/>
      <charset val="1"/>
    </font>
    <font>
      <sz val="10"/>
      <name val="Arial"/>
      <family val="2"/>
      <charset val="1"/>
    </font>
    <font>
      <b/>
      <sz val="10"/>
      <color rgb="FF000000"/>
      <name val="Arial"/>
      <family val="2"/>
      <charset val="1"/>
    </font>
    <font>
      <sz val="10"/>
      <color rgb="FF000000"/>
      <name val="Roboto"/>
    </font>
    <font>
      <sz val="11"/>
      <color rgb="FF000000"/>
      <name val="Arial"/>
      <family val="2"/>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57">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2" xfId="0" applyFont="1" applyBorder="1" applyAlignment="1">
      <alignment horizontal="left" wrapText="1"/>
    </xf>
    <xf numFmtId="0" fontId="2" fillId="0" borderId="2" xfId="0" applyFont="1" applyBorder="1"/>
    <xf numFmtId="0" fontId="2" fillId="0" borderId="3" xfId="0" applyFont="1" applyBorder="1"/>
    <xf numFmtId="0" fontId="2" fillId="0" borderId="4" xfId="0" applyFont="1" applyBorder="1"/>
    <xf numFmtId="0" fontId="2" fillId="0" borderId="0" xfId="0" applyFont="1"/>
    <xf numFmtId="0" fontId="2" fillId="0" borderId="0" xfId="0" applyFont="1" applyAlignment="1">
      <alignment horizontal="left"/>
    </xf>
    <xf numFmtId="0" fontId="1" fillId="0" borderId="0" xfId="0" applyFont="1" applyAlignment="1">
      <alignment wrapText="1"/>
    </xf>
    <xf numFmtId="0" fontId="1" fillId="2" borderId="0" xfId="0" applyFont="1" applyFill="1" applyAlignment="1">
      <alignment wrapText="1"/>
    </xf>
    <xf numFmtId="0" fontId="3" fillId="2" borderId="0" xfId="0" applyFont="1" applyFill="1"/>
    <xf numFmtId="0" fontId="2" fillId="0" borderId="1" xfId="0" applyFont="1" applyBorder="1"/>
    <xf numFmtId="0" fontId="2" fillId="0" borderId="0" xfId="0" applyFont="1" applyAlignment="1">
      <alignment horizontal="left" wrapText="1"/>
    </xf>
    <xf numFmtId="0" fontId="2" fillId="0" borderId="0" xfId="0" applyFont="1" applyAlignment="1">
      <alignment wrapText="1"/>
    </xf>
    <xf numFmtId="0" fontId="2" fillId="2" borderId="0" xfId="0" applyFont="1" applyFill="1" applyAlignment="1">
      <alignment wrapText="1"/>
    </xf>
    <xf numFmtId="0" fontId="2" fillId="0" borderId="5" xfId="0" applyFont="1" applyBorder="1" applyAlignment="1">
      <alignment wrapText="1"/>
    </xf>
    <xf numFmtId="0" fontId="0" fillId="0" borderId="4" xfId="0" applyBorder="1"/>
    <xf numFmtId="0" fontId="0" fillId="0" borderId="1" xfId="0" applyBorder="1"/>
    <xf numFmtId="0" fontId="0" fillId="0" borderId="0" xfId="0" applyAlignment="1">
      <alignment wrapText="1"/>
    </xf>
    <xf numFmtId="0" fontId="2" fillId="0" borderId="2" xfId="0" applyFont="1" applyBorder="1" applyAlignment="1">
      <alignment horizontal="left" wrapText="1"/>
    </xf>
    <xf numFmtId="0" fontId="2" fillId="0" borderId="2" xfId="0" applyFont="1" applyBorder="1" applyAlignment="1">
      <alignment wrapText="1"/>
    </xf>
    <xf numFmtId="0" fontId="0" fillId="0" borderId="2" xfId="0" applyBorder="1" applyAlignment="1">
      <alignment wrapText="1"/>
    </xf>
    <xf numFmtId="0" fontId="2" fillId="0" borderId="3" xfId="0" applyFont="1" applyBorder="1" applyAlignment="1">
      <alignment wrapText="1"/>
    </xf>
    <xf numFmtId="0" fontId="0" fillId="2" borderId="1" xfId="0" applyFill="1" applyBorder="1"/>
    <xf numFmtId="0" fontId="2" fillId="2" borderId="0" xfId="0" applyFont="1" applyFill="1" applyAlignment="1">
      <alignment horizontal="left" wrapText="1"/>
    </xf>
    <xf numFmtId="0" fontId="2" fillId="2" borderId="0" xfId="0" applyFont="1" applyFill="1" applyAlignment="1">
      <alignment horizontal="left"/>
    </xf>
    <xf numFmtId="2" fontId="2" fillId="2" borderId="0" xfId="0" applyNumberFormat="1" applyFont="1" applyFill="1" applyAlignment="1">
      <alignment wrapText="1"/>
    </xf>
    <xf numFmtId="0" fontId="0" fillId="2" borderId="0" xfId="0" applyFill="1"/>
    <xf numFmtId="0" fontId="2" fillId="2" borderId="5" xfId="0" applyFont="1" applyFill="1" applyBorder="1" applyAlignment="1">
      <alignment wrapText="1"/>
    </xf>
    <xf numFmtId="0" fontId="0" fillId="0" borderId="6" xfId="0" applyBorder="1"/>
    <xf numFmtId="0" fontId="1" fillId="0" borderId="7" xfId="0" applyFont="1" applyBorder="1" applyAlignment="1">
      <alignment wrapText="1"/>
    </xf>
    <xf numFmtId="0" fontId="2" fillId="0" borderId="7" xfId="0" applyFont="1" applyBorder="1" applyAlignment="1">
      <alignment horizontal="left" wrapText="1"/>
    </xf>
    <xf numFmtId="0" fontId="2" fillId="0" borderId="7" xfId="0" applyFont="1" applyBorder="1" applyAlignment="1">
      <alignment horizontal="left"/>
    </xf>
    <xf numFmtId="0" fontId="2" fillId="0" borderId="7" xfId="0" applyFont="1" applyBorder="1" applyAlignment="1">
      <alignment wrapText="1"/>
    </xf>
    <xf numFmtId="2" fontId="2" fillId="0" borderId="7" xfId="0" applyNumberFormat="1" applyFont="1" applyBorder="1" applyAlignment="1">
      <alignment wrapText="1"/>
    </xf>
    <xf numFmtId="0" fontId="0" fillId="0" borderId="7" xfId="0" applyBorder="1"/>
    <xf numFmtId="0" fontId="2" fillId="0" borderId="8" xfId="0" applyFont="1" applyBorder="1" applyAlignment="1">
      <alignment wrapText="1"/>
    </xf>
    <xf numFmtId="2" fontId="2" fillId="0" borderId="0" xfId="0" applyNumberFormat="1" applyFont="1" applyAlignment="1">
      <alignment wrapText="1"/>
    </xf>
    <xf numFmtId="0" fontId="4" fillId="3" borderId="0" xfId="0" applyFont="1" applyFill="1"/>
    <xf numFmtId="4" fontId="2" fillId="0" borderId="0" xfId="0" applyNumberFormat="1" applyFont="1" applyAlignment="1">
      <alignment wrapText="1"/>
    </xf>
    <xf numFmtId="0" fontId="0" fillId="0" borderId="2" xfId="0" applyBorder="1"/>
    <xf numFmtId="0" fontId="4" fillId="3" borderId="2" xfId="0" applyFont="1" applyFill="1" applyBorder="1"/>
    <xf numFmtId="4" fontId="2" fillId="0" borderId="2" xfId="0" applyNumberFormat="1" applyFont="1" applyBorder="1" applyAlignment="1">
      <alignment wrapText="1"/>
    </xf>
    <xf numFmtId="0" fontId="5" fillId="3" borderId="0" xfId="0" applyFont="1" applyFill="1" applyAlignment="1">
      <alignment horizontal="left"/>
    </xf>
    <xf numFmtId="0" fontId="1" fillId="0" borderId="9" xfId="0" applyFont="1" applyBorder="1" applyAlignment="1">
      <alignment wrapText="1"/>
    </xf>
    <xf numFmtId="0" fontId="2" fillId="0" borderId="9" xfId="0" applyFont="1" applyBorder="1" applyAlignment="1">
      <alignment horizontal="left" wrapText="1"/>
    </xf>
    <xf numFmtId="0" fontId="2" fillId="0" borderId="9" xfId="0" applyFont="1" applyBorder="1" applyAlignment="1">
      <alignment wrapText="1"/>
    </xf>
    <xf numFmtId="0" fontId="2" fillId="0" borderId="10" xfId="0" applyFont="1" applyBorder="1" applyAlignment="1">
      <alignment wrapText="1"/>
    </xf>
    <xf numFmtId="0" fontId="0" fillId="0" borderId="5" xfId="0" applyBorder="1"/>
    <xf numFmtId="0" fontId="2" fillId="0" borderId="2" xfId="0" applyFont="1" applyBorder="1" applyAlignment="1">
      <alignment horizontal="left"/>
    </xf>
    <xf numFmtId="0" fontId="0" fillId="0" borderId="3" xfId="0" applyBorder="1"/>
    <xf numFmtId="0" fontId="2" fillId="0" borderId="7" xfId="0" applyFont="1" applyBorder="1"/>
    <xf numFmtId="0" fontId="1" fillId="0" borderId="0" xfId="0" applyFont="1"/>
    <xf numFmtId="0" fontId="5" fillId="3" borderId="0" xfId="0" applyFont="1" applyFill="1"/>
    <xf numFmtId="0" fontId="6" fillId="0" borderId="0" xfId="0" applyFont="1"/>
    <xf numFmtId="0" fontId="2" fillId="2" borderId="2"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BA134" totalsRowShown="0">
  <autoFilter ref="A2:BA134" xr:uid="{00000000-0009-0000-0100-000001000000}"/>
  <sortState xmlns:xlrd2="http://schemas.microsoft.com/office/spreadsheetml/2017/richdata2" ref="A38:BA63">
    <sortCondition ref="C2:C134"/>
  </sortState>
  <tableColumns count="53">
    <tableColumn id="1" xr3:uid="{00000000-0010-0000-0000-000001000000}" name="Execute"/>
    <tableColumn id="2" xr3:uid="{00000000-0010-0000-0000-000002000000}" name="Ref-Author"/>
    <tableColumn id="3" xr3:uid="{00000000-0010-0000-0000-000003000000}" name="Ref-Year"/>
    <tableColumn id="4" xr3:uid="{00000000-0010-0000-0000-000004000000}" name="Format"/>
    <tableColumn id="5" xr3:uid="{00000000-0010-0000-0000-000005000000}" name="Chemistry"/>
    <tableColumn id="6" xr3:uid="{00000000-0010-0000-0000-000006000000}" name="Electrolyte"/>
    <tableColumn id="7" xr3:uid="{00000000-0010-0000-0000-000007000000}" name="SOC"/>
    <tableColumn id="8" xr3:uid="{00000000-0010-0000-0000-000008000000}" name="Failure"/>
    <tableColumn id="9" xr3:uid="{00000000-0010-0000-0000-000009000000}" name="GasVol"/>
    <tableColumn id="10" xr3:uid="{00000000-0010-0000-0000-00000A000000}" name="WetGasVolume"/>
    <tableColumn id="11" xr3:uid="{00000000-0010-0000-0000-00000B000000}" name="Voltage"/>
    <tableColumn id="12" xr3:uid="{00000000-0010-0000-0000-00000C000000}" name="A-hr"/>
    <tableColumn id="13" xr3:uid="{00000000-0010-0000-0000-00000D000000}" name="W-hr"/>
    <tableColumn id="14" xr3:uid="{00000000-0010-0000-0000-00000E000000}" name="Mass"/>
    <tableColumn id="15" xr3:uid="{00000000-0010-0000-0000-00000F000000}" name="L/Wh"/>
    <tableColumn id="16" xr3:uid="{00000000-0010-0000-0000-000010000000}" name="Pmax"/>
    <tableColumn id="17" xr3:uid="{00000000-0010-0000-0000-000011000000}" name="Notes"/>
    <tableColumn id="18" xr3:uid="{00000000-0010-0000-0000-000012000000}" name="CO2"/>
    <tableColumn id="19" xr3:uid="{00000000-0010-0000-0000-000013000000}" name="CO"/>
    <tableColumn id="20" xr3:uid="{00000000-0010-0000-0000-000014000000}" name="H2"/>
    <tableColumn id="21" xr3:uid="{00000000-0010-0000-0000-000015000000}" name="CH4"/>
    <tableColumn id="22" xr3:uid="{00000000-0010-0000-0000-000016000000}" name="C2H4"/>
    <tableColumn id="23" xr3:uid="{00000000-0010-0000-0000-000017000000}" name="C2H6"/>
    <tableColumn id="24" xr3:uid="{00000000-0010-0000-0000-000018000000}" name="C3H8"/>
    <tableColumn id="25" xr3:uid="{00000000-0010-0000-0000-000019000000}" name="N2"/>
    <tableColumn id="26" xr3:uid="{00000000-0010-0000-0000-00001A000000}" name="O2"/>
    <tableColumn id="27" xr3:uid="{00000000-0010-0000-0000-00001B000000}" name="CH3OH"/>
    <tableColumn id="28" xr3:uid="{00000000-0010-0000-0000-00001C000000}" name="THC"/>
    <tableColumn id="29" xr3:uid="{00000000-0010-0000-0000-00001D000000}" name="H2O"/>
    <tableColumn id="30" xr3:uid="{00000000-0010-0000-0000-00001E000000}" name="Other"/>
    <tableColumn id="31" xr3:uid="{00000000-0010-0000-0000-00001F000000}" name="C2H2"/>
    <tableColumn id="32" xr3:uid="{00000000-0010-0000-0000-000020000000}" name="C3H6"/>
    <tableColumn id="33" xr3:uid="{00000000-0010-0000-0000-000021000000}" name="C4H10"/>
    <tableColumn id="34" xr3:uid="{00000000-0010-0000-0000-000022000000}" name="C4H102"/>
    <tableColumn id="35" xr3:uid="{00000000-0010-0000-0000-000023000000}" name="C4H8"/>
    <tableColumn id="36" xr3:uid="{00000000-0010-0000-0000-000024000000}" name="C5H12"/>
    <tableColumn id="37" xr3:uid="{00000000-0010-0000-0000-000025000000}" name="C5H123"/>
    <tableColumn id="38" xr3:uid="{00000000-0010-0000-0000-000026000000}" name="C6H6"/>
    <tableColumn id="39" xr3:uid="{00000000-0010-0000-0000-000027000000}" name="C7H8"/>
    <tableColumn id="40" xr3:uid="{00000000-0010-0000-0000-000028000000}" name="C8H10"/>
    <tableColumn id="41" xr3:uid="{00000000-0010-0000-0000-000029000000}" name="(CH3)2C6H4"/>
    <tableColumn id="42" xr3:uid="{00000000-0010-0000-0000-00002A000000}" name="C2H5F"/>
    <tableColumn id="43" xr3:uid="{00000000-0010-0000-0000-00002B000000}" name="CH3OCH3"/>
    <tableColumn id="44" xr3:uid="{00000000-0010-0000-0000-00002C000000}" name="CH3OCHO"/>
    <tableColumn id="45" xr3:uid="{00000000-0010-0000-0000-00002D000000}" name="C2H5OH"/>
    <tableColumn id="46" xr3:uid="{00000000-0010-0000-0000-00002E000000}" name="CH3F"/>
    <tableColumn id="47" xr3:uid="{00000000-0010-0000-0000-00002F000000}" name="PF3"/>
    <tableColumn id="48" xr3:uid="{00000000-0010-0000-0000-000030000000}" name="C4H8O3"/>
    <tableColumn id="49" xr3:uid="{00000000-0010-0000-0000-000031000000}" name="C3H6O3"/>
    <tableColumn id="50" xr3:uid="{00000000-0010-0000-0000-000032000000}" name="C3H4O3"/>
    <tableColumn id="51" xr3:uid="{00000000-0010-0000-0000-000033000000}" name="C5H10O3"/>
    <tableColumn id="52" xr3:uid="{00000000-0010-0000-0000-000034000000}" name="Column4"/>
    <tableColumn id="53" xr3:uid="{00000000-0010-0000-0000-000035000000}" name="Phi=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980"/>
  <sheetViews>
    <sheetView tabSelected="1" zoomScaleNormal="100" workbookViewId="0">
      <pane xSplit="5" ySplit="2" topLeftCell="F3" activePane="bottomRight" state="frozen"/>
      <selection pane="topRight" activeCell="F1" sqref="F1"/>
      <selection pane="bottomLeft" activeCell="A99" sqref="A99"/>
      <selection pane="bottomRight" activeCell="B7" sqref="B7"/>
    </sheetView>
  </sheetViews>
  <sheetFormatPr defaultColWidth="14.44140625" defaultRowHeight="13.2" x14ac:dyDescent="0.25"/>
  <cols>
    <col min="1" max="1" width="16.5546875" customWidth="1"/>
    <col min="2" max="2" width="16.33203125" customWidth="1"/>
    <col min="3" max="3" width="12.33203125" customWidth="1"/>
    <col min="4" max="4" width="24.6640625" customWidth="1"/>
    <col min="5" max="5" width="35.44140625" customWidth="1"/>
    <col min="6" max="6" width="10.5546875" customWidth="1"/>
    <col min="7" max="7" width="10.44140625" customWidth="1"/>
    <col min="8" max="8" width="24" customWidth="1"/>
    <col min="9" max="9" width="8.44140625" customWidth="1"/>
    <col min="10" max="11" width="8.33203125" customWidth="1"/>
    <col min="12" max="12" width="11.5546875" customWidth="1"/>
    <col min="13" max="13" width="18.6640625" customWidth="1"/>
    <col min="14" max="14" width="15" customWidth="1"/>
    <col min="15" max="15" width="9.33203125" customWidth="1"/>
    <col min="16" max="16" width="10.6640625" customWidth="1"/>
    <col min="17" max="17" width="9.44140625" customWidth="1"/>
    <col min="18" max="18" width="10.33203125" customWidth="1"/>
    <col min="19" max="26" width="9.33203125" customWidth="1"/>
    <col min="30" max="30" width="10.6640625" customWidth="1"/>
    <col min="31" max="31" width="6.88671875" customWidth="1"/>
    <col min="33" max="33" width="9.33203125" customWidth="1"/>
  </cols>
  <sheetData>
    <row r="1" spans="1:53" ht="15" customHeight="1" x14ac:dyDescent="0.25">
      <c r="A1" t="s">
        <v>0</v>
      </c>
      <c r="B1" s="1" t="s">
        <v>1</v>
      </c>
      <c r="C1" s="2"/>
      <c r="D1" s="3" t="s">
        <v>2</v>
      </c>
      <c r="E1" s="3" t="s">
        <v>3</v>
      </c>
      <c r="F1" s="2" t="s">
        <v>4</v>
      </c>
      <c r="G1" s="2" t="s">
        <v>5</v>
      </c>
      <c r="H1" s="2" t="s">
        <v>6</v>
      </c>
      <c r="I1" s="2" t="s">
        <v>7</v>
      </c>
      <c r="J1" s="2"/>
      <c r="K1" s="2" t="s">
        <v>8</v>
      </c>
      <c r="L1" s="2" t="s">
        <v>9</v>
      </c>
      <c r="M1" s="2" t="s">
        <v>10</v>
      </c>
      <c r="N1" s="2" t="s">
        <v>11</v>
      </c>
      <c r="O1" s="2" t="s">
        <v>12</v>
      </c>
      <c r="P1" s="2" t="s">
        <v>13</v>
      </c>
      <c r="Q1" s="2" t="s">
        <v>14</v>
      </c>
      <c r="R1" s="2" t="s">
        <v>15</v>
      </c>
      <c r="S1" s="4"/>
      <c r="T1" s="4"/>
      <c r="U1" s="4"/>
      <c r="V1" s="4"/>
      <c r="W1" s="4"/>
      <c r="X1" s="4"/>
      <c r="Y1" s="4"/>
      <c r="Z1" s="4"/>
      <c r="AA1" s="4"/>
      <c r="AB1" s="2"/>
      <c r="AC1" s="2"/>
      <c r="AD1" s="2" t="s">
        <v>16</v>
      </c>
      <c r="AE1" s="4"/>
      <c r="AF1" s="4"/>
      <c r="AG1" s="4"/>
      <c r="AH1" s="4"/>
      <c r="AI1" s="4"/>
      <c r="AJ1" s="4"/>
      <c r="AK1" s="4"/>
      <c r="AL1" s="4"/>
      <c r="AM1" s="4"/>
      <c r="AN1" s="4"/>
      <c r="AO1" s="4"/>
      <c r="AP1" s="4"/>
      <c r="AQ1" s="4"/>
      <c r="AR1" s="4"/>
      <c r="AS1" s="4"/>
      <c r="AT1" s="4"/>
      <c r="AU1" s="4"/>
      <c r="AV1" s="4" t="s">
        <v>17</v>
      </c>
      <c r="AW1" s="4" t="s">
        <v>18</v>
      </c>
      <c r="AX1" s="4" t="s">
        <v>19</v>
      </c>
      <c r="AY1" s="4" t="s">
        <v>20</v>
      </c>
      <c r="AZ1" s="4"/>
      <c r="BA1" s="5" t="s">
        <v>21</v>
      </c>
    </row>
    <row r="2" spans="1:53" ht="15" customHeight="1" x14ac:dyDescent="0.25">
      <c r="A2" t="s">
        <v>22</v>
      </c>
      <c r="B2" s="6" t="s">
        <v>23</v>
      </c>
      <c r="C2" s="7" t="s">
        <v>24</v>
      </c>
      <c r="D2" s="8" t="s">
        <v>25</v>
      </c>
      <c r="E2" s="8" t="s">
        <v>26</v>
      </c>
      <c r="F2" s="7" t="s">
        <v>27</v>
      </c>
      <c r="G2" s="7" t="s">
        <v>28</v>
      </c>
      <c r="H2" s="7" t="s">
        <v>29</v>
      </c>
      <c r="I2" s="7" t="s">
        <v>30</v>
      </c>
      <c r="J2" s="7" t="s">
        <v>31</v>
      </c>
      <c r="K2" s="7" t="s">
        <v>8</v>
      </c>
      <c r="L2" s="7" t="s">
        <v>32</v>
      </c>
      <c r="M2" s="7" t="s">
        <v>33</v>
      </c>
      <c r="N2" s="7" t="s">
        <v>34</v>
      </c>
      <c r="O2" s="7" t="s">
        <v>12</v>
      </c>
      <c r="P2" s="7" t="s">
        <v>35</v>
      </c>
      <c r="Q2" s="7" t="s">
        <v>14</v>
      </c>
      <c r="R2" s="9" t="s">
        <v>36</v>
      </c>
      <c r="S2" s="9" t="s">
        <v>37</v>
      </c>
      <c r="T2" s="9" t="s">
        <v>38</v>
      </c>
      <c r="U2" s="9" t="s">
        <v>39</v>
      </c>
      <c r="V2" s="9" t="s">
        <v>40</v>
      </c>
      <c r="W2" s="9" t="s">
        <v>41</v>
      </c>
      <c r="X2" s="9" t="s">
        <v>42</v>
      </c>
      <c r="Y2" s="9" t="s">
        <v>43</v>
      </c>
      <c r="Z2" s="9" t="s">
        <v>44</v>
      </c>
      <c r="AA2" s="9" t="s">
        <v>45</v>
      </c>
      <c r="AB2" s="9" t="s">
        <v>46</v>
      </c>
      <c r="AC2" s="9" t="s">
        <v>47</v>
      </c>
      <c r="AD2" s="10" t="s">
        <v>48</v>
      </c>
      <c r="AE2" s="10" t="s">
        <v>49</v>
      </c>
      <c r="AF2" s="10" t="s">
        <v>50</v>
      </c>
      <c r="AG2" s="11" t="s">
        <v>51</v>
      </c>
      <c r="AH2" s="11" t="s">
        <v>52</v>
      </c>
      <c r="AI2" s="11" t="s">
        <v>53</v>
      </c>
      <c r="AJ2" s="11" t="s">
        <v>54</v>
      </c>
      <c r="AK2" s="11" t="s">
        <v>55</v>
      </c>
      <c r="AL2" s="11" t="s">
        <v>56</v>
      </c>
      <c r="AM2" s="11" t="s">
        <v>57</v>
      </c>
      <c r="AN2" s="11" t="s">
        <v>58</v>
      </c>
      <c r="AO2" s="11" t="s">
        <v>59</v>
      </c>
      <c r="AP2" s="11" t="s">
        <v>60</v>
      </c>
      <c r="AQ2" s="11" t="s">
        <v>61</v>
      </c>
      <c r="AR2" s="11" t="s">
        <v>62</v>
      </c>
      <c r="AS2" s="11" t="s">
        <v>63</v>
      </c>
      <c r="AT2" s="10" t="s">
        <v>64</v>
      </c>
      <c r="AU2" s="11" t="s">
        <v>65</v>
      </c>
      <c r="AV2" s="11" t="s">
        <v>66</v>
      </c>
      <c r="AW2" s="11" t="s">
        <v>67</v>
      </c>
      <c r="AX2" s="11" t="s">
        <v>68</v>
      </c>
      <c r="AY2" s="11" t="s">
        <v>69</v>
      </c>
      <c r="AZ2" s="11" t="s">
        <v>70</v>
      </c>
      <c r="BA2" s="11" t="s">
        <v>71</v>
      </c>
    </row>
    <row r="3" spans="1:53" ht="18.75" customHeight="1" x14ac:dyDescent="0.25">
      <c r="A3" s="12"/>
      <c r="B3" s="9" t="s">
        <v>72</v>
      </c>
      <c r="C3" s="9">
        <v>2006</v>
      </c>
      <c r="D3" s="13">
        <v>18650</v>
      </c>
      <c r="E3" s="13" t="s">
        <v>73</v>
      </c>
      <c r="F3" s="7"/>
      <c r="G3" s="14">
        <v>100</v>
      </c>
      <c r="H3" s="14" t="s">
        <v>74</v>
      </c>
      <c r="I3" s="14">
        <f>12.5/1000</f>
        <v>1.2500000000000001E-2</v>
      </c>
      <c r="J3" s="14"/>
      <c r="K3" s="7"/>
      <c r="L3" s="7"/>
      <c r="M3" s="7"/>
      <c r="N3" s="7"/>
      <c r="O3" s="7"/>
      <c r="P3" s="7"/>
      <c r="Q3" s="14" t="s">
        <v>75</v>
      </c>
      <c r="R3" s="15" t="s">
        <v>76</v>
      </c>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6"/>
    </row>
    <row r="4" spans="1:53" ht="15" customHeight="1" x14ac:dyDescent="0.25">
      <c r="A4" s="6"/>
      <c r="B4" s="9" t="s">
        <v>72</v>
      </c>
      <c r="C4" s="9">
        <v>2006</v>
      </c>
      <c r="D4" s="13">
        <v>18650</v>
      </c>
      <c r="E4" s="13" t="s">
        <v>73</v>
      </c>
      <c r="F4" s="14" t="s">
        <v>77</v>
      </c>
      <c r="G4" s="14">
        <v>100</v>
      </c>
      <c r="H4" s="14" t="s">
        <v>74</v>
      </c>
      <c r="I4" s="14">
        <f>4.5/1000</f>
        <v>4.4999999999999997E-3</v>
      </c>
      <c r="J4" s="14"/>
      <c r="K4" s="14">
        <v>4.0999999999999996</v>
      </c>
      <c r="L4" s="14">
        <v>1</v>
      </c>
      <c r="M4" s="14">
        <v>4.0999999999999996</v>
      </c>
      <c r="N4" s="14"/>
      <c r="O4" s="14"/>
      <c r="P4" s="14"/>
      <c r="Q4" s="14" t="s">
        <v>78</v>
      </c>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6"/>
    </row>
    <row r="5" spans="1:53" ht="15" customHeight="1" x14ac:dyDescent="0.25">
      <c r="A5" s="17" t="s">
        <v>79</v>
      </c>
      <c r="B5" s="9" t="s">
        <v>80</v>
      </c>
      <c r="C5" s="9" t="s">
        <v>81</v>
      </c>
      <c r="D5" s="13" t="s">
        <v>82</v>
      </c>
      <c r="E5" s="13" t="s">
        <v>83</v>
      </c>
      <c r="F5" s="14"/>
      <c r="G5" s="14">
        <v>100</v>
      </c>
      <c r="H5" s="14" t="s">
        <v>84</v>
      </c>
      <c r="I5" s="14">
        <v>33.5</v>
      </c>
      <c r="J5" s="14"/>
      <c r="K5" s="14">
        <f>25.6/2</f>
        <v>12.8</v>
      </c>
      <c r="L5" s="14">
        <v>22.2</v>
      </c>
      <c r="M5" s="14">
        <f>L5*K5</f>
        <v>284.16000000000003</v>
      </c>
      <c r="N5" s="14"/>
      <c r="O5" s="14">
        <f>I5/M5</f>
        <v>0.11789132882882881</v>
      </c>
      <c r="P5" s="14"/>
      <c r="Q5" s="14"/>
      <c r="R5" s="14">
        <v>24</v>
      </c>
      <c r="S5" s="14">
        <v>7.8</v>
      </c>
      <c r="T5" s="14">
        <v>42</v>
      </c>
      <c r="U5" s="14">
        <v>7.6</v>
      </c>
      <c r="V5" s="14">
        <v>4.5</v>
      </c>
      <c r="W5" s="14">
        <v>1.78</v>
      </c>
      <c r="X5" s="14">
        <v>3.7</v>
      </c>
      <c r="Y5" s="14">
        <v>0</v>
      </c>
      <c r="Z5" s="14">
        <v>0</v>
      </c>
      <c r="AA5" s="14"/>
      <c r="AB5" s="14"/>
      <c r="AC5" s="14"/>
      <c r="AD5" s="14">
        <f>100-SUM(R5:Z5)</f>
        <v>8.6200000000000045</v>
      </c>
      <c r="AE5" s="14"/>
      <c r="AF5" s="14"/>
      <c r="AG5" s="14"/>
      <c r="AH5" s="14"/>
      <c r="AI5" s="14"/>
      <c r="AJ5" s="14"/>
      <c r="AK5" s="14"/>
      <c r="AL5" s="14"/>
      <c r="AM5" s="14"/>
      <c r="AN5" s="14"/>
      <c r="AO5" s="14"/>
      <c r="AP5" s="14"/>
      <c r="AQ5" s="14"/>
      <c r="AR5" s="14"/>
      <c r="AS5" s="14"/>
      <c r="AT5" s="14"/>
      <c r="AU5" s="14"/>
      <c r="AV5" s="14"/>
      <c r="AW5" s="14"/>
      <c r="AX5" s="14"/>
      <c r="AY5" s="14"/>
      <c r="AZ5" s="14"/>
      <c r="BA5" s="16"/>
    </row>
    <row r="6" spans="1:53" ht="14.25" customHeight="1" x14ac:dyDescent="0.25">
      <c r="A6" s="18" t="s">
        <v>85</v>
      </c>
      <c r="B6" s="9" t="s">
        <v>86</v>
      </c>
      <c r="C6" s="9">
        <v>2011</v>
      </c>
      <c r="D6" s="13" t="s">
        <v>85</v>
      </c>
      <c r="E6" s="13" t="s">
        <v>87</v>
      </c>
      <c r="F6" s="14"/>
      <c r="G6" s="14"/>
      <c r="H6" s="14"/>
      <c r="I6" s="14"/>
      <c r="J6" s="14"/>
      <c r="K6" s="14"/>
      <c r="L6" s="14"/>
      <c r="M6" s="14"/>
      <c r="N6" s="14"/>
      <c r="O6" s="14"/>
      <c r="P6" s="14"/>
      <c r="Q6" s="14"/>
      <c r="R6" s="14">
        <v>0</v>
      </c>
      <c r="S6" s="14">
        <v>50</v>
      </c>
      <c r="T6" s="14">
        <v>50</v>
      </c>
      <c r="U6" s="14">
        <v>0</v>
      </c>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6"/>
    </row>
    <row r="7" spans="1:53" ht="15" customHeight="1" x14ac:dyDescent="0.25">
      <c r="A7" s="6"/>
      <c r="B7" s="9" t="s">
        <v>88</v>
      </c>
      <c r="C7" s="9">
        <v>2005</v>
      </c>
      <c r="D7" s="13">
        <v>18650</v>
      </c>
      <c r="E7" s="13" t="s">
        <v>73</v>
      </c>
      <c r="F7" s="14" t="s">
        <v>77</v>
      </c>
      <c r="G7" s="14">
        <v>100</v>
      </c>
      <c r="H7" s="14" t="s">
        <v>74</v>
      </c>
      <c r="I7" s="14"/>
      <c r="J7" s="14"/>
      <c r="K7" s="14">
        <v>4.0999999999999996</v>
      </c>
      <c r="L7" s="14"/>
      <c r="M7" s="14"/>
      <c r="N7" s="14"/>
      <c r="O7" s="14"/>
      <c r="P7" s="14"/>
      <c r="Q7" s="19" t="s">
        <v>89</v>
      </c>
      <c r="R7" s="15" t="s">
        <v>90</v>
      </c>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6"/>
    </row>
    <row r="8" spans="1:53" ht="15" customHeight="1" x14ac:dyDescent="0.25">
      <c r="A8" s="12"/>
      <c r="B8" s="9" t="s">
        <v>88</v>
      </c>
      <c r="C8" s="9">
        <v>2005</v>
      </c>
      <c r="D8" s="13">
        <v>18650</v>
      </c>
      <c r="E8" s="13" t="s">
        <v>73</v>
      </c>
      <c r="F8" s="14" t="s">
        <v>77</v>
      </c>
      <c r="G8" s="14">
        <v>100</v>
      </c>
      <c r="H8" s="14" t="s">
        <v>74</v>
      </c>
      <c r="I8" s="14"/>
      <c r="J8" s="14"/>
      <c r="K8" s="14">
        <v>4.0999999999999996</v>
      </c>
      <c r="L8" s="14"/>
      <c r="M8" s="14"/>
      <c r="N8" s="14"/>
      <c r="O8" s="14"/>
      <c r="P8" s="14"/>
      <c r="Q8" s="19" t="s">
        <v>91</v>
      </c>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6"/>
    </row>
    <row r="9" spans="1:53" ht="15" customHeight="1" x14ac:dyDescent="0.25">
      <c r="A9" s="12"/>
      <c r="B9" s="9" t="s">
        <v>88</v>
      </c>
      <c r="C9" s="2">
        <v>2005</v>
      </c>
      <c r="D9" s="20">
        <v>18650</v>
      </c>
      <c r="E9" s="20" t="s">
        <v>73</v>
      </c>
      <c r="F9" s="21" t="s">
        <v>77</v>
      </c>
      <c r="G9" s="21">
        <v>100</v>
      </c>
      <c r="H9" s="21" t="s">
        <v>74</v>
      </c>
      <c r="I9" s="21"/>
      <c r="J9" s="21"/>
      <c r="K9" s="21">
        <v>4.0999999999999996</v>
      </c>
      <c r="L9" s="21"/>
      <c r="M9" s="21"/>
      <c r="N9" s="21"/>
      <c r="O9" s="21"/>
      <c r="P9" s="21"/>
      <c r="Q9" s="22" t="s">
        <v>92</v>
      </c>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3"/>
    </row>
    <row r="10" spans="1:53" ht="15" customHeight="1" x14ac:dyDescent="0.25">
      <c r="A10" s="7"/>
      <c r="B10" s="9" t="s">
        <v>88</v>
      </c>
      <c r="C10" s="9">
        <v>2005</v>
      </c>
      <c r="D10" s="13">
        <v>18650</v>
      </c>
      <c r="E10" s="13" t="s">
        <v>73</v>
      </c>
      <c r="F10" s="14" t="s">
        <v>77</v>
      </c>
      <c r="G10" s="14">
        <v>100</v>
      </c>
      <c r="H10" s="14" t="s">
        <v>74</v>
      </c>
      <c r="I10" s="14"/>
      <c r="J10" s="14"/>
      <c r="K10" s="14">
        <v>4.0999999999999996</v>
      </c>
      <c r="L10" s="14"/>
      <c r="M10" s="14"/>
      <c r="N10" s="14"/>
      <c r="O10" s="14"/>
      <c r="P10" s="14"/>
      <c r="Q10" s="19" t="s">
        <v>93</v>
      </c>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row>
    <row r="11" spans="1:53" ht="15" customHeight="1" x14ac:dyDescent="0.25">
      <c r="A11" s="7"/>
      <c r="B11" s="9" t="s">
        <v>88</v>
      </c>
      <c r="C11" s="9">
        <v>2005</v>
      </c>
      <c r="D11" s="13">
        <v>18650</v>
      </c>
      <c r="E11" s="13" t="s">
        <v>73</v>
      </c>
      <c r="F11" s="14" t="s">
        <v>94</v>
      </c>
      <c r="G11" s="14">
        <v>100</v>
      </c>
      <c r="H11" s="14" t="s">
        <v>74</v>
      </c>
      <c r="I11" s="14"/>
      <c r="J11" s="14"/>
      <c r="K11" s="14">
        <v>4.0999999999999996</v>
      </c>
      <c r="L11" s="14"/>
      <c r="M11" s="14"/>
      <c r="N11" s="14"/>
      <c r="O11" s="14"/>
      <c r="P11" s="14"/>
      <c r="Q11" s="7" t="s">
        <v>95</v>
      </c>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row>
    <row r="12" spans="1:53" ht="15" customHeight="1" x14ac:dyDescent="0.25">
      <c r="A12" s="24" t="s">
        <v>79</v>
      </c>
      <c r="B12" s="10" t="s">
        <v>96</v>
      </c>
      <c r="C12" s="10">
        <v>2020</v>
      </c>
      <c r="D12" s="25" t="s">
        <v>97</v>
      </c>
      <c r="E12" s="26" t="s">
        <v>98</v>
      </c>
      <c r="F12" s="15" t="s">
        <v>77</v>
      </c>
      <c r="G12" s="15">
        <v>100</v>
      </c>
      <c r="H12" s="15" t="s">
        <v>84</v>
      </c>
      <c r="I12" s="15">
        <f>1.56*60</f>
        <v>93.600000000000009</v>
      </c>
      <c r="J12" s="15"/>
      <c r="K12" s="15">
        <v>3.6</v>
      </c>
      <c r="L12" s="15">
        <v>60</v>
      </c>
      <c r="M12" s="15">
        <f>Table1[[#This Row],[Voltage]]*Table1[[#This Row],[A-hr]]</f>
        <v>216</v>
      </c>
      <c r="N12" s="15">
        <f>Table1[[#This Row],[W-hr]]/0.25</f>
        <v>864</v>
      </c>
      <c r="O12" s="27">
        <f>Table1[[#This Row],[GasVol]]/Table1[[#This Row],[W-hr]]</f>
        <v>0.43333333333333335</v>
      </c>
      <c r="P12" s="15"/>
      <c r="Q12" s="15"/>
      <c r="R12" s="15">
        <v>30</v>
      </c>
      <c r="S12" s="15">
        <v>26</v>
      </c>
      <c r="T12" s="15">
        <v>15</v>
      </c>
      <c r="U12" s="28">
        <v>5</v>
      </c>
      <c r="V12" s="15">
        <v>10</v>
      </c>
      <c r="W12" s="15">
        <v>0</v>
      </c>
      <c r="X12" s="15"/>
      <c r="Y12" s="15"/>
      <c r="Z12" s="15"/>
      <c r="AA12" s="15"/>
      <c r="AB12" s="15"/>
      <c r="AC12" s="15">
        <v>4</v>
      </c>
      <c r="AD12" s="15">
        <f>100-SUM(Table1[[#This Row],[CO2]:[H2O]])-SUM(Table1[[#This Row],[C2H2]:[C3H4O3]])</f>
        <v>6</v>
      </c>
      <c r="AE12" s="15">
        <v>0</v>
      </c>
      <c r="AF12" s="15"/>
      <c r="AG12" s="15">
        <v>1</v>
      </c>
      <c r="AH12" s="15"/>
      <c r="AI12" s="15"/>
      <c r="AJ12" s="15"/>
      <c r="AK12" s="15"/>
      <c r="AL12" s="15"/>
      <c r="AM12" s="15"/>
      <c r="AN12" s="15"/>
      <c r="AO12" s="15"/>
      <c r="AP12" s="15"/>
      <c r="AQ12" s="15"/>
      <c r="AR12" s="15"/>
      <c r="AS12" s="15"/>
      <c r="AT12" s="15"/>
      <c r="AU12" s="15"/>
      <c r="AV12" s="15">
        <v>3</v>
      </c>
      <c r="AW12" s="15">
        <v>0</v>
      </c>
      <c r="AX12" s="15">
        <v>0</v>
      </c>
      <c r="AY12" s="15"/>
      <c r="AZ12" s="15"/>
      <c r="BA12" s="29"/>
    </row>
    <row r="13" spans="1:53" ht="15" customHeight="1" x14ac:dyDescent="0.25">
      <c r="A13" s="18" t="s">
        <v>79</v>
      </c>
      <c r="B13" s="9" t="s">
        <v>96</v>
      </c>
      <c r="C13" s="9">
        <v>2020</v>
      </c>
      <c r="D13" s="13" t="s">
        <v>97</v>
      </c>
      <c r="E13" s="13" t="s">
        <v>99</v>
      </c>
      <c r="F13" s="14" t="s">
        <v>100</v>
      </c>
      <c r="G13" s="14">
        <v>100</v>
      </c>
      <c r="H13" s="14" t="s">
        <v>84</v>
      </c>
      <c r="I13" s="14">
        <v>57</v>
      </c>
      <c r="J13" s="14"/>
      <c r="K13" s="14">
        <v>3.8</v>
      </c>
      <c r="L13" s="14">
        <v>41</v>
      </c>
      <c r="M13" s="14">
        <f>L13*K13</f>
        <v>155.79999999999998</v>
      </c>
      <c r="N13" s="14">
        <v>865</v>
      </c>
      <c r="O13" s="38">
        <f>I13/M13</f>
        <v>0.36585365853658541</v>
      </c>
      <c r="P13" s="14"/>
      <c r="Q13" s="14"/>
      <c r="R13" s="14">
        <v>38.33</v>
      </c>
      <c r="S13" s="14">
        <v>16.59</v>
      </c>
      <c r="T13" s="14">
        <v>22.93</v>
      </c>
      <c r="U13" s="14">
        <v>3.46</v>
      </c>
      <c r="V13" s="14">
        <v>5.88</v>
      </c>
      <c r="W13" s="14">
        <v>0.99</v>
      </c>
      <c r="X13" s="14">
        <v>0</v>
      </c>
      <c r="Y13" s="14">
        <v>0</v>
      </c>
      <c r="Z13" s="14"/>
      <c r="AA13" s="14"/>
      <c r="AB13" s="14"/>
      <c r="AC13" s="14"/>
      <c r="AD13" s="14"/>
      <c r="AE13" s="14">
        <v>0.05</v>
      </c>
      <c r="AF13" s="14"/>
      <c r="AG13" s="14">
        <v>1.26</v>
      </c>
      <c r="AH13" s="14"/>
      <c r="AI13" s="14"/>
      <c r="AJ13" s="14"/>
      <c r="AK13" s="14"/>
      <c r="AL13" s="14"/>
      <c r="AM13" s="14"/>
      <c r="AN13" s="14"/>
      <c r="AO13" s="14"/>
      <c r="AP13" s="14"/>
      <c r="AQ13" s="14"/>
      <c r="AR13" s="14"/>
      <c r="AS13" s="14"/>
      <c r="AT13" s="14"/>
      <c r="AU13" s="14"/>
      <c r="AV13" s="14">
        <v>0</v>
      </c>
      <c r="AW13" s="14">
        <v>0</v>
      </c>
      <c r="AX13" s="14">
        <v>0</v>
      </c>
      <c r="AY13" s="14">
        <v>2.69</v>
      </c>
      <c r="AZ13" s="14"/>
      <c r="BA13" s="16"/>
    </row>
    <row r="14" spans="1:53" ht="15" customHeight="1" x14ac:dyDescent="0.25">
      <c r="A14" s="17" t="s">
        <v>101</v>
      </c>
      <c r="B14" s="9" t="s">
        <v>96</v>
      </c>
      <c r="C14" s="9">
        <v>2020</v>
      </c>
      <c r="D14" s="13" t="s">
        <v>97</v>
      </c>
      <c r="E14" s="13" t="s">
        <v>99</v>
      </c>
      <c r="F14" s="14"/>
      <c r="G14" s="14">
        <v>30</v>
      </c>
      <c r="H14" s="14" t="s">
        <v>84</v>
      </c>
      <c r="I14" s="14">
        <v>13</v>
      </c>
      <c r="J14" s="14"/>
      <c r="K14" s="14">
        <v>3.8</v>
      </c>
      <c r="L14" s="14">
        <v>41</v>
      </c>
      <c r="M14" s="14">
        <f>L14*K14</f>
        <v>155.79999999999998</v>
      </c>
      <c r="N14" s="14">
        <v>865</v>
      </c>
      <c r="O14" s="14">
        <f>I14/M14</f>
        <v>8.3440308087291415E-2</v>
      </c>
      <c r="P14" s="14"/>
      <c r="Q14" s="14"/>
      <c r="R14" s="14">
        <v>47.73</v>
      </c>
      <c r="S14" s="14">
        <v>5.15</v>
      </c>
      <c r="T14" s="14">
        <v>4.47</v>
      </c>
      <c r="U14" s="14">
        <v>0.52</v>
      </c>
      <c r="V14" s="14">
        <v>2.93</v>
      </c>
      <c r="W14" s="14">
        <v>0.36</v>
      </c>
      <c r="X14" s="14">
        <v>0</v>
      </c>
      <c r="Y14" s="14"/>
      <c r="Z14" s="14"/>
      <c r="AA14" s="14"/>
      <c r="AB14" s="14"/>
      <c r="AC14" s="14">
        <v>7.55</v>
      </c>
      <c r="AD14" s="14"/>
      <c r="AE14" s="14">
        <v>0.12</v>
      </c>
      <c r="AF14" s="14"/>
      <c r="AG14" s="14">
        <v>0</v>
      </c>
      <c r="AH14" s="14"/>
      <c r="AI14" s="14"/>
      <c r="AJ14" s="14"/>
      <c r="AK14" s="14"/>
      <c r="AL14" s="14"/>
      <c r="AM14" s="14"/>
      <c r="AN14" s="14"/>
      <c r="AO14" s="14"/>
      <c r="AP14" s="14"/>
      <c r="AQ14" s="14"/>
      <c r="AR14" s="14"/>
      <c r="AS14" s="14"/>
      <c r="AT14" s="14"/>
      <c r="AU14" s="14"/>
      <c r="AV14" s="14"/>
      <c r="AW14" s="14"/>
      <c r="AX14" s="14"/>
      <c r="AY14" s="14">
        <v>20.72</v>
      </c>
      <c r="AZ14" s="14"/>
      <c r="BA14" s="16"/>
    </row>
    <row r="15" spans="1:53" ht="15" customHeight="1" x14ac:dyDescent="0.25">
      <c r="A15" t="s">
        <v>101</v>
      </c>
      <c r="B15" s="9" t="s">
        <v>96</v>
      </c>
      <c r="C15" s="9">
        <v>2020</v>
      </c>
      <c r="D15" s="13" t="s">
        <v>97</v>
      </c>
      <c r="E15" s="13" t="s">
        <v>99</v>
      </c>
      <c r="F15" s="14"/>
      <c r="G15" s="14">
        <v>0</v>
      </c>
      <c r="H15" s="14" t="s">
        <v>84</v>
      </c>
      <c r="I15" s="14">
        <v>10</v>
      </c>
      <c r="J15" s="14"/>
      <c r="K15" s="14">
        <v>3.8</v>
      </c>
      <c r="L15" s="14">
        <v>41</v>
      </c>
      <c r="M15" s="14">
        <f>L15*K15</f>
        <v>155.79999999999998</v>
      </c>
      <c r="N15" s="14">
        <v>865</v>
      </c>
      <c r="O15" s="14">
        <f>I15/M15</f>
        <v>6.4184852374839549E-2</v>
      </c>
      <c r="P15" s="14"/>
      <c r="Q15" s="14"/>
      <c r="R15" s="14"/>
      <c r="S15" s="14"/>
      <c r="T15" s="14"/>
      <c r="U15" s="14"/>
      <c r="V15" s="14"/>
      <c r="W15" s="14"/>
      <c r="X15" s="14">
        <v>0.5</v>
      </c>
      <c r="Y15" s="14"/>
      <c r="Z15" s="14"/>
      <c r="AA15" s="14"/>
      <c r="AB15" s="14"/>
      <c r="AC15" s="14">
        <v>17.5</v>
      </c>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row>
    <row r="16" spans="1:53" ht="15" customHeight="1" x14ac:dyDescent="0.25">
      <c r="A16" s="30" t="s">
        <v>79</v>
      </c>
      <c r="B16" s="9" t="s">
        <v>102</v>
      </c>
      <c r="C16" s="31">
        <v>2020</v>
      </c>
      <c r="D16" s="32" t="s">
        <v>103</v>
      </c>
      <c r="E16" s="33" t="s">
        <v>104</v>
      </c>
      <c r="F16" s="34" t="s">
        <v>105</v>
      </c>
      <c r="G16" s="34">
        <v>100</v>
      </c>
      <c r="H16" s="34" t="s">
        <v>106</v>
      </c>
      <c r="I16" s="34">
        <f>1.77*60</f>
        <v>106.2</v>
      </c>
      <c r="J16" s="34"/>
      <c r="K16" s="34">
        <v>3.6</v>
      </c>
      <c r="L16" s="34">
        <v>60</v>
      </c>
      <c r="M16" s="34">
        <f>Table1[[#This Row],[Voltage]]*Table1[[#This Row],[A-hr]]</f>
        <v>216</v>
      </c>
      <c r="N16" s="34">
        <f>Table1[[#This Row],[W-hr]]/0.225</f>
        <v>960</v>
      </c>
      <c r="O16" s="35">
        <f>Table1[[#This Row],[GasVol]]/Table1[[#This Row],[W-hr]]</f>
        <v>0.4916666666666667</v>
      </c>
      <c r="P16" s="34"/>
      <c r="Q16" s="34"/>
      <c r="R16" s="34">
        <v>24</v>
      </c>
      <c r="S16" s="34">
        <v>23</v>
      </c>
      <c r="T16" s="34">
        <v>20</v>
      </c>
      <c r="U16" s="36">
        <v>5</v>
      </c>
      <c r="V16" s="34">
        <v>7</v>
      </c>
      <c r="W16" s="34">
        <v>0</v>
      </c>
      <c r="X16" s="34"/>
      <c r="Y16" s="34"/>
      <c r="Z16" s="34"/>
      <c r="AA16" s="34"/>
      <c r="AB16" s="34"/>
      <c r="AC16" s="34">
        <v>3</v>
      </c>
      <c r="AD16" s="34">
        <f>100-SUM(Table1[[#This Row],[CO2]:[H2O]])-SUM(Table1[[#This Row],[C2H2]:[C3H4O3]])</f>
        <v>15</v>
      </c>
      <c r="AE16" s="34">
        <v>0</v>
      </c>
      <c r="AF16" s="34"/>
      <c r="AG16" s="34">
        <v>1</v>
      </c>
      <c r="AH16" s="34"/>
      <c r="AI16" s="34"/>
      <c r="AJ16" s="34"/>
      <c r="AK16" s="34"/>
      <c r="AL16" s="34"/>
      <c r="AM16" s="34"/>
      <c r="AN16" s="34"/>
      <c r="AO16" s="34"/>
      <c r="AP16" s="34"/>
      <c r="AQ16" s="34"/>
      <c r="AR16" s="34"/>
      <c r="AS16" s="34"/>
      <c r="AT16" s="34"/>
      <c r="AU16" s="34"/>
      <c r="AV16" s="34">
        <v>0</v>
      </c>
      <c r="AW16" s="34">
        <v>2</v>
      </c>
      <c r="AX16" s="34">
        <v>0</v>
      </c>
      <c r="AY16" s="34"/>
      <c r="AZ16" s="34"/>
      <c r="BA16" s="37"/>
    </row>
    <row r="17" spans="1:53" ht="15" customHeight="1" x14ac:dyDescent="0.25">
      <c r="A17" s="17" t="s">
        <v>79</v>
      </c>
      <c r="B17" s="9" t="s">
        <v>102</v>
      </c>
      <c r="C17" s="9">
        <v>2020</v>
      </c>
      <c r="D17" s="13" t="s">
        <v>97</v>
      </c>
      <c r="E17" s="8" t="s">
        <v>107</v>
      </c>
      <c r="F17" s="14" t="s">
        <v>77</v>
      </c>
      <c r="G17" s="14">
        <v>100</v>
      </c>
      <c r="H17" s="14" t="s">
        <v>106</v>
      </c>
      <c r="I17" s="14">
        <f>1.71*60</f>
        <v>102.6</v>
      </c>
      <c r="J17" s="14"/>
      <c r="K17" s="14">
        <v>3.6</v>
      </c>
      <c r="L17" s="14">
        <v>60</v>
      </c>
      <c r="M17" s="14">
        <f>Table1[[#This Row],[Voltage]]*Table1[[#This Row],[A-hr]]</f>
        <v>216</v>
      </c>
      <c r="N17" s="15">
        <f>Table1[[#This Row],[W-hr]]/0.25</f>
        <v>864</v>
      </c>
      <c r="O17" s="38">
        <f>Table1[[#This Row],[GasVol]]/Table1[[#This Row],[W-hr]]</f>
        <v>0.47499999999999998</v>
      </c>
      <c r="P17" s="14"/>
      <c r="Q17" s="14"/>
      <c r="R17" s="14">
        <v>30</v>
      </c>
      <c r="S17" s="14">
        <v>22</v>
      </c>
      <c r="T17" s="14">
        <v>23</v>
      </c>
      <c r="U17">
        <v>3</v>
      </c>
      <c r="V17" s="14">
        <v>14</v>
      </c>
      <c r="W17" s="14">
        <v>0</v>
      </c>
      <c r="X17" s="14"/>
      <c r="Y17" s="14"/>
      <c r="Z17" s="14"/>
      <c r="AA17" s="14"/>
      <c r="AB17" s="14"/>
      <c r="AC17" s="14">
        <v>3</v>
      </c>
      <c r="AD17" s="14">
        <f>100-SUM(Table1[[#This Row],[CO2]:[H2O]])-SUM(Table1[[#This Row],[C2H2]:[C3H4O3]])</f>
        <v>4</v>
      </c>
      <c r="AE17" s="14">
        <v>0</v>
      </c>
      <c r="AF17" s="14"/>
      <c r="AG17" s="14">
        <v>1</v>
      </c>
      <c r="AH17" s="14"/>
      <c r="AI17" s="14"/>
      <c r="AJ17" s="14"/>
      <c r="AK17" s="14"/>
      <c r="AL17" s="14"/>
      <c r="AM17" s="14"/>
      <c r="AN17" s="14"/>
      <c r="AO17" s="14"/>
      <c r="AP17" s="14"/>
      <c r="AQ17" s="14"/>
      <c r="AR17" s="14"/>
      <c r="AS17" s="14"/>
      <c r="AT17" s="14"/>
      <c r="AU17" s="14"/>
      <c r="AV17" s="14">
        <v>0</v>
      </c>
      <c r="AW17" s="14">
        <v>0</v>
      </c>
      <c r="AX17" s="14">
        <v>0</v>
      </c>
      <c r="AY17" s="14"/>
      <c r="AZ17" s="14"/>
      <c r="BA17" s="16"/>
    </row>
    <row r="18" spans="1:53" ht="15" customHeight="1" x14ac:dyDescent="0.25">
      <c r="A18" s="18" t="s">
        <v>79</v>
      </c>
      <c r="B18" s="31" t="s">
        <v>108</v>
      </c>
      <c r="C18" s="9">
        <v>2020</v>
      </c>
      <c r="D18" s="13" t="s">
        <v>97</v>
      </c>
      <c r="E18" s="13" t="s">
        <v>109</v>
      </c>
      <c r="F18" s="14" t="s">
        <v>77</v>
      </c>
      <c r="G18" s="14">
        <v>146</v>
      </c>
      <c r="H18" s="14" t="s">
        <v>110</v>
      </c>
      <c r="I18" s="14">
        <f>2.76*60</f>
        <v>165.6</v>
      </c>
      <c r="J18" s="14"/>
      <c r="K18" s="14">
        <v>3.6</v>
      </c>
      <c r="L18" s="14">
        <v>60</v>
      </c>
      <c r="M18" s="14">
        <f>Table1[[#This Row],[Voltage]]*Table1[[#This Row],[A-hr]]</f>
        <v>216</v>
      </c>
      <c r="N18" s="15">
        <f>Table1[[#This Row],[W-hr]]/0.25</f>
        <v>864</v>
      </c>
      <c r="O18" s="38">
        <f>Table1[[#This Row],[GasVol]]/Table1[[#This Row],[W-hr]]</f>
        <v>0.76666666666666661</v>
      </c>
      <c r="P18" s="14"/>
      <c r="Q18" s="14"/>
      <c r="R18" s="14">
        <v>20</v>
      </c>
      <c r="S18" s="14">
        <v>33</v>
      </c>
      <c r="T18" s="14">
        <v>26</v>
      </c>
      <c r="U18">
        <v>5</v>
      </c>
      <c r="V18" s="14">
        <v>8</v>
      </c>
      <c r="W18" s="14">
        <v>1</v>
      </c>
      <c r="X18" s="14"/>
      <c r="Y18" s="14"/>
      <c r="Z18" s="14"/>
      <c r="AA18" s="14"/>
      <c r="AB18" s="14"/>
      <c r="AC18" s="14">
        <v>3</v>
      </c>
      <c r="AD18" s="14">
        <f>100-SUM(Table1[[#This Row],[CO2]:[H2O]])-SUM(Table1[[#This Row],[C2H2]:[C3H4O3]])</f>
        <v>4</v>
      </c>
      <c r="AE18" s="14">
        <v>0</v>
      </c>
      <c r="AF18" s="14"/>
      <c r="AG18" s="14">
        <v>0</v>
      </c>
      <c r="AH18" s="14"/>
      <c r="AI18" s="14"/>
      <c r="AJ18" s="14"/>
      <c r="AK18" s="14"/>
      <c r="AL18" s="14"/>
      <c r="AM18" s="14"/>
      <c r="AN18" s="14"/>
      <c r="AO18" s="14"/>
      <c r="AP18" s="14"/>
      <c r="AQ18" s="14"/>
      <c r="AR18" s="14"/>
      <c r="AS18" s="14"/>
      <c r="AT18" s="14"/>
      <c r="AU18" s="14"/>
      <c r="AV18" s="14">
        <v>0</v>
      </c>
      <c r="AW18" s="14">
        <v>0</v>
      </c>
      <c r="AX18" s="14">
        <v>0</v>
      </c>
      <c r="AY18" s="14"/>
      <c r="AZ18" s="14"/>
      <c r="BA18" s="16"/>
    </row>
    <row r="19" spans="1:53" ht="15" customHeight="1" x14ac:dyDescent="0.25">
      <c r="A19" s="17" t="s">
        <v>79</v>
      </c>
      <c r="B19" s="9" t="s">
        <v>108</v>
      </c>
      <c r="C19" s="9">
        <v>2020</v>
      </c>
      <c r="D19" s="13" t="s">
        <v>103</v>
      </c>
      <c r="E19" s="8" t="s">
        <v>111</v>
      </c>
      <c r="F19" s="14" t="s">
        <v>105</v>
      </c>
      <c r="G19" s="14">
        <v>147</v>
      </c>
      <c r="H19" s="14" t="s">
        <v>110</v>
      </c>
      <c r="I19" s="14">
        <f>2.65*60</f>
        <v>159</v>
      </c>
      <c r="J19" s="14"/>
      <c r="K19" s="14">
        <v>3.6</v>
      </c>
      <c r="L19" s="14">
        <v>60</v>
      </c>
      <c r="M19" s="14">
        <f>Table1[[#This Row],[Voltage]]*Table1[[#This Row],[A-hr]]</f>
        <v>216</v>
      </c>
      <c r="N19" s="14">
        <f>Table1[[#This Row],[W-hr]]/0.225</f>
        <v>960</v>
      </c>
      <c r="O19" s="38">
        <f>Table1[[#This Row],[GasVol]]/Table1[[#This Row],[W-hr]]</f>
        <v>0.73611111111111116</v>
      </c>
      <c r="P19" s="14"/>
      <c r="Q19" s="14"/>
      <c r="R19" s="14">
        <v>20</v>
      </c>
      <c r="S19" s="14">
        <v>30</v>
      </c>
      <c r="T19" s="14">
        <v>27</v>
      </c>
      <c r="U19">
        <v>7</v>
      </c>
      <c r="V19" s="14">
        <v>4</v>
      </c>
      <c r="W19" s="14">
        <v>1</v>
      </c>
      <c r="X19" s="14"/>
      <c r="Y19" s="14"/>
      <c r="Z19" s="14"/>
      <c r="AA19" s="14"/>
      <c r="AB19" s="14"/>
      <c r="AC19" s="14">
        <v>3</v>
      </c>
      <c r="AD19" s="14">
        <f>100-SUM(Table1[[#This Row],[CO2]:[H2O]])-SUM(Table1[[#This Row],[C2H2]:[C3H4O3]])</f>
        <v>8</v>
      </c>
      <c r="AE19" s="14">
        <v>0</v>
      </c>
      <c r="AF19" s="14"/>
      <c r="AG19" s="14">
        <v>0</v>
      </c>
      <c r="AH19" s="14"/>
      <c r="AI19" s="14"/>
      <c r="AJ19" s="14"/>
      <c r="AK19" s="14"/>
      <c r="AL19" s="14"/>
      <c r="AM19" s="14"/>
      <c r="AN19" s="14"/>
      <c r="AO19" s="14"/>
      <c r="AP19" s="14"/>
      <c r="AQ19" s="14"/>
      <c r="AR19" s="14"/>
      <c r="AS19" s="14"/>
      <c r="AT19" s="14"/>
      <c r="AU19" s="14"/>
      <c r="AV19" s="14">
        <v>0</v>
      </c>
      <c r="AW19" s="14">
        <v>0</v>
      </c>
      <c r="AX19" s="14">
        <v>0</v>
      </c>
      <c r="AY19" s="14"/>
      <c r="AZ19" s="14"/>
      <c r="BA19" s="16"/>
    </row>
    <row r="20" spans="1:53" ht="15" customHeight="1" x14ac:dyDescent="0.25">
      <c r="A20" s="18" t="s">
        <v>79</v>
      </c>
      <c r="B20" s="9" t="s">
        <v>112</v>
      </c>
      <c r="C20" s="31">
        <v>2020</v>
      </c>
      <c r="D20" s="32" t="s">
        <v>103</v>
      </c>
      <c r="E20" s="33" t="s">
        <v>113</v>
      </c>
      <c r="F20" s="34" t="s">
        <v>105</v>
      </c>
      <c r="G20" s="34">
        <v>100</v>
      </c>
      <c r="H20" s="34" t="s">
        <v>84</v>
      </c>
      <c r="I20" s="34">
        <f>1.56*60</f>
        <v>93.600000000000009</v>
      </c>
      <c r="J20" s="34"/>
      <c r="K20" s="34">
        <v>3.6</v>
      </c>
      <c r="L20" s="34">
        <v>60</v>
      </c>
      <c r="M20" s="34">
        <f>Table1[[#This Row],[Voltage]]*Table1[[#This Row],[A-hr]]</f>
        <v>216</v>
      </c>
      <c r="N20" s="34">
        <f>Table1[[#This Row],[W-hr]]/0.225</f>
        <v>960</v>
      </c>
      <c r="O20" s="35">
        <f>Table1[[#This Row],[GasVol]]/Table1[[#This Row],[W-hr]]</f>
        <v>0.43333333333333335</v>
      </c>
      <c r="P20" s="34"/>
      <c r="Q20" s="34"/>
      <c r="R20" s="34">
        <v>21</v>
      </c>
      <c r="S20" s="34">
        <v>30</v>
      </c>
      <c r="T20" s="34">
        <v>15</v>
      </c>
      <c r="U20" s="36">
        <v>5</v>
      </c>
      <c r="V20" s="34">
        <v>5</v>
      </c>
      <c r="W20" s="34">
        <v>0</v>
      </c>
      <c r="X20" s="34"/>
      <c r="Y20" s="34"/>
      <c r="Z20" s="34"/>
      <c r="AA20" s="34"/>
      <c r="AB20" s="34"/>
      <c r="AC20" s="34">
        <v>4</v>
      </c>
      <c r="AD20" s="34">
        <f>100-SUM(Table1[[#This Row],[CO2]:[H2O]])-SUM(Table1[[#This Row],[C2H2]:[C3H4O3]])</f>
        <v>14</v>
      </c>
      <c r="AE20" s="34">
        <v>0</v>
      </c>
      <c r="AF20" s="34"/>
      <c r="AG20" s="34">
        <v>2</v>
      </c>
      <c r="AH20" s="34"/>
      <c r="AI20" s="34"/>
      <c r="AJ20" s="34"/>
      <c r="AK20" s="34"/>
      <c r="AL20" s="34"/>
      <c r="AM20" s="34"/>
      <c r="AN20" s="34"/>
      <c r="AO20" s="34"/>
      <c r="AP20" s="34"/>
      <c r="AQ20" s="34"/>
      <c r="AR20" s="34"/>
      <c r="AS20" s="34"/>
      <c r="AT20" s="34"/>
      <c r="AU20" s="34"/>
      <c r="AV20" s="34">
        <v>1</v>
      </c>
      <c r="AW20" s="34">
        <v>2</v>
      </c>
      <c r="AX20" s="34">
        <v>1</v>
      </c>
      <c r="AY20" s="34"/>
      <c r="AZ20" s="34"/>
      <c r="BA20" s="37"/>
    </row>
    <row r="21" spans="1:53" ht="15" customHeight="1" x14ac:dyDescent="0.25">
      <c r="A21" s="6" t="s">
        <v>79</v>
      </c>
      <c r="B21" s="9" t="s">
        <v>114</v>
      </c>
      <c r="C21" s="9">
        <v>2016</v>
      </c>
      <c r="D21" s="13">
        <v>18650</v>
      </c>
      <c r="E21" s="13" t="s">
        <v>115</v>
      </c>
      <c r="G21" s="14">
        <v>90</v>
      </c>
      <c r="H21" s="39" t="s">
        <v>116</v>
      </c>
      <c r="I21" s="14">
        <v>5.23</v>
      </c>
      <c r="J21" s="14"/>
      <c r="Q21" s="14" t="s">
        <v>117</v>
      </c>
      <c r="R21" s="40">
        <f t="shared" ref="R21:R30" si="0">100-S21-T21-AB21</f>
        <v>37.858508604206506</v>
      </c>
      <c r="S21" s="40">
        <f>100*1.68/I21</f>
        <v>32.122370936902485</v>
      </c>
      <c r="T21" s="40">
        <f>100*1.01/I21</f>
        <v>19.311663479923517</v>
      </c>
      <c r="U21" s="40"/>
      <c r="V21" s="40"/>
      <c r="W21" s="40"/>
      <c r="X21" s="40"/>
      <c r="Y21" s="40"/>
      <c r="Z21" s="40"/>
      <c r="AA21" s="40"/>
      <c r="AB21" s="40">
        <f>100*0.56/I21</f>
        <v>10.707456978967496</v>
      </c>
      <c r="AC21" s="40"/>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6"/>
    </row>
    <row r="22" spans="1:53" ht="15" customHeight="1" x14ac:dyDescent="0.25">
      <c r="A22" s="12" t="s">
        <v>79</v>
      </c>
      <c r="B22" s="9" t="s">
        <v>114</v>
      </c>
      <c r="C22" s="9">
        <v>2016</v>
      </c>
      <c r="D22" s="13">
        <v>18650</v>
      </c>
      <c r="E22" s="13" t="s">
        <v>115</v>
      </c>
      <c r="G22" s="14">
        <v>70</v>
      </c>
      <c r="H22" s="39" t="s">
        <v>116</v>
      </c>
      <c r="I22" s="14">
        <v>4.24</v>
      </c>
      <c r="J22" s="14"/>
      <c r="Q22" s="14" t="s">
        <v>117</v>
      </c>
      <c r="R22" s="40">
        <f t="shared" si="0"/>
        <v>40.801886792452827</v>
      </c>
      <c r="S22" s="40">
        <f>100*1.2/I22</f>
        <v>28.30188679245283</v>
      </c>
      <c r="T22" s="40">
        <f>100*0.85/I22</f>
        <v>20.047169811320753</v>
      </c>
      <c r="U22" s="40"/>
      <c r="V22" s="40"/>
      <c r="W22" s="40"/>
      <c r="X22" s="40"/>
      <c r="Y22" s="40"/>
      <c r="Z22" s="40"/>
      <c r="AA22" s="40"/>
      <c r="AB22" s="40">
        <f>100*0.46/I22</f>
        <v>10.849056603773585</v>
      </c>
      <c r="AC22" s="40"/>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6"/>
    </row>
    <row r="23" spans="1:53" ht="15" customHeight="1" x14ac:dyDescent="0.25">
      <c r="A23" s="6" t="s">
        <v>79</v>
      </c>
      <c r="B23" s="9" t="s">
        <v>114</v>
      </c>
      <c r="C23" s="9">
        <v>2016</v>
      </c>
      <c r="D23" s="13">
        <v>18650</v>
      </c>
      <c r="E23" s="13" t="s">
        <v>115</v>
      </c>
      <c r="G23" s="14">
        <v>80</v>
      </c>
      <c r="H23" s="39" t="s">
        <v>116</v>
      </c>
      <c r="I23" s="14">
        <v>5.05</v>
      </c>
      <c r="J23" s="14"/>
      <c r="Q23" s="14" t="s">
        <v>117</v>
      </c>
      <c r="R23" s="40">
        <f t="shared" si="0"/>
        <v>41.584158415841586</v>
      </c>
      <c r="S23" s="40">
        <f>100*1.51/I23</f>
        <v>29.900990099009903</v>
      </c>
      <c r="T23" s="40">
        <f>100*0.93/I23</f>
        <v>18.415841584158418</v>
      </c>
      <c r="U23" s="40"/>
      <c r="V23" s="40"/>
      <c r="W23" s="40"/>
      <c r="X23" s="40"/>
      <c r="Y23" s="40"/>
      <c r="Z23" s="40"/>
      <c r="AA23" s="40"/>
      <c r="AB23" s="40">
        <f>100*0.51/I23</f>
        <v>10.099009900990099</v>
      </c>
      <c r="AC23" s="40"/>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6"/>
    </row>
    <row r="24" spans="1:53" ht="15" customHeight="1" x14ac:dyDescent="0.25">
      <c r="A24" s="12" t="s">
        <v>79</v>
      </c>
      <c r="B24" s="2" t="s">
        <v>114</v>
      </c>
      <c r="C24" s="2">
        <v>2016</v>
      </c>
      <c r="D24" s="20">
        <v>18650</v>
      </c>
      <c r="E24" s="20" t="s">
        <v>115</v>
      </c>
      <c r="F24" s="41"/>
      <c r="G24" s="21">
        <v>100</v>
      </c>
      <c r="H24" s="42" t="s">
        <v>116</v>
      </c>
      <c r="I24" s="21">
        <v>7.85</v>
      </c>
      <c r="J24" s="21"/>
      <c r="K24" s="21"/>
      <c r="L24" s="21"/>
      <c r="M24" s="21"/>
      <c r="N24" s="21"/>
      <c r="O24" s="21"/>
      <c r="P24" s="21">
        <v>72.3</v>
      </c>
      <c r="Q24" s="21" t="s">
        <v>117</v>
      </c>
      <c r="R24" s="43">
        <f t="shared" si="0"/>
        <v>44.458598726114644</v>
      </c>
      <c r="S24" s="43">
        <f>100*2.13/I24</f>
        <v>27.133757961783441</v>
      </c>
      <c r="T24" s="43">
        <f>100*1.53/I24</f>
        <v>19.490445859872612</v>
      </c>
      <c r="U24" s="43"/>
      <c r="V24" s="43"/>
      <c r="W24" s="43"/>
      <c r="X24" s="43"/>
      <c r="Y24" s="43"/>
      <c r="Z24" s="43"/>
      <c r="AA24" s="43"/>
      <c r="AB24" s="43">
        <f>100*0.7/I24</f>
        <v>8.9171974522292992</v>
      </c>
      <c r="AC24" s="43"/>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3"/>
    </row>
    <row r="25" spans="1:53" ht="15" customHeight="1" x14ac:dyDescent="0.25">
      <c r="A25" s="7" t="s">
        <v>79</v>
      </c>
      <c r="B25" s="9" t="s">
        <v>114</v>
      </c>
      <c r="C25" s="9">
        <v>2016</v>
      </c>
      <c r="D25" s="13">
        <v>18650</v>
      </c>
      <c r="E25" s="13" t="s">
        <v>115</v>
      </c>
      <c r="G25" s="14">
        <v>60</v>
      </c>
      <c r="H25" s="39" t="s">
        <v>116</v>
      </c>
      <c r="I25" s="14">
        <v>2.81</v>
      </c>
      <c r="J25" s="14"/>
      <c r="Q25" s="14" t="s">
        <v>117</v>
      </c>
      <c r="R25" s="40">
        <f t="shared" si="0"/>
        <v>55.160142348754448</v>
      </c>
      <c r="S25" s="40">
        <f>100*0.24/I25</f>
        <v>8.5409252669039137</v>
      </c>
      <c r="T25" s="40">
        <f>100*0.66/I25</f>
        <v>23.487544483985765</v>
      </c>
      <c r="U25" s="40"/>
      <c r="V25" s="40"/>
      <c r="W25" s="40"/>
      <c r="X25" s="40"/>
      <c r="Y25" s="40"/>
      <c r="Z25" s="40"/>
      <c r="AA25" s="40"/>
      <c r="AB25" s="40">
        <f>100*0.36/I25</f>
        <v>12.811387900355871</v>
      </c>
      <c r="AC25" s="40"/>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row>
    <row r="26" spans="1:53" ht="15" customHeight="1" x14ac:dyDescent="0.25">
      <c r="A26" s="7" t="s">
        <v>79</v>
      </c>
      <c r="B26" s="9" t="s">
        <v>114</v>
      </c>
      <c r="C26" s="9">
        <v>2016</v>
      </c>
      <c r="D26" s="13">
        <v>18650</v>
      </c>
      <c r="E26" s="13" t="s">
        <v>115</v>
      </c>
      <c r="G26" s="14">
        <v>50</v>
      </c>
      <c r="H26" s="39" t="s">
        <v>116</v>
      </c>
      <c r="I26" s="14">
        <v>2.25</v>
      </c>
      <c r="J26" s="14"/>
      <c r="P26" s="7">
        <v>70.099999999999994</v>
      </c>
      <c r="Q26" s="14" t="s">
        <v>117</v>
      </c>
      <c r="R26" s="40">
        <f t="shared" si="0"/>
        <v>57.777777777777779</v>
      </c>
      <c r="S26" s="40">
        <f>100*0.12/I26</f>
        <v>5.333333333333333</v>
      </c>
      <c r="T26" s="40">
        <f>100*0.43/I26</f>
        <v>19.111111111111111</v>
      </c>
      <c r="U26" s="40"/>
      <c r="V26" s="40"/>
      <c r="W26" s="40"/>
      <c r="X26" s="40"/>
      <c r="Y26" s="40"/>
      <c r="Z26" s="40"/>
      <c r="AA26" s="40"/>
      <c r="AB26" s="40">
        <f>100*0.4/I26</f>
        <v>17.777777777777779</v>
      </c>
      <c r="AC26" s="40"/>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row>
    <row r="27" spans="1:53" ht="15" customHeight="1" x14ac:dyDescent="0.25">
      <c r="A27" s="7" t="s">
        <v>79</v>
      </c>
      <c r="B27" s="9" t="s">
        <v>114</v>
      </c>
      <c r="C27" s="9">
        <v>2016</v>
      </c>
      <c r="D27" s="13">
        <v>18650</v>
      </c>
      <c r="E27" s="13" t="s">
        <v>115</v>
      </c>
      <c r="G27" s="14">
        <v>40</v>
      </c>
      <c r="H27" s="39" t="s">
        <v>116</v>
      </c>
      <c r="I27" s="14">
        <v>2.09</v>
      </c>
      <c r="J27" s="14"/>
      <c r="Q27" s="14" t="s">
        <v>117</v>
      </c>
      <c r="R27" s="40">
        <f t="shared" si="0"/>
        <v>57.894736842105267</v>
      </c>
      <c r="S27" s="40">
        <f>100*0.1/I27</f>
        <v>4.7846889952153111</v>
      </c>
      <c r="T27" s="40">
        <f>100*0.44/I27</f>
        <v>21.05263157894737</v>
      </c>
      <c r="U27" s="40"/>
      <c r="V27" s="40"/>
      <c r="W27" s="40"/>
      <c r="X27" s="40"/>
      <c r="Y27" s="40"/>
      <c r="Z27" s="40"/>
      <c r="AA27" s="40"/>
      <c r="AB27" s="40">
        <f>100*0.34/I27</f>
        <v>16.267942583732058</v>
      </c>
      <c r="AC27" s="40"/>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row>
    <row r="28" spans="1:53" ht="27" customHeight="1" x14ac:dyDescent="0.25">
      <c r="A28" s="12" t="s">
        <v>79</v>
      </c>
      <c r="B28" s="9" t="s">
        <v>114</v>
      </c>
      <c r="C28" s="9">
        <v>2016</v>
      </c>
      <c r="D28" s="13">
        <v>18650</v>
      </c>
      <c r="E28" s="13" t="s">
        <v>115</v>
      </c>
      <c r="G28" s="14">
        <v>30</v>
      </c>
      <c r="H28" s="39" t="s">
        <v>116</v>
      </c>
      <c r="I28" s="14">
        <v>1.5</v>
      </c>
      <c r="J28" s="14"/>
      <c r="Q28" s="14" t="s">
        <v>117</v>
      </c>
      <c r="R28" s="40">
        <f t="shared" si="0"/>
        <v>75.666666666666671</v>
      </c>
      <c r="S28" s="40">
        <f>100*0.035/I28</f>
        <v>2.3333333333333335</v>
      </c>
      <c r="T28" s="40">
        <f>100*0.1/I28</f>
        <v>6.666666666666667</v>
      </c>
      <c r="U28" s="40"/>
      <c r="V28" s="40"/>
      <c r="W28" s="40"/>
      <c r="X28" s="40"/>
      <c r="Y28" s="40"/>
      <c r="Z28" s="40"/>
      <c r="AA28" s="40"/>
      <c r="AB28" s="40">
        <f>100*0.23/I28</f>
        <v>15.333333333333334</v>
      </c>
      <c r="AC28" s="40"/>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6"/>
    </row>
    <row r="29" spans="1:53" ht="15" customHeight="1" x14ac:dyDescent="0.25">
      <c r="A29" s="12" t="s">
        <v>79</v>
      </c>
      <c r="B29" s="9" t="s">
        <v>114</v>
      </c>
      <c r="C29" s="9">
        <v>2016</v>
      </c>
      <c r="D29" s="13">
        <v>18650</v>
      </c>
      <c r="E29" s="13" t="s">
        <v>115</v>
      </c>
      <c r="G29" s="14">
        <v>20</v>
      </c>
      <c r="H29" s="39" t="s">
        <v>116</v>
      </c>
      <c r="I29" s="14">
        <v>1.32</v>
      </c>
      <c r="J29" s="14"/>
      <c r="Q29" s="14" t="s">
        <v>117</v>
      </c>
      <c r="R29" s="40">
        <f t="shared" si="0"/>
        <v>79.545454545454547</v>
      </c>
      <c r="S29" s="40">
        <f>100*0.03/I29</f>
        <v>2.2727272727272725</v>
      </c>
      <c r="T29" s="40">
        <f>100*0.06/I29</f>
        <v>4.545454545454545</v>
      </c>
      <c r="U29" s="40"/>
      <c r="V29" s="40"/>
      <c r="W29" s="40"/>
      <c r="X29" s="40"/>
      <c r="Y29" s="40"/>
      <c r="Z29" s="40"/>
      <c r="AA29" s="40"/>
      <c r="AB29" s="40">
        <f>100*0.18/I29</f>
        <v>13.636363636363635</v>
      </c>
      <c r="AC29" s="40"/>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6"/>
    </row>
    <row r="30" spans="1:53" ht="15" customHeight="1" x14ac:dyDescent="0.25">
      <c r="A30" s="12" t="s">
        <v>79</v>
      </c>
      <c r="B30" s="9" t="s">
        <v>114</v>
      </c>
      <c r="C30" s="9">
        <v>2016</v>
      </c>
      <c r="D30" s="13">
        <v>18650</v>
      </c>
      <c r="E30" s="13" t="s">
        <v>115</v>
      </c>
      <c r="G30" s="14">
        <v>10</v>
      </c>
      <c r="H30" s="39" t="s">
        <v>116</v>
      </c>
      <c r="I30" s="14">
        <v>1.04</v>
      </c>
      <c r="J30" s="14"/>
      <c r="K30" s="7"/>
      <c r="L30" s="7"/>
      <c r="M30" s="7"/>
      <c r="N30" s="7"/>
      <c r="O30" s="7"/>
      <c r="P30" s="7"/>
      <c r="Q30" s="14" t="s">
        <v>117</v>
      </c>
      <c r="R30" s="40">
        <f t="shared" si="0"/>
        <v>82.692307692307708</v>
      </c>
      <c r="S30" s="40">
        <f>100*0.02/I30</f>
        <v>1.9230769230769229</v>
      </c>
      <c r="T30" s="40">
        <f>100*0.04/I30</f>
        <v>3.8461538461538458</v>
      </c>
      <c r="U30" s="40"/>
      <c r="V30" s="40"/>
      <c r="W30" s="40"/>
      <c r="X30" s="40"/>
      <c r="Y30" s="40"/>
      <c r="Z30" s="40"/>
      <c r="AA30" s="40"/>
      <c r="AB30" s="40">
        <f>100*0.12/I30</f>
        <v>11.538461538461538</v>
      </c>
      <c r="AC30" s="40"/>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6"/>
    </row>
    <row r="31" spans="1:53" ht="15" customHeight="1" x14ac:dyDescent="0.25">
      <c r="A31" s="12" t="s">
        <v>79</v>
      </c>
      <c r="B31" s="9" t="s">
        <v>118</v>
      </c>
      <c r="C31" s="9">
        <v>2018</v>
      </c>
      <c r="D31" s="13" t="s">
        <v>119</v>
      </c>
      <c r="E31" s="13" t="s">
        <v>83</v>
      </c>
      <c r="F31" s="14" t="s">
        <v>120</v>
      </c>
      <c r="G31" s="14">
        <v>190</v>
      </c>
      <c r="H31" s="14" t="s">
        <v>121</v>
      </c>
      <c r="I31" s="14"/>
      <c r="J31" s="14"/>
      <c r="K31" s="14"/>
      <c r="L31" s="14">
        <v>2.5</v>
      </c>
      <c r="M31" s="14"/>
      <c r="N31" s="14">
        <v>75.41</v>
      </c>
      <c r="O31" s="14"/>
      <c r="P31" s="14"/>
      <c r="Q31" s="14" t="s">
        <v>122</v>
      </c>
      <c r="R31" s="14">
        <v>46.77</v>
      </c>
      <c r="S31" s="14">
        <v>4.91</v>
      </c>
      <c r="T31" s="14">
        <v>23.7</v>
      </c>
      <c r="U31" s="14">
        <v>1.51</v>
      </c>
      <c r="V31" s="14">
        <v>10.039999999999999</v>
      </c>
      <c r="W31" s="14">
        <v>0.63</v>
      </c>
      <c r="X31" s="14"/>
      <c r="Y31" s="14"/>
      <c r="Z31" s="14"/>
      <c r="AA31" s="14">
        <v>0.28000000000000003</v>
      </c>
      <c r="AB31" s="14"/>
      <c r="AC31" s="14"/>
      <c r="AD31" s="14">
        <v>0.31</v>
      </c>
      <c r="AE31" s="14"/>
      <c r="AF31" s="14">
        <v>0.31</v>
      </c>
      <c r="AG31" s="14"/>
      <c r="AH31" s="14"/>
      <c r="AI31" s="14"/>
      <c r="AJ31" s="14"/>
      <c r="AK31" s="14"/>
      <c r="AL31" s="14"/>
      <c r="AM31" s="14"/>
      <c r="AN31" s="14"/>
      <c r="AO31" s="14"/>
      <c r="AP31" s="14">
        <v>4.5599999999999996</v>
      </c>
      <c r="AQ31" s="14">
        <v>3.09</v>
      </c>
      <c r="AR31" s="14">
        <v>1.94</v>
      </c>
      <c r="AS31" s="14">
        <v>1.06</v>
      </c>
      <c r="AT31" s="14">
        <v>0.9</v>
      </c>
      <c r="AU31" s="14">
        <v>0.42</v>
      </c>
      <c r="AV31" s="14"/>
      <c r="AW31" s="14"/>
      <c r="AX31" s="14"/>
      <c r="AY31" s="14"/>
      <c r="AZ31" s="14"/>
      <c r="BA31" s="16"/>
    </row>
    <row r="32" spans="1:53" ht="15" customHeight="1" x14ac:dyDescent="0.25">
      <c r="A32" s="7"/>
      <c r="B32" s="9" t="s">
        <v>123</v>
      </c>
      <c r="C32" s="9">
        <v>2016</v>
      </c>
      <c r="D32" s="44" t="s">
        <v>97</v>
      </c>
      <c r="E32" s="13" t="s">
        <v>124</v>
      </c>
      <c r="F32" s="14"/>
      <c r="G32" s="14" t="s">
        <v>125</v>
      </c>
      <c r="H32" s="13" t="s">
        <v>126</v>
      </c>
      <c r="I32" s="14"/>
      <c r="J32" s="14"/>
      <c r="K32" s="14"/>
      <c r="L32" s="14">
        <v>10</v>
      </c>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row>
    <row r="33" spans="1:53" ht="15" customHeight="1" x14ac:dyDescent="0.25">
      <c r="A33" s="7"/>
      <c r="B33" s="9" t="s">
        <v>127</v>
      </c>
      <c r="C33" s="9">
        <v>2015</v>
      </c>
      <c r="D33" s="13">
        <v>18650</v>
      </c>
      <c r="E33" s="13" t="s">
        <v>115</v>
      </c>
      <c r="G33" s="14">
        <v>70</v>
      </c>
      <c r="H33" s="14" t="s">
        <v>116</v>
      </c>
      <c r="L33" s="7">
        <v>2.6</v>
      </c>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row>
    <row r="34" spans="1:53" ht="15" customHeight="1" x14ac:dyDescent="0.25">
      <c r="A34" s="7"/>
      <c r="B34" s="9" t="s">
        <v>127</v>
      </c>
      <c r="C34" s="9">
        <v>2016</v>
      </c>
      <c r="D34" s="13">
        <v>18650</v>
      </c>
      <c r="E34" s="13" t="s">
        <v>115</v>
      </c>
      <c r="G34" s="14">
        <v>65</v>
      </c>
      <c r="H34" s="14" t="s">
        <v>116</v>
      </c>
      <c r="L34" s="7">
        <v>2.6</v>
      </c>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row>
    <row r="35" spans="1:53" ht="15" customHeight="1" x14ac:dyDescent="0.25">
      <c r="A35" s="7"/>
      <c r="B35" s="9" t="s">
        <v>127</v>
      </c>
      <c r="C35" s="9">
        <v>2015</v>
      </c>
      <c r="D35" s="13">
        <v>18650</v>
      </c>
      <c r="E35" s="13" t="s">
        <v>115</v>
      </c>
      <c r="G35" s="14">
        <v>50</v>
      </c>
      <c r="H35" s="14" t="s">
        <v>116</v>
      </c>
      <c r="L35" s="7">
        <v>2.6</v>
      </c>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row>
    <row r="36" spans="1:53" ht="15" customHeight="1" x14ac:dyDescent="0.25">
      <c r="A36" s="7"/>
      <c r="B36" s="9" t="s">
        <v>127</v>
      </c>
      <c r="C36" s="9">
        <v>2015</v>
      </c>
      <c r="D36" s="13">
        <v>18650</v>
      </c>
      <c r="E36" s="13" t="s">
        <v>115</v>
      </c>
      <c r="F36" s="7"/>
      <c r="G36" s="14">
        <v>0</v>
      </c>
      <c r="H36" s="14" t="s">
        <v>116</v>
      </c>
      <c r="I36" s="7"/>
      <c r="J36" s="7"/>
      <c r="K36" s="7"/>
      <c r="L36" s="7">
        <v>2.6</v>
      </c>
      <c r="M36" s="7"/>
      <c r="N36" s="7"/>
      <c r="O36" s="7"/>
      <c r="P36" s="7"/>
      <c r="Q36" s="7"/>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row>
    <row r="37" spans="1:53" ht="15" customHeight="1" x14ac:dyDescent="0.25">
      <c r="A37" s="7"/>
      <c r="B37" s="9" t="s">
        <v>127</v>
      </c>
      <c r="C37" s="9">
        <v>2015</v>
      </c>
      <c r="D37" s="13">
        <v>18650</v>
      </c>
      <c r="E37" s="13" t="s">
        <v>115</v>
      </c>
      <c r="F37" s="14"/>
      <c r="G37" s="14">
        <v>100</v>
      </c>
      <c r="H37" s="14" t="s">
        <v>116</v>
      </c>
      <c r="I37" s="14"/>
      <c r="J37" s="14"/>
      <c r="K37" s="14"/>
      <c r="L37" s="14">
        <v>2.6</v>
      </c>
      <c r="M37" s="14"/>
      <c r="N37" s="14"/>
      <c r="O37" s="14"/>
      <c r="P37" s="14"/>
      <c r="Q37" s="14" t="s">
        <v>128</v>
      </c>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row>
    <row r="38" spans="1:53" ht="15" customHeight="1" x14ac:dyDescent="0.25">
      <c r="A38" s="12" t="s">
        <v>79</v>
      </c>
      <c r="B38" s="9" t="s">
        <v>129</v>
      </c>
      <c r="C38" s="9">
        <v>2014</v>
      </c>
      <c r="D38" s="13">
        <v>18650</v>
      </c>
      <c r="E38" s="13" t="s">
        <v>130</v>
      </c>
      <c r="F38" s="14" t="s">
        <v>131</v>
      </c>
      <c r="G38" s="14">
        <v>100</v>
      </c>
      <c r="H38" s="14" t="s">
        <v>132</v>
      </c>
      <c r="I38" s="14">
        <f>0.265*24.777</f>
        <v>6.5659050000000008</v>
      </c>
      <c r="J38" s="14"/>
      <c r="K38" s="14">
        <v>3.8</v>
      </c>
      <c r="L38" s="14">
        <v>2.6</v>
      </c>
      <c r="M38" s="14">
        <f>K38*L38</f>
        <v>9.879999999999999</v>
      </c>
      <c r="N38" s="14">
        <v>44.3</v>
      </c>
      <c r="O38" s="38">
        <f>Table1[[#This Row],[GasVol]]/Table1[[#This Row],[W-hr]]</f>
        <v>0.66456528340080989</v>
      </c>
      <c r="P38" s="14"/>
      <c r="Q38" s="14" t="s">
        <v>133</v>
      </c>
      <c r="R38" s="14">
        <v>24.9</v>
      </c>
      <c r="S38" s="14">
        <v>27.6</v>
      </c>
      <c r="T38" s="14">
        <v>30</v>
      </c>
      <c r="U38" s="14">
        <v>8.6</v>
      </c>
      <c r="V38" s="14">
        <v>7.7</v>
      </c>
      <c r="W38" s="14">
        <v>1.2</v>
      </c>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6"/>
    </row>
    <row r="39" spans="1:53" ht="15" customHeight="1" x14ac:dyDescent="0.25">
      <c r="A39" s="12"/>
      <c r="B39" s="9" t="s">
        <v>129</v>
      </c>
      <c r="C39" s="45">
        <v>2015</v>
      </c>
      <c r="D39" s="46">
        <v>18650</v>
      </c>
      <c r="E39" s="46" t="s">
        <v>83</v>
      </c>
      <c r="F39" s="47" t="s">
        <v>134</v>
      </c>
      <c r="G39" s="47">
        <v>0</v>
      </c>
      <c r="H39" s="47" t="s">
        <v>84</v>
      </c>
      <c r="I39" s="47"/>
      <c r="J39" s="47"/>
      <c r="K39" s="47">
        <v>3.5</v>
      </c>
      <c r="L39" s="47">
        <v>1.1000000000000001</v>
      </c>
      <c r="M39" s="47">
        <f>K39*L39</f>
        <v>3.8500000000000005</v>
      </c>
      <c r="N39" s="47"/>
      <c r="O39" s="47"/>
      <c r="P39" s="47"/>
      <c r="Q39" s="47"/>
      <c r="R39" s="47">
        <v>93.5</v>
      </c>
      <c r="S39" s="47">
        <v>1.8</v>
      </c>
      <c r="T39" s="47">
        <v>2.7</v>
      </c>
      <c r="U39" s="47">
        <v>0.7</v>
      </c>
      <c r="V39" s="47">
        <v>0.7</v>
      </c>
      <c r="W39" s="47">
        <v>0.7</v>
      </c>
      <c r="X39" s="47"/>
      <c r="Y39" s="47"/>
      <c r="Z39" s="47"/>
      <c r="AA39" s="47"/>
      <c r="AB39" s="47"/>
      <c r="AC39" s="47"/>
      <c r="AD39" s="47"/>
      <c r="AE39" s="47"/>
      <c r="AF39" s="47"/>
      <c r="AG39" s="47"/>
      <c r="AH39" s="47"/>
      <c r="AI39" s="47"/>
      <c r="AJ39" s="47"/>
      <c r="AK39" s="47"/>
      <c r="AL39" s="47"/>
      <c r="AM39" s="47"/>
      <c r="AN39" s="47"/>
      <c r="AO39" s="48"/>
      <c r="AP39" s="47"/>
      <c r="AQ39" s="47"/>
      <c r="AR39" s="47"/>
      <c r="AS39" s="47"/>
      <c r="AT39" s="47"/>
      <c r="AU39" s="47"/>
      <c r="AV39" s="47"/>
      <c r="AW39" s="47"/>
      <c r="AX39" s="47"/>
      <c r="AY39" s="47"/>
      <c r="AZ39" s="47"/>
      <c r="BA39" s="48"/>
    </row>
    <row r="40" spans="1:53" ht="15" customHeight="1" x14ac:dyDescent="0.25">
      <c r="A40" s="12" t="s">
        <v>79</v>
      </c>
      <c r="B40" s="9" t="s">
        <v>129</v>
      </c>
      <c r="C40" s="2">
        <v>2015</v>
      </c>
      <c r="D40" s="20">
        <v>18650</v>
      </c>
      <c r="E40" s="20" t="s">
        <v>83</v>
      </c>
      <c r="F40" s="21" t="s">
        <v>134</v>
      </c>
      <c r="G40" s="21">
        <v>25</v>
      </c>
      <c r="H40" s="21" t="s">
        <v>84</v>
      </c>
      <c r="I40" s="21"/>
      <c r="J40" s="21"/>
      <c r="K40" s="41"/>
      <c r="L40" s="41"/>
      <c r="M40" s="41"/>
      <c r="N40" s="21"/>
      <c r="O40" s="21"/>
      <c r="P40" s="21"/>
      <c r="Q40" s="21"/>
      <c r="R40" s="21">
        <v>85.3</v>
      </c>
      <c r="S40" s="21">
        <v>3.1</v>
      </c>
      <c r="T40" s="21">
        <v>7.1</v>
      </c>
      <c r="U40" s="21">
        <v>1.2</v>
      </c>
      <c r="V40" s="21">
        <v>3.1</v>
      </c>
      <c r="W40" s="21">
        <v>0.2</v>
      </c>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3"/>
    </row>
    <row r="41" spans="1:53" ht="15" customHeight="1" x14ac:dyDescent="0.25">
      <c r="A41" s="6" t="s">
        <v>79</v>
      </c>
      <c r="B41" s="9" t="s">
        <v>129</v>
      </c>
      <c r="C41" s="9">
        <v>2015</v>
      </c>
      <c r="D41" s="13">
        <v>18650</v>
      </c>
      <c r="E41" s="13" t="s">
        <v>83</v>
      </c>
      <c r="F41" s="14" t="s">
        <v>134</v>
      </c>
      <c r="G41" s="14">
        <v>50</v>
      </c>
      <c r="H41" s="14" t="s">
        <v>84</v>
      </c>
      <c r="I41" s="14"/>
      <c r="J41" s="14"/>
      <c r="N41" s="14"/>
      <c r="O41" s="14"/>
      <c r="P41" s="14"/>
      <c r="Q41" s="14"/>
      <c r="R41" s="14">
        <v>66.2</v>
      </c>
      <c r="S41" s="14">
        <v>4.8</v>
      </c>
      <c r="T41" s="14">
        <v>20.8</v>
      </c>
      <c r="U41" s="14">
        <v>1.6</v>
      </c>
      <c r="V41" s="14">
        <v>6.6</v>
      </c>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6"/>
    </row>
    <row r="42" spans="1:53" ht="15" customHeight="1" x14ac:dyDescent="0.25">
      <c r="A42" s="12" t="s">
        <v>79</v>
      </c>
      <c r="B42" s="31" t="s">
        <v>129</v>
      </c>
      <c r="C42" s="2">
        <v>2015</v>
      </c>
      <c r="D42" s="20">
        <v>18650</v>
      </c>
      <c r="E42" s="20" t="s">
        <v>83</v>
      </c>
      <c r="F42" s="21" t="s">
        <v>134</v>
      </c>
      <c r="G42" s="21">
        <v>75</v>
      </c>
      <c r="H42" s="21" t="s">
        <v>84</v>
      </c>
      <c r="I42" s="21"/>
      <c r="J42" s="21"/>
      <c r="K42" s="41"/>
      <c r="L42" s="41"/>
      <c r="M42" s="41"/>
      <c r="N42" s="21"/>
      <c r="O42" s="21"/>
      <c r="P42" s="21"/>
      <c r="Q42" s="21"/>
      <c r="R42" s="21">
        <v>62.6</v>
      </c>
      <c r="S42" s="21">
        <v>6.4</v>
      </c>
      <c r="T42" s="21">
        <v>21.8</v>
      </c>
      <c r="U42" s="21">
        <v>1.9</v>
      </c>
      <c r="V42" s="21">
        <v>6.3</v>
      </c>
      <c r="W42" s="21">
        <v>1</v>
      </c>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3"/>
    </row>
    <row r="43" spans="1:53" ht="15" customHeight="1" x14ac:dyDescent="0.25">
      <c r="A43" s="6" t="s">
        <v>79</v>
      </c>
      <c r="B43" s="2" t="s">
        <v>129</v>
      </c>
      <c r="C43" s="9">
        <v>2014</v>
      </c>
      <c r="D43" s="13">
        <v>18650</v>
      </c>
      <c r="E43" s="13" t="s">
        <v>83</v>
      </c>
      <c r="F43" s="14" t="s">
        <v>135</v>
      </c>
      <c r="G43" s="14">
        <v>100</v>
      </c>
      <c r="H43" s="14" t="s">
        <v>132</v>
      </c>
      <c r="I43" s="14">
        <f>0.05*24.777</f>
        <v>1.2388500000000002</v>
      </c>
      <c r="J43" s="14"/>
      <c r="K43" s="14">
        <v>3.3</v>
      </c>
      <c r="L43" s="14">
        <v>1.1000000000000001</v>
      </c>
      <c r="M43" s="14">
        <f>K43*L43</f>
        <v>3.63</v>
      </c>
      <c r="N43" s="14">
        <v>38.799999999999997</v>
      </c>
      <c r="O43" s="38">
        <f>Table1[[#This Row],[GasVol]]/Table1[[#This Row],[W-hr]]</f>
        <v>0.34128099173553728</v>
      </c>
      <c r="P43" s="14"/>
      <c r="Q43" s="14" t="s">
        <v>133</v>
      </c>
      <c r="R43" s="14">
        <v>53</v>
      </c>
      <c r="S43" s="14">
        <v>4.8</v>
      </c>
      <c r="T43" s="14">
        <v>30.9</v>
      </c>
      <c r="U43" s="14">
        <v>4.0999999999999996</v>
      </c>
      <c r="V43" s="14">
        <v>6.8</v>
      </c>
      <c r="W43" s="14">
        <v>0.3</v>
      </c>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6"/>
    </row>
    <row r="44" spans="1:53" ht="15" customHeight="1" x14ac:dyDescent="0.25">
      <c r="A44" s="12" t="s">
        <v>79</v>
      </c>
      <c r="B44" s="2" t="s">
        <v>129</v>
      </c>
      <c r="C44" s="2">
        <v>2014</v>
      </c>
      <c r="D44" s="20">
        <v>18650</v>
      </c>
      <c r="E44" s="20" t="s">
        <v>124</v>
      </c>
      <c r="F44" s="21" t="s">
        <v>131</v>
      </c>
      <c r="G44" s="21">
        <v>100</v>
      </c>
      <c r="H44" s="21" t="s">
        <v>132</v>
      </c>
      <c r="I44" s="21">
        <f>0.149*24.777</f>
        <v>3.691773</v>
      </c>
      <c r="J44" s="21"/>
      <c r="K44" s="21">
        <v>3.8</v>
      </c>
      <c r="L44" s="21">
        <v>1.5</v>
      </c>
      <c r="M44" s="21">
        <f>K44*L44</f>
        <v>5.6999999999999993</v>
      </c>
      <c r="N44" s="21">
        <v>43</v>
      </c>
      <c r="O44" s="38">
        <f>Table1[[#This Row],[GasVol]]/Table1[[#This Row],[W-hr]]</f>
        <v>0.64767947368421064</v>
      </c>
      <c r="P44" s="21"/>
      <c r="Q44" s="56" t="s">
        <v>133</v>
      </c>
      <c r="R44" s="21">
        <v>41.2</v>
      </c>
      <c r="S44" s="21">
        <v>13</v>
      </c>
      <c r="T44" s="21">
        <v>30.8</v>
      </c>
      <c r="U44" s="21">
        <v>6.8</v>
      </c>
      <c r="V44" s="21">
        <v>8.1999999999999993</v>
      </c>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3"/>
    </row>
    <row r="45" spans="1:53" ht="15" customHeight="1" x14ac:dyDescent="0.25">
      <c r="A45" s="12"/>
      <c r="B45" s="2" t="s">
        <v>129</v>
      </c>
      <c r="C45" s="9">
        <v>2015</v>
      </c>
      <c r="D45" s="13">
        <v>18650</v>
      </c>
      <c r="E45" s="13" t="s">
        <v>83</v>
      </c>
      <c r="F45" s="14" t="s">
        <v>134</v>
      </c>
      <c r="G45" s="14">
        <v>115</v>
      </c>
      <c r="H45" s="14" t="s">
        <v>84</v>
      </c>
      <c r="I45" s="14"/>
      <c r="J45" s="14"/>
      <c r="N45" s="14"/>
      <c r="O45" s="14"/>
      <c r="P45" s="14"/>
      <c r="Q45" s="14"/>
      <c r="R45" s="14">
        <v>52.2</v>
      </c>
      <c r="S45" s="14">
        <v>6.4</v>
      </c>
      <c r="T45" s="14">
        <v>34</v>
      </c>
      <c r="U45" s="14">
        <v>2.6</v>
      </c>
      <c r="V45" s="14">
        <v>4.7</v>
      </c>
      <c r="W45" s="14">
        <v>0.1</v>
      </c>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6"/>
    </row>
    <row r="46" spans="1:53" ht="15" customHeight="1" x14ac:dyDescent="0.25">
      <c r="A46" s="6" t="s">
        <v>79</v>
      </c>
      <c r="B46" s="9" t="s">
        <v>129</v>
      </c>
      <c r="C46" s="9">
        <v>2015</v>
      </c>
      <c r="D46" s="13">
        <v>18650</v>
      </c>
      <c r="E46" s="13" t="s">
        <v>83</v>
      </c>
      <c r="F46" s="14" t="s">
        <v>134</v>
      </c>
      <c r="G46" s="14">
        <v>130</v>
      </c>
      <c r="H46" s="14" t="s">
        <v>84</v>
      </c>
      <c r="I46" s="14"/>
      <c r="J46" s="14"/>
      <c r="K46" s="7"/>
      <c r="L46" s="7"/>
      <c r="M46" s="7"/>
      <c r="N46" s="14"/>
      <c r="O46" s="14"/>
      <c r="P46" s="14"/>
      <c r="Q46" s="14"/>
      <c r="R46" s="14">
        <v>55.8</v>
      </c>
      <c r="S46" s="14">
        <v>7.7</v>
      </c>
      <c r="T46" s="14">
        <v>30.1</v>
      </c>
      <c r="U46" s="14">
        <v>6.4</v>
      </c>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6"/>
    </row>
    <row r="47" spans="1:53" ht="15" customHeight="1" x14ac:dyDescent="0.25">
      <c r="A47" s="6"/>
      <c r="B47" s="9" t="s">
        <v>129</v>
      </c>
      <c r="C47" s="9">
        <v>2015</v>
      </c>
      <c r="D47" s="13">
        <v>18650</v>
      </c>
      <c r="E47" s="13" t="s">
        <v>73</v>
      </c>
      <c r="F47" s="14" t="s">
        <v>134</v>
      </c>
      <c r="G47" s="14">
        <v>0</v>
      </c>
      <c r="H47" s="14" t="s">
        <v>84</v>
      </c>
      <c r="I47" s="14"/>
      <c r="J47" s="14"/>
      <c r="K47" s="14">
        <v>4.2</v>
      </c>
      <c r="L47" s="14">
        <v>3.5</v>
      </c>
      <c r="M47" s="14">
        <f>K47*L47</f>
        <v>14.700000000000001</v>
      </c>
      <c r="N47" s="14"/>
      <c r="O47" s="14"/>
      <c r="P47" s="14"/>
      <c r="Q47" s="14"/>
      <c r="R47" s="14">
        <v>94.6</v>
      </c>
      <c r="S47" s="14">
        <v>1.6</v>
      </c>
      <c r="T47" s="14">
        <v>1.7</v>
      </c>
      <c r="U47" s="14">
        <v>1.6</v>
      </c>
      <c r="V47" s="14">
        <v>0.3</v>
      </c>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6"/>
    </row>
    <row r="48" spans="1:53" ht="15" customHeight="1" x14ac:dyDescent="0.25">
      <c r="A48" s="6"/>
      <c r="B48" s="9" t="s">
        <v>129</v>
      </c>
      <c r="C48" s="9">
        <v>2015</v>
      </c>
      <c r="D48" s="13">
        <v>18650</v>
      </c>
      <c r="E48" s="13" t="s">
        <v>73</v>
      </c>
      <c r="F48" s="14" t="s">
        <v>134</v>
      </c>
      <c r="G48" s="14">
        <v>0</v>
      </c>
      <c r="H48" s="14" t="s">
        <v>84</v>
      </c>
      <c r="I48" s="14"/>
      <c r="J48" s="14"/>
      <c r="N48" s="14"/>
      <c r="O48" s="14"/>
      <c r="P48" s="14"/>
      <c r="Q48" s="14"/>
      <c r="R48" s="14">
        <v>94.7</v>
      </c>
      <c r="S48" s="14">
        <v>1.9</v>
      </c>
      <c r="T48" s="14">
        <v>1.8</v>
      </c>
      <c r="U48" s="14">
        <v>1.2</v>
      </c>
      <c r="V48" s="14">
        <v>0.4</v>
      </c>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6"/>
    </row>
    <row r="49" spans="1:53" ht="15" customHeight="1" x14ac:dyDescent="0.25">
      <c r="A49" s="6"/>
      <c r="B49" s="9" t="s">
        <v>129</v>
      </c>
      <c r="C49" s="9">
        <v>2015</v>
      </c>
      <c r="D49" s="13">
        <v>18650</v>
      </c>
      <c r="E49" s="13" t="s">
        <v>73</v>
      </c>
      <c r="F49" s="14" t="s">
        <v>134</v>
      </c>
      <c r="G49" s="14">
        <v>0</v>
      </c>
      <c r="H49" s="14" t="s">
        <v>84</v>
      </c>
      <c r="I49" s="14"/>
      <c r="J49" s="14"/>
      <c r="N49" s="14"/>
      <c r="O49" s="14"/>
      <c r="P49" s="14"/>
      <c r="Q49" s="14"/>
      <c r="R49" s="14">
        <v>96</v>
      </c>
      <c r="S49" s="14">
        <v>1.5</v>
      </c>
      <c r="T49" s="14">
        <v>1.2</v>
      </c>
      <c r="U49" s="14">
        <v>1.1000000000000001</v>
      </c>
      <c r="V49" s="14">
        <v>0.2</v>
      </c>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6"/>
    </row>
    <row r="50" spans="1:53" ht="15" customHeight="1" x14ac:dyDescent="0.25">
      <c r="A50" s="12"/>
      <c r="B50" s="9" t="s">
        <v>129</v>
      </c>
      <c r="C50" s="9">
        <v>2015</v>
      </c>
      <c r="D50" s="13">
        <v>18650</v>
      </c>
      <c r="E50" s="13" t="s">
        <v>73</v>
      </c>
      <c r="F50" s="14" t="s">
        <v>134</v>
      </c>
      <c r="G50" s="14">
        <v>0</v>
      </c>
      <c r="H50" s="14" t="s">
        <v>84</v>
      </c>
      <c r="I50" s="14"/>
      <c r="J50" s="14"/>
      <c r="N50" s="14"/>
      <c r="O50" s="14"/>
      <c r="P50" s="14"/>
      <c r="Q50" s="14"/>
      <c r="R50" s="14">
        <v>96.2</v>
      </c>
      <c r="S50" s="14">
        <v>1.1000000000000001</v>
      </c>
      <c r="T50" s="14">
        <v>0.9</v>
      </c>
      <c r="U50" s="14">
        <v>1.4</v>
      </c>
      <c r="V50" s="14">
        <v>0.3</v>
      </c>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6"/>
    </row>
    <row r="51" spans="1:53" ht="15" customHeight="1" x14ac:dyDescent="0.25">
      <c r="A51" s="6"/>
      <c r="B51" s="9" t="s">
        <v>129</v>
      </c>
      <c r="C51" s="9">
        <v>2015</v>
      </c>
      <c r="D51" s="13">
        <v>18650</v>
      </c>
      <c r="E51" s="13" t="s">
        <v>73</v>
      </c>
      <c r="F51" s="14" t="s">
        <v>134</v>
      </c>
      <c r="G51" s="14">
        <v>0</v>
      </c>
      <c r="H51" s="14" t="s">
        <v>84</v>
      </c>
      <c r="I51" s="14"/>
      <c r="J51" s="14"/>
      <c r="N51" s="14"/>
      <c r="O51" s="14"/>
      <c r="P51" s="14"/>
      <c r="Q51" s="14"/>
      <c r="R51" s="14">
        <v>96.6</v>
      </c>
      <c r="S51" s="14">
        <v>1</v>
      </c>
      <c r="T51" s="14">
        <v>0.8</v>
      </c>
      <c r="U51" s="14">
        <v>1.3</v>
      </c>
      <c r="V51" s="14">
        <v>0.3</v>
      </c>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6"/>
    </row>
    <row r="52" spans="1:53" ht="15" customHeight="1" x14ac:dyDescent="0.25">
      <c r="A52" s="6"/>
      <c r="B52" s="9" t="s">
        <v>129</v>
      </c>
      <c r="C52" s="9">
        <v>2015</v>
      </c>
      <c r="D52" s="13">
        <v>18650</v>
      </c>
      <c r="E52" s="13" t="s">
        <v>73</v>
      </c>
      <c r="F52" s="14" t="s">
        <v>134</v>
      </c>
      <c r="G52" s="14">
        <v>25</v>
      </c>
      <c r="H52" s="14" t="s">
        <v>84</v>
      </c>
      <c r="I52" s="14"/>
      <c r="J52" s="14"/>
      <c r="N52" s="14"/>
      <c r="O52" s="14"/>
      <c r="P52" s="14"/>
      <c r="Q52" s="14"/>
      <c r="R52" s="14">
        <v>62.7</v>
      </c>
      <c r="S52" s="14">
        <v>5.5</v>
      </c>
      <c r="T52" s="14">
        <v>15.5</v>
      </c>
      <c r="U52" s="14">
        <v>8.6999999999999993</v>
      </c>
      <c r="V52" s="14">
        <v>7.5</v>
      </c>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6"/>
    </row>
    <row r="53" spans="1:53" ht="15" customHeight="1" x14ac:dyDescent="0.25">
      <c r="A53" s="7" t="s">
        <v>79</v>
      </c>
      <c r="B53" s="9" t="s">
        <v>129</v>
      </c>
      <c r="C53" s="9">
        <v>2015</v>
      </c>
      <c r="D53" s="13">
        <v>18650</v>
      </c>
      <c r="E53" s="13" t="s">
        <v>73</v>
      </c>
      <c r="F53" s="14" t="s">
        <v>134</v>
      </c>
      <c r="G53" s="14">
        <v>50</v>
      </c>
      <c r="H53" s="14" t="s">
        <v>84</v>
      </c>
      <c r="I53" s="14"/>
      <c r="J53" s="14"/>
      <c r="N53" s="14"/>
      <c r="O53" s="14"/>
      <c r="P53" s="14"/>
      <c r="Q53" s="14"/>
      <c r="R53" s="14">
        <v>33.799999999999997</v>
      </c>
      <c r="S53" s="14">
        <v>39.9</v>
      </c>
      <c r="T53" s="14">
        <v>17.5</v>
      </c>
      <c r="U53" s="14">
        <v>5.2</v>
      </c>
      <c r="V53" s="14">
        <v>3.2</v>
      </c>
      <c r="W53" s="14">
        <v>0.4</v>
      </c>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row>
    <row r="54" spans="1:53" ht="15" customHeight="1" x14ac:dyDescent="0.25">
      <c r="A54" s="7" t="s">
        <v>79</v>
      </c>
      <c r="B54" s="9" t="s">
        <v>129</v>
      </c>
      <c r="C54" s="9">
        <v>2015</v>
      </c>
      <c r="D54" s="13">
        <v>18650</v>
      </c>
      <c r="E54" s="13" t="s">
        <v>73</v>
      </c>
      <c r="F54" s="14" t="s">
        <v>134</v>
      </c>
      <c r="G54" s="14">
        <v>75</v>
      </c>
      <c r="H54" s="14" t="s">
        <v>84</v>
      </c>
      <c r="I54" s="14"/>
      <c r="J54" s="14"/>
      <c r="N54" s="14"/>
      <c r="O54" s="14"/>
      <c r="P54" s="14"/>
      <c r="Q54" s="14"/>
      <c r="R54" s="14">
        <v>20.8</v>
      </c>
      <c r="S54" s="14">
        <v>43.7</v>
      </c>
      <c r="T54" s="14">
        <v>24.2</v>
      </c>
      <c r="U54" s="14">
        <v>7.5</v>
      </c>
      <c r="V54" s="14">
        <v>3.3</v>
      </c>
      <c r="W54" s="14">
        <v>0.5</v>
      </c>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row>
    <row r="55" spans="1:53" ht="15" customHeight="1" x14ac:dyDescent="0.25">
      <c r="A55" s="6" t="s">
        <v>79</v>
      </c>
      <c r="B55" s="9" t="s">
        <v>129</v>
      </c>
      <c r="C55" s="9">
        <v>2015</v>
      </c>
      <c r="D55" s="13">
        <v>18650</v>
      </c>
      <c r="E55" s="13" t="s">
        <v>83</v>
      </c>
      <c r="F55" s="14" t="s">
        <v>134</v>
      </c>
      <c r="G55" s="14">
        <v>100</v>
      </c>
      <c r="H55" s="14" t="s">
        <v>84</v>
      </c>
      <c r="I55" s="14">
        <f>0.032*24.777</f>
        <v>0.79286400000000001</v>
      </c>
      <c r="J55" s="14"/>
      <c r="K55">
        <v>3.2</v>
      </c>
      <c r="L55">
        <v>1.1000000000000001</v>
      </c>
      <c r="M55">
        <f>Table1[[#This Row],[Voltage]]*Table1[[#This Row],[A-hr]]</f>
        <v>3.5200000000000005</v>
      </c>
      <c r="N55" s="14"/>
      <c r="O55" s="38">
        <f>Table1[[#This Row],[GasVol]]/Table1[[#This Row],[W-hr]]</f>
        <v>0.22524545454545453</v>
      </c>
      <c r="P55" s="14"/>
      <c r="Q55" s="14"/>
      <c r="R55" s="14">
        <v>48.3</v>
      </c>
      <c r="S55" s="14">
        <v>9.1</v>
      </c>
      <c r="T55" s="14">
        <v>29.4</v>
      </c>
      <c r="U55" s="14">
        <v>5.4</v>
      </c>
      <c r="V55" s="14">
        <v>7.2</v>
      </c>
      <c r="W55" s="14">
        <v>0.5</v>
      </c>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6"/>
    </row>
    <row r="56" spans="1:53" ht="15" customHeight="1" x14ac:dyDescent="0.25">
      <c r="A56" s="6"/>
      <c r="B56" s="9" t="s">
        <v>129</v>
      </c>
      <c r="C56" s="9">
        <v>2015</v>
      </c>
      <c r="D56" s="13">
        <v>18650</v>
      </c>
      <c r="E56" s="13" t="s">
        <v>73</v>
      </c>
      <c r="F56" s="14" t="s">
        <v>134</v>
      </c>
      <c r="G56" s="14">
        <v>112</v>
      </c>
      <c r="H56" s="14" t="s">
        <v>84</v>
      </c>
      <c r="I56" s="14"/>
      <c r="J56" s="14"/>
      <c r="N56" s="14"/>
      <c r="O56" s="14"/>
      <c r="P56" s="14"/>
      <c r="Q56" s="14"/>
      <c r="R56" s="14">
        <v>18.8</v>
      </c>
      <c r="S56" s="14">
        <v>48.1</v>
      </c>
      <c r="T56" s="14">
        <v>25.1</v>
      </c>
      <c r="U56" s="14">
        <v>5.9</v>
      </c>
      <c r="V56" s="14">
        <v>2.1</v>
      </c>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6"/>
    </row>
    <row r="57" spans="1:53" ht="15" customHeight="1" x14ac:dyDescent="0.25">
      <c r="A57" s="7" t="s">
        <v>79</v>
      </c>
      <c r="B57" s="9" t="s">
        <v>129</v>
      </c>
      <c r="C57" s="9">
        <v>2015</v>
      </c>
      <c r="D57" s="13">
        <v>18650</v>
      </c>
      <c r="E57" s="13" t="s">
        <v>73</v>
      </c>
      <c r="F57" s="14" t="s">
        <v>134</v>
      </c>
      <c r="G57" s="14">
        <v>120</v>
      </c>
      <c r="H57" s="14" t="s">
        <v>84</v>
      </c>
      <c r="I57" s="14"/>
      <c r="J57" s="14"/>
      <c r="N57" s="14"/>
      <c r="O57" s="14"/>
      <c r="P57" s="14"/>
      <c r="Q57" s="14"/>
      <c r="R57" s="14">
        <v>20.8</v>
      </c>
      <c r="S57" s="14">
        <v>48.7</v>
      </c>
      <c r="T57" s="14">
        <v>23.5</v>
      </c>
      <c r="U57" s="14">
        <v>5.4</v>
      </c>
      <c r="V57" s="14">
        <v>1.6</v>
      </c>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row>
    <row r="58" spans="1:53" ht="15" customHeight="1" x14ac:dyDescent="0.25">
      <c r="A58" s="7" t="s">
        <v>79</v>
      </c>
      <c r="B58" s="9" t="s">
        <v>129</v>
      </c>
      <c r="C58" s="9">
        <v>2015</v>
      </c>
      <c r="D58" s="13">
        <v>18650</v>
      </c>
      <c r="E58" s="13" t="s">
        <v>73</v>
      </c>
      <c r="F58" s="14" t="s">
        <v>134</v>
      </c>
      <c r="G58" s="14">
        <v>127</v>
      </c>
      <c r="H58" s="14" t="s">
        <v>84</v>
      </c>
      <c r="I58" s="14"/>
      <c r="J58" s="14"/>
      <c r="N58" s="14"/>
      <c r="O58" s="14"/>
      <c r="P58" s="14"/>
      <c r="Q58" s="14"/>
      <c r="R58" s="14">
        <v>16.2</v>
      </c>
      <c r="S58" s="14">
        <v>46.6</v>
      </c>
      <c r="T58" s="14">
        <v>28.8</v>
      </c>
      <c r="U58" s="14">
        <v>6.4</v>
      </c>
      <c r="V58" s="14">
        <v>1.3</v>
      </c>
      <c r="W58" s="14">
        <v>0.3</v>
      </c>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row>
    <row r="59" spans="1:53" ht="15" customHeight="1" x14ac:dyDescent="0.25">
      <c r="A59" s="7"/>
      <c r="B59" s="9" t="s">
        <v>129</v>
      </c>
      <c r="C59" s="9">
        <v>2015</v>
      </c>
      <c r="D59" s="13">
        <v>18650</v>
      </c>
      <c r="E59" s="13" t="s">
        <v>73</v>
      </c>
      <c r="F59" s="14" t="s">
        <v>134</v>
      </c>
      <c r="G59" s="14">
        <v>132</v>
      </c>
      <c r="H59" s="14" t="s">
        <v>84</v>
      </c>
      <c r="I59" s="14"/>
      <c r="J59" s="14"/>
      <c r="N59" s="14"/>
      <c r="O59" s="14"/>
      <c r="P59" s="14"/>
      <c r="Q59" s="14"/>
      <c r="R59" s="14">
        <v>18.899999999999999</v>
      </c>
      <c r="S59" s="14">
        <v>49.2</v>
      </c>
      <c r="T59" s="14">
        <v>25.8</v>
      </c>
      <c r="U59" s="14">
        <v>4.7</v>
      </c>
      <c r="V59" s="14">
        <v>1.4</v>
      </c>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row>
    <row r="60" spans="1:53" ht="15" customHeight="1" x14ac:dyDescent="0.25">
      <c r="A60" s="7"/>
      <c r="B60" s="9" t="s">
        <v>129</v>
      </c>
      <c r="C60" s="9">
        <v>2015</v>
      </c>
      <c r="D60" s="13">
        <v>18650</v>
      </c>
      <c r="E60" s="13" t="s">
        <v>73</v>
      </c>
      <c r="F60" s="14" t="s">
        <v>134</v>
      </c>
      <c r="G60" s="14">
        <v>143</v>
      </c>
      <c r="H60" s="14" t="s">
        <v>84</v>
      </c>
      <c r="I60" s="14"/>
      <c r="J60" s="14"/>
      <c r="N60" s="14"/>
      <c r="O60" s="14"/>
      <c r="P60" s="14"/>
      <c r="Q60" s="14"/>
      <c r="R60" s="14">
        <v>22</v>
      </c>
      <c r="S60" s="14">
        <v>43.4</v>
      </c>
      <c r="T60" s="14">
        <v>26.2</v>
      </c>
      <c r="U60" s="14">
        <v>6.9</v>
      </c>
      <c r="V60" s="14">
        <v>1.5</v>
      </c>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row>
    <row r="61" spans="1:53" ht="15" customHeight="1" x14ac:dyDescent="0.25">
      <c r="A61" s="6" t="s">
        <v>79</v>
      </c>
      <c r="B61" s="9" t="s">
        <v>129</v>
      </c>
      <c r="C61" s="9">
        <v>2015</v>
      </c>
      <c r="D61" s="13">
        <v>18650</v>
      </c>
      <c r="E61" s="13" t="s">
        <v>73</v>
      </c>
      <c r="F61" s="14" t="s">
        <v>134</v>
      </c>
      <c r="G61" s="14">
        <v>100</v>
      </c>
      <c r="H61" s="14" t="s">
        <v>84</v>
      </c>
      <c r="I61" s="14">
        <f>0.314*24.777</f>
        <v>7.7799780000000007</v>
      </c>
      <c r="J61" s="14"/>
      <c r="K61">
        <v>3.6</v>
      </c>
      <c r="L61">
        <v>3.35</v>
      </c>
      <c r="M61">
        <f>Table1[[#This Row],[Voltage]]*Table1[[#This Row],[A-hr]]</f>
        <v>12.06</v>
      </c>
      <c r="N61" s="14"/>
      <c r="O61" s="38">
        <f>Table1[[#This Row],[GasVol]]/Table1[[#This Row],[W-hr]]</f>
        <v>0.64510597014925375</v>
      </c>
      <c r="P61" s="14"/>
      <c r="Q61" s="14"/>
      <c r="R61" s="14">
        <v>17.5</v>
      </c>
      <c r="S61" s="14">
        <v>44</v>
      </c>
      <c r="T61" s="14">
        <v>26.1</v>
      </c>
      <c r="U61" s="14">
        <v>8.9</v>
      </c>
      <c r="V61" s="14">
        <v>2.7</v>
      </c>
      <c r="W61" s="14">
        <v>0.9</v>
      </c>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6"/>
    </row>
    <row r="62" spans="1:53" ht="15" customHeight="1" x14ac:dyDescent="0.25">
      <c r="A62" s="6" t="s">
        <v>79</v>
      </c>
      <c r="B62" s="9" t="s">
        <v>129</v>
      </c>
      <c r="C62" s="9">
        <v>2015</v>
      </c>
      <c r="D62" s="13">
        <v>18650</v>
      </c>
      <c r="E62" s="13" t="s">
        <v>136</v>
      </c>
      <c r="F62" s="14" t="s">
        <v>134</v>
      </c>
      <c r="G62" s="14">
        <v>100</v>
      </c>
      <c r="H62" s="14" t="s">
        <v>84</v>
      </c>
      <c r="I62" s="14">
        <f>0.244*24.777</f>
        <v>6.0455880000000004</v>
      </c>
      <c r="J62" s="14"/>
      <c r="K62">
        <v>3.6</v>
      </c>
      <c r="L62">
        <v>3.35</v>
      </c>
      <c r="M62">
        <f>Table1[[#This Row],[Voltage]]*Table1[[#This Row],[A-hr]]</f>
        <v>12.06</v>
      </c>
      <c r="N62" s="14"/>
      <c r="O62" s="38">
        <f>Table1[[#This Row],[GasVol]]/Table1[[#This Row],[W-hr]]</f>
        <v>0.50129253731343282</v>
      </c>
      <c r="P62" s="14"/>
      <c r="Q62" s="14"/>
      <c r="R62" s="14">
        <v>22.7</v>
      </c>
      <c r="S62" s="14">
        <v>41.5</v>
      </c>
      <c r="T62" s="14">
        <v>28.5</v>
      </c>
      <c r="U62" s="14">
        <v>5.9</v>
      </c>
      <c r="V62" s="14">
        <v>1.3</v>
      </c>
      <c r="W62" s="14">
        <v>0.3</v>
      </c>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6"/>
    </row>
    <row r="63" spans="1:53" ht="15" customHeight="1" x14ac:dyDescent="0.25">
      <c r="A63" s="6" t="s">
        <v>79</v>
      </c>
      <c r="B63" s="9" t="s">
        <v>129</v>
      </c>
      <c r="C63" s="9">
        <v>2015</v>
      </c>
      <c r="D63" s="13">
        <v>18650</v>
      </c>
      <c r="E63" s="13" t="s">
        <v>137</v>
      </c>
      <c r="F63" s="14" t="s">
        <v>134</v>
      </c>
      <c r="G63" s="14">
        <v>100</v>
      </c>
      <c r="H63" s="14" t="s">
        <v>84</v>
      </c>
      <c r="I63" s="14">
        <f>0.273*24.77</f>
        <v>6.7622100000000005</v>
      </c>
      <c r="J63" s="14"/>
      <c r="K63">
        <v>3.6</v>
      </c>
      <c r="L63">
        <v>3.35</v>
      </c>
      <c r="M63">
        <f>Table1[[#This Row],[Voltage]]*Table1[[#This Row],[A-hr]]</f>
        <v>12.06</v>
      </c>
      <c r="N63" s="14"/>
      <c r="O63" s="38">
        <f>Table1[[#This Row],[GasVol]]/Table1[[#This Row],[W-hr]]</f>
        <v>0.56071393034825867</v>
      </c>
      <c r="P63" s="14"/>
      <c r="Q63" s="14"/>
      <c r="R63" s="14">
        <v>19.7</v>
      </c>
      <c r="S63" s="14">
        <v>48.9</v>
      </c>
      <c r="T63" s="14">
        <v>22.6</v>
      </c>
      <c r="U63" s="14">
        <v>6.6</v>
      </c>
      <c r="V63" s="14">
        <v>2.4</v>
      </c>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6"/>
    </row>
    <row r="64" spans="1:53" ht="15" customHeight="1" x14ac:dyDescent="0.25">
      <c r="A64" t="s">
        <v>138</v>
      </c>
      <c r="B64" s="9" t="s">
        <v>139</v>
      </c>
      <c r="C64" s="9">
        <v>2021</v>
      </c>
      <c r="D64" s="13"/>
      <c r="E64" s="13" t="s">
        <v>38</v>
      </c>
      <c r="F64" s="14"/>
      <c r="G64" s="14"/>
      <c r="H64" s="14"/>
      <c r="I64" s="14"/>
      <c r="J64" s="14"/>
      <c r="K64" s="14"/>
      <c r="L64" s="14"/>
      <c r="M64" s="14"/>
      <c r="N64" s="14"/>
      <c r="O64" s="14"/>
      <c r="P64" s="14"/>
      <c r="Q64" s="14"/>
      <c r="R64" s="14"/>
      <c r="S64" s="14"/>
      <c r="T64" s="14">
        <v>100</v>
      </c>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row>
    <row r="65" spans="1:53" ht="15" customHeight="1" x14ac:dyDescent="0.25">
      <c r="A65" s="17" t="s">
        <v>79</v>
      </c>
      <c r="B65" t="s">
        <v>140</v>
      </c>
      <c r="C65" t="s">
        <v>141</v>
      </c>
      <c r="D65" s="8" t="s">
        <v>142</v>
      </c>
      <c r="E65" s="8" t="s">
        <v>124</v>
      </c>
      <c r="G65">
        <v>100</v>
      </c>
      <c r="I65">
        <v>221.6</v>
      </c>
      <c r="J65">
        <v>231.5</v>
      </c>
      <c r="K65">
        <v>3.68</v>
      </c>
      <c r="L65">
        <v>95.6</v>
      </c>
      <c r="M65">
        <f>L65*K65</f>
        <v>351.80799999999999</v>
      </c>
      <c r="N65">
        <v>2010</v>
      </c>
      <c r="O65">
        <f>I65/M65</f>
        <v>0.62988903038020738</v>
      </c>
      <c r="R65">
        <v>29.9</v>
      </c>
      <c r="S65">
        <v>21.3</v>
      </c>
      <c r="T65">
        <v>30.6</v>
      </c>
      <c r="U65">
        <v>7.2</v>
      </c>
      <c r="V65">
        <v>5.6</v>
      </c>
      <c r="W65">
        <v>1.76</v>
      </c>
      <c r="X65">
        <v>2</v>
      </c>
      <c r="AD65">
        <f>100-SUM(R65:X65)</f>
        <v>1.6399999999999864</v>
      </c>
      <c r="BA65" s="49"/>
    </row>
    <row r="66" spans="1:53" ht="15" customHeight="1" x14ac:dyDescent="0.25">
      <c r="A66" s="18" t="s">
        <v>79</v>
      </c>
      <c r="B66" t="s">
        <v>140</v>
      </c>
      <c r="C66" t="s">
        <v>143</v>
      </c>
      <c r="D66" s="8" t="s">
        <v>144</v>
      </c>
      <c r="E66" s="8" t="s">
        <v>115</v>
      </c>
      <c r="G66">
        <v>100</v>
      </c>
      <c r="I66">
        <v>118.2</v>
      </c>
      <c r="J66">
        <v>133.4</v>
      </c>
      <c r="K66">
        <v>3.7</v>
      </c>
      <c r="L66">
        <f>5*18.5</f>
        <v>92.5</v>
      </c>
      <c r="M66">
        <f>L66*K66</f>
        <v>342.25</v>
      </c>
      <c r="O66">
        <f>I66/M66</f>
        <v>0.34536157779401022</v>
      </c>
      <c r="R66">
        <v>31.9</v>
      </c>
      <c r="S66">
        <v>23.9</v>
      </c>
      <c r="T66">
        <v>26.8</v>
      </c>
      <c r="U66">
        <v>4.8</v>
      </c>
      <c r="V66">
        <v>7.1</v>
      </c>
      <c r="W66">
        <v>1.26</v>
      </c>
      <c r="X66">
        <v>2.4</v>
      </c>
      <c r="AD66">
        <f>100-SUM(R66:X66)</f>
        <v>1.8400000000000034</v>
      </c>
      <c r="BA66" s="49"/>
    </row>
    <row r="67" spans="1:53" ht="13.35" customHeight="1" x14ac:dyDescent="0.25">
      <c r="A67" s="18" t="s">
        <v>79</v>
      </c>
      <c r="B67" t="s">
        <v>140</v>
      </c>
      <c r="C67" t="s">
        <v>145</v>
      </c>
      <c r="D67" s="8" t="s">
        <v>146</v>
      </c>
      <c r="E67" s="8" t="s">
        <v>115</v>
      </c>
      <c r="G67">
        <v>50</v>
      </c>
      <c r="I67">
        <v>19.5</v>
      </c>
      <c r="J67">
        <v>28.2</v>
      </c>
      <c r="K67">
        <v>3.7</v>
      </c>
      <c r="L67">
        <f>10*5</f>
        <v>50</v>
      </c>
      <c r="M67">
        <f>L67*K67</f>
        <v>185</v>
      </c>
      <c r="O67">
        <f>I67/M67</f>
        <v>0.10540540540540541</v>
      </c>
      <c r="R67">
        <v>33.200000000000003</v>
      </c>
      <c r="S67">
        <v>6.8</v>
      </c>
      <c r="T67">
        <v>36.1</v>
      </c>
      <c r="U67">
        <v>5.0999999999999996</v>
      </c>
      <c r="V67">
        <v>3.8</v>
      </c>
      <c r="W67">
        <v>1.28</v>
      </c>
      <c r="X67">
        <v>4.5999999999999996</v>
      </c>
      <c r="AD67">
        <f>100-SUM(R67:X67)</f>
        <v>9.1200000000000188</v>
      </c>
      <c r="BA67" s="49"/>
    </row>
    <row r="68" spans="1:53" ht="17.25" customHeight="1" x14ac:dyDescent="0.25">
      <c r="A68" s="17" t="s">
        <v>79</v>
      </c>
      <c r="B68" t="s">
        <v>140</v>
      </c>
      <c r="C68" t="s">
        <v>147</v>
      </c>
      <c r="D68" s="8" t="s">
        <v>146</v>
      </c>
      <c r="E68" s="8" t="s">
        <v>115</v>
      </c>
      <c r="G68">
        <v>75</v>
      </c>
      <c r="I68">
        <v>38</v>
      </c>
      <c r="J68">
        <v>43.4</v>
      </c>
      <c r="K68">
        <v>3.7</v>
      </c>
      <c r="L68">
        <f>10*5</f>
        <v>50</v>
      </c>
      <c r="M68">
        <f>L68*K68</f>
        <v>185</v>
      </c>
      <c r="O68">
        <f>I68/M68</f>
        <v>0.20540540540540542</v>
      </c>
      <c r="R68">
        <v>41.3</v>
      </c>
      <c r="S68">
        <v>6.3</v>
      </c>
      <c r="T68">
        <v>32.5</v>
      </c>
      <c r="U68">
        <v>5.8</v>
      </c>
      <c r="V68">
        <v>3.3</v>
      </c>
      <c r="W68">
        <v>1.1100000000000001</v>
      </c>
      <c r="X68">
        <v>5</v>
      </c>
      <c r="AD68">
        <f>100-SUM(R68:X68)</f>
        <v>4.6900000000000119</v>
      </c>
      <c r="BA68" s="49"/>
    </row>
    <row r="69" spans="1:53" ht="15" customHeight="1" x14ac:dyDescent="0.25">
      <c r="A69" s="18" t="s">
        <v>79</v>
      </c>
      <c r="B69" s="41" t="s">
        <v>140</v>
      </c>
      <c r="C69" s="41" t="s">
        <v>148</v>
      </c>
      <c r="D69" s="50" t="s">
        <v>146</v>
      </c>
      <c r="E69" s="50" t="s">
        <v>115</v>
      </c>
      <c r="F69" s="41"/>
      <c r="G69" s="41">
        <v>100</v>
      </c>
      <c r="H69" s="41"/>
      <c r="I69" s="41">
        <v>75</v>
      </c>
      <c r="J69" s="41">
        <v>81.8</v>
      </c>
      <c r="K69" s="41">
        <v>3.7</v>
      </c>
      <c r="L69" s="41">
        <f>10*5</f>
        <v>50</v>
      </c>
      <c r="M69" s="41">
        <f>L69*K69</f>
        <v>185</v>
      </c>
      <c r="N69" s="41"/>
      <c r="O69" s="41">
        <f>I69/M69</f>
        <v>0.40540540540540543</v>
      </c>
      <c r="P69" s="41"/>
      <c r="Q69" s="41"/>
      <c r="R69" s="41">
        <v>43.5</v>
      </c>
      <c r="S69" s="41">
        <v>13.9</v>
      </c>
      <c r="T69" s="41">
        <v>24.5</v>
      </c>
      <c r="U69" s="41">
        <v>4.8</v>
      </c>
      <c r="V69" s="41">
        <v>2.7</v>
      </c>
      <c r="W69" s="41">
        <v>0.77</v>
      </c>
      <c r="X69" s="41">
        <v>0</v>
      </c>
      <c r="Y69" s="41"/>
      <c r="Z69" s="41"/>
      <c r="AA69" s="41"/>
      <c r="AB69" s="41"/>
      <c r="AC69" s="41"/>
      <c r="AD69" s="41">
        <f>100-SUM(R69:X69)</f>
        <v>9.8299999999999983</v>
      </c>
      <c r="AE69" s="41"/>
      <c r="AF69" s="41"/>
      <c r="AG69" s="41"/>
      <c r="AH69" s="41"/>
      <c r="AI69" s="41"/>
      <c r="AJ69" s="41"/>
      <c r="AK69" s="41"/>
      <c r="AL69" s="41"/>
      <c r="AM69" s="41"/>
      <c r="AN69" s="41"/>
      <c r="AO69" s="41"/>
      <c r="AP69" s="41"/>
      <c r="AQ69" s="41"/>
      <c r="AR69" s="41"/>
      <c r="AS69" s="41"/>
      <c r="AT69" s="41"/>
      <c r="AU69" s="41"/>
      <c r="AV69" s="41"/>
      <c r="AW69" s="41"/>
      <c r="AX69" s="41"/>
      <c r="AY69" s="41"/>
      <c r="AZ69" s="41"/>
      <c r="BA69" s="51"/>
    </row>
    <row r="70" spans="1:53" ht="15.75" customHeight="1" x14ac:dyDescent="0.25">
      <c r="A70" s="7"/>
      <c r="B70" s="9" t="s">
        <v>149</v>
      </c>
      <c r="C70" s="9">
        <v>2005</v>
      </c>
      <c r="D70" s="13">
        <v>18650</v>
      </c>
      <c r="E70" s="13" t="s">
        <v>115</v>
      </c>
      <c r="F70" s="14" t="s">
        <v>150</v>
      </c>
      <c r="G70" s="14" t="s">
        <v>125</v>
      </c>
      <c r="H70" s="14" t="s">
        <v>151</v>
      </c>
      <c r="I70" s="14"/>
      <c r="J70" s="14"/>
      <c r="K70" s="14">
        <v>4.2</v>
      </c>
      <c r="L70" s="14">
        <v>1.1000000000000001</v>
      </c>
      <c r="M70" s="14">
        <f>K70*L70</f>
        <v>4.620000000000001</v>
      </c>
      <c r="N70" s="14"/>
      <c r="O70" s="14"/>
      <c r="P70" s="14"/>
      <c r="Q70" s="14" t="s">
        <v>152</v>
      </c>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row>
    <row r="71" spans="1:53" ht="15" customHeight="1" x14ac:dyDescent="0.25">
      <c r="A71" s="7"/>
      <c r="B71" s="9" t="s">
        <v>149</v>
      </c>
      <c r="C71" s="9">
        <v>2005</v>
      </c>
      <c r="D71" s="13">
        <v>18650</v>
      </c>
      <c r="E71" s="13" t="s">
        <v>83</v>
      </c>
      <c r="F71" s="7"/>
      <c r="G71" s="7" t="s">
        <v>125</v>
      </c>
      <c r="H71" s="14" t="s">
        <v>151</v>
      </c>
      <c r="I71" s="14"/>
      <c r="J71" s="14"/>
      <c r="K71" s="14">
        <v>3.65</v>
      </c>
      <c r="L71" s="14">
        <v>1</v>
      </c>
      <c r="M71" s="14">
        <f>K70*L70</f>
        <v>4.620000000000001</v>
      </c>
      <c r="N71" s="14"/>
      <c r="O71" s="14"/>
      <c r="P71" s="14"/>
      <c r="Q71" s="7"/>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row>
    <row r="72" spans="1:53" ht="12.6" customHeight="1" x14ac:dyDescent="0.25">
      <c r="A72" s="7"/>
      <c r="B72" s="9" t="s">
        <v>149</v>
      </c>
      <c r="C72" s="9">
        <v>2005</v>
      </c>
      <c r="D72" s="13">
        <v>18650</v>
      </c>
      <c r="E72" s="13" t="s">
        <v>153</v>
      </c>
      <c r="G72" s="14" t="s">
        <v>125</v>
      </c>
      <c r="H72" s="14" t="s">
        <v>151</v>
      </c>
      <c r="I72" s="14"/>
      <c r="J72" s="14"/>
      <c r="K72" s="14">
        <v>4.3</v>
      </c>
      <c r="L72" s="14">
        <v>0.7</v>
      </c>
      <c r="M72" s="14">
        <f>K72*L72</f>
        <v>3.01</v>
      </c>
      <c r="N72" s="14"/>
      <c r="O72" s="14"/>
      <c r="P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row>
    <row r="73" spans="1:53" ht="118.8" x14ac:dyDescent="0.25">
      <c r="A73" s="12"/>
      <c r="B73" s="9" t="s">
        <v>154</v>
      </c>
      <c r="C73" s="9">
        <v>1999</v>
      </c>
      <c r="D73" s="13">
        <v>18650</v>
      </c>
      <c r="E73" s="13" t="s">
        <v>115</v>
      </c>
      <c r="F73" s="14" t="s">
        <v>155</v>
      </c>
      <c r="G73" s="14" t="s">
        <v>156</v>
      </c>
      <c r="H73" s="14" t="s">
        <v>157</v>
      </c>
      <c r="I73" s="40">
        <v>4.0210000000000003E-2</v>
      </c>
      <c r="J73" s="40"/>
      <c r="K73" s="40">
        <v>4.2</v>
      </c>
      <c r="L73" s="40">
        <v>1</v>
      </c>
      <c r="M73" s="40">
        <v>4.2</v>
      </c>
      <c r="N73" s="40"/>
      <c r="O73" s="40">
        <f>I73/M73</f>
        <v>9.5738095238095244E-3</v>
      </c>
      <c r="P73" s="40"/>
      <c r="Q73" s="14" t="s">
        <v>158</v>
      </c>
      <c r="R73" s="14">
        <v>71.2</v>
      </c>
      <c r="S73" s="14">
        <v>0.6</v>
      </c>
      <c r="T73" s="14"/>
      <c r="U73" s="14">
        <v>21</v>
      </c>
      <c r="V73" s="14"/>
      <c r="W73" s="14">
        <v>3.2</v>
      </c>
      <c r="X73" s="14">
        <v>0.8</v>
      </c>
      <c r="Y73" s="14"/>
      <c r="Z73" s="14"/>
      <c r="AA73" s="14"/>
      <c r="AB73" s="14"/>
      <c r="AC73" s="14"/>
      <c r="AD73" s="14"/>
      <c r="AE73" s="14"/>
      <c r="AF73" s="14">
        <v>1</v>
      </c>
      <c r="AG73" s="14"/>
      <c r="AH73" s="14"/>
      <c r="AI73" s="14"/>
      <c r="AJ73" s="14"/>
      <c r="AK73" s="14"/>
      <c r="AL73" s="14"/>
      <c r="AM73" s="14"/>
      <c r="AN73" s="14"/>
      <c r="AO73" s="14"/>
      <c r="AP73" s="14"/>
      <c r="AQ73" s="14"/>
      <c r="AR73" s="14"/>
      <c r="AS73" s="14"/>
      <c r="AT73" s="14"/>
      <c r="AU73" s="14"/>
      <c r="AV73" s="14"/>
      <c r="AW73" s="14"/>
      <c r="AX73" s="14"/>
      <c r="AY73" s="14"/>
      <c r="AZ73" s="14"/>
      <c r="BA73" s="16"/>
    </row>
    <row r="74" spans="1:53" x14ac:dyDescent="0.25">
      <c r="A74" s="12"/>
      <c r="B74" s="9" t="s">
        <v>159</v>
      </c>
      <c r="C74" s="2">
        <v>2015</v>
      </c>
      <c r="D74" s="20" t="s">
        <v>160</v>
      </c>
      <c r="E74" s="20" t="s">
        <v>73</v>
      </c>
      <c r="F74" s="4"/>
      <c r="G74" s="21">
        <v>100</v>
      </c>
      <c r="H74" s="21" t="s">
        <v>84</v>
      </c>
      <c r="I74" s="4"/>
      <c r="J74" s="4"/>
      <c r="K74" s="4">
        <v>3.5</v>
      </c>
      <c r="L74" s="4"/>
      <c r="M74" s="4"/>
      <c r="N74" s="4">
        <v>46.35</v>
      </c>
      <c r="O74" s="4"/>
      <c r="P74" s="4"/>
      <c r="Q74" s="4" t="s">
        <v>161</v>
      </c>
      <c r="R74" s="21">
        <v>9.76</v>
      </c>
      <c r="S74" s="21">
        <v>37.22</v>
      </c>
      <c r="T74" s="21">
        <v>43.15</v>
      </c>
      <c r="U74" s="21">
        <v>6.97</v>
      </c>
      <c r="V74" s="21">
        <v>2.69</v>
      </c>
      <c r="W74" s="21">
        <v>0.06</v>
      </c>
      <c r="X74" s="21"/>
      <c r="Y74" s="21"/>
      <c r="Z74" s="21"/>
      <c r="AA74" s="21"/>
      <c r="AB74" s="21"/>
      <c r="AC74" s="21"/>
      <c r="AD74" s="21"/>
      <c r="AE74" s="21">
        <v>0.16</v>
      </c>
      <c r="AF74" s="21"/>
      <c r="AG74" s="21"/>
      <c r="AH74" s="21"/>
      <c r="AI74" s="21"/>
      <c r="AJ74" s="21"/>
      <c r="AK74" s="21"/>
      <c r="AL74" s="21"/>
      <c r="AM74" s="21"/>
      <c r="AN74" s="21"/>
      <c r="AO74" s="21"/>
      <c r="AP74" s="21"/>
      <c r="AQ74" s="21"/>
      <c r="AR74" s="21"/>
      <c r="AS74" s="21"/>
      <c r="AT74" s="21"/>
      <c r="AU74" s="21"/>
      <c r="AV74" s="21"/>
      <c r="AW74" s="21"/>
      <c r="AX74" s="21"/>
      <c r="AY74" s="21"/>
      <c r="AZ74" s="21"/>
      <c r="BA74" s="23"/>
    </row>
    <row r="75" spans="1:53" x14ac:dyDescent="0.25">
      <c r="A75" s="6"/>
      <c r="B75" s="9" t="s">
        <v>159</v>
      </c>
      <c r="C75" s="9">
        <v>2017</v>
      </c>
      <c r="D75" s="13" t="s">
        <v>162</v>
      </c>
      <c r="E75" s="13" t="s">
        <v>73</v>
      </c>
      <c r="G75" s="14">
        <v>100</v>
      </c>
      <c r="H75" s="14" t="s">
        <v>84</v>
      </c>
      <c r="K75" s="7">
        <v>3.5</v>
      </c>
      <c r="N75">
        <v>47.68</v>
      </c>
      <c r="Q75" t="s">
        <v>161</v>
      </c>
      <c r="R75" s="14">
        <v>14.5</v>
      </c>
      <c r="S75" s="14">
        <v>44</v>
      </c>
      <c r="T75" s="14">
        <v>35.68</v>
      </c>
      <c r="U75" s="14">
        <v>3.66</v>
      </c>
      <c r="V75" s="14">
        <v>1.95</v>
      </c>
      <c r="W75" s="14">
        <v>0.06</v>
      </c>
      <c r="X75" s="14"/>
      <c r="Y75" s="14"/>
      <c r="Z75" s="14"/>
      <c r="AA75" s="14"/>
      <c r="AB75" s="14"/>
      <c r="AC75" s="14"/>
      <c r="AD75" s="14"/>
      <c r="AE75" s="14">
        <v>0.14000000000000001</v>
      </c>
      <c r="AF75" s="14"/>
      <c r="AG75" s="14"/>
      <c r="AH75" s="14"/>
      <c r="AI75" s="14"/>
      <c r="AJ75" s="14"/>
      <c r="AK75" s="14"/>
      <c r="AL75" s="14"/>
      <c r="AM75" s="14"/>
      <c r="AN75" s="14"/>
      <c r="AO75" s="14"/>
      <c r="AP75" s="14"/>
      <c r="AQ75" s="14"/>
      <c r="AR75" s="14"/>
      <c r="AS75" s="14"/>
      <c r="AT75" s="14"/>
      <c r="AU75" s="14"/>
      <c r="AV75" s="14"/>
      <c r="AW75" s="14"/>
      <c r="AX75" s="14"/>
      <c r="AY75" s="14"/>
      <c r="AZ75" s="14"/>
      <c r="BA75" s="16"/>
    </row>
    <row r="76" spans="1:53" ht="18.600000000000001" customHeight="1" x14ac:dyDescent="0.25">
      <c r="A76" s="12"/>
      <c r="B76" s="2" t="s">
        <v>159</v>
      </c>
      <c r="C76" s="2">
        <v>2017</v>
      </c>
      <c r="D76" s="20" t="s">
        <v>163</v>
      </c>
      <c r="E76" s="20" t="s">
        <v>73</v>
      </c>
      <c r="F76" s="21"/>
      <c r="G76" s="21">
        <v>100</v>
      </c>
      <c r="H76" s="21" t="s">
        <v>84</v>
      </c>
      <c r="I76" s="21"/>
      <c r="J76" s="21"/>
      <c r="K76" s="21">
        <v>3.2</v>
      </c>
      <c r="L76" s="21"/>
      <c r="M76" s="21"/>
      <c r="N76" s="21">
        <v>48.62</v>
      </c>
      <c r="O76" s="21"/>
      <c r="P76" s="21"/>
      <c r="Q76" s="21" t="s">
        <v>161</v>
      </c>
      <c r="R76" s="21">
        <v>20.399999999999999</v>
      </c>
      <c r="S76" s="21">
        <v>58.41</v>
      </c>
      <c r="T76" s="21">
        <v>15.94</v>
      </c>
      <c r="U76" s="21">
        <v>2.5</v>
      </c>
      <c r="V76" s="21">
        <v>2.44</v>
      </c>
      <c r="W76" s="21">
        <v>0.09</v>
      </c>
      <c r="X76" s="21"/>
      <c r="Y76" s="21"/>
      <c r="Z76" s="21"/>
      <c r="AA76" s="21"/>
      <c r="AB76" s="21"/>
      <c r="AC76" s="21"/>
      <c r="AD76" s="21"/>
      <c r="AE76" s="21">
        <v>0.22</v>
      </c>
      <c r="AF76" s="21"/>
      <c r="AG76" s="21"/>
      <c r="AH76" s="21"/>
      <c r="AI76" s="21"/>
      <c r="AJ76" s="21"/>
      <c r="AK76" s="21"/>
      <c r="AL76" s="21"/>
      <c r="AM76" s="21"/>
      <c r="AN76" s="21"/>
      <c r="AO76" s="21"/>
      <c r="AP76" s="21"/>
      <c r="AQ76" s="21"/>
      <c r="AR76" s="21"/>
      <c r="AS76" s="21"/>
      <c r="AT76" s="21"/>
      <c r="AU76" s="21"/>
      <c r="AV76" s="21"/>
      <c r="AW76" s="21"/>
      <c r="AX76" s="21"/>
      <c r="AY76" s="21"/>
      <c r="AZ76" s="21"/>
      <c r="BA76" s="23"/>
    </row>
    <row r="77" spans="1:53" ht="15" customHeight="1" x14ac:dyDescent="0.25">
      <c r="A77" s="12"/>
      <c r="B77" s="9" t="s">
        <v>159</v>
      </c>
      <c r="C77" s="9">
        <v>2017</v>
      </c>
      <c r="D77" s="13" t="s">
        <v>163</v>
      </c>
      <c r="E77" s="13" t="s">
        <v>73</v>
      </c>
      <c r="F77" s="14"/>
      <c r="G77" s="14">
        <v>100</v>
      </c>
      <c r="H77" s="14" t="s">
        <v>84</v>
      </c>
      <c r="I77" s="14"/>
      <c r="J77" s="14"/>
      <c r="K77" s="14">
        <v>3.2</v>
      </c>
      <c r="L77" s="14"/>
      <c r="M77" s="14"/>
      <c r="N77" s="14">
        <v>48.62</v>
      </c>
      <c r="O77" s="14"/>
      <c r="P77" s="14"/>
      <c r="Q77" s="14" t="s">
        <v>164</v>
      </c>
      <c r="R77" s="14">
        <v>82.19</v>
      </c>
      <c r="S77" s="14">
        <v>0</v>
      </c>
      <c r="T77" s="14">
        <v>2.4300000000000002</v>
      </c>
      <c r="U77" s="14">
        <v>0</v>
      </c>
      <c r="V77" s="14">
        <v>9.32</v>
      </c>
      <c r="W77" s="14">
        <v>6.06</v>
      </c>
      <c r="X77" s="14"/>
      <c r="Y77" s="14"/>
      <c r="Z77" s="14"/>
      <c r="AA77" s="14"/>
      <c r="AB77" s="14"/>
      <c r="AC77" s="14"/>
      <c r="AD77" s="14"/>
      <c r="AE77" s="14">
        <v>0</v>
      </c>
      <c r="AF77" s="14"/>
      <c r="AG77" s="14"/>
      <c r="AH77" s="14"/>
      <c r="AI77" s="14"/>
      <c r="AJ77" s="14"/>
      <c r="AK77" s="14"/>
      <c r="AL77" s="14"/>
      <c r="AM77" s="14"/>
      <c r="AN77" s="14"/>
      <c r="AO77" s="14"/>
      <c r="AP77" s="14"/>
      <c r="AQ77" s="14"/>
      <c r="AR77" s="14"/>
      <c r="AS77" s="14"/>
      <c r="AT77" s="14"/>
      <c r="AU77" s="14"/>
      <c r="AV77" s="14"/>
      <c r="AW77" s="14"/>
      <c r="AX77" s="14"/>
      <c r="AY77" s="14"/>
      <c r="AZ77" s="14"/>
      <c r="BA77" s="16"/>
    </row>
    <row r="78" spans="1:53" ht="15" customHeight="1" x14ac:dyDescent="0.25">
      <c r="A78" s="12"/>
      <c r="B78" s="9" t="s">
        <v>159</v>
      </c>
      <c r="C78" s="9">
        <v>2017</v>
      </c>
      <c r="D78" s="32" t="s">
        <v>162</v>
      </c>
      <c r="E78" s="32" t="s">
        <v>73</v>
      </c>
      <c r="F78" s="36"/>
      <c r="G78" s="34">
        <v>100</v>
      </c>
      <c r="H78" s="34" t="s">
        <v>84</v>
      </c>
      <c r="I78" s="36"/>
      <c r="J78" s="36"/>
      <c r="K78" s="52">
        <v>3.5</v>
      </c>
      <c r="L78" s="36"/>
      <c r="M78" s="36"/>
      <c r="N78" s="36">
        <v>47.68</v>
      </c>
      <c r="O78" s="36"/>
      <c r="P78" s="36"/>
      <c r="Q78" s="36" t="s">
        <v>165</v>
      </c>
      <c r="R78" s="34">
        <v>87.24</v>
      </c>
      <c r="S78" s="34">
        <v>0</v>
      </c>
      <c r="T78" s="34">
        <v>3.87</v>
      </c>
      <c r="U78" s="34">
        <v>0</v>
      </c>
      <c r="V78" s="34">
        <v>4.2</v>
      </c>
      <c r="W78" s="34">
        <v>4.7</v>
      </c>
      <c r="X78" s="34"/>
      <c r="Y78" s="34"/>
      <c r="Z78" s="34"/>
      <c r="AA78" s="34"/>
      <c r="AB78" s="34"/>
      <c r="AC78" s="34"/>
      <c r="AD78" s="34"/>
      <c r="AE78" s="34">
        <v>0</v>
      </c>
      <c r="AF78" s="14"/>
      <c r="AG78" s="14"/>
      <c r="AH78" s="14"/>
      <c r="AI78" s="14"/>
      <c r="AJ78" s="14"/>
      <c r="AK78" s="14"/>
      <c r="AL78" s="14"/>
      <c r="AM78" s="14"/>
      <c r="AN78" s="14"/>
      <c r="AO78" s="14"/>
      <c r="AP78" s="14"/>
      <c r="AQ78" s="14"/>
      <c r="AR78" s="14"/>
      <c r="AS78" s="14"/>
      <c r="AT78" s="14"/>
      <c r="AU78" s="14"/>
      <c r="AV78" s="14"/>
      <c r="AW78" s="14"/>
      <c r="AX78" s="14"/>
      <c r="AY78" s="14"/>
      <c r="AZ78" s="14"/>
      <c r="BA78" s="16"/>
    </row>
    <row r="79" spans="1:53" ht="15" customHeight="1" x14ac:dyDescent="0.25">
      <c r="A79" s="12"/>
      <c r="B79" s="9" t="s">
        <v>159</v>
      </c>
      <c r="C79" s="9">
        <v>2017</v>
      </c>
      <c r="D79" s="13" t="s">
        <v>163</v>
      </c>
      <c r="E79" s="13" t="s">
        <v>73</v>
      </c>
      <c r="F79" s="14"/>
      <c r="G79" s="14">
        <v>100</v>
      </c>
      <c r="H79" s="14" t="s">
        <v>84</v>
      </c>
      <c r="I79" s="14"/>
      <c r="J79" s="14"/>
      <c r="K79" s="14">
        <v>3.2</v>
      </c>
      <c r="L79" s="14"/>
      <c r="M79" s="14"/>
      <c r="N79" s="14">
        <v>48.62</v>
      </c>
      <c r="O79" s="14"/>
      <c r="P79" s="14"/>
      <c r="Q79" s="14" t="s">
        <v>165</v>
      </c>
      <c r="R79" s="14">
        <v>95.56</v>
      </c>
      <c r="S79" s="14">
        <v>0</v>
      </c>
      <c r="T79" s="14">
        <v>3.71</v>
      </c>
      <c r="U79" s="14">
        <v>0</v>
      </c>
      <c r="V79" s="14">
        <v>0.74</v>
      </c>
      <c r="W79" s="14">
        <v>0</v>
      </c>
      <c r="X79" s="14"/>
      <c r="Y79" s="14"/>
      <c r="Z79" s="14"/>
      <c r="AA79" s="14"/>
      <c r="AB79" s="14"/>
      <c r="AC79" s="14"/>
      <c r="AD79" s="14"/>
      <c r="AE79" s="14">
        <v>0</v>
      </c>
      <c r="AF79" s="14"/>
      <c r="AG79" s="14"/>
      <c r="AH79" s="14"/>
      <c r="AI79" s="14"/>
      <c r="AJ79" s="14"/>
      <c r="AK79" s="14"/>
      <c r="AL79" s="14"/>
      <c r="AM79" s="14"/>
      <c r="AN79" s="14"/>
      <c r="AO79" s="14"/>
      <c r="AP79" s="14"/>
      <c r="AQ79" s="14"/>
      <c r="AR79" s="14"/>
      <c r="AS79" s="14"/>
      <c r="AT79" s="14"/>
      <c r="AU79" s="14"/>
      <c r="AV79" s="14"/>
      <c r="AW79" s="14"/>
      <c r="AX79" s="14"/>
      <c r="AY79" s="14"/>
      <c r="AZ79" s="14"/>
      <c r="BA79" s="16"/>
    </row>
    <row r="80" spans="1:53" ht="15" customHeight="1" x14ac:dyDescent="0.25">
      <c r="A80" s="12"/>
      <c r="B80" s="9" t="s">
        <v>159</v>
      </c>
      <c r="C80" s="9">
        <v>2017</v>
      </c>
      <c r="D80" s="32" t="s">
        <v>160</v>
      </c>
      <c r="E80" s="32" t="s">
        <v>73</v>
      </c>
      <c r="F80" s="52"/>
      <c r="G80" s="34">
        <v>100</v>
      </c>
      <c r="H80" s="34" t="s">
        <v>84</v>
      </c>
      <c r="I80" s="52"/>
      <c r="J80" s="52"/>
      <c r="K80" s="52">
        <v>3.5</v>
      </c>
      <c r="L80" s="52"/>
      <c r="M80" s="52"/>
      <c r="N80" s="52">
        <v>46.35</v>
      </c>
      <c r="O80" s="52"/>
      <c r="P80" s="52"/>
      <c r="Q80" s="52" t="s">
        <v>165</v>
      </c>
      <c r="R80" s="34">
        <v>98.06</v>
      </c>
      <c r="S80" s="34">
        <v>0</v>
      </c>
      <c r="T80" s="34">
        <v>0.87</v>
      </c>
      <c r="U80" s="34">
        <v>0</v>
      </c>
      <c r="V80" s="34">
        <v>1.07</v>
      </c>
      <c r="W80" s="34">
        <v>0</v>
      </c>
      <c r="X80" s="34"/>
      <c r="Y80" s="34"/>
      <c r="Z80" s="34"/>
      <c r="AA80" s="34"/>
      <c r="AB80" s="34"/>
      <c r="AC80" s="34"/>
      <c r="AD80" s="34"/>
      <c r="AE80" s="34">
        <v>0</v>
      </c>
      <c r="AF80" s="14"/>
      <c r="AG80" s="14"/>
      <c r="AH80" s="14"/>
      <c r="AI80" s="14"/>
      <c r="AJ80" s="14"/>
      <c r="AK80" s="14"/>
      <c r="AL80" s="14"/>
      <c r="AM80" s="14"/>
      <c r="AN80" s="14"/>
      <c r="AO80" s="14"/>
      <c r="AP80" s="14"/>
      <c r="AQ80" s="14"/>
      <c r="AR80" s="14"/>
      <c r="AS80" s="14"/>
      <c r="AT80" s="14"/>
      <c r="AU80" s="14"/>
      <c r="AV80" s="14"/>
      <c r="AW80" s="14"/>
      <c r="AX80" s="14"/>
      <c r="AY80" s="14"/>
      <c r="AZ80" s="14"/>
      <c r="BA80" s="16"/>
    </row>
    <row r="81" spans="1:53" ht="15" customHeight="1" x14ac:dyDescent="0.25">
      <c r="A81" s="12"/>
      <c r="B81" s="9" t="s">
        <v>159</v>
      </c>
      <c r="C81" s="9">
        <v>2017</v>
      </c>
      <c r="D81" s="13" t="s">
        <v>162</v>
      </c>
      <c r="E81" s="13" t="s">
        <v>73</v>
      </c>
      <c r="G81" s="14">
        <v>100</v>
      </c>
      <c r="H81" s="14" t="s">
        <v>84</v>
      </c>
      <c r="K81" s="7">
        <v>3.5</v>
      </c>
      <c r="N81" s="14">
        <v>47.68</v>
      </c>
      <c r="Q81" t="s">
        <v>164</v>
      </c>
      <c r="R81" s="14">
        <v>100</v>
      </c>
      <c r="S81" s="14">
        <v>0</v>
      </c>
      <c r="T81" s="14">
        <v>0</v>
      </c>
      <c r="U81" s="14">
        <v>0</v>
      </c>
      <c r="V81" s="14">
        <v>0</v>
      </c>
      <c r="W81" s="14">
        <v>0</v>
      </c>
      <c r="X81" s="14"/>
      <c r="Y81" s="14"/>
      <c r="Z81" s="14"/>
      <c r="AA81" s="14"/>
      <c r="AB81" s="14"/>
      <c r="AC81" s="14"/>
      <c r="AD81" s="14"/>
      <c r="AE81" s="14">
        <v>0</v>
      </c>
      <c r="AF81" s="14"/>
      <c r="AG81" s="14"/>
      <c r="AH81" s="14"/>
      <c r="AI81" s="14"/>
      <c r="AJ81" s="14"/>
      <c r="AK81" s="14"/>
      <c r="AL81" s="14"/>
      <c r="AM81" s="14"/>
      <c r="AN81" s="14"/>
      <c r="AO81" s="14"/>
      <c r="AP81" s="14"/>
      <c r="AQ81" s="14"/>
      <c r="AR81" s="14"/>
      <c r="AS81" s="14"/>
      <c r="AT81" s="14"/>
      <c r="AU81" s="14"/>
      <c r="AV81" s="14"/>
      <c r="AW81" s="14"/>
      <c r="AX81" s="14"/>
      <c r="AY81" s="14"/>
      <c r="AZ81" s="14"/>
      <c r="BA81" s="16"/>
    </row>
    <row r="82" spans="1:53" ht="15" customHeight="1" x14ac:dyDescent="0.25">
      <c r="A82" s="12"/>
      <c r="B82" s="31" t="s">
        <v>159</v>
      </c>
      <c r="C82" s="31">
        <v>2017</v>
      </c>
      <c r="D82" s="32" t="s">
        <v>160</v>
      </c>
      <c r="E82" s="32" t="s">
        <v>73</v>
      </c>
      <c r="F82" s="52"/>
      <c r="G82" s="34">
        <v>100</v>
      </c>
      <c r="H82" s="34" t="s">
        <v>84</v>
      </c>
      <c r="I82" s="52"/>
      <c r="J82" s="52"/>
      <c r="K82" s="52">
        <v>3.5</v>
      </c>
      <c r="L82" s="52"/>
      <c r="M82" s="52"/>
      <c r="N82" s="52">
        <v>46.35</v>
      </c>
      <c r="O82" s="52"/>
      <c r="P82" s="52"/>
      <c r="Q82" s="52" t="s">
        <v>164</v>
      </c>
      <c r="R82" s="34">
        <v>100</v>
      </c>
      <c r="S82" s="34">
        <v>0</v>
      </c>
      <c r="T82" s="34">
        <v>0</v>
      </c>
      <c r="U82" s="34">
        <v>0</v>
      </c>
      <c r="V82" s="34">
        <v>0</v>
      </c>
      <c r="W82" s="34">
        <v>0</v>
      </c>
      <c r="X82" s="34"/>
      <c r="Y82" s="34"/>
      <c r="Z82" s="34"/>
      <c r="AA82" s="34"/>
      <c r="AB82" s="34"/>
      <c r="AC82" s="34"/>
      <c r="AD82" s="34"/>
      <c r="AE82" s="34">
        <v>0</v>
      </c>
      <c r="AF82" s="34"/>
      <c r="AG82" s="34"/>
      <c r="AH82" s="34"/>
      <c r="AI82" s="34"/>
      <c r="AJ82" s="34"/>
      <c r="AK82" s="34"/>
      <c r="AL82" s="34"/>
      <c r="AM82" s="34"/>
      <c r="AN82" s="34"/>
      <c r="AO82" s="34"/>
      <c r="AP82" s="34"/>
      <c r="AQ82" s="34"/>
      <c r="AR82" s="34"/>
      <c r="AS82" s="34"/>
      <c r="AT82" s="34"/>
      <c r="AU82" s="34"/>
      <c r="AV82" s="34"/>
      <c r="AW82" s="34"/>
      <c r="AX82" s="34"/>
      <c r="AY82" s="34"/>
      <c r="AZ82" s="34"/>
      <c r="BA82" s="37"/>
    </row>
    <row r="83" spans="1:53" ht="15" customHeight="1" x14ac:dyDescent="0.25">
      <c r="A83" s="18"/>
      <c r="B83" s="9" t="s">
        <v>166</v>
      </c>
      <c r="C83" s="9">
        <v>2014</v>
      </c>
      <c r="D83" s="13" t="s">
        <v>85</v>
      </c>
      <c r="E83" s="13" t="s">
        <v>167</v>
      </c>
      <c r="F83" s="14"/>
      <c r="G83" s="14"/>
      <c r="H83" s="14"/>
      <c r="I83" s="14"/>
      <c r="J83" s="14"/>
      <c r="K83" s="14"/>
      <c r="L83" s="14"/>
      <c r="M83" s="14"/>
      <c r="N83" s="14"/>
      <c r="O83" s="14"/>
      <c r="P83" s="14"/>
      <c r="Q83" s="14"/>
      <c r="R83" s="14">
        <v>0</v>
      </c>
      <c r="S83" s="14">
        <v>47.5</v>
      </c>
      <c r="T83" s="14">
        <v>47.5</v>
      </c>
      <c r="U83" s="14">
        <v>5</v>
      </c>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6"/>
    </row>
    <row r="84" spans="1:53" ht="15" customHeight="1" x14ac:dyDescent="0.25">
      <c r="B84" s="9" t="s">
        <v>166</v>
      </c>
      <c r="C84" s="9">
        <v>2014</v>
      </c>
      <c r="D84" s="13" t="s">
        <v>85</v>
      </c>
      <c r="E84" s="13" t="s">
        <v>168</v>
      </c>
      <c r="F84" s="14"/>
      <c r="G84" s="14"/>
      <c r="H84" s="14"/>
      <c r="I84" s="14"/>
      <c r="J84" s="14"/>
      <c r="K84" s="14"/>
      <c r="L84" s="14"/>
      <c r="M84" s="14"/>
      <c r="N84" s="14"/>
      <c r="O84" s="14"/>
      <c r="P84" s="14"/>
      <c r="Q84" s="14"/>
      <c r="R84" s="14">
        <v>0</v>
      </c>
      <c r="S84" s="14">
        <v>40</v>
      </c>
      <c r="T84" s="14">
        <v>40</v>
      </c>
      <c r="U84" s="14">
        <v>20</v>
      </c>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row>
    <row r="85" spans="1:53" ht="16.5" customHeight="1" x14ac:dyDescent="0.25">
      <c r="B85" s="9" t="s">
        <v>166</v>
      </c>
      <c r="C85" s="9">
        <v>2014</v>
      </c>
      <c r="D85" s="13" t="s">
        <v>85</v>
      </c>
      <c r="E85" s="13" t="s">
        <v>169</v>
      </c>
      <c r="F85" s="14"/>
      <c r="G85" s="14"/>
      <c r="H85" s="14"/>
      <c r="I85" s="14"/>
      <c r="J85" s="14"/>
      <c r="K85" s="14"/>
      <c r="L85" s="14"/>
      <c r="M85" s="14"/>
      <c r="N85" s="14"/>
      <c r="O85" s="14"/>
      <c r="P85" s="14"/>
      <c r="Q85" s="14"/>
      <c r="R85" s="14">
        <v>0</v>
      </c>
      <c r="S85" s="14">
        <v>30</v>
      </c>
      <c r="T85" s="14">
        <v>30</v>
      </c>
      <c r="U85" s="14">
        <v>40</v>
      </c>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row>
    <row r="86" spans="1:53" x14ac:dyDescent="0.25">
      <c r="A86" s="18"/>
      <c r="B86" s="9" t="s">
        <v>166</v>
      </c>
      <c r="C86" s="31">
        <v>2014</v>
      </c>
      <c r="D86" s="32" t="s">
        <v>85</v>
      </c>
      <c r="E86" s="32" t="s">
        <v>170</v>
      </c>
      <c r="F86" s="34"/>
      <c r="G86" s="34"/>
      <c r="H86" s="34"/>
      <c r="I86" s="34"/>
      <c r="J86" s="34"/>
      <c r="K86" s="34"/>
      <c r="L86" s="34"/>
      <c r="M86" s="34"/>
      <c r="N86" s="34"/>
      <c r="O86" s="34"/>
      <c r="P86" s="34"/>
      <c r="Q86" s="34"/>
      <c r="R86" s="34">
        <v>10</v>
      </c>
      <c r="S86" s="34">
        <v>45</v>
      </c>
      <c r="T86" s="34">
        <v>45</v>
      </c>
      <c r="U86" s="34">
        <v>0</v>
      </c>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7"/>
    </row>
    <row r="87" spans="1:53" x14ac:dyDescent="0.25">
      <c r="A87" s="18"/>
      <c r="B87" s="31" t="s">
        <v>166</v>
      </c>
      <c r="C87" s="31">
        <v>2014</v>
      </c>
      <c r="D87" s="32" t="s">
        <v>85</v>
      </c>
      <c r="E87" s="32" t="s">
        <v>171</v>
      </c>
      <c r="F87" s="34"/>
      <c r="G87" s="34"/>
      <c r="H87" s="34"/>
      <c r="I87" s="34"/>
      <c r="J87" s="34"/>
      <c r="K87" s="34"/>
      <c r="L87" s="34"/>
      <c r="M87" s="34"/>
      <c r="N87" s="34"/>
      <c r="O87" s="34"/>
      <c r="P87" s="34"/>
      <c r="Q87" s="34"/>
      <c r="R87" s="34">
        <v>20</v>
      </c>
      <c r="S87" s="34">
        <v>40</v>
      </c>
      <c r="T87" s="34">
        <v>40</v>
      </c>
      <c r="U87" s="34">
        <v>0</v>
      </c>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7"/>
    </row>
    <row r="88" spans="1:53" ht="14.85" customHeight="1" x14ac:dyDescent="0.25">
      <c r="A88" s="18"/>
      <c r="B88" s="9" t="s">
        <v>166</v>
      </c>
      <c r="C88" s="2">
        <v>2014</v>
      </c>
      <c r="D88" s="20" t="s">
        <v>85</v>
      </c>
      <c r="E88" s="20" t="s">
        <v>172</v>
      </c>
      <c r="F88" s="21"/>
      <c r="G88" s="21"/>
      <c r="H88" s="21"/>
      <c r="I88" s="21"/>
      <c r="J88" s="21"/>
      <c r="K88" s="21"/>
      <c r="L88" s="21"/>
      <c r="M88" s="21"/>
      <c r="N88" s="21"/>
      <c r="O88" s="21"/>
      <c r="P88" s="21"/>
      <c r="Q88" s="21"/>
      <c r="R88" s="21">
        <v>30</v>
      </c>
      <c r="S88" s="21">
        <v>35</v>
      </c>
      <c r="T88" s="21">
        <v>35</v>
      </c>
      <c r="U88" s="21">
        <v>0</v>
      </c>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3"/>
    </row>
    <row r="89" spans="1:53" ht="15.75" customHeight="1" x14ac:dyDescent="0.25">
      <c r="B89" s="9" t="s">
        <v>166</v>
      </c>
      <c r="C89" s="9">
        <v>2014</v>
      </c>
      <c r="D89" s="13" t="s">
        <v>85</v>
      </c>
      <c r="E89" s="13" t="s">
        <v>173</v>
      </c>
      <c r="F89" s="14"/>
      <c r="G89" s="14"/>
      <c r="H89" s="14"/>
      <c r="I89" s="14"/>
      <c r="J89" s="14"/>
      <c r="K89" s="14"/>
      <c r="L89" s="14"/>
      <c r="M89" s="14"/>
      <c r="N89" s="14"/>
      <c r="O89" s="14"/>
      <c r="P89" s="14"/>
      <c r="Q89" s="14"/>
      <c r="R89" s="14">
        <v>40</v>
      </c>
      <c r="S89" s="14">
        <v>30</v>
      </c>
      <c r="T89" s="14">
        <v>30</v>
      </c>
      <c r="U89" s="14">
        <v>0</v>
      </c>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row>
    <row r="90" spans="1:53" ht="15.75" customHeight="1" x14ac:dyDescent="0.25">
      <c r="A90" s="7"/>
      <c r="B90" s="53" t="s">
        <v>174</v>
      </c>
      <c r="C90" s="53">
        <v>2017</v>
      </c>
      <c r="D90" s="13" t="s">
        <v>175</v>
      </c>
      <c r="E90" s="13" t="s">
        <v>176</v>
      </c>
      <c r="F90" s="14"/>
      <c r="G90" s="7">
        <v>100</v>
      </c>
      <c r="H90" s="14" t="s">
        <v>177</v>
      </c>
      <c r="I90" s="14"/>
      <c r="J90" s="14"/>
      <c r="K90" s="14">
        <v>11.1</v>
      </c>
      <c r="L90" s="14">
        <v>5.6</v>
      </c>
      <c r="M90" s="14">
        <f>K90*L90</f>
        <v>62.16</v>
      </c>
      <c r="N90" s="14"/>
      <c r="O90" s="14"/>
      <c r="P90" s="14"/>
      <c r="Q90" s="14" t="s">
        <v>178</v>
      </c>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row>
    <row r="91" spans="1:53" ht="15.75" customHeight="1" x14ac:dyDescent="0.25">
      <c r="A91" s="7"/>
      <c r="B91" s="53" t="s">
        <v>174</v>
      </c>
      <c r="C91" s="9">
        <v>2014</v>
      </c>
      <c r="D91" s="13" t="s">
        <v>179</v>
      </c>
      <c r="E91" s="13" t="s">
        <v>83</v>
      </c>
      <c r="F91" s="14"/>
      <c r="G91" s="14">
        <v>100</v>
      </c>
      <c r="H91" s="14" t="s">
        <v>177</v>
      </c>
      <c r="I91" s="14"/>
      <c r="J91" s="14"/>
      <c r="K91" s="14"/>
      <c r="L91" s="14">
        <v>35</v>
      </c>
      <c r="M91" s="14"/>
      <c r="N91" s="14">
        <v>1227.9000000000001</v>
      </c>
      <c r="O91" s="14"/>
      <c r="P91" s="14"/>
      <c r="Q91" s="14" t="s">
        <v>180</v>
      </c>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row>
    <row r="92" spans="1:53" ht="15.75" customHeight="1" x14ac:dyDescent="0.25">
      <c r="A92" s="7"/>
      <c r="B92" s="53" t="s">
        <v>174</v>
      </c>
      <c r="C92" s="9">
        <v>2014</v>
      </c>
      <c r="D92" s="13" t="s">
        <v>179</v>
      </c>
      <c r="E92" s="13" t="s">
        <v>83</v>
      </c>
      <c r="F92" s="14"/>
      <c r="G92" s="14">
        <v>100</v>
      </c>
      <c r="H92" s="14" t="s">
        <v>177</v>
      </c>
      <c r="I92" s="14"/>
      <c r="J92" s="14"/>
      <c r="K92" s="14"/>
      <c r="L92" s="14">
        <v>35</v>
      </c>
      <c r="M92" s="14"/>
      <c r="N92" s="14">
        <v>1229.7</v>
      </c>
      <c r="O92" s="14"/>
      <c r="P92" s="14"/>
      <c r="Q92" s="54" t="s">
        <v>181</v>
      </c>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row>
    <row r="93" spans="1:53" ht="15.75" customHeight="1" x14ac:dyDescent="0.25">
      <c r="A93" s="7"/>
      <c r="B93" s="53" t="s">
        <v>174</v>
      </c>
      <c r="C93" s="9">
        <v>2014</v>
      </c>
      <c r="D93" s="13" t="s">
        <v>179</v>
      </c>
      <c r="E93" s="13" t="s">
        <v>83</v>
      </c>
      <c r="F93" s="14"/>
      <c r="G93" s="14">
        <v>100</v>
      </c>
      <c r="H93" s="14" t="s">
        <v>177</v>
      </c>
      <c r="I93" s="14"/>
      <c r="J93" s="14"/>
      <c r="K93" s="14"/>
      <c r="L93" s="14">
        <v>35</v>
      </c>
      <c r="M93" s="14"/>
      <c r="N93" s="14">
        <v>1229.3</v>
      </c>
      <c r="O93" s="14"/>
      <c r="P93" s="14"/>
      <c r="Q93" s="54" t="s">
        <v>182</v>
      </c>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row>
    <row r="94" spans="1:53" ht="15.75" customHeight="1" x14ac:dyDescent="0.25">
      <c r="A94" s="7"/>
      <c r="B94" s="53" t="s">
        <v>174</v>
      </c>
      <c r="C94" s="9">
        <v>2014</v>
      </c>
      <c r="D94" s="13" t="s">
        <v>183</v>
      </c>
      <c r="E94" s="13" t="s">
        <v>83</v>
      </c>
      <c r="F94" s="14"/>
      <c r="G94" s="14">
        <v>100</v>
      </c>
      <c r="H94" s="14" t="s">
        <v>177</v>
      </c>
      <c r="I94" s="14"/>
      <c r="J94" s="14"/>
      <c r="K94" s="14"/>
      <c r="L94" s="14">
        <v>28.8</v>
      </c>
      <c r="M94" s="14"/>
      <c r="N94" s="14">
        <v>734.8</v>
      </c>
      <c r="O94" s="14"/>
      <c r="P94" s="14"/>
      <c r="Q94" s="54" t="s">
        <v>181</v>
      </c>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row>
    <row r="95" spans="1:53" ht="15.75" customHeight="1" x14ac:dyDescent="0.25">
      <c r="A95" s="7"/>
      <c r="B95" s="53" t="s">
        <v>174</v>
      </c>
      <c r="C95" s="9">
        <v>2014</v>
      </c>
      <c r="D95" s="13" t="s">
        <v>184</v>
      </c>
      <c r="E95" s="13"/>
      <c r="F95" s="14"/>
      <c r="G95" s="14">
        <v>100</v>
      </c>
      <c r="H95" s="14" t="s">
        <v>177</v>
      </c>
      <c r="I95" s="14"/>
      <c r="J95" s="14"/>
      <c r="K95" s="14"/>
      <c r="L95" s="14">
        <v>33.6</v>
      </c>
      <c r="M95" s="14"/>
      <c r="N95" s="14">
        <v>639</v>
      </c>
      <c r="O95" s="14"/>
      <c r="P95" s="14"/>
      <c r="Q95" s="54" t="s">
        <v>181</v>
      </c>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row>
    <row r="96" spans="1:53" ht="15.75" customHeight="1" x14ac:dyDescent="0.25">
      <c r="A96" s="7"/>
      <c r="B96" s="53" t="s">
        <v>174</v>
      </c>
      <c r="C96" s="9">
        <v>2017</v>
      </c>
      <c r="D96" s="13" t="s">
        <v>185</v>
      </c>
      <c r="E96" s="13" t="s">
        <v>115</v>
      </c>
      <c r="F96" s="14"/>
      <c r="G96" s="14">
        <v>100</v>
      </c>
      <c r="H96" s="14" t="s">
        <v>177</v>
      </c>
      <c r="I96" s="14"/>
      <c r="J96" s="14"/>
      <c r="K96" s="14">
        <v>3.75</v>
      </c>
      <c r="L96" s="14">
        <v>6.8</v>
      </c>
      <c r="M96" s="14">
        <f>K96*L96</f>
        <v>25.5</v>
      </c>
      <c r="N96" s="14"/>
      <c r="O96" s="14"/>
      <c r="P96" s="14"/>
      <c r="Q96" s="14" t="s">
        <v>186</v>
      </c>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row>
    <row r="97" spans="1:53" ht="15.75" customHeight="1" x14ac:dyDescent="0.25">
      <c r="A97" s="7"/>
      <c r="B97" s="53" t="s">
        <v>174</v>
      </c>
      <c r="C97" s="53">
        <v>2017</v>
      </c>
      <c r="D97" s="13" t="s">
        <v>97</v>
      </c>
      <c r="E97" s="13" t="s">
        <v>83</v>
      </c>
      <c r="F97" s="14"/>
      <c r="G97">
        <v>100</v>
      </c>
      <c r="H97" s="14" t="s">
        <v>177</v>
      </c>
      <c r="I97" s="14"/>
      <c r="J97" s="14"/>
      <c r="K97" s="14">
        <v>3.2</v>
      </c>
      <c r="L97" s="14">
        <v>20</v>
      </c>
      <c r="M97" s="14">
        <f>K97*L97</f>
        <v>64</v>
      </c>
      <c r="N97" s="14"/>
      <c r="O97" s="14"/>
      <c r="P97" s="14"/>
      <c r="Q97" s="14" t="s">
        <v>187</v>
      </c>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row>
    <row r="98" spans="1:53" ht="15.75" customHeight="1" x14ac:dyDescent="0.25">
      <c r="A98" s="7"/>
      <c r="B98" s="53" t="s">
        <v>174</v>
      </c>
      <c r="C98" s="53">
        <v>2017</v>
      </c>
      <c r="D98" s="13" t="s">
        <v>97</v>
      </c>
      <c r="E98" s="13" t="s">
        <v>83</v>
      </c>
      <c r="F98" s="14"/>
      <c r="G98">
        <v>100</v>
      </c>
      <c r="H98" s="14" t="s">
        <v>177</v>
      </c>
      <c r="I98" s="14"/>
      <c r="J98" s="14"/>
      <c r="K98" s="14">
        <v>3.2</v>
      </c>
      <c r="L98" s="14">
        <v>7</v>
      </c>
      <c r="M98" s="14">
        <f>K98*L98</f>
        <v>22.400000000000002</v>
      </c>
      <c r="N98" s="14"/>
      <c r="O98" s="14"/>
      <c r="P98" s="14"/>
      <c r="Q98" s="14" t="s">
        <v>188</v>
      </c>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row>
    <row r="99" spans="1:53" ht="15.75" customHeight="1" x14ac:dyDescent="0.25">
      <c r="A99" s="7"/>
      <c r="B99" s="53" t="s">
        <v>174</v>
      </c>
      <c r="C99" s="53">
        <v>2017</v>
      </c>
      <c r="D99" s="13" t="s">
        <v>175</v>
      </c>
      <c r="E99" s="13" t="s">
        <v>83</v>
      </c>
      <c r="F99" s="14"/>
      <c r="G99">
        <v>100</v>
      </c>
      <c r="H99" s="14" t="s">
        <v>177</v>
      </c>
      <c r="I99" s="14"/>
      <c r="J99" s="14"/>
      <c r="K99" s="14">
        <v>3.2</v>
      </c>
      <c r="L99" s="14">
        <v>3.2</v>
      </c>
      <c r="M99" s="14">
        <f>K99*L99</f>
        <v>10.240000000000002</v>
      </c>
      <c r="N99" s="14"/>
      <c r="O99" s="14"/>
      <c r="P99" s="14"/>
      <c r="Q99" s="14" t="s">
        <v>189</v>
      </c>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row>
    <row r="100" spans="1:53" ht="15.75" customHeight="1" x14ac:dyDescent="0.25">
      <c r="A100" s="7"/>
      <c r="B100" s="53" t="s">
        <v>174</v>
      </c>
      <c r="C100" s="53">
        <v>2017</v>
      </c>
      <c r="D100" s="13" t="s">
        <v>175</v>
      </c>
      <c r="E100" s="13" t="s">
        <v>83</v>
      </c>
      <c r="F100" s="14"/>
      <c r="G100">
        <v>100</v>
      </c>
      <c r="H100" s="14" t="s">
        <v>177</v>
      </c>
      <c r="I100" s="14"/>
      <c r="J100" s="14"/>
      <c r="K100" s="14">
        <v>3.3</v>
      </c>
      <c r="L100" s="14">
        <v>8</v>
      </c>
      <c r="M100" s="14">
        <f>K100*L100</f>
        <v>26.4</v>
      </c>
      <c r="N100" s="14"/>
      <c r="O100" s="14"/>
      <c r="P100" s="14"/>
      <c r="Q100" s="14" t="s">
        <v>188</v>
      </c>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row>
    <row r="101" spans="1:53" ht="15.75" customHeight="1" x14ac:dyDescent="0.25">
      <c r="A101" s="7"/>
      <c r="B101" s="53" t="s">
        <v>174</v>
      </c>
      <c r="C101" s="9">
        <v>2014</v>
      </c>
      <c r="D101" s="13" t="s">
        <v>179</v>
      </c>
      <c r="E101" s="13" t="s">
        <v>83</v>
      </c>
      <c r="F101" s="14"/>
      <c r="G101" s="14">
        <v>50</v>
      </c>
      <c r="H101" s="14" t="s">
        <v>177</v>
      </c>
      <c r="I101" s="14"/>
      <c r="J101" s="14"/>
      <c r="K101" s="14"/>
      <c r="L101" s="14">
        <v>35</v>
      </c>
      <c r="M101" s="14"/>
      <c r="N101" s="14">
        <v>1227.5999999999999</v>
      </c>
      <c r="O101" s="14"/>
      <c r="P101" s="14"/>
      <c r="Q101" s="54" t="s">
        <v>181</v>
      </c>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row>
    <row r="102" spans="1:53" ht="15.75" customHeight="1" x14ac:dyDescent="0.25">
      <c r="A102" s="7"/>
      <c r="B102" s="53" t="s">
        <v>174</v>
      </c>
      <c r="C102" s="9">
        <v>2014</v>
      </c>
      <c r="D102" s="13" t="s">
        <v>179</v>
      </c>
      <c r="E102" s="13" t="s">
        <v>83</v>
      </c>
      <c r="F102" s="14"/>
      <c r="G102" s="14">
        <v>0</v>
      </c>
      <c r="H102" s="14" t="s">
        <v>177</v>
      </c>
      <c r="I102" s="14"/>
      <c r="J102" s="14"/>
      <c r="K102" s="14"/>
      <c r="L102" s="14">
        <v>35</v>
      </c>
      <c r="M102" s="14"/>
      <c r="N102" s="14">
        <v>1228.5999999999999</v>
      </c>
      <c r="O102" s="14"/>
      <c r="P102" s="14"/>
      <c r="Q102" s="54" t="s">
        <v>181</v>
      </c>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row>
    <row r="103" spans="1:53" ht="15.75" customHeight="1" x14ac:dyDescent="0.25">
      <c r="A103" s="7"/>
      <c r="B103" s="53" t="s">
        <v>174</v>
      </c>
      <c r="C103" s="53">
        <v>2017</v>
      </c>
      <c r="D103" s="13" t="s">
        <v>97</v>
      </c>
      <c r="E103" s="13" t="s">
        <v>190</v>
      </c>
      <c r="F103" s="14"/>
      <c r="G103">
        <v>100</v>
      </c>
      <c r="H103" s="14" t="s">
        <v>177</v>
      </c>
      <c r="I103" s="14"/>
      <c r="J103" s="14"/>
      <c r="K103" s="14">
        <v>2.2999999999999998</v>
      </c>
      <c r="L103" s="14">
        <v>30</v>
      </c>
      <c r="M103" s="14">
        <f>K103*L103</f>
        <v>69</v>
      </c>
      <c r="N103" s="14"/>
      <c r="O103" s="14"/>
      <c r="P103" s="14"/>
      <c r="Q103" s="14" t="s">
        <v>187</v>
      </c>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row>
    <row r="104" spans="1:53" s="28" customFormat="1" ht="15.75" customHeight="1" x14ac:dyDescent="0.25">
      <c r="A104" s="17" t="s">
        <v>79</v>
      </c>
      <c r="B104" s="2" t="s">
        <v>191</v>
      </c>
      <c r="C104" s="9">
        <v>2021</v>
      </c>
      <c r="D104" s="13" t="s">
        <v>192</v>
      </c>
      <c r="E104" s="13" t="s">
        <v>83</v>
      </c>
      <c r="F104" s="14"/>
      <c r="G104" s="14">
        <v>100</v>
      </c>
      <c r="H104" s="14"/>
      <c r="I104" s="14"/>
      <c r="J104" s="14"/>
      <c r="K104" s="14"/>
      <c r="L104" s="14"/>
      <c r="M104" s="14"/>
      <c r="N104" s="14"/>
      <c r="O104" s="14"/>
      <c r="P104" s="14"/>
      <c r="Q104" s="14"/>
      <c r="R104" s="14">
        <v>35.5</v>
      </c>
      <c r="S104" s="14">
        <v>22.3</v>
      </c>
      <c r="T104" s="14">
        <v>29.6</v>
      </c>
      <c r="U104" s="14">
        <v>6.9</v>
      </c>
      <c r="V104" s="14">
        <v>5.7</v>
      </c>
      <c r="W104" s="14"/>
      <c r="X104" s="14"/>
      <c r="Y104" s="14"/>
      <c r="Z104" s="14"/>
      <c r="AA104" s="14"/>
      <c r="AB104" s="14"/>
      <c r="AC104" s="14"/>
      <c r="AD104" s="14">
        <f>100-SUM(Table1[[#This Row],[CO2]:[H2O]])-SUM(Table1[[#This Row],[C2H2]:[C3H4O3]])</f>
        <v>-1.4210854715202004E-14</v>
      </c>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6"/>
    </row>
    <row r="105" spans="1:53" ht="15.75" customHeight="1" x14ac:dyDescent="0.25">
      <c r="A105" t="s">
        <v>138</v>
      </c>
      <c r="B105" s="53" t="s">
        <v>193</v>
      </c>
      <c r="C105" s="53">
        <v>2019</v>
      </c>
      <c r="D105" s="8"/>
      <c r="E105" s="8"/>
      <c r="U105">
        <v>100</v>
      </c>
    </row>
    <row r="106" spans="1:53" ht="15.75" customHeight="1" x14ac:dyDescent="0.25">
      <c r="A106" s="7"/>
      <c r="B106" s="9" t="s">
        <v>194</v>
      </c>
      <c r="C106" s="9">
        <v>2016</v>
      </c>
      <c r="D106" s="13">
        <v>18650</v>
      </c>
      <c r="E106" s="13" t="s">
        <v>83</v>
      </c>
      <c r="F106" s="14"/>
      <c r="G106" s="14" t="s">
        <v>125</v>
      </c>
      <c r="H106" s="13" t="s">
        <v>126</v>
      </c>
      <c r="I106" s="14"/>
      <c r="J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row>
    <row r="107" spans="1:53" ht="15.75" customHeight="1" x14ac:dyDescent="0.25">
      <c r="A107" s="7"/>
      <c r="B107" s="9" t="s">
        <v>195</v>
      </c>
      <c r="C107" s="9">
        <v>2005</v>
      </c>
      <c r="D107" s="13" t="s">
        <v>196</v>
      </c>
      <c r="E107" s="13" t="s">
        <v>115</v>
      </c>
      <c r="F107" s="14" t="s">
        <v>77</v>
      </c>
      <c r="G107" s="14" t="s">
        <v>125</v>
      </c>
      <c r="H107" s="14" t="s">
        <v>197</v>
      </c>
      <c r="I107" s="40">
        <f>23.01/1000</f>
        <v>2.3010000000000003E-2</v>
      </c>
      <c r="J107" s="40"/>
      <c r="K107" s="40">
        <v>3.7</v>
      </c>
      <c r="L107" s="40">
        <v>0.65</v>
      </c>
      <c r="M107" s="40">
        <f>L107*K107</f>
        <v>2.4050000000000002</v>
      </c>
      <c r="N107" s="40">
        <v>25.5</v>
      </c>
      <c r="O107" s="40">
        <f>I107/M107</f>
        <v>9.5675675675675684E-3</v>
      </c>
      <c r="P107" s="40"/>
      <c r="Q107" s="14" t="s">
        <v>198</v>
      </c>
      <c r="R107" s="40">
        <f>11.3/23.01*100</f>
        <v>49.109083007388094</v>
      </c>
      <c r="S107" s="40">
        <f>1.2/23.01*100</f>
        <v>5.2151238591916549</v>
      </c>
      <c r="T107" s="40">
        <f>2.77/23.01*100</f>
        <v>12.038244241634072</v>
      </c>
      <c r="U107" s="40">
        <f>3.4/23.01*100</f>
        <v>14.776184267709692</v>
      </c>
      <c r="V107" s="40">
        <f>0.94/23.01*100</f>
        <v>4.0851803563667968</v>
      </c>
      <c r="W107" s="40">
        <f>3.4/23.01*100</f>
        <v>14.776184267709692</v>
      </c>
      <c r="X107" s="40"/>
      <c r="Y107" s="40"/>
      <c r="Z107" s="40"/>
      <c r="AA107" s="40"/>
      <c r="AB107" s="40"/>
      <c r="AC107" s="40"/>
      <c r="AD107" s="40"/>
      <c r="AE107" s="40"/>
      <c r="AF107" s="40"/>
      <c r="AG107" s="40"/>
      <c r="AH107" s="14"/>
      <c r="AI107" s="14"/>
      <c r="AJ107" s="14"/>
      <c r="AK107" s="14"/>
      <c r="AL107" s="14"/>
      <c r="AM107" s="14"/>
      <c r="AN107" s="14"/>
      <c r="AO107" s="14"/>
      <c r="AP107" s="14"/>
      <c r="AQ107" s="14"/>
      <c r="AR107" s="14"/>
      <c r="AS107" s="14"/>
      <c r="AT107" s="14"/>
      <c r="AU107" s="14"/>
      <c r="AV107" s="14"/>
      <c r="AW107" s="14"/>
      <c r="AX107" s="14"/>
      <c r="AY107" s="14"/>
      <c r="AZ107" s="14"/>
      <c r="BA107" s="14"/>
    </row>
    <row r="108" spans="1:53" ht="15.75" customHeight="1" x14ac:dyDescent="0.25">
      <c r="A108" t="s">
        <v>138</v>
      </c>
      <c r="B108" s="53" t="s">
        <v>199</v>
      </c>
      <c r="C108" s="53">
        <v>2019</v>
      </c>
      <c r="D108" s="8"/>
      <c r="E108" s="8"/>
      <c r="X108">
        <v>100</v>
      </c>
    </row>
    <row r="109" spans="1:53" ht="15.75" customHeight="1" x14ac:dyDescent="0.25">
      <c r="A109" s="7"/>
      <c r="B109" s="9" t="s">
        <v>200</v>
      </c>
      <c r="C109" s="9">
        <v>2011</v>
      </c>
      <c r="D109" s="13" t="s">
        <v>201</v>
      </c>
      <c r="E109" s="13" t="s">
        <v>153</v>
      </c>
      <c r="F109" s="14" t="s">
        <v>202</v>
      </c>
      <c r="G109" s="14" t="s">
        <v>203</v>
      </c>
      <c r="H109" s="14" t="s">
        <v>204</v>
      </c>
      <c r="I109" s="14"/>
      <c r="J109" s="14"/>
      <c r="K109" s="14">
        <v>3.8</v>
      </c>
      <c r="L109" s="14">
        <v>2.9</v>
      </c>
      <c r="M109" s="14">
        <v>11</v>
      </c>
      <c r="N109" s="14"/>
      <c r="O109" s="14"/>
      <c r="P109" s="14"/>
      <c r="Q109" s="14" t="s">
        <v>205</v>
      </c>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row>
    <row r="110" spans="1:53" ht="15.75" customHeight="1" x14ac:dyDescent="0.25">
      <c r="A110" s="12"/>
      <c r="B110" s="9" t="s">
        <v>206</v>
      </c>
      <c r="C110" s="9">
        <v>2008</v>
      </c>
      <c r="D110" s="13">
        <v>18650</v>
      </c>
      <c r="E110" s="13" t="s">
        <v>73</v>
      </c>
      <c r="F110" s="14" t="s">
        <v>77</v>
      </c>
      <c r="G110" s="14">
        <v>100</v>
      </c>
      <c r="H110" s="14" t="s">
        <v>74</v>
      </c>
      <c r="I110" s="14"/>
      <c r="J110" s="14"/>
      <c r="K110" s="7"/>
      <c r="L110" s="7"/>
      <c r="M110" s="7"/>
      <c r="N110" s="7"/>
      <c r="O110" s="14"/>
      <c r="P110" s="14"/>
      <c r="Q110" s="14" t="s">
        <v>207</v>
      </c>
      <c r="R110" s="15" t="s">
        <v>76</v>
      </c>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6"/>
    </row>
    <row r="111" spans="1:53" ht="15.75" customHeight="1" x14ac:dyDescent="0.25">
      <c r="A111" s="7"/>
      <c r="B111" s="9" t="s">
        <v>206</v>
      </c>
      <c r="C111" s="9">
        <v>2008</v>
      </c>
      <c r="D111" s="13">
        <v>18650</v>
      </c>
      <c r="E111" s="13" t="s">
        <v>73</v>
      </c>
      <c r="F111" s="14" t="s">
        <v>77</v>
      </c>
      <c r="G111" s="14">
        <v>100</v>
      </c>
      <c r="H111" s="14" t="s">
        <v>74</v>
      </c>
      <c r="I111" s="14"/>
      <c r="J111" s="14"/>
      <c r="K111" s="14"/>
      <c r="L111" s="14">
        <v>0.88</v>
      </c>
      <c r="M111" s="14"/>
      <c r="N111" s="14"/>
      <c r="O111" s="14"/>
      <c r="P111" s="14"/>
      <c r="Q111" s="14" t="s">
        <v>208</v>
      </c>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row>
    <row r="112" spans="1:53" ht="15.75" customHeight="1" x14ac:dyDescent="0.25">
      <c r="A112" s="7"/>
      <c r="B112" s="9" t="s">
        <v>206</v>
      </c>
      <c r="C112" s="9">
        <v>2008</v>
      </c>
      <c r="D112" s="13">
        <v>18650</v>
      </c>
      <c r="E112" s="13" t="s">
        <v>73</v>
      </c>
      <c r="F112" s="14" t="s">
        <v>77</v>
      </c>
      <c r="G112" s="14">
        <v>100</v>
      </c>
      <c r="H112" s="14" t="s">
        <v>74</v>
      </c>
      <c r="I112" s="14"/>
      <c r="J112" s="14"/>
      <c r="O112" s="14"/>
      <c r="P112" s="14"/>
      <c r="Q112" s="14" t="s">
        <v>209</v>
      </c>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row>
    <row r="113" spans="1:53" ht="15.75" customHeight="1" x14ac:dyDescent="0.25">
      <c r="A113" s="12"/>
      <c r="B113" s="9" t="s">
        <v>210</v>
      </c>
      <c r="C113" s="9">
        <v>2014</v>
      </c>
      <c r="D113" s="13" t="s">
        <v>201</v>
      </c>
      <c r="E113" s="13" t="s">
        <v>115</v>
      </c>
      <c r="F113" s="14" t="s">
        <v>211</v>
      </c>
      <c r="G113" s="14">
        <v>150</v>
      </c>
      <c r="H113" s="14" t="s">
        <v>212</v>
      </c>
      <c r="I113" s="14">
        <v>6</v>
      </c>
      <c r="J113" s="14"/>
      <c r="K113" s="14">
        <v>3.7</v>
      </c>
      <c r="L113" s="14">
        <v>2.1</v>
      </c>
      <c r="M113" s="14">
        <v>7.7</v>
      </c>
      <c r="N113" s="14"/>
      <c r="O113" s="14">
        <v>0.77</v>
      </c>
      <c r="P113" s="14">
        <v>7.7</v>
      </c>
      <c r="Q113" s="14"/>
      <c r="R113" s="14">
        <v>20.9</v>
      </c>
      <c r="S113" s="14">
        <v>24.5</v>
      </c>
      <c r="T113" s="14">
        <v>29.7</v>
      </c>
      <c r="U113" s="14">
        <v>8.2100000000000009</v>
      </c>
      <c r="V113" s="14">
        <v>10.77</v>
      </c>
      <c r="W113" s="14">
        <v>1.32</v>
      </c>
      <c r="X113" s="14">
        <v>2.54</v>
      </c>
      <c r="Y113" s="14"/>
      <c r="Z113" s="14"/>
      <c r="AA113" s="14"/>
      <c r="AB113" s="14"/>
      <c r="AC113" s="14"/>
      <c r="AD113" s="14"/>
      <c r="AE113" s="14"/>
      <c r="AF113" s="14">
        <v>0.01</v>
      </c>
      <c r="AG113" s="14">
        <v>0.13300000000000001</v>
      </c>
      <c r="AH113" s="14">
        <v>0.39</v>
      </c>
      <c r="AI113" s="14">
        <v>0.6</v>
      </c>
      <c r="AJ113" s="14">
        <v>0.04</v>
      </c>
      <c r="AK113" s="14">
        <v>0.3</v>
      </c>
      <c r="AL113" s="14">
        <v>0.33</v>
      </c>
      <c r="AM113" s="14">
        <v>0.05</v>
      </c>
      <c r="AN113" s="14">
        <v>0</v>
      </c>
      <c r="AO113" s="14">
        <v>0</v>
      </c>
      <c r="AP113" s="14"/>
      <c r="AQ113" s="14"/>
      <c r="AR113" s="14"/>
      <c r="AS113" s="14"/>
      <c r="AT113" s="14"/>
      <c r="AU113" s="14"/>
      <c r="AV113" s="14"/>
      <c r="AW113" s="14"/>
      <c r="AX113" s="14"/>
      <c r="AY113" s="14"/>
      <c r="AZ113" s="14"/>
      <c r="BA113" s="16"/>
    </row>
    <row r="114" spans="1:53" ht="15.75" customHeight="1" x14ac:dyDescent="0.25">
      <c r="A114" s="6" t="s">
        <v>79</v>
      </c>
      <c r="B114" s="9" t="s">
        <v>210</v>
      </c>
      <c r="C114" s="9">
        <v>2014</v>
      </c>
      <c r="D114" s="8" t="s">
        <v>201</v>
      </c>
      <c r="E114" s="13" t="s">
        <v>115</v>
      </c>
      <c r="F114" s="14" t="s">
        <v>211</v>
      </c>
      <c r="G114" s="14">
        <v>100</v>
      </c>
      <c r="H114" s="14" t="s">
        <v>212</v>
      </c>
      <c r="I114" s="14">
        <v>2.5</v>
      </c>
      <c r="J114" s="14"/>
      <c r="O114" s="14">
        <v>0.32</v>
      </c>
      <c r="P114" s="14">
        <v>7.1</v>
      </c>
      <c r="Q114" s="14"/>
      <c r="R114" s="14">
        <v>30</v>
      </c>
      <c r="S114" s="14">
        <v>22.9</v>
      </c>
      <c r="T114" s="14">
        <v>27.7</v>
      </c>
      <c r="U114" s="14">
        <v>6.39</v>
      </c>
      <c r="V114" s="14">
        <v>2.19</v>
      </c>
      <c r="W114" s="14">
        <v>1.1599999999999999</v>
      </c>
      <c r="X114" s="14">
        <v>0.26</v>
      </c>
      <c r="Y114" s="14"/>
      <c r="Z114" s="14"/>
      <c r="AA114" s="14"/>
      <c r="AB114" s="14"/>
      <c r="AC114" s="14"/>
      <c r="AD114" s="14"/>
      <c r="AE114" s="14"/>
      <c r="AF114" s="14">
        <v>4.5199999999999996</v>
      </c>
      <c r="AG114" s="14">
        <v>0.2</v>
      </c>
      <c r="AH114" s="14">
        <v>0.56000000000000005</v>
      </c>
      <c r="AI114" s="14">
        <v>1.58</v>
      </c>
      <c r="AJ114" s="14">
        <v>7.0000000000000007E-2</v>
      </c>
      <c r="AK114" s="14">
        <v>0.73</v>
      </c>
      <c r="AL114" s="14">
        <v>0.11</v>
      </c>
      <c r="AM114" s="14">
        <v>0.02</v>
      </c>
      <c r="AN114" s="14">
        <v>0</v>
      </c>
      <c r="AO114" s="14">
        <v>0</v>
      </c>
      <c r="AP114" s="14"/>
      <c r="AQ114" s="14"/>
      <c r="AR114" s="14"/>
      <c r="AS114" s="14"/>
      <c r="AT114" s="14"/>
      <c r="AU114" s="14"/>
      <c r="AV114" s="14"/>
      <c r="AW114" s="14"/>
      <c r="AX114" s="14"/>
      <c r="AY114" s="14"/>
      <c r="AZ114" s="14"/>
      <c r="BA114" s="16"/>
    </row>
    <row r="115" spans="1:53" ht="15.75" customHeight="1" x14ac:dyDescent="0.25">
      <c r="A115" s="12" t="s">
        <v>79</v>
      </c>
      <c r="B115" s="9" t="s">
        <v>210</v>
      </c>
      <c r="C115" s="9">
        <v>2014</v>
      </c>
      <c r="D115" s="8" t="s">
        <v>201</v>
      </c>
      <c r="E115" s="13" t="s">
        <v>115</v>
      </c>
      <c r="F115" s="14" t="s">
        <v>211</v>
      </c>
      <c r="G115" s="14">
        <v>50</v>
      </c>
      <c r="H115" s="14" t="s">
        <v>212</v>
      </c>
      <c r="I115" s="14">
        <v>0.8</v>
      </c>
      <c r="J115" s="14"/>
      <c r="K115" s="7"/>
      <c r="L115" s="7"/>
      <c r="M115" s="7"/>
      <c r="N115" s="7"/>
      <c r="O115" s="14">
        <v>0.1</v>
      </c>
      <c r="P115" s="14"/>
      <c r="Q115" s="14"/>
      <c r="R115" s="14">
        <v>32</v>
      </c>
      <c r="S115" s="14">
        <v>3.61</v>
      </c>
      <c r="T115" s="14">
        <v>30</v>
      </c>
      <c r="U115" s="14">
        <v>5.78</v>
      </c>
      <c r="V115" s="14">
        <v>5.57</v>
      </c>
      <c r="W115" s="14">
        <v>2.75</v>
      </c>
      <c r="X115" s="14">
        <v>0.68</v>
      </c>
      <c r="Y115" s="14"/>
      <c r="Z115" s="14"/>
      <c r="AA115" s="14"/>
      <c r="AB115" s="14"/>
      <c r="AC115" s="14"/>
      <c r="AD115" s="14"/>
      <c r="AE115" s="14"/>
      <c r="AF115" s="14">
        <v>8.16</v>
      </c>
      <c r="AG115" s="14">
        <v>0.41</v>
      </c>
      <c r="AH115" s="14">
        <v>0.67</v>
      </c>
      <c r="AI115" s="14">
        <v>2.5499999999999998</v>
      </c>
      <c r="AJ115" s="14">
        <v>0.45</v>
      </c>
      <c r="AK115" s="14">
        <v>1.94</v>
      </c>
      <c r="AL115" s="14">
        <v>0.14000000000000001</v>
      </c>
      <c r="AM115" s="14">
        <v>0.06</v>
      </c>
      <c r="AN115" s="14">
        <v>0.01</v>
      </c>
      <c r="AO115" s="14">
        <v>0.01</v>
      </c>
      <c r="AP115" s="14"/>
      <c r="AQ115" s="14"/>
      <c r="AR115" s="14"/>
      <c r="AS115" s="14"/>
      <c r="AT115" s="14"/>
      <c r="AU115" s="14"/>
      <c r="AV115" s="14"/>
      <c r="AW115" s="14"/>
      <c r="AX115" s="14"/>
      <c r="AY115" s="14"/>
      <c r="AZ115" s="14"/>
      <c r="BA115" s="16"/>
    </row>
    <row r="116" spans="1:53" ht="15.75" customHeight="1" x14ac:dyDescent="0.25">
      <c r="B116" s="9" t="s">
        <v>213</v>
      </c>
      <c r="C116" s="9">
        <v>2015</v>
      </c>
      <c r="D116" s="13">
        <v>18650</v>
      </c>
      <c r="E116" s="13" t="s">
        <v>115</v>
      </c>
      <c r="F116" s="14" t="s">
        <v>135</v>
      </c>
      <c r="G116" s="14"/>
      <c r="H116" s="14" t="s">
        <v>214</v>
      </c>
      <c r="I116" s="14"/>
      <c r="J116" s="14"/>
      <c r="K116" s="14"/>
      <c r="L116" s="14"/>
      <c r="M116" s="14"/>
      <c r="N116" s="14"/>
      <c r="O116" s="14"/>
      <c r="P116" s="14"/>
      <c r="Q116" s="14" t="s">
        <v>215</v>
      </c>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row>
    <row r="117" spans="1:53" ht="15.75" customHeight="1" x14ac:dyDescent="0.25">
      <c r="A117" s="7"/>
      <c r="B117" s="9" t="s">
        <v>216</v>
      </c>
      <c r="C117" s="9">
        <v>2016</v>
      </c>
      <c r="D117" s="13">
        <v>18650</v>
      </c>
      <c r="E117" s="13" t="s">
        <v>115</v>
      </c>
      <c r="F117" s="14"/>
      <c r="G117" s="14" t="s">
        <v>125</v>
      </c>
      <c r="H117" s="13" t="s">
        <v>126</v>
      </c>
      <c r="I117" s="14"/>
      <c r="J117" s="14"/>
      <c r="K117" s="14"/>
      <c r="L117" s="14"/>
      <c r="M117" s="14"/>
      <c r="N117" s="14"/>
      <c r="O117" s="14"/>
      <c r="P117" s="14"/>
      <c r="Q117" s="14" t="s">
        <v>217</v>
      </c>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row>
    <row r="118" spans="1:53" ht="15.75" customHeight="1" x14ac:dyDescent="0.25">
      <c r="A118" s="7"/>
      <c r="B118" s="9" t="s">
        <v>216</v>
      </c>
      <c r="C118" s="9">
        <v>2016</v>
      </c>
      <c r="D118" s="13">
        <v>18650</v>
      </c>
      <c r="E118" s="13" t="s">
        <v>124</v>
      </c>
      <c r="F118" s="14"/>
      <c r="G118" s="14" t="s">
        <v>125</v>
      </c>
      <c r="H118" s="13" t="s">
        <v>126</v>
      </c>
      <c r="I118" s="14"/>
      <c r="J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row>
    <row r="119" spans="1:53" ht="15.75" customHeight="1" x14ac:dyDescent="0.25">
      <c r="A119" s="7"/>
      <c r="B119" s="9" t="s">
        <v>216</v>
      </c>
      <c r="C119" s="9">
        <v>2016</v>
      </c>
      <c r="D119" s="13">
        <v>18650</v>
      </c>
      <c r="E119" s="13" t="s">
        <v>153</v>
      </c>
      <c r="F119" s="14"/>
      <c r="G119" s="14" t="s">
        <v>125</v>
      </c>
      <c r="H119" s="13" t="s">
        <v>126</v>
      </c>
      <c r="I119" s="14"/>
      <c r="J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row>
    <row r="120" spans="1:53" ht="15.75" customHeight="1" x14ac:dyDescent="0.25">
      <c r="A120" s="7"/>
      <c r="B120" s="9" t="s">
        <v>216</v>
      </c>
      <c r="C120" s="9">
        <v>2016</v>
      </c>
      <c r="D120" s="44" t="s">
        <v>97</v>
      </c>
      <c r="E120" s="13" t="s">
        <v>153</v>
      </c>
      <c r="F120" s="14"/>
      <c r="G120" s="14" t="s">
        <v>125</v>
      </c>
      <c r="H120" s="13" t="s">
        <v>126</v>
      </c>
      <c r="I120" s="14"/>
      <c r="J120" s="14"/>
      <c r="K120" s="7"/>
      <c r="L120" s="7">
        <v>10</v>
      </c>
      <c r="M120" s="7"/>
      <c r="N120" s="7"/>
      <c r="O120" s="7"/>
      <c r="P120" s="7"/>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c r="BA120" s="14"/>
    </row>
    <row r="121" spans="1:53" ht="15.75" customHeight="1" x14ac:dyDescent="0.25">
      <c r="A121" s="18" t="s">
        <v>79</v>
      </c>
      <c r="B121" s="9" t="s">
        <v>218</v>
      </c>
      <c r="C121" s="31">
        <v>2020</v>
      </c>
      <c r="D121" s="32" t="s">
        <v>97</v>
      </c>
      <c r="E121" s="32" t="s">
        <v>83</v>
      </c>
      <c r="F121" s="34"/>
      <c r="G121" s="34">
        <v>100</v>
      </c>
      <c r="H121" s="34"/>
      <c r="I121" s="34">
        <v>29</v>
      </c>
      <c r="J121" s="34"/>
      <c r="K121" s="34">
        <v>3.2</v>
      </c>
      <c r="L121" s="34">
        <v>50</v>
      </c>
      <c r="M121" s="34">
        <f>Table1[[#This Row],[A-hr]]*Table1[[#This Row],[Voltage]]</f>
        <v>160</v>
      </c>
      <c r="N121" s="34">
        <v>1180</v>
      </c>
      <c r="O121" s="35">
        <f>Table1[[#This Row],[GasVol]]/Table1[[#This Row],[W-hr]]</f>
        <v>0.18124999999999999</v>
      </c>
      <c r="P121" s="34"/>
      <c r="Q121" s="34"/>
      <c r="R121" s="34">
        <v>25.9</v>
      </c>
      <c r="S121" s="34">
        <v>8.4</v>
      </c>
      <c r="T121" s="34">
        <v>54.1</v>
      </c>
      <c r="U121" s="34"/>
      <c r="V121" s="34"/>
      <c r="W121" s="34"/>
      <c r="X121" s="34"/>
      <c r="Y121" s="34"/>
      <c r="Z121" s="34"/>
      <c r="AA121" s="34"/>
      <c r="AB121" s="34">
        <v>11.5</v>
      </c>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7"/>
    </row>
    <row r="122" spans="1:53" ht="15.75" customHeight="1" x14ac:dyDescent="0.25">
      <c r="A122" s="18" t="s">
        <v>79</v>
      </c>
      <c r="B122" s="9" t="s">
        <v>218</v>
      </c>
      <c r="C122" s="9">
        <v>2020</v>
      </c>
      <c r="D122" s="13" t="s">
        <v>97</v>
      </c>
      <c r="E122" s="13" t="s">
        <v>124</v>
      </c>
      <c r="F122" s="14"/>
      <c r="G122" s="14">
        <v>100</v>
      </c>
      <c r="H122" s="14"/>
      <c r="I122" s="14">
        <v>100</v>
      </c>
      <c r="J122" s="14"/>
      <c r="K122" s="14">
        <v>3.7</v>
      </c>
      <c r="L122" s="14">
        <v>72.5</v>
      </c>
      <c r="M122" s="14">
        <f>Table1[[#This Row],[A-hr]]*Table1[[#This Row],[Voltage]]</f>
        <v>268.25</v>
      </c>
      <c r="N122" s="14">
        <v>1200</v>
      </c>
      <c r="O122" s="38">
        <f>Table1[[#This Row],[GasVol]]/Table1[[#This Row],[W-hr]]</f>
        <v>0.37278657968313139</v>
      </c>
      <c r="P122" s="14"/>
      <c r="Q122" s="14"/>
      <c r="R122" s="14">
        <v>28.9</v>
      </c>
      <c r="S122" s="14">
        <v>24.4</v>
      </c>
      <c r="T122" s="14">
        <v>31.2</v>
      </c>
      <c r="U122" s="14"/>
      <c r="V122" s="14"/>
      <c r="W122" s="14"/>
      <c r="X122" s="14"/>
      <c r="Y122" s="14"/>
      <c r="Z122" s="14"/>
      <c r="AA122" s="14"/>
      <c r="AB122" s="14">
        <v>15.5</v>
      </c>
      <c r="AC122" s="14"/>
      <c r="AD122" s="14"/>
      <c r="AE122" s="14"/>
      <c r="AF122" s="14"/>
      <c r="AG122" s="14"/>
      <c r="AH122" s="14"/>
      <c r="AI122" s="14"/>
      <c r="AJ122" s="14"/>
      <c r="AK122" s="14"/>
      <c r="AL122" s="14"/>
      <c r="AM122" s="14"/>
      <c r="AN122" s="14"/>
      <c r="AO122" s="16"/>
      <c r="AP122" s="14"/>
      <c r="AQ122" s="14"/>
      <c r="AR122" s="14"/>
      <c r="AS122" s="14"/>
      <c r="AT122" s="14"/>
      <c r="AU122" s="14"/>
      <c r="AV122" s="14"/>
      <c r="AW122" s="14"/>
      <c r="AX122" s="14"/>
      <c r="AY122" s="14"/>
      <c r="AZ122" s="14"/>
      <c r="BA122" s="16"/>
    </row>
    <row r="123" spans="1:53" ht="15.75" customHeight="1" x14ac:dyDescent="0.25">
      <c r="A123" s="6"/>
      <c r="B123" s="9" t="s">
        <v>219</v>
      </c>
      <c r="C123" s="9">
        <v>2015</v>
      </c>
      <c r="D123" s="13" t="s">
        <v>103</v>
      </c>
      <c r="E123" s="13" t="s">
        <v>83</v>
      </c>
      <c r="F123" s="14" t="s">
        <v>220</v>
      </c>
      <c r="G123" s="14">
        <v>190</v>
      </c>
      <c r="H123" s="54" t="s">
        <v>221</v>
      </c>
      <c r="I123" s="14"/>
      <c r="J123" s="14"/>
      <c r="K123" s="14">
        <v>5.0999999999999996</v>
      </c>
      <c r="L123" s="14">
        <v>32</v>
      </c>
      <c r="M123" s="14">
        <f>K123*L123</f>
        <v>163.19999999999999</v>
      </c>
      <c r="N123" s="14"/>
      <c r="O123" s="14"/>
      <c r="P123" s="14"/>
      <c r="Q123" s="14"/>
      <c r="R123" s="14">
        <v>58.4</v>
      </c>
      <c r="S123" s="14">
        <v>31.7</v>
      </c>
      <c r="T123" s="14"/>
      <c r="U123" s="14">
        <v>0.53</v>
      </c>
      <c r="V123" s="14">
        <v>3.97</v>
      </c>
      <c r="W123" s="14">
        <v>0.81</v>
      </c>
      <c r="X123" s="14"/>
      <c r="Y123" s="14"/>
      <c r="Z123" s="14"/>
      <c r="AA123" s="14"/>
      <c r="AB123" s="14"/>
      <c r="AC123" s="14"/>
      <c r="AD123" s="14">
        <v>4.59</v>
      </c>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c r="BA123" s="16"/>
    </row>
    <row r="124" spans="1:53" ht="15.75" customHeight="1" x14ac:dyDescent="0.25">
      <c r="A124" s="6"/>
      <c r="B124" s="9" t="s">
        <v>219</v>
      </c>
      <c r="C124" s="9">
        <v>2015</v>
      </c>
      <c r="D124" s="13" t="s">
        <v>103</v>
      </c>
      <c r="E124" s="13" t="s">
        <v>83</v>
      </c>
      <c r="F124" s="14" t="s">
        <v>220</v>
      </c>
      <c r="G124" s="14">
        <v>170</v>
      </c>
      <c r="H124" s="54" t="s">
        <v>221</v>
      </c>
      <c r="I124" s="7"/>
      <c r="J124" s="7"/>
      <c r="K124" s="7">
        <v>5.0999999999999996</v>
      </c>
      <c r="L124" s="7">
        <v>32</v>
      </c>
      <c r="M124" s="7">
        <f>K124*L124</f>
        <v>163.19999999999999</v>
      </c>
      <c r="N124" s="7"/>
      <c r="O124" s="7"/>
      <c r="P124" s="7"/>
      <c r="Q124" s="14"/>
      <c r="R124" s="14">
        <v>32.200000000000003</v>
      </c>
      <c r="S124" s="14">
        <v>45.1</v>
      </c>
      <c r="T124" s="14"/>
      <c r="U124" s="14">
        <v>0.53</v>
      </c>
      <c r="V124" s="14">
        <v>4.2</v>
      </c>
      <c r="W124" s="14">
        <v>0.51</v>
      </c>
      <c r="X124" s="14"/>
      <c r="Y124" s="14"/>
      <c r="Z124" s="14"/>
      <c r="AA124" s="14"/>
      <c r="AB124" s="14"/>
      <c r="AC124" s="14"/>
      <c r="AD124" s="14">
        <v>17.989999999999998</v>
      </c>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c r="BA124" s="16"/>
    </row>
    <row r="125" spans="1:53" ht="15.75" customHeight="1" x14ac:dyDescent="0.25">
      <c r="A125" s="7"/>
      <c r="B125" s="9" t="s">
        <v>219</v>
      </c>
      <c r="C125" s="9">
        <v>2015</v>
      </c>
      <c r="D125" s="13" t="s">
        <v>103</v>
      </c>
      <c r="E125" s="13" t="s">
        <v>83</v>
      </c>
      <c r="F125" s="14" t="s">
        <v>220</v>
      </c>
      <c r="G125" s="14">
        <v>180</v>
      </c>
      <c r="H125" s="54" t="s">
        <v>221</v>
      </c>
      <c r="K125" s="7">
        <v>5.0999999999999996</v>
      </c>
      <c r="L125" s="7">
        <v>32</v>
      </c>
      <c r="M125">
        <f>K125*L125</f>
        <v>163.19999999999999</v>
      </c>
      <c r="Q125" s="14"/>
      <c r="R125" s="14">
        <v>39.9</v>
      </c>
      <c r="S125" s="14">
        <v>43.3</v>
      </c>
      <c r="T125" s="14"/>
      <c r="U125" s="14">
        <v>0.4</v>
      </c>
      <c r="V125" s="14">
        <v>7.9</v>
      </c>
      <c r="W125" s="14">
        <v>0.8</v>
      </c>
      <c r="X125" s="14"/>
      <c r="Y125" s="14"/>
      <c r="Z125" s="14"/>
      <c r="AA125" s="14"/>
      <c r="AB125" s="14"/>
      <c r="AC125" s="14"/>
      <c r="AD125" s="14">
        <v>7.8</v>
      </c>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c r="BA125" s="14"/>
    </row>
    <row r="126" spans="1:53" ht="15.75" customHeight="1" x14ac:dyDescent="0.25">
      <c r="A126" s="7"/>
      <c r="B126" s="9" t="s">
        <v>222</v>
      </c>
      <c r="C126" s="9">
        <v>2016</v>
      </c>
      <c r="D126" s="44" t="s">
        <v>97</v>
      </c>
      <c r="E126" s="13" t="s">
        <v>83</v>
      </c>
      <c r="F126" s="14" t="s">
        <v>105</v>
      </c>
      <c r="G126" s="14">
        <v>0</v>
      </c>
      <c r="H126" s="13" t="s">
        <v>223</v>
      </c>
      <c r="I126" s="14"/>
      <c r="J126" s="14"/>
      <c r="K126" s="14"/>
      <c r="L126" s="14"/>
      <c r="M126" s="14"/>
      <c r="N126" s="14"/>
      <c r="O126" s="14"/>
      <c r="P126" s="14"/>
      <c r="Q126" s="14" t="s">
        <v>224</v>
      </c>
      <c r="R126" s="14"/>
      <c r="S126" s="14"/>
      <c r="T126" s="14">
        <v>35.68</v>
      </c>
      <c r="U126" s="14">
        <v>53.06</v>
      </c>
      <c r="V126" s="14">
        <v>0.28999999999999998</v>
      </c>
      <c r="W126" s="14">
        <v>6.12</v>
      </c>
      <c r="X126" s="14">
        <v>0.69</v>
      </c>
      <c r="Y126" s="14">
        <v>2.75</v>
      </c>
      <c r="Z126" s="14">
        <v>0.77</v>
      </c>
      <c r="AA126" s="14"/>
      <c r="AB126" s="14"/>
      <c r="AC126" s="14"/>
      <c r="AD126" s="14"/>
      <c r="AE126" s="14">
        <v>0.18</v>
      </c>
      <c r="AF126" s="14"/>
      <c r="AG126" s="14"/>
      <c r="AH126" s="14"/>
      <c r="AI126" s="14"/>
      <c r="AJ126" s="14"/>
      <c r="AK126" s="14"/>
      <c r="AL126" s="14"/>
      <c r="AM126" s="14"/>
      <c r="AN126" s="14"/>
      <c r="AO126" s="14"/>
      <c r="AP126" s="14"/>
      <c r="AQ126" s="14"/>
      <c r="AR126" s="14"/>
      <c r="AS126" s="14"/>
      <c r="AT126" s="14"/>
      <c r="AU126" s="14"/>
      <c r="AV126" s="14"/>
      <c r="AW126" s="14"/>
      <c r="AX126" s="14"/>
      <c r="AY126" s="14"/>
      <c r="AZ126" s="14"/>
      <c r="BA126" s="14"/>
    </row>
    <row r="127" spans="1:53" ht="15.75" customHeight="1" x14ac:dyDescent="0.25">
      <c r="A127" s="18" t="s">
        <v>85</v>
      </c>
      <c r="B127" t="s">
        <v>225</v>
      </c>
      <c r="C127">
        <v>2019</v>
      </c>
      <c r="D127" s="8" t="s">
        <v>85</v>
      </c>
      <c r="E127" s="8" t="s">
        <v>226</v>
      </c>
      <c r="R127" s="14">
        <v>0</v>
      </c>
      <c r="S127" s="14">
        <v>40</v>
      </c>
      <c r="T127" s="14">
        <v>40</v>
      </c>
      <c r="U127" s="14">
        <v>20</v>
      </c>
      <c r="BA127" s="49"/>
    </row>
    <row r="128" spans="1:53" ht="15.75" customHeight="1" x14ac:dyDescent="0.25">
      <c r="A128" s="18" t="s">
        <v>85</v>
      </c>
      <c r="B128" t="s">
        <v>225</v>
      </c>
      <c r="C128">
        <v>2019</v>
      </c>
      <c r="D128" s="13" t="s">
        <v>85</v>
      </c>
      <c r="E128" s="13" t="s">
        <v>227</v>
      </c>
      <c r="F128" s="14"/>
      <c r="G128" s="14"/>
      <c r="H128" s="14"/>
      <c r="I128" s="14"/>
      <c r="J128" s="14"/>
      <c r="K128" s="14"/>
      <c r="L128" s="14"/>
      <c r="M128" s="14"/>
      <c r="N128" s="14"/>
      <c r="O128" s="14"/>
      <c r="P128" s="14"/>
      <c r="Q128" s="14"/>
      <c r="R128" s="14">
        <v>0</v>
      </c>
      <c r="S128" s="14">
        <v>26.7</v>
      </c>
      <c r="T128" s="14">
        <v>60</v>
      </c>
      <c r="U128" s="14">
        <v>13.3</v>
      </c>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c r="BA128" s="16"/>
    </row>
    <row r="129" spans="1:53" ht="15.75" customHeight="1" x14ac:dyDescent="0.25">
      <c r="A129" s="18" t="s">
        <v>85</v>
      </c>
      <c r="B129" t="s">
        <v>225</v>
      </c>
      <c r="C129" s="9">
        <v>2019</v>
      </c>
      <c r="D129" s="13" t="s">
        <v>85</v>
      </c>
      <c r="E129" s="13" t="s">
        <v>228</v>
      </c>
      <c r="F129" s="14"/>
      <c r="G129" s="14"/>
      <c r="H129" s="14"/>
      <c r="I129" s="14"/>
      <c r="J129" s="14"/>
      <c r="K129" s="14"/>
      <c r="L129" s="14"/>
      <c r="M129" s="14"/>
      <c r="N129" s="14"/>
      <c r="O129" s="14"/>
      <c r="P129" s="14"/>
      <c r="Q129" s="14"/>
      <c r="R129" s="14">
        <v>0</v>
      </c>
      <c r="S129" s="14">
        <v>13.3</v>
      </c>
      <c r="T129" s="14">
        <v>80</v>
      </c>
      <c r="U129" s="14">
        <v>6.7</v>
      </c>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c r="BA129" s="16"/>
    </row>
    <row r="130" spans="1:53" ht="15.75" customHeight="1" x14ac:dyDescent="0.25">
      <c r="A130" s="17" t="s">
        <v>85</v>
      </c>
      <c r="B130" t="s">
        <v>225</v>
      </c>
      <c r="C130" s="9">
        <v>2019</v>
      </c>
      <c r="D130" s="13" t="s">
        <v>85</v>
      </c>
      <c r="E130" s="13" t="s">
        <v>229</v>
      </c>
      <c r="F130" s="14"/>
      <c r="G130" s="14"/>
      <c r="H130" s="14"/>
      <c r="I130" s="14"/>
      <c r="J130" s="14"/>
      <c r="K130" s="14"/>
      <c r="L130" s="14"/>
      <c r="M130" s="14"/>
      <c r="N130" s="14"/>
      <c r="O130" s="14"/>
      <c r="P130" s="14"/>
      <c r="Q130" s="14"/>
      <c r="R130" s="14">
        <v>0</v>
      </c>
      <c r="S130" s="14">
        <v>60</v>
      </c>
      <c r="T130" s="14">
        <v>26.7</v>
      </c>
      <c r="U130" s="14">
        <v>13.3</v>
      </c>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c r="BA130" s="16"/>
    </row>
    <row r="131" spans="1:53" ht="15.75" customHeight="1" x14ac:dyDescent="0.25">
      <c r="A131" s="18" t="s">
        <v>85</v>
      </c>
      <c r="B131" t="s">
        <v>225</v>
      </c>
      <c r="C131" s="2">
        <v>2019</v>
      </c>
      <c r="D131" s="20" t="s">
        <v>85</v>
      </c>
      <c r="E131" s="20" t="s">
        <v>230</v>
      </c>
      <c r="F131" s="21"/>
      <c r="G131" s="21"/>
      <c r="H131" s="21"/>
      <c r="I131" s="21"/>
      <c r="J131" s="21"/>
      <c r="K131" s="21"/>
      <c r="L131" s="21"/>
      <c r="M131" s="21"/>
      <c r="N131" s="21"/>
      <c r="O131" s="21"/>
      <c r="P131" s="21"/>
      <c r="Q131" s="21"/>
      <c r="R131" s="21">
        <v>0</v>
      </c>
      <c r="S131" s="21">
        <v>80</v>
      </c>
      <c r="T131" s="21">
        <v>13.3</v>
      </c>
      <c r="U131" s="21">
        <v>6.7</v>
      </c>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c r="AV131" s="21"/>
      <c r="AW131" s="21"/>
      <c r="AX131" s="21"/>
      <c r="AY131" s="21"/>
      <c r="AZ131" s="21"/>
      <c r="BA131" s="23"/>
    </row>
    <row r="132" spans="1:53" ht="15.75" customHeight="1" x14ac:dyDescent="0.25">
      <c r="A132" s="18" t="s">
        <v>85</v>
      </c>
      <c r="B132" t="s">
        <v>225</v>
      </c>
      <c r="C132" s="9">
        <v>2019</v>
      </c>
      <c r="D132" s="13" t="s">
        <v>85</v>
      </c>
      <c r="E132" s="13" t="s">
        <v>231</v>
      </c>
      <c r="F132" s="14"/>
      <c r="G132" s="14"/>
      <c r="H132" s="14"/>
      <c r="I132" s="14"/>
      <c r="J132" s="14"/>
      <c r="K132" s="14"/>
      <c r="L132" s="14"/>
      <c r="M132" s="14"/>
      <c r="N132" s="14"/>
      <c r="O132" s="14"/>
      <c r="P132" s="14"/>
      <c r="Q132" s="14"/>
      <c r="R132" s="14">
        <v>0</v>
      </c>
      <c r="S132" s="14">
        <v>20</v>
      </c>
      <c r="T132" s="14">
        <v>20</v>
      </c>
      <c r="U132" s="14">
        <v>60</v>
      </c>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c r="BA132" s="16"/>
    </row>
    <row r="133" spans="1:53" ht="15.75" customHeight="1" x14ac:dyDescent="0.25">
      <c r="A133" s="17" t="s">
        <v>85</v>
      </c>
      <c r="B133" t="s">
        <v>225</v>
      </c>
      <c r="C133" s="9">
        <v>2019</v>
      </c>
      <c r="D133" s="13" t="s">
        <v>85</v>
      </c>
      <c r="E133" s="13" t="s">
        <v>232</v>
      </c>
      <c r="F133" s="14"/>
      <c r="G133" s="14"/>
      <c r="H133" s="14"/>
      <c r="I133" s="14"/>
      <c r="J133" s="14"/>
      <c r="K133" s="14"/>
      <c r="L133" s="14"/>
      <c r="M133" s="14"/>
      <c r="N133" s="14"/>
      <c r="O133" s="14"/>
      <c r="P133" s="14"/>
      <c r="Q133" s="14"/>
      <c r="R133">
        <v>0</v>
      </c>
      <c r="S133">
        <v>10</v>
      </c>
      <c r="T133">
        <v>10</v>
      </c>
      <c r="U133">
        <v>80</v>
      </c>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c r="BA133" s="16"/>
    </row>
    <row r="134" spans="1:53" ht="15.75" customHeight="1" x14ac:dyDescent="0.25">
      <c r="A134" s="55"/>
      <c r="B134" s="9"/>
      <c r="C134" s="9"/>
      <c r="D134" s="13"/>
      <c r="E134" s="13"/>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c r="BA134" s="14"/>
    </row>
    <row r="135" spans="1:53" ht="15.75" customHeight="1" x14ac:dyDescent="0.25">
      <c r="B135" s="9"/>
      <c r="C135" s="9"/>
      <c r="D135" s="13"/>
      <c r="E135" s="13"/>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c r="BA135" s="14"/>
    </row>
    <row r="136" spans="1:53" ht="15.75" customHeight="1" x14ac:dyDescent="0.25">
      <c r="B136" s="9"/>
      <c r="C136" s="9"/>
      <c r="D136" s="13"/>
      <c r="E136" s="13"/>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c r="BA136" s="14"/>
    </row>
    <row r="137" spans="1:53" ht="15.75" customHeight="1" x14ac:dyDescent="0.25">
      <c r="B137" s="9"/>
      <c r="C137" s="9"/>
      <c r="D137" s="13"/>
      <c r="E137" s="13"/>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c r="BA137" s="14"/>
    </row>
    <row r="138" spans="1:53" ht="15.75" customHeight="1" x14ac:dyDescent="0.25">
      <c r="B138" s="9"/>
      <c r="C138" s="9"/>
      <c r="D138" s="13"/>
      <c r="E138" s="13"/>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row>
    <row r="139" spans="1:53" ht="15.75" customHeight="1" x14ac:dyDescent="0.25">
      <c r="B139" s="9"/>
      <c r="C139" s="9"/>
      <c r="D139" s="13"/>
      <c r="E139" s="13"/>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row>
    <row r="140" spans="1:53" ht="15.75" customHeight="1" x14ac:dyDescent="0.25">
      <c r="B140" s="9"/>
      <c r="C140" s="9"/>
      <c r="D140" s="13"/>
      <c r="E140" s="13"/>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c r="BA140" s="14"/>
    </row>
    <row r="141" spans="1:53" ht="15.75" customHeight="1" x14ac:dyDescent="0.25">
      <c r="B141" s="9"/>
      <c r="C141" s="9"/>
      <c r="D141" s="13"/>
      <c r="E141" s="13"/>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c r="BA141" s="14"/>
    </row>
    <row r="142" spans="1:53" ht="15.75" customHeight="1" x14ac:dyDescent="0.25">
      <c r="B142" s="9"/>
      <c r="C142" s="9"/>
      <c r="D142" s="13"/>
      <c r="E142" s="13"/>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c r="BA142" s="14"/>
    </row>
    <row r="143" spans="1:53" ht="15.75" customHeight="1" x14ac:dyDescent="0.25">
      <c r="B143" s="9"/>
      <c r="C143" s="9"/>
      <c r="D143" s="13"/>
      <c r="E143" s="13"/>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c r="BA143" s="14"/>
    </row>
    <row r="144" spans="1:53" ht="15.75" customHeight="1" x14ac:dyDescent="0.25">
      <c r="B144" s="9"/>
      <c r="C144" s="9"/>
      <c r="D144" s="13"/>
      <c r="E144" s="13"/>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row>
    <row r="145" spans="2:53" ht="15.75" customHeight="1" x14ac:dyDescent="0.25">
      <c r="B145" s="9"/>
      <c r="C145" s="9"/>
      <c r="D145" s="13"/>
      <c r="E145" s="13"/>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row>
    <row r="146" spans="2:53" ht="15.75" customHeight="1" x14ac:dyDescent="0.25">
      <c r="B146" s="9"/>
      <c r="C146" s="9"/>
      <c r="D146" s="13"/>
      <c r="E146" s="13"/>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row>
    <row r="147" spans="2:53" ht="15.75" customHeight="1" x14ac:dyDescent="0.25">
      <c r="B147" s="9"/>
      <c r="C147" s="9"/>
      <c r="D147" s="13"/>
      <c r="E147" s="13"/>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row>
    <row r="148" spans="2:53" ht="15.75" customHeight="1" x14ac:dyDescent="0.25">
      <c r="B148" s="9"/>
      <c r="C148" s="9"/>
      <c r="D148" s="13"/>
      <c r="E148" s="13"/>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row>
    <row r="149" spans="2:53" ht="15.75" customHeight="1" x14ac:dyDescent="0.25">
      <c r="B149" s="9"/>
      <c r="C149" s="9"/>
      <c r="D149" s="13"/>
      <c r="E149" s="13"/>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row>
    <row r="150" spans="2:53" ht="15.75" customHeight="1" x14ac:dyDescent="0.25">
      <c r="B150" s="9"/>
      <c r="C150" s="9"/>
      <c r="D150" s="13"/>
      <c r="E150" s="13"/>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c r="BA150" s="14"/>
    </row>
    <row r="151" spans="2:53" ht="15.75" customHeight="1" x14ac:dyDescent="0.25">
      <c r="B151" s="9"/>
      <c r="C151" s="9"/>
      <c r="D151" s="13"/>
      <c r="E151" s="13"/>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row>
    <row r="152" spans="2:53" ht="15.75" customHeight="1" x14ac:dyDescent="0.25">
      <c r="B152" s="9"/>
      <c r="C152" s="9"/>
      <c r="D152" s="13"/>
      <c r="E152" s="13"/>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c r="BA152" s="14"/>
    </row>
    <row r="153" spans="2:53" ht="15.75" customHeight="1" x14ac:dyDescent="0.25">
      <c r="B153" s="9"/>
      <c r="C153" s="9"/>
      <c r="D153" s="13"/>
      <c r="E153" s="13"/>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row>
    <row r="154" spans="2:53" ht="15.75" customHeight="1" x14ac:dyDescent="0.25">
      <c r="B154" s="9"/>
      <c r="C154" s="9"/>
      <c r="D154" s="13"/>
      <c r="E154" s="13"/>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row>
    <row r="155" spans="2:53" ht="15.75" customHeight="1" x14ac:dyDescent="0.25">
      <c r="B155" s="9"/>
      <c r="C155" s="9"/>
      <c r="D155" s="13"/>
      <c r="E155" s="13"/>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c r="BA155" s="14"/>
    </row>
    <row r="156" spans="2:53" ht="15.75" customHeight="1" x14ac:dyDescent="0.25">
      <c r="B156" s="9"/>
      <c r="C156" s="9"/>
      <c r="D156" s="13"/>
      <c r="E156" s="13"/>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c r="BA156" s="14"/>
    </row>
    <row r="157" spans="2:53" ht="15.75" customHeight="1" x14ac:dyDescent="0.25">
      <c r="B157" s="9"/>
      <c r="C157" s="9"/>
      <c r="D157" s="13"/>
      <c r="E157" s="13"/>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row>
    <row r="158" spans="2:53" ht="15.75" customHeight="1" x14ac:dyDescent="0.25">
      <c r="B158" s="9"/>
      <c r="C158" s="9"/>
      <c r="D158" s="13"/>
      <c r="E158" s="13"/>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row>
    <row r="159" spans="2:53" ht="15.75" customHeight="1" x14ac:dyDescent="0.25">
      <c r="B159" s="9"/>
      <c r="C159" s="9"/>
      <c r="D159" s="13"/>
      <c r="E159" s="13"/>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row>
    <row r="160" spans="2:53" ht="15.75" customHeight="1" x14ac:dyDescent="0.25">
      <c r="B160" s="9"/>
      <c r="C160" s="9"/>
      <c r="D160" s="13"/>
      <c r="E160" s="13"/>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row>
    <row r="161" spans="2:53" ht="15.75" customHeight="1" x14ac:dyDescent="0.25">
      <c r="B161" s="9"/>
      <c r="C161" s="9"/>
      <c r="D161" s="13"/>
      <c r="E161" s="13"/>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row>
    <row r="162" spans="2:53" ht="15.75" customHeight="1" x14ac:dyDescent="0.25">
      <c r="B162" s="9"/>
      <c r="C162" s="9"/>
      <c r="D162" s="13"/>
      <c r="E162" s="13"/>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c r="BA162" s="14"/>
    </row>
    <row r="163" spans="2:53" ht="15.75" customHeight="1" x14ac:dyDescent="0.25">
      <c r="B163" s="9"/>
      <c r="C163" s="9"/>
      <c r="D163" s="13"/>
      <c r="E163" s="13"/>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row>
    <row r="164" spans="2:53" ht="15.75" customHeight="1" x14ac:dyDescent="0.25">
      <c r="B164" s="9"/>
      <c r="C164" s="9"/>
      <c r="D164" s="13"/>
      <c r="E164" s="13"/>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c r="BA164" s="14"/>
    </row>
    <row r="165" spans="2:53" ht="15.75" customHeight="1" x14ac:dyDescent="0.25">
      <c r="B165" s="9"/>
      <c r="C165" s="9"/>
      <c r="D165" s="13"/>
      <c r="E165" s="13"/>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row>
    <row r="166" spans="2:53" ht="15.75" customHeight="1" x14ac:dyDescent="0.25">
      <c r="B166" s="9"/>
      <c r="C166" s="9"/>
      <c r="D166" s="13"/>
      <c r="E166" s="13"/>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c r="BA166" s="14"/>
    </row>
    <row r="167" spans="2:53" ht="15.75" customHeight="1" x14ac:dyDescent="0.25">
      <c r="B167" s="9"/>
      <c r="C167" s="9"/>
      <c r="D167" s="13"/>
      <c r="E167" s="13"/>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c r="BA167" s="14"/>
    </row>
    <row r="168" spans="2:53" ht="15.75" customHeight="1" x14ac:dyDescent="0.25">
      <c r="B168" s="9"/>
      <c r="C168" s="9"/>
      <c r="D168" s="13"/>
      <c r="E168" s="13"/>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c r="BA168" s="14"/>
    </row>
    <row r="169" spans="2:53" ht="15.75" customHeight="1" x14ac:dyDescent="0.25">
      <c r="B169" s="9"/>
      <c r="C169" s="9"/>
      <c r="D169" s="13"/>
      <c r="E169" s="13"/>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c r="BA169" s="14"/>
    </row>
    <row r="170" spans="2:53" ht="15.75" customHeight="1" x14ac:dyDescent="0.25">
      <c r="B170" s="9"/>
      <c r="C170" s="9"/>
      <c r="D170" s="13"/>
      <c r="E170" s="13"/>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c r="BA170" s="14"/>
    </row>
    <row r="171" spans="2:53" ht="15.75" customHeight="1" x14ac:dyDescent="0.25">
      <c r="B171" s="9"/>
      <c r="C171" s="9"/>
      <c r="D171" s="13"/>
      <c r="E171" s="13"/>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c r="BA171" s="14"/>
    </row>
    <row r="172" spans="2:53" ht="15.75" customHeight="1" x14ac:dyDescent="0.25">
      <c r="B172" s="9"/>
      <c r="C172" s="9"/>
      <c r="D172" s="13"/>
      <c r="E172" s="13"/>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c r="BA172" s="14"/>
    </row>
    <row r="173" spans="2:53" ht="15.75" customHeight="1" x14ac:dyDescent="0.25">
      <c r="B173" s="9"/>
      <c r="C173" s="9"/>
      <c r="D173" s="13"/>
      <c r="E173" s="13"/>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c r="BA173" s="14"/>
    </row>
    <row r="174" spans="2:53" ht="15.75" customHeight="1" x14ac:dyDescent="0.25">
      <c r="B174" s="9"/>
      <c r="C174" s="9"/>
      <c r="D174" s="13"/>
      <c r="E174" s="13"/>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c r="BA174" s="14"/>
    </row>
    <row r="175" spans="2:53" ht="15.75" customHeight="1" x14ac:dyDescent="0.25">
      <c r="B175" s="9"/>
      <c r="C175" s="9"/>
      <c r="D175" s="13"/>
      <c r="E175" s="13"/>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c r="BA175" s="14"/>
    </row>
    <row r="176" spans="2:53" ht="15.75" customHeight="1" x14ac:dyDescent="0.25">
      <c r="B176" s="9"/>
      <c r="C176" s="9"/>
      <c r="D176" s="13"/>
      <c r="E176" s="13"/>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c r="BA176" s="14"/>
    </row>
    <row r="177" spans="2:53" ht="15.75" customHeight="1" x14ac:dyDescent="0.25">
      <c r="B177" s="9"/>
      <c r="C177" s="9"/>
      <c r="D177" s="13"/>
      <c r="E177" s="13"/>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c r="BA177" s="14"/>
    </row>
    <row r="178" spans="2:53" ht="15.75" customHeight="1" x14ac:dyDescent="0.25">
      <c r="B178" s="9"/>
      <c r="C178" s="9"/>
      <c r="D178" s="13"/>
      <c r="E178" s="13"/>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c r="BA178" s="14"/>
    </row>
    <row r="179" spans="2:53" ht="15.75" customHeight="1" x14ac:dyDescent="0.25">
      <c r="B179" s="9"/>
      <c r="C179" s="9"/>
      <c r="D179" s="13"/>
      <c r="E179" s="13"/>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c r="BA179" s="14"/>
    </row>
    <row r="180" spans="2:53" ht="15.75" customHeight="1" x14ac:dyDescent="0.25">
      <c r="B180" s="9"/>
      <c r="C180" s="9"/>
      <c r="D180" s="13"/>
      <c r="E180" s="13"/>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row>
    <row r="181" spans="2:53" ht="15.75" customHeight="1" x14ac:dyDescent="0.25">
      <c r="B181" s="9"/>
      <c r="C181" s="9"/>
      <c r="D181" s="13"/>
      <c r="E181" s="13"/>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c r="BA181" s="14"/>
    </row>
    <row r="182" spans="2:53" ht="15.75" customHeight="1" x14ac:dyDescent="0.25">
      <c r="B182" s="9"/>
      <c r="C182" s="9"/>
      <c r="D182" s="13"/>
      <c r="E182" s="13"/>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c r="BA182" s="14"/>
    </row>
    <row r="183" spans="2:53" ht="15.75" customHeight="1" x14ac:dyDescent="0.25">
      <c r="B183" s="9"/>
      <c r="C183" s="9"/>
      <c r="D183" s="13"/>
      <c r="E183" s="13"/>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c r="AZ183" s="14"/>
      <c r="BA183" s="14"/>
    </row>
    <row r="184" spans="2:53" ht="15.75" customHeight="1" x14ac:dyDescent="0.25">
      <c r="B184" s="9"/>
      <c r="C184" s="9"/>
      <c r="D184" s="13"/>
      <c r="E184" s="13"/>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c r="BA184" s="14"/>
    </row>
    <row r="185" spans="2:53" ht="15.75" customHeight="1" x14ac:dyDescent="0.25">
      <c r="B185" s="9"/>
      <c r="C185" s="9"/>
      <c r="D185" s="13"/>
      <c r="E185" s="13"/>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c r="BA185" s="14"/>
    </row>
    <row r="186" spans="2:53" ht="15.75" customHeight="1" x14ac:dyDescent="0.25">
      <c r="B186" s="9"/>
      <c r="C186" s="9"/>
      <c r="D186" s="13"/>
      <c r="E186" s="13"/>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c r="BA186" s="14"/>
    </row>
    <row r="187" spans="2:53" ht="15.75" customHeight="1" x14ac:dyDescent="0.25">
      <c r="B187" s="9"/>
      <c r="C187" s="9"/>
      <c r="D187" s="13"/>
      <c r="E187" s="13"/>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c r="AZ187" s="14"/>
      <c r="BA187" s="14"/>
    </row>
    <row r="188" spans="2:53" ht="15.75" customHeight="1" x14ac:dyDescent="0.25">
      <c r="B188" s="9"/>
      <c r="C188" s="9"/>
      <c r="D188" s="13"/>
      <c r="E188" s="13"/>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c r="BA188" s="14"/>
    </row>
    <row r="189" spans="2:53" ht="15.75" customHeight="1" x14ac:dyDescent="0.25">
      <c r="B189" s="9"/>
      <c r="C189" s="9"/>
      <c r="D189" s="13"/>
      <c r="E189" s="13"/>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c r="BA189" s="14"/>
    </row>
    <row r="190" spans="2:53" ht="15.75" customHeight="1" x14ac:dyDescent="0.25">
      <c r="B190" s="9"/>
      <c r="C190" s="9"/>
      <c r="D190" s="13"/>
      <c r="E190" s="13"/>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c r="BA190" s="14"/>
    </row>
    <row r="191" spans="2:53" ht="15.75" customHeight="1" x14ac:dyDescent="0.25">
      <c r="B191" s="9"/>
      <c r="C191" s="9"/>
      <c r="D191" s="13"/>
      <c r="E191" s="13"/>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c r="BA191" s="14"/>
    </row>
    <row r="192" spans="2:53" ht="15.75" customHeight="1" x14ac:dyDescent="0.25">
      <c r="B192" s="9"/>
      <c r="C192" s="9"/>
      <c r="D192" s="13"/>
      <c r="E192" s="13"/>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c r="BA192" s="14"/>
    </row>
    <row r="193" spans="2:53" ht="15.75" customHeight="1" x14ac:dyDescent="0.25">
      <c r="B193" s="9"/>
      <c r="C193" s="9"/>
      <c r="D193" s="13"/>
      <c r="E193" s="13"/>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c r="AZ193" s="14"/>
      <c r="BA193" s="14"/>
    </row>
    <row r="194" spans="2:53" ht="15.75" customHeight="1" x14ac:dyDescent="0.25">
      <c r="B194" s="9"/>
      <c r="C194" s="9"/>
      <c r="D194" s="13"/>
      <c r="E194" s="13"/>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c r="AZ194" s="14"/>
      <c r="BA194" s="14"/>
    </row>
    <row r="195" spans="2:53" ht="15.75" customHeight="1" x14ac:dyDescent="0.25">
      <c r="B195" s="9"/>
      <c r="C195" s="9"/>
      <c r="D195" s="13"/>
      <c r="E195" s="13"/>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c r="BA195" s="14"/>
    </row>
    <row r="196" spans="2:53" ht="15.75" customHeight="1" x14ac:dyDescent="0.25">
      <c r="B196" s="9"/>
      <c r="C196" s="9"/>
      <c r="D196" s="13"/>
      <c r="E196" s="13"/>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c r="BA196" s="14"/>
    </row>
    <row r="197" spans="2:53" ht="15.75" customHeight="1" x14ac:dyDescent="0.25">
      <c r="B197" s="9"/>
      <c r="C197" s="9"/>
      <c r="D197" s="13"/>
      <c r="E197" s="13"/>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c r="BA197" s="14"/>
    </row>
    <row r="198" spans="2:53" ht="15.75" customHeight="1" x14ac:dyDescent="0.25">
      <c r="B198" s="9"/>
      <c r="C198" s="9"/>
      <c r="D198" s="13"/>
      <c r="E198" s="13"/>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c r="BA198" s="14"/>
    </row>
    <row r="199" spans="2:53" ht="15.75" customHeight="1" x14ac:dyDescent="0.25">
      <c r="B199" s="9"/>
      <c r="C199" s="9"/>
      <c r="D199" s="13"/>
      <c r="E199" s="13"/>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c r="BA199" s="14"/>
    </row>
    <row r="200" spans="2:53" ht="15.75" customHeight="1" x14ac:dyDescent="0.25">
      <c r="B200" s="9"/>
      <c r="C200" s="9"/>
      <c r="D200" s="13"/>
      <c r="E200" s="13"/>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c r="BA200" s="14"/>
    </row>
    <row r="201" spans="2:53" ht="15.75" customHeight="1" x14ac:dyDescent="0.25">
      <c r="B201" s="9"/>
      <c r="C201" s="9"/>
      <c r="D201" s="13"/>
      <c r="E201" s="13"/>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c r="BA201" s="14"/>
    </row>
    <row r="202" spans="2:53" ht="15.75" customHeight="1" x14ac:dyDescent="0.25">
      <c r="B202" s="9"/>
      <c r="C202" s="9"/>
      <c r="D202" s="13"/>
      <c r="E202" s="13"/>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c r="BA202" s="14"/>
    </row>
    <row r="203" spans="2:53" ht="15.75" customHeight="1" x14ac:dyDescent="0.25">
      <c r="B203" s="9"/>
      <c r="C203" s="9"/>
      <c r="D203" s="13"/>
      <c r="E203" s="13"/>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c r="BA203" s="14"/>
    </row>
    <row r="204" spans="2:53" ht="15.75" customHeight="1" x14ac:dyDescent="0.25">
      <c r="B204" s="9"/>
      <c r="C204" s="9"/>
      <c r="D204" s="13"/>
      <c r="E204" s="13"/>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c r="BA204" s="14"/>
    </row>
    <row r="205" spans="2:53" ht="15.75" customHeight="1" x14ac:dyDescent="0.25">
      <c r="B205" s="9"/>
      <c r="C205" s="9"/>
      <c r="D205" s="13"/>
      <c r="E205" s="13"/>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AY205" s="14"/>
      <c r="AZ205" s="14"/>
      <c r="BA205" s="14"/>
    </row>
    <row r="206" spans="2:53" ht="15.75" customHeight="1" x14ac:dyDescent="0.25">
      <c r="B206" s="9"/>
      <c r="C206" s="9"/>
      <c r="D206" s="13"/>
      <c r="E206" s="13"/>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c r="AZ206" s="14"/>
      <c r="BA206" s="14"/>
    </row>
    <row r="207" spans="2:53" ht="15.75" customHeight="1" x14ac:dyDescent="0.25">
      <c r="B207" s="9"/>
      <c r="C207" s="9"/>
      <c r="D207" s="13"/>
      <c r="E207" s="13"/>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AY207" s="14"/>
      <c r="AZ207" s="14"/>
      <c r="BA207" s="14"/>
    </row>
    <row r="208" spans="2:53" ht="15.75" customHeight="1" x14ac:dyDescent="0.25">
      <c r="B208" s="9"/>
      <c r="C208" s="9"/>
      <c r="D208" s="13"/>
      <c r="E208" s="13"/>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c r="AZ208" s="14"/>
      <c r="BA208" s="14"/>
    </row>
    <row r="209" spans="2:53" ht="15.75" customHeight="1" x14ac:dyDescent="0.25">
      <c r="B209" s="9"/>
      <c r="C209" s="9"/>
      <c r="D209" s="13"/>
      <c r="E209" s="13"/>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c r="AZ209" s="14"/>
      <c r="BA209" s="14"/>
    </row>
    <row r="210" spans="2:53" ht="15.75" customHeight="1" x14ac:dyDescent="0.25">
      <c r="B210" s="9"/>
      <c r="C210" s="9"/>
      <c r="D210" s="13"/>
      <c r="E210" s="13"/>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c r="BA210" s="14"/>
    </row>
    <row r="211" spans="2:53" ht="15.75" customHeight="1" x14ac:dyDescent="0.25">
      <c r="B211" s="9"/>
      <c r="C211" s="9"/>
      <c r="D211" s="13"/>
      <c r="E211" s="13"/>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c r="BA211" s="14"/>
    </row>
    <row r="212" spans="2:53" ht="15.75" customHeight="1" x14ac:dyDescent="0.25">
      <c r="B212" s="9"/>
      <c r="C212" s="9"/>
      <c r="D212" s="13"/>
      <c r="E212" s="13"/>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AY212" s="14"/>
      <c r="AZ212" s="14"/>
      <c r="BA212" s="14"/>
    </row>
    <row r="213" spans="2:53" ht="15.75" customHeight="1" x14ac:dyDescent="0.25">
      <c r="B213" s="9"/>
      <c r="C213" s="9"/>
      <c r="D213" s="13"/>
      <c r="E213" s="13"/>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c r="BA213" s="14"/>
    </row>
    <row r="214" spans="2:53" ht="15.75" customHeight="1" x14ac:dyDescent="0.25">
      <c r="B214" s="9"/>
      <c r="C214" s="9"/>
      <c r="D214" s="13"/>
      <c r="E214" s="13"/>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c r="BA214" s="14"/>
    </row>
    <row r="215" spans="2:53" ht="15.75" customHeight="1" x14ac:dyDescent="0.25">
      <c r="B215" s="9"/>
      <c r="C215" s="9"/>
      <c r="D215" s="13"/>
      <c r="E215" s="13"/>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c r="BA215" s="14"/>
    </row>
    <row r="216" spans="2:53" ht="15.75" customHeight="1" x14ac:dyDescent="0.25">
      <c r="B216" s="9"/>
      <c r="C216" s="9"/>
      <c r="D216" s="13"/>
      <c r="E216" s="13"/>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c r="BA216" s="14"/>
    </row>
    <row r="217" spans="2:53" ht="15.75" customHeight="1" x14ac:dyDescent="0.25">
      <c r="B217" s="9"/>
      <c r="C217" s="9"/>
      <c r="D217" s="13"/>
      <c r="E217" s="13"/>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c r="BA217" s="14"/>
    </row>
    <row r="218" spans="2:53" ht="15.75" customHeight="1" x14ac:dyDescent="0.25">
      <c r="B218" s="9"/>
      <c r="C218" s="9"/>
      <c r="D218" s="13"/>
      <c r="E218" s="13"/>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c r="BA218" s="14"/>
    </row>
    <row r="219" spans="2:53" ht="15.75" customHeight="1" x14ac:dyDescent="0.25">
      <c r="B219" s="9"/>
      <c r="C219" s="9"/>
      <c r="D219" s="13"/>
      <c r="E219" s="13"/>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c r="BA219" s="14"/>
    </row>
    <row r="220" spans="2:53" ht="15.75" customHeight="1" x14ac:dyDescent="0.25">
      <c r="B220" s="9"/>
      <c r="C220" s="9"/>
      <c r="D220" s="13"/>
      <c r="E220" s="13"/>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c r="BA220" s="14"/>
    </row>
    <row r="221" spans="2:53" ht="15.75" customHeight="1" x14ac:dyDescent="0.25">
      <c r="B221" s="9"/>
      <c r="C221" s="9"/>
      <c r="D221" s="13"/>
      <c r="E221" s="13"/>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AT221" s="14"/>
      <c r="AU221" s="14"/>
      <c r="AV221" s="14"/>
      <c r="AW221" s="14"/>
      <c r="AX221" s="14"/>
      <c r="AY221" s="14"/>
      <c r="AZ221" s="14"/>
      <c r="BA221" s="14"/>
    </row>
    <row r="222" spans="2:53" ht="15.75" customHeight="1" x14ac:dyDescent="0.25">
      <c r="B222" s="9"/>
      <c r="C222" s="9"/>
      <c r="D222" s="13"/>
      <c r="E222" s="13"/>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AT222" s="14"/>
      <c r="AU222" s="14"/>
      <c r="AV222" s="14"/>
      <c r="AW222" s="14"/>
      <c r="AX222" s="14"/>
      <c r="AY222" s="14"/>
      <c r="AZ222" s="14"/>
      <c r="BA222" s="14"/>
    </row>
    <row r="223" spans="2:53" ht="15.75" customHeight="1" x14ac:dyDescent="0.25">
      <c r="B223" s="9"/>
      <c r="C223" s="9"/>
      <c r="D223" s="13"/>
      <c r="E223" s="13"/>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c r="AZ223" s="14"/>
      <c r="BA223" s="14"/>
    </row>
    <row r="224" spans="2:53" ht="15.75" customHeight="1" x14ac:dyDescent="0.25">
      <c r="B224" s="9"/>
      <c r="C224" s="9"/>
      <c r="D224" s="13"/>
      <c r="E224" s="13"/>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AT224" s="14"/>
      <c r="AU224" s="14"/>
      <c r="AV224" s="14"/>
      <c r="AW224" s="14"/>
      <c r="AX224" s="14"/>
      <c r="AY224" s="14"/>
      <c r="AZ224" s="14"/>
      <c r="BA224" s="14"/>
    </row>
    <row r="225" spans="2:53" ht="15.75" customHeight="1" x14ac:dyDescent="0.25">
      <c r="B225" s="9"/>
      <c r="C225" s="9"/>
      <c r="D225" s="13"/>
      <c r="E225" s="13"/>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AT225" s="14"/>
      <c r="AU225" s="14"/>
      <c r="AV225" s="14"/>
      <c r="AW225" s="14"/>
      <c r="AX225" s="14"/>
      <c r="AY225" s="14"/>
      <c r="AZ225" s="14"/>
      <c r="BA225" s="14"/>
    </row>
    <row r="226" spans="2:53" ht="15.75" customHeight="1" x14ac:dyDescent="0.25">
      <c r="B226" s="9"/>
      <c r="C226" s="9"/>
      <c r="D226" s="13"/>
      <c r="E226" s="13"/>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c r="AY226" s="14"/>
      <c r="AZ226" s="14"/>
      <c r="BA226" s="14"/>
    </row>
    <row r="227" spans="2:53" ht="15.75" customHeight="1" x14ac:dyDescent="0.25">
      <c r="B227" s="9"/>
      <c r="C227" s="9"/>
      <c r="D227" s="13"/>
      <c r="E227" s="13"/>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AT227" s="14"/>
      <c r="AU227" s="14"/>
      <c r="AV227" s="14"/>
      <c r="AW227" s="14"/>
      <c r="AX227" s="14"/>
      <c r="AY227" s="14"/>
      <c r="AZ227" s="14"/>
      <c r="BA227" s="14"/>
    </row>
    <row r="228" spans="2:53" ht="15.75" customHeight="1" x14ac:dyDescent="0.25">
      <c r="B228" s="9"/>
      <c r="C228" s="9"/>
      <c r="D228" s="13"/>
      <c r="E228" s="13"/>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AT228" s="14"/>
      <c r="AU228" s="14"/>
      <c r="AV228" s="14"/>
      <c r="AW228" s="14"/>
      <c r="AX228" s="14"/>
      <c r="AY228" s="14"/>
      <c r="AZ228" s="14"/>
      <c r="BA228" s="14"/>
    </row>
    <row r="229" spans="2:53" ht="15.75" customHeight="1" x14ac:dyDescent="0.25">
      <c r="B229" s="9"/>
      <c r="C229" s="9"/>
      <c r="D229" s="13"/>
      <c r="E229" s="13"/>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AT229" s="14"/>
      <c r="AU229" s="14"/>
      <c r="AV229" s="14"/>
      <c r="AW229" s="14"/>
      <c r="AX229" s="14"/>
      <c r="AY229" s="14"/>
      <c r="AZ229" s="14"/>
      <c r="BA229" s="14"/>
    </row>
    <row r="230" spans="2:53" ht="15.75" customHeight="1" x14ac:dyDescent="0.25">
      <c r="B230" s="9"/>
      <c r="C230" s="9"/>
      <c r="D230" s="13"/>
      <c r="E230" s="13"/>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AT230" s="14"/>
      <c r="AU230" s="14"/>
      <c r="AV230" s="14"/>
      <c r="AW230" s="14"/>
      <c r="AX230" s="14"/>
      <c r="AY230" s="14"/>
      <c r="AZ230" s="14"/>
      <c r="BA230" s="14"/>
    </row>
    <row r="231" spans="2:53" ht="15.75" customHeight="1" x14ac:dyDescent="0.25">
      <c r="B231" s="9"/>
      <c r="C231" s="9"/>
      <c r="D231" s="13"/>
      <c r="E231" s="13"/>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c r="AY231" s="14"/>
      <c r="AZ231" s="14"/>
      <c r="BA231" s="14"/>
    </row>
    <row r="232" spans="2:53" ht="15.75" customHeight="1" x14ac:dyDescent="0.25">
      <c r="B232" s="9"/>
      <c r="C232" s="9"/>
      <c r="D232" s="13"/>
      <c r="E232" s="13"/>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AT232" s="14"/>
      <c r="AU232" s="14"/>
      <c r="AV232" s="14"/>
      <c r="AW232" s="14"/>
      <c r="AX232" s="14"/>
      <c r="AY232" s="14"/>
      <c r="AZ232" s="14"/>
      <c r="BA232" s="14"/>
    </row>
    <row r="233" spans="2:53" ht="15.75" customHeight="1" x14ac:dyDescent="0.25">
      <c r="B233" s="9"/>
      <c r="C233" s="9"/>
      <c r="D233" s="13"/>
      <c r="E233" s="13"/>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c r="AV233" s="14"/>
      <c r="AW233" s="14"/>
      <c r="AX233" s="14"/>
      <c r="AY233" s="14"/>
      <c r="AZ233" s="14"/>
      <c r="BA233" s="14"/>
    </row>
    <row r="234" spans="2:53" ht="15.75" customHeight="1" x14ac:dyDescent="0.25">
      <c r="B234" s="9"/>
      <c r="C234" s="9"/>
      <c r="D234" s="13"/>
      <c r="E234" s="13"/>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AT234" s="14"/>
      <c r="AU234" s="14"/>
      <c r="AV234" s="14"/>
      <c r="AW234" s="14"/>
      <c r="AX234" s="14"/>
      <c r="AY234" s="14"/>
      <c r="AZ234" s="14"/>
      <c r="BA234" s="14"/>
    </row>
    <row r="235" spans="2:53" ht="15.75" customHeight="1" x14ac:dyDescent="0.25">
      <c r="B235" s="9"/>
      <c r="C235" s="9"/>
      <c r="D235" s="13"/>
      <c r="E235" s="13"/>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AT235" s="14"/>
      <c r="AU235" s="14"/>
      <c r="AV235" s="14"/>
      <c r="AW235" s="14"/>
      <c r="AX235" s="14"/>
      <c r="AY235" s="14"/>
      <c r="AZ235" s="14"/>
      <c r="BA235" s="14"/>
    </row>
    <row r="236" spans="2:53" ht="15.75" customHeight="1" x14ac:dyDescent="0.25">
      <c r="B236" s="9"/>
      <c r="C236" s="9"/>
      <c r="D236" s="13"/>
      <c r="E236" s="13"/>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c r="AZ236" s="14"/>
      <c r="BA236" s="14"/>
    </row>
    <row r="237" spans="2:53" ht="15.75" customHeight="1" x14ac:dyDescent="0.25">
      <c r="B237" s="9"/>
      <c r="C237" s="9"/>
      <c r="D237" s="13"/>
      <c r="E237" s="13"/>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AT237" s="14"/>
      <c r="AU237" s="14"/>
      <c r="AV237" s="14"/>
      <c r="AW237" s="14"/>
      <c r="AX237" s="14"/>
      <c r="AY237" s="14"/>
      <c r="AZ237" s="14"/>
      <c r="BA237" s="14"/>
    </row>
    <row r="238" spans="2:53" ht="15.75" customHeight="1" x14ac:dyDescent="0.25">
      <c r="B238" s="9"/>
      <c r="C238" s="9"/>
      <c r="D238" s="13"/>
      <c r="E238" s="13"/>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AT238" s="14"/>
      <c r="AU238" s="14"/>
      <c r="AV238" s="14"/>
      <c r="AW238" s="14"/>
      <c r="AX238" s="14"/>
      <c r="AY238" s="14"/>
      <c r="AZ238" s="14"/>
      <c r="BA238" s="14"/>
    </row>
    <row r="239" spans="2:53" ht="15.75" customHeight="1" x14ac:dyDescent="0.25">
      <c r="B239" s="9"/>
      <c r="C239" s="9"/>
      <c r="D239" s="13"/>
      <c r="E239" s="13"/>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AT239" s="14"/>
      <c r="AU239" s="14"/>
      <c r="AV239" s="14"/>
      <c r="AW239" s="14"/>
      <c r="AX239" s="14"/>
      <c r="AY239" s="14"/>
      <c r="AZ239" s="14"/>
      <c r="BA239" s="14"/>
    </row>
    <row r="240" spans="2:53" ht="15.75" customHeight="1" x14ac:dyDescent="0.25">
      <c r="B240" s="9"/>
      <c r="C240" s="9"/>
      <c r="D240" s="13"/>
      <c r="E240" s="13"/>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AT240" s="14"/>
      <c r="AU240" s="14"/>
      <c r="AV240" s="14"/>
      <c r="AW240" s="14"/>
      <c r="AX240" s="14"/>
      <c r="AY240" s="14"/>
      <c r="AZ240" s="14"/>
      <c r="BA240" s="14"/>
    </row>
    <row r="241" spans="2:53" ht="15.75" customHeight="1" x14ac:dyDescent="0.25">
      <c r="B241" s="9"/>
      <c r="C241" s="9"/>
      <c r="D241" s="13"/>
      <c r="E241" s="13"/>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AT241" s="14"/>
      <c r="AU241" s="14"/>
      <c r="AV241" s="14"/>
      <c r="AW241" s="14"/>
      <c r="AX241" s="14"/>
      <c r="AY241" s="14"/>
      <c r="AZ241" s="14"/>
      <c r="BA241" s="14"/>
    </row>
    <row r="242" spans="2:53" ht="15.75" customHeight="1" x14ac:dyDescent="0.25">
      <c r="B242" s="9"/>
      <c r="C242" s="9"/>
      <c r="D242" s="13"/>
      <c r="E242" s="13"/>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AY242" s="14"/>
      <c r="AZ242" s="14"/>
      <c r="BA242" s="14"/>
    </row>
    <row r="243" spans="2:53" ht="15.75" customHeight="1" x14ac:dyDescent="0.25">
      <c r="B243" s="9"/>
      <c r="C243" s="9"/>
      <c r="D243" s="13"/>
      <c r="E243" s="13"/>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AT243" s="14"/>
      <c r="AU243" s="14"/>
      <c r="AV243" s="14"/>
      <c r="AW243" s="14"/>
      <c r="AX243" s="14"/>
      <c r="AY243" s="14"/>
      <c r="AZ243" s="14"/>
      <c r="BA243" s="14"/>
    </row>
    <row r="244" spans="2:53" ht="15.75" customHeight="1" x14ac:dyDescent="0.25">
      <c r="B244" s="9"/>
      <c r="C244" s="9"/>
      <c r="D244" s="13"/>
      <c r="E244" s="13"/>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AT244" s="14"/>
      <c r="AU244" s="14"/>
      <c r="AV244" s="14"/>
      <c r="AW244" s="14"/>
      <c r="AX244" s="14"/>
      <c r="AY244" s="14"/>
      <c r="AZ244" s="14"/>
      <c r="BA244" s="14"/>
    </row>
    <row r="245" spans="2:53" ht="15.75" customHeight="1" x14ac:dyDescent="0.25">
      <c r="B245" s="9"/>
      <c r="C245" s="9"/>
      <c r="D245" s="13"/>
      <c r="E245" s="13"/>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AT245" s="14"/>
      <c r="AU245" s="14"/>
      <c r="AV245" s="14"/>
      <c r="AW245" s="14"/>
      <c r="AX245" s="14"/>
      <c r="AY245" s="14"/>
      <c r="AZ245" s="14"/>
      <c r="BA245" s="14"/>
    </row>
    <row r="246" spans="2:53" ht="15.75" customHeight="1" x14ac:dyDescent="0.25">
      <c r="B246" s="9"/>
      <c r="C246" s="9"/>
      <c r="D246" s="13"/>
      <c r="E246" s="13"/>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AT246" s="14"/>
      <c r="AU246" s="14"/>
      <c r="AV246" s="14"/>
      <c r="AW246" s="14"/>
      <c r="AX246" s="14"/>
      <c r="AY246" s="14"/>
      <c r="AZ246" s="14"/>
      <c r="BA246" s="14"/>
    </row>
    <row r="247" spans="2:53" ht="15.75" customHeight="1" x14ac:dyDescent="0.25">
      <c r="B247" s="9"/>
      <c r="C247" s="9"/>
      <c r="D247" s="13"/>
      <c r="E247" s="13"/>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AT247" s="14"/>
      <c r="AU247" s="14"/>
      <c r="AV247" s="14"/>
      <c r="AW247" s="14"/>
      <c r="AX247" s="14"/>
      <c r="AY247" s="14"/>
      <c r="AZ247" s="14"/>
      <c r="BA247" s="14"/>
    </row>
    <row r="248" spans="2:53" ht="15.75" customHeight="1" x14ac:dyDescent="0.25">
      <c r="B248" s="9"/>
      <c r="C248" s="9"/>
      <c r="D248" s="13"/>
      <c r="E248" s="13"/>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AT248" s="14"/>
      <c r="AU248" s="14"/>
      <c r="AV248" s="14"/>
      <c r="AW248" s="14"/>
      <c r="AX248" s="14"/>
      <c r="AY248" s="14"/>
      <c r="AZ248" s="14"/>
      <c r="BA248" s="14"/>
    </row>
    <row r="249" spans="2:53" ht="15.75" customHeight="1" x14ac:dyDescent="0.25">
      <c r="B249" s="9"/>
      <c r="C249" s="9"/>
      <c r="D249" s="13"/>
      <c r="E249" s="13"/>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c r="AZ249" s="14"/>
      <c r="BA249" s="14"/>
    </row>
    <row r="250" spans="2:53" ht="15.75" customHeight="1" x14ac:dyDescent="0.25">
      <c r="B250" s="9"/>
      <c r="C250" s="9"/>
      <c r="D250" s="13"/>
      <c r="E250" s="13"/>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AT250" s="14"/>
      <c r="AU250" s="14"/>
      <c r="AV250" s="14"/>
      <c r="AW250" s="14"/>
      <c r="AX250" s="14"/>
      <c r="AY250" s="14"/>
      <c r="AZ250" s="14"/>
      <c r="BA250" s="14"/>
    </row>
    <row r="251" spans="2:53" ht="15.75" customHeight="1" x14ac:dyDescent="0.25">
      <c r="B251" s="9"/>
      <c r="C251" s="9"/>
      <c r="D251" s="13"/>
      <c r="E251" s="13"/>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AT251" s="14"/>
      <c r="AU251" s="14"/>
      <c r="AV251" s="14"/>
      <c r="AW251" s="14"/>
      <c r="AX251" s="14"/>
      <c r="AY251" s="14"/>
      <c r="AZ251" s="14"/>
      <c r="BA251" s="14"/>
    </row>
    <row r="252" spans="2:53" ht="15.75" customHeight="1" x14ac:dyDescent="0.25">
      <c r="B252" s="9"/>
      <c r="C252" s="9"/>
      <c r="D252" s="13"/>
      <c r="E252" s="13"/>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AT252" s="14"/>
      <c r="AU252" s="14"/>
      <c r="AV252" s="14"/>
      <c r="AW252" s="14"/>
      <c r="AX252" s="14"/>
      <c r="AY252" s="14"/>
      <c r="AZ252" s="14"/>
      <c r="BA252" s="14"/>
    </row>
    <row r="253" spans="2:53" ht="15.75" customHeight="1" x14ac:dyDescent="0.25">
      <c r="B253" s="9"/>
      <c r="C253" s="9"/>
      <c r="D253" s="13"/>
      <c r="E253" s="13"/>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AT253" s="14"/>
      <c r="AU253" s="14"/>
      <c r="AV253" s="14"/>
      <c r="AW253" s="14"/>
      <c r="AX253" s="14"/>
      <c r="AY253" s="14"/>
      <c r="AZ253" s="14"/>
      <c r="BA253" s="14"/>
    </row>
    <row r="254" spans="2:53" ht="15.75" customHeight="1" x14ac:dyDescent="0.25">
      <c r="B254" s="9"/>
      <c r="C254" s="9"/>
      <c r="D254" s="13"/>
      <c r="E254" s="13"/>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AT254" s="14"/>
      <c r="AU254" s="14"/>
      <c r="AV254" s="14"/>
      <c r="AW254" s="14"/>
      <c r="AX254" s="14"/>
      <c r="AY254" s="14"/>
      <c r="AZ254" s="14"/>
      <c r="BA254" s="14"/>
    </row>
    <row r="255" spans="2:53" ht="15.75" customHeight="1" x14ac:dyDescent="0.25">
      <c r="B255" s="9"/>
      <c r="C255" s="9"/>
      <c r="D255" s="13"/>
      <c r="E255" s="13"/>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c r="AV255" s="14"/>
      <c r="AW255" s="14"/>
      <c r="AX255" s="14"/>
      <c r="AY255" s="14"/>
      <c r="AZ255" s="14"/>
      <c r="BA255" s="14"/>
    </row>
    <row r="256" spans="2:53" ht="15.75" customHeight="1" x14ac:dyDescent="0.25">
      <c r="B256" s="9"/>
      <c r="C256" s="9"/>
      <c r="D256" s="13"/>
      <c r="E256" s="13"/>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AT256" s="14"/>
      <c r="AU256" s="14"/>
      <c r="AV256" s="14"/>
      <c r="AW256" s="14"/>
      <c r="AX256" s="14"/>
      <c r="AY256" s="14"/>
      <c r="AZ256" s="14"/>
      <c r="BA256" s="14"/>
    </row>
    <row r="257" spans="2:53" ht="15.75" customHeight="1" x14ac:dyDescent="0.25">
      <c r="B257" s="9"/>
      <c r="C257" s="9"/>
      <c r="D257" s="13"/>
      <c r="E257" s="13"/>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c r="AV257" s="14"/>
      <c r="AW257" s="14"/>
      <c r="AX257" s="14"/>
      <c r="AY257" s="14"/>
      <c r="AZ257" s="14"/>
      <c r="BA257" s="14"/>
    </row>
    <row r="258" spans="2:53" ht="15.75" customHeight="1" x14ac:dyDescent="0.25">
      <c r="B258" s="9"/>
      <c r="C258" s="9"/>
      <c r="D258" s="13"/>
      <c r="E258" s="13"/>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c r="AY258" s="14"/>
      <c r="AZ258" s="14"/>
      <c r="BA258" s="14"/>
    </row>
    <row r="259" spans="2:53" ht="15.75" customHeight="1" x14ac:dyDescent="0.25">
      <c r="B259" s="9"/>
      <c r="C259" s="9"/>
      <c r="D259" s="13"/>
      <c r="E259" s="13"/>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AT259" s="14"/>
      <c r="AU259" s="14"/>
      <c r="AV259" s="14"/>
      <c r="AW259" s="14"/>
      <c r="AX259" s="14"/>
      <c r="AY259" s="14"/>
      <c r="AZ259" s="14"/>
      <c r="BA259" s="14"/>
    </row>
    <row r="260" spans="2:53" ht="15.75" customHeight="1" x14ac:dyDescent="0.25">
      <c r="B260" s="9"/>
      <c r="C260" s="9"/>
      <c r="D260" s="13"/>
      <c r="E260" s="13"/>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AU260" s="14"/>
      <c r="AV260" s="14"/>
      <c r="AW260" s="14"/>
      <c r="AX260" s="14"/>
      <c r="AY260" s="14"/>
      <c r="AZ260" s="14"/>
      <c r="BA260" s="14"/>
    </row>
    <row r="261" spans="2:53" ht="15.75" customHeight="1" x14ac:dyDescent="0.25">
      <c r="B261" s="9"/>
      <c r="C261" s="9"/>
      <c r="D261" s="13"/>
      <c r="E261" s="13"/>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AT261" s="14"/>
      <c r="AU261" s="14"/>
      <c r="AV261" s="14"/>
      <c r="AW261" s="14"/>
      <c r="AX261" s="14"/>
      <c r="AY261" s="14"/>
      <c r="AZ261" s="14"/>
      <c r="BA261" s="14"/>
    </row>
    <row r="262" spans="2:53" ht="15.75" customHeight="1" x14ac:dyDescent="0.25">
      <c r="B262" s="9"/>
      <c r="C262" s="9"/>
      <c r="D262" s="13"/>
      <c r="E262" s="13"/>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c r="AZ262" s="14"/>
      <c r="BA262" s="14"/>
    </row>
    <row r="263" spans="2:53" ht="15.75" customHeight="1" x14ac:dyDescent="0.25">
      <c r="B263" s="9"/>
      <c r="C263" s="9"/>
      <c r="D263" s="13"/>
      <c r="E263" s="13"/>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AT263" s="14"/>
      <c r="AU263" s="14"/>
      <c r="AV263" s="14"/>
      <c r="AW263" s="14"/>
      <c r="AX263" s="14"/>
      <c r="AY263" s="14"/>
      <c r="AZ263" s="14"/>
      <c r="BA263" s="14"/>
    </row>
    <row r="264" spans="2:53" ht="15.75" customHeight="1" x14ac:dyDescent="0.25">
      <c r="B264" s="9"/>
      <c r="C264" s="9"/>
      <c r="D264" s="13"/>
      <c r="E264" s="13"/>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AT264" s="14"/>
      <c r="AU264" s="14"/>
      <c r="AV264" s="14"/>
      <c r="AW264" s="14"/>
      <c r="AX264" s="14"/>
      <c r="AY264" s="14"/>
      <c r="AZ264" s="14"/>
      <c r="BA264" s="14"/>
    </row>
    <row r="265" spans="2:53" ht="15.75" customHeight="1" x14ac:dyDescent="0.25">
      <c r="B265" s="9"/>
      <c r="C265" s="9"/>
      <c r="D265" s="13"/>
      <c r="E265" s="13"/>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AT265" s="14"/>
      <c r="AU265" s="14"/>
      <c r="AV265" s="14"/>
      <c r="AW265" s="14"/>
      <c r="AX265" s="14"/>
      <c r="AY265" s="14"/>
      <c r="AZ265" s="14"/>
      <c r="BA265" s="14"/>
    </row>
    <row r="266" spans="2:53" ht="15.75" customHeight="1" x14ac:dyDescent="0.25">
      <c r="B266" s="9"/>
      <c r="C266" s="9"/>
      <c r="D266" s="13"/>
      <c r="E266" s="13"/>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AT266" s="14"/>
      <c r="AU266" s="14"/>
      <c r="AV266" s="14"/>
      <c r="AW266" s="14"/>
      <c r="AX266" s="14"/>
      <c r="AY266" s="14"/>
      <c r="AZ266" s="14"/>
      <c r="BA266" s="14"/>
    </row>
    <row r="267" spans="2:53" ht="15.75" customHeight="1" x14ac:dyDescent="0.25">
      <c r="B267" s="9"/>
      <c r="C267" s="9"/>
      <c r="D267" s="13"/>
      <c r="E267" s="13"/>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AT267" s="14"/>
      <c r="AU267" s="14"/>
      <c r="AV267" s="14"/>
      <c r="AW267" s="14"/>
      <c r="AX267" s="14"/>
      <c r="AY267" s="14"/>
      <c r="AZ267" s="14"/>
      <c r="BA267" s="14"/>
    </row>
    <row r="268" spans="2:53" ht="15.75" customHeight="1" x14ac:dyDescent="0.25">
      <c r="B268" s="9"/>
      <c r="C268" s="9"/>
      <c r="D268" s="13"/>
      <c r="E268" s="13"/>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AT268" s="14"/>
      <c r="AU268" s="14"/>
      <c r="AV268" s="14"/>
      <c r="AW268" s="14"/>
      <c r="AX268" s="14"/>
      <c r="AY268" s="14"/>
      <c r="AZ268" s="14"/>
      <c r="BA268" s="14"/>
    </row>
    <row r="269" spans="2:53" ht="15.75" customHeight="1" x14ac:dyDescent="0.25">
      <c r="B269" s="9"/>
      <c r="C269" s="9"/>
      <c r="D269" s="13"/>
      <c r="E269" s="13"/>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AT269" s="14"/>
      <c r="AU269" s="14"/>
      <c r="AV269" s="14"/>
      <c r="AW269" s="14"/>
      <c r="AX269" s="14"/>
      <c r="AY269" s="14"/>
      <c r="AZ269" s="14"/>
      <c r="BA269" s="14"/>
    </row>
    <row r="270" spans="2:53" ht="15.75" customHeight="1" x14ac:dyDescent="0.25">
      <c r="B270" s="9"/>
      <c r="C270" s="9"/>
      <c r="D270" s="13"/>
      <c r="E270" s="13"/>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AT270" s="14"/>
      <c r="AU270" s="14"/>
      <c r="AV270" s="14"/>
      <c r="AW270" s="14"/>
      <c r="AX270" s="14"/>
      <c r="AY270" s="14"/>
      <c r="AZ270" s="14"/>
      <c r="BA270" s="14"/>
    </row>
    <row r="271" spans="2:53" ht="15.75" customHeight="1" x14ac:dyDescent="0.25">
      <c r="B271" s="9"/>
      <c r="C271" s="9"/>
      <c r="D271" s="13"/>
      <c r="E271" s="13"/>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c r="AY271" s="14"/>
      <c r="AZ271" s="14"/>
      <c r="BA271" s="14"/>
    </row>
    <row r="272" spans="2:53" ht="15.75" customHeight="1" x14ac:dyDescent="0.25">
      <c r="B272" s="9"/>
      <c r="C272" s="9"/>
      <c r="D272" s="13"/>
      <c r="E272" s="13"/>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AT272" s="14"/>
      <c r="AU272" s="14"/>
      <c r="AV272" s="14"/>
      <c r="AW272" s="14"/>
      <c r="AX272" s="14"/>
      <c r="AY272" s="14"/>
      <c r="AZ272" s="14"/>
      <c r="BA272" s="14"/>
    </row>
    <row r="273" spans="2:53" ht="15.75" customHeight="1" x14ac:dyDescent="0.25">
      <c r="B273" s="9"/>
      <c r="C273" s="9"/>
      <c r="D273" s="13"/>
      <c r="E273" s="13"/>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AT273" s="14"/>
      <c r="AU273" s="14"/>
      <c r="AV273" s="14"/>
      <c r="AW273" s="14"/>
      <c r="AX273" s="14"/>
      <c r="AY273" s="14"/>
      <c r="AZ273" s="14"/>
      <c r="BA273" s="14"/>
    </row>
    <row r="274" spans="2:53" ht="15.75" customHeight="1" x14ac:dyDescent="0.25">
      <c r="B274" s="9"/>
      <c r="C274" s="9"/>
      <c r="D274" s="13"/>
      <c r="E274" s="13"/>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AT274" s="14"/>
      <c r="AU274" s="14"/>
      <c r="AV274" s="14"/>
      <c r="AW274" s="14"/>
      <c r="AX274" s="14"/>
      <c r="AY274" s="14"/>
      <c r="AZ274" s="14"/>
      <c r="BA274" s="14"/>
    </row>
    <row r="275" spans="2:53" ht="15.75" customHeight="1" x14ac:dyDescent="0.25">
      <c r="B275" s="9"/>
      <c r="C275" s="9"/>
      <c r="D275" s="13"/>
      <c r="E275" s="13"/>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c r="AZ275" s="14"/>
      <c r="BA275" s="14"/>
    </row>
    <row r="276" spans="2:53" ht="15.75" customHeight="1" x14ac:dyDescent="0.25">
      <c r="B276" s="9"/>
      <c r="C276" s="9"/>
      <c r="D276" s="13"/>
      <c r="E276" s="13"/>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AT276" s="14"/>
      <c r="AU276" s="14"/>
      <c r="AV276" s="14"/>
      <c r="AW276" s="14"/>
      <c r="AX276" s="14"/>
      <c r="AY276" s="14"/>
      <c r="AZ276" s="14"/>
      <c r="BA276" s="14"/>
    </row>
    <row r="277" spans="2:53" ht="15.75" customHeight="1" x14ac:dyDescent="0.25">
      <c r="B277" s="9"/>
      <c r="C277" s="9"/>
      <c r="D277" s="13"/>
      <c r="E277" s="13"/>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c r="AY277" s="14"/>
      <c r="AZ277" s="14"/>
      <c r="BA277" s="14"/>
    </row>
    <row r="278" spans="2:53" ht="15.75" customHeight="1" x14ac:dyDescent="0.25">
      <c r="B278" s="9"/>
      <c r="C278" s="9"/>
      <c r="D278" s="13"/>
      <c r="E278" s="13"/>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AT278" s="14"/>
      <c r="AU278" s="14"/>
      <c r="AV278" s="14"/>
      <c r="AW278" s="14"/>
      <c r="AX278" s="14"/>
      <c r="AY278" s="14"/>
      <c r="AZ278" s="14"/>
      <c r="BA278" s="14"/>
    </row>
    <row r="279" spans="2:53" ht="15.75" customHeight="1" x14ac:dyDescent="0.25">
      <c r="B279" s="9"/>
      <c r="C279" s="9"/>
      <c r="D279" s="13"/>
      <c r="E279" s="13"/>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AT279" s="14"/>
      <c r="AU279" s="14"/>
      <c r="AV279" s="14"/>
      <c r="AW279" s="14"/>
      <c r="AX279" s="14"/>
      <c r="AY279" s="14"/>
      <c r="AZ279" s="14"/>
      <c r="BA279" s="14"/>
    </row>
    <row r="280" spans="2:53" ht="15.75" customHeight="1" x14ac:dyDescent="0.25">
      <c r="B280" s="9"/>
      <c r="C280" s="9"/>
      <c r="D280" s="13"/>
      <c r="E280" s="13"/>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AT280" s="14"/>
      <c r="AU280" s="14"/>
      <c r="AV280" s="14"/>
      <c r="AW280" s="14"/>
      <c r="AX280" s="14"/>
      <c r="AY280" s="14"/>
      <c r="AZ280" s="14"/>
      <c r="BA280" s="14"/>
    </row>
    <row r="281" spans="2:53" ht="15.75" customHeight="1" x14ac:dyDescent="0.25">
      <c r="B281" s="9"/>
      <c r="C281" s="9"/>
      <c r="D281" s="13"/>
      <c r="E281" s="13"/>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AT281" s="14"/>
      <c r="AU281" s="14"/>
      <c r="AV281" s="14"/>
      <c r="AW281" s="14"/>
      <c r="AX281" s="14"/>
      <c r="AY281" s="14"/>
      <c r="AZ281" s="14"/>
      <c r="BA281" s="14"/>
    </row>
    <row r="282" spans="2:53" ht="15.75" customHeight="1" x14ac:dyDescent="0.25">
      <c r="B282" s="9"/>
      <c r="C282" s="9"/>
      <c r="D282" s="13"/>
      <c r="E282" s="13"/>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row>
    <row r="283" spans="2:53" ht="15.75" customHeight="1" x14ac:dyDescent="0.25">
      <c r="B283" s="9"/>
      <c r="C283" s="9"/>
      <c r="D283" s="13"/>
      <c r="E283" s="13"/>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row>
    <row r="284" spans="2:53" ht="15.75" customHeight="1" x14ac:dyDescent="0.25">
      <c r="B284" s="9"/>
      <c r="C284" s="9"/>
      <c r="D284" s="13"/>
      <c r="E284" s="13"/>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row>
    <row r="285" spans="2:53" ht="15.75" customHeight="1" x14ac:dyDescent="0.25">
      <c r="B285" s="9"/>
      <c r="C285" s="9"/>
      <c r="D285" s="13"/>
      <c r="E285" s="13"/>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row>
    <row r="286" spans="2:53" ht="15.75" customHeight="1" x14ac:dyDescent="0.25">
      <c r="B286" s="9"/>
      <c r="C286" s="9"/>
      <c r="D286" s="13"/>
      <c r="E286" s="13"/>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row>
    <row r="287" spans="2:53" ht="15.75" customHeight="1" x14ac:dyDescent="0.25">
      <c r="B287" s="9"/>
      <c r="C287" s="9"/>
      <c r="D287" s="13"/>
      <c r="E287" s="13"/>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row>
    <row r="288" spans="2:53" ht="15.75" customHeight="1" x14ac:dyDescent="0.25">
      <c r="B288" s="9"/>
      <c r="C288" s="9"/>
      <c r="D288" s="13"/>
      <c r="E288" s="13"/>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c r="AZ288" s="14"/>
      <c r="BA288" s="14"/>
    </row>
    <row r="289" spans="4:5" ht="15.75" customHeight="1" x14ac:dyDescent="0.25">
      <c r="D289" s="8"/>
      <c r="E289" s="8"/>
    </row>
    <row r="290" spans="4:5" ht="15.75" customHeight="1" x14ac:dyDescent="0.25">
      <c r="D290" s="8"/>
      <c r="E290" s="8"/>
    </row>
    <row r="291" spans="4:5" ht="15.75" customHeight="1" x14ac:dyDescent="0.25">
      <c r="D291" s="8"/>
      <c r="E291" s="8"/>
    </row>
    <row r="292" spans="4:5" ht="15.75" customHeight="1" x14ac:dyDescent="0.25">
      <c r="D292" s="8"/>
      <c r="E292" s="8"/>
    </row>
    <row r="293" spans="4:5" ht="15.75" customHeight="1" x14ac:dyDescent="0.25">
      <c r="D293" s="8"/>
      <c r="E293" s="8"/>
    </row>
    <row r="294" spans="4:5" ht="15.75" customHeight="1" x14ac:dyDescent="0.25">
      <c r="D294" s="8"/>
      <c r="E294" s="8"/>
    </row>
    <row r="295" spans="4:5" ht="15.75" customHeight="1" x14ac:dyDescent="0.25">
      <c r="D295" s="8"/>
      <c r="E295" s="8"/>
    </row>
    <row r="296" spans="4:5" ht="15.75" customHeight="1" x14ac:dyDescent="0.25">
      <c r="D296" s="8"/>
      <c r="E296" s="8"/>
    </row>
    <row r="297" spans="4:5" ht="15.75" customHeight="1" x14ac:dyDescent="0.25">
      <c r="D297" s="8"/>
      <c r="E297" s="8"/>
    </row>
    <row r="298" spans="4:5" ht="15.75" customHeight="1" x14ac:dyDescent="0.25">
      <c r="D298" s="8"/>
      <c r="E298" s="8"/>
    </row>
    <row r="299" spans="4:5" ht="15.75" customHeight="1" x14ac:dyDescent="0.25">
      <c r="D299" s="8"/>
      <c r="E299" s="8"/>
    </row>
    <row r="300" spans="4:5" ht="15.75" customHeight="1" x14ac:dyDescent="0.25">
      <c r="D300" s="8"/>
      <c r="E300" s="8"/>
    </row>
    <row r="301" spans="4:5" ht="15.75" customHeight="1" x14ac:dyDescent="0.25">
      <c r="D301" s="8"/>
      <c r="E301" s="8"/>
    </row>
    <row r="302" spans="4:5" ht="15.75" customHeight="1" x14ac:dyDescent="0.25">
      <c r="D302" s="8"/>
      <c r="E302" s="8"/>
    </row>
    <row r="303" spans="4:5" ht="15.75" customHeight="1" x14ac:dyDescent="0.25">
      <c r="D303" s="8"/>
      <c r="E303" s="8"/>
    </row>
    <row r="304" spans="4:5" ht="15.75" customHeight="1" x14ac:dyDescent="0.25">
      <c r="D304" s="8"/>
      <c r="E304" s="8"/>
    </row>
    <row r="305" spans="4:5" ht="15.75" customHeight="1" x14ac:dyDescent="0.25">
      <c r="D305" s="8"/>
      <c r="E305" s="8"/>
    </row>
    <row r="306" spans="4:5" ht="15.75" customHeight="1" x14ac:dyDescent="0.25">
      <c r="D306" s="8"/>
      <c r="E306" s="8"/>
    </row>
    <row r="307" spans="4:5" ht="15.75" customHeight="1" x14ac:dyDescent="0.25">
      <c r="D307" s="8"/>
      <c r="E307" s="8"/>
    </row>
    <row r="308" spans="4:5" ht="15.75" customHeight="1" x14ac:dyDescent="0.25">
      <c r="D308" s="8"/>
      <c r="E308" s="8"/>
    </row>
    <row r="309" spans="4:5" ht="15.75" customHeight="1" x14ac:dyDescent="0.25">
      <c r="D309" s="8"/>
      <c r="E309" s="8"/>
    </row>
    <row r="310" spans="4:5" ht="15.75" customHeight="1" x14ac:dyDescent="0.25">
      <c r="D310" s="8"/>
      <c r="E310" s="8"/>
    </row>
    <row r="311" spans="4:5" ht="15.75" customHeight="1" x14ac:dyDescent="0.25">
      <c r="D311" s="8"/>
      <c r="E311" s="8"/>
    </row>
    <row r="312" spans="4:5" ht="15.75" customHeight="1" x14ac:dyDescent="0.25">
      <c r="D312" s="8"/>
      <c r="E312" s="8"/>
    </row>
    <row r="313" spans="4:5" ht="15.75" customHeight="1" x14ac:dyDescent="0.25">
      <c r="D313" s="8"/>
      <c r="E313" s="8"/>
    </row>
    <row r="314" spans="4:5" ht="15.75" customHeight="1" x14ac:dyDescent="0.25">
      <c r="D314" s="8"/>
      <c r="E314" s="8"/>
    </row>
    <row r="315" spans="4:5" ht="15.75" customHeight="1" x14ac:dyDescent="0.25">
      <c r="D315" s="8"/>
      <c r="E315" s="8"/>
    </row>
    <row r="316" spans="4:5" ht="15.75" customHeight="1" x14ac:dyDescent="0.25">
      <c r="D316" s="8"/>
      <c r="E316" s="8"/>
    </row>
    <row r="317" spans="4:5" ht="15.75" customHeight="1" x14ac:dyDescent="0.25">
      <c r="D317" s="8"/>
      <c r="E317" s="8"/>
    </row>
    <row r="318" spans="4:5" ht="15.75" customHeight="1" x14ac:dyDescent="0.25">
      <c r="D318" s="8"/>
      <c r="E318" s="8"/>
    </row>
    <row r="319" spans="4:5" ht="15.75" customHeight="1" x14ac:dyDescent="0.25">
      <c r="D319" s="8"/>
      <c r="E319" s="8"/>
    </row>
    <row r="320" spans="4:5" ht="15.75" customHeight="1" x14ac:dyDescent="0.25">
      <c r="D320" s="8"/>
      <c r="E320" s="8"/>
    </row>
    <row r="321" spans="4:5" ht="15.75" customHeight="1" x14ac:dyDescent="0.25">
      <c r="D321" s="8"/>
      <c r="E321" s="8"/>
    </row>
    <row r="322" spans="4:5" ht="15.75" customHeight="1" x14ac:dyDescent="0.25">
      <c r="D322" s="8"/>
      <c r="E322" s="8"/>
    </row>
    <row r="323" spans="4:5" ht="15.75" customHeight="1" x14ac:dyDescent="0.25">
      <c r="D323" s="8"/>
      <c r="E323" s="8"/>
    </row>
    <row r="324" spans="4:5" ht="15.75" customHeight="1" x14ac:dyDescent="0.25">
      <c r="D324" s="8"/>
      <c r="E324" s="8"/>
    </row>
    <row r="325" spans="4:5" ht="15.75" customHeight="1" x14ac:dyDescent="0.25">
      <c r="D325" s="8"/>
      <c r="E325" s="8"/>
    </row>
    <row r="326" spans="4:5" ht="15.75" customHeight="1" x14ac:dyDescent="0.25">
      <c r="D326" s="8"/>
      <c r="E326" s="8"/>
    </row>
    <row r="327" spans="4:5" ht="15.75" customHeight="1" x14ac:dyDescent="0.25">
      <c r="D327" s="8"/>
      <c r="E327" s="8"/>
    </row>
    <row r="328" spans="4:5" ht="15.75" customHeight="1" x14ac:dyDescent="0.25">
      <c r="D328" s="8"/>
      <c r="E328" s="8"/>
    </row>
    <row r="329" spans="4:5" ht="15.75" customHeight="1" x14ac:dyDescent="0.25">
      <c r="D329" s="8"/>
      <c r="E329" s="8"/>
    </row>
    <row r="330" spans="4:5" ht="15.75" customHeight="1" x14ac:dyDescent="0.25">
      <c r="D330" s="8"/>
      <c r="E330" s="8"/>
    </row>
    <row r="331" spans="4:5" ht="15.75" customHeight="1" x14ac:dyDescent="0.25">
      <c r="D331" s="8"/>
      <c r="E331" s="8"/>
    </row>
    <row r="332" spans="4:5" ht="15.75" customHeight="1" x14ac:dyDescent="0.25">
      <c r="D332" s="8"/>
      <c r="E332" s="8"/>
    </row>
    <row r="333" spans="4:5" ht="15.75" customHeight="1" x14ac:dyDescent="0.25">
      <c r="D333" s="8"/>
      <c r="E333" s="8"/>
    </row>
    <row r="334" spans="4:5" ht="15.75" customHeight="1" x14ac:dyDescent="0.25">
      <c r="D334" s="8"/>
      <c r="E334" s="8"/>
    </row>
    <row r="335" spans="4:5" ht="15.75" customHeight="1" x14ac:dyDescent="0.25">
      <c r="D335" s="8"/>
      <c r="E335" s="8"/>
    </row>
    <row r="336" spans="4:5" ht="15.75" customHeight="1" x14ac:dyDescent="0.25">
      <c r="D336" s="8"/>
      <c r="E336" s="8"/>
    </row>
    <row r="337" spans="4:5" ht="15.75" customHeight="1" x14ac:dyDescent="0.25">
      <c r="D337" s="8"/>
      <c r="E337" s="8"/>
    </row>
    <row r="338" spans="4:5" ht="15.75" customHeight="1" x14ac:dyDescent="0.25">
      <c r="D338" s="8"/>
      <c r="E338" s="8"/>
    </row>
    <row r="339" spans="4:5" ht="15.75" customHeight="1" x14ac:dyDescent="0.25">
      <c r="D339" s="8"/>
      <c r="E339" s="8"/>
    </row>
    <row r="340" spans="4:5" ht="15.75" customHeight="1" x14ac:dyDescent="0.25">
      <c r="D340" s="8"/>
      <c r="E340" s="8"/>
    </row>
    <row r="341" spans="4:5" ht="15.75" customHeight="1" x14ac:dyDescent="0.25">
      <c r="D341" s="8"/>
      <c r="E341" s="8"/>
    </row>
    <row r="342" spans="4:5" ht="15.75" customHeight="1" x14ac:dyDescent="0.25">
      <c r="D342" s="8"/>
      <c r="E342" s="8"/>
    </row>
    <row r="343" spans="4:5" ht="15.75" customHeight="1" x14ac:dyDescent="0.25">
      <c r="D343" s="8"/>
      <c r="E343" s="8"/>
    </row>
    <row r="344" spans="4:5" ht="15.75" customHeight="1" x14ac:dyDescent="0.25">
      <c r="D344" s="8"/>
      <c r="E344" s="8"/>
    </row>
    <row r="345" spans="4:5" ht="15.75" customHeight="1" x14ac:dyDescent="0.25">
      <c r="D345" s="8"/>
      <c r="E345" s="8"/>
    </row>
    <row r="346" spans="4:5" ht="15.75" customHeight="1" x14ac:dyDescent="0.25">
      <c r="D346" s="8"/>
      <c r="E346" s="8"/>
    </row>
    <row r="347" spans="4:5" ht="15.75" customHeight="1" x14ac:dyDescent="0.25">
      <c r="D347" s="8"/>
      <c r="E347" s="8"/>
    </row>
    <row r="348" spans="4:5" ht="15.75" customHeight="1" x14ac:dyDescent="0.25">
      <c r="D348" s="8"/>
      <c r="E348" s="8"/>
    </row>
    <row r="349" spans="4:5" ht="15.75" customHeight="1" x14ac:dyDescent="0.25">
      <c r="D349" s="8"/>
      <c r="E349" s="8"/>
    </row>
    <row r="350" spans="4:5" ht="15.75" customHeight="1" x14ac:dyDescent="0.25">
      <c r="D350" s="8"/>
      <c r="E350" s="8"/>
    </row>
    <row r="351" spans="4:5" ht="15.75" customHeight="1" x14ac:dyDescent="0.25">
      <c r="D351" s="8"/>
      <c r="E351" s="8"/>
    </row>
    <row r="352" spans="4:5" ht="15.75" customHeight="1" x14ac:dyDescent="0.25">
      <c r="D352" s="8"/>
      <c r="E352" s="8"/>
    </row>
    <row r="353" spans="4:5" ht="15.75" customHeight="1" x14ac:dyDescent="0.25">
      <c r="D353" s="8"/>
      <c r="E353" s="8"/>
    </row>
    <row r="354" spans="4:5" ht="15.75" customHeight="1" x14ac:dyDescent="0.25">
      <c r="D354" s="8"/>
      <c r="E354" s="8"/>
    </row>
    <row r="355" spans="4:5" ht="15.75" customHeight="1" x14ac:dyDescent="0.25">
      <c r="D355" s="8"/>
      <c r="E355" s="8"/>
    </row>
    <row r="356" spans="4:5" ht="15.75" customHeight="1" x14ac:dyDescent="0.25">
      <c r="D356" s="8"/>
      <c r="E356" s="8"/>
    </row>
    <row r="357" spans="4:5" ht="15.75" customHeight="1" x14ac:dyDescent="0.25">
      <c r="D357" s="8"/>
      <c r="E357" s="8"/>
    </row>
    <row r="358" spans="4:5" ht="15.75" customHeight="1" x14ac:dyDescent="0.25">
      <c r="D358" s="8"/>
      <c r="E358" s="8"/>
    </row>
    <row r="359" spans="4:5" ht="15.75" customHeight="1" x14ac:dyDescent="0.25">
      <c r="D359" s="8"/>
      <c r="E359" s="8"/>
    </row>
    <row r="360" spans="4:5" ht="15.75" customHeight="1" x14ac:dyDescent="0.25">
      <c r="D360" s="8"/>
      <c r="E360" s="8"/>
    </row>
    <row r="361" spans="4:5" ht="15.75" customHeight="1" x14ac:dyDescent="0.25">
      <c r="D361" s="8"/>
      <c r="E361" s="8"/>
    </row>
    <row r="362" spans="4:5" ht="15.75" customHeight="1" x14ac:dyDescent="0.25">
      <c r="D362" s="8"/>
      <c r="E362" s="8"/>
    </row>
    <row r="363" spans="4:5" ht="15.75" customHeight="1" x14ac:dyDescent="0.25">
      <c r="D363" s="8"/>
      <c r="E363" s="8"/>
    </row>
    <row r="364" spans="4:5" ht="15.75" customHeight="1" x14ac:dyDescent="0.25">
      <c r="D364" s="8"/>
      <c r="E364" s="8"/>
    </row>
    <row r="365" spans="4:5" ht="15.75" customHeight="1" x14ac:dyDescent="0.25">
      <c r="D365" s="8"/>
      <c r="E365" s="8"/>
    </row>
    <row r="366" spans="4:5" ht="15.75" customHeight="1" x14ac:dyDescent="0.25">
      <c r="D366" s="8"/>
      <c r="E366" s="8"/>
    </row>
    <row r="367" spans="4:5" ht="15.75" customHeight="1" x14ac:dyDescent="0.25">
      <c r="D367" s="8"/>
      <c r="E367" s="8"/>
    </row>
    <row r="368" spans="4:5" ht="15.75" customHeight="1" x14ac:dyDescent="0.25">
      <c r="D368" s="8"/>
      <c r="E368" s="8"/>
    </row>
    <row r="369" spans="4:5" ht="15.75" customHeight="1" x14ac:dyDescent="0.25">
      <c r="D369" s="8"/>
      <c r="E369" s="8"/>
    </row>
    <row r="370" spans="4:5" ht="15.75" customHeight="1" x14ac:dyDescent="0.25">
      <c r="D370" s="8"/>
      <c r="E370" s="8"/>
    </row>
    <row r="371" spans="4:5" ht="15.75" customHeight="1" x14ac:dyDescent="0.25">
      <c r="D371" s="8"/>
      <c r="E371" s="8"/>
    </row>
    <row r="372" spans="4:5" ht="15.75" customHeight="1" x14ac:dyDescent="0.25">
      <c r="D372" s="8"/>
      <c r="E372" s="8"/>
    </row>
    <row r="373" spans="4:5" ht="15.75" customHeight="1" x14ac:dyDescent="0.25">
      <c r="D373" s="8"/>
      <c r="E373" s="8"/>
    </row>
    <row r="374" spans="4:5" ht="15.75" customHeight="1" x14ac:dyDescent="0.25">
      <c r="D374" s="8"/>
      <c r="E374" s="8"/>
    </row>
    <row r="375" spans="4:5" ht="15.75" customHeight="1" x14ac:dyDescent="0.25">
      <c r="D375" s="8"/>
      <c r="E375" s="8"/>
    </row>
    <row r="376" spans="4:5" ht="15.75" customHeight="1" x14ac:dyDescent="0.25">
      <c r="D376" s="8"/>
      <c r="E376" s="8"/>
    </row>
    <row r="377" spans="4:5" ht="15.75" customHeight="1" x14ac:dyDescent="0.25">
      <c r="D377" s="8"/>
      <c r="E377" s="8"/>
    </row>
    <row r="378" spans="4:5" ht="15.75" customHeight="1" x14ac:dyDescent="0.25">
      <c r="D378" s="8"/>
      <c r="E378" s="8"/>
    </row>
    <row r="379" spans="4:5" ht="15.75" customHeight="1" x14ac:dyDescent="0.25">
      <c r="D379" s="8"/>
      <c r="E379" s="8"/>
    </row>
    <row r="380" spans="4:5" ht="15.75" customHeight="1" x14ac:dyDescent="0.25">
      <c r="D380" s="8"/>
      <c r="E380" s="8"/>
    </row>
    <row r="381" spans="4:5" ht="15.75" customHeight="1" x14ac:dyDescent="0.25">
      <c r="D381" s="8"/>
      <c r="E381" s="8"/>
    </row>
    <row r="382" spans="4:5" ht="15.75" customHeight="1" x14ac:dyDescent="0.25">
      <c r="D382" s="8"/>
      <c r="E382" s="8"/>
    </row>
    <row r="383" spans="4:5" ht="15.75" customHeight="1" x14ac:dyDescent="0.25">
      <c r="D383" s="8"/>
      <c r="E383" s="8"/>
    </row>
    <row r="384" spans="4:5" ht="15.75" customHeight="1" x14ac:dyDescent="0.25">
      <c r="D384" s="8"/>
      <c r="E384" s="8"/>
    </row>
    <row r="385" spans="4:5" ht="15.75" customHeight="1" x14ac:dyDescent="0.25">
      <c r="D385" s="8"/>
      <c r="E385" s="8"/>
    </row>
    <row r="386" spans="4:5" ht="15.75" customHeight="1" x14ac:dyDescent="0.25">
      <c r="D386" s="8"/>
      <c r="E386" s="8"/>
    </row>
    <row r="387" spans="4:5" ht="15.75" customHeight="1" x14ac:dyDescent="0.25">
      <c r="D387" s="8"/>
      <c r="E387" s="8"/>
    </row>
    <row r="388" spans="4:5" ht="15.75" customHeight="1" x14ac:dyDescent="0.25">
      <c r="D388" s="8"/>
      <c r="E388" s="8"/>
    </row>
    <row r="389" spans="4:5" ht="15.75" customHeight="1" x14ac:dyDescent="0.25">
      <c r="D389" s="8"/>
      <c r="E389" s="8"/>
    </row>
    <row r="390" spans="4:5" ht="15.75" customHeight="1" x14ac:dyDescent="0.25">
      <c r="D390" s="8"/>
      <c r="E390" s="8"/>
    </row>
    <row r="391" spans="4:5" ht="15.75" customHeight="1" x14ac:dyDescent="0.25">
      <c r="D391" s="8"/>
      <c r="E391" s="8"/>
    </row>
    <row r="392" spans="4:5" ht="15.75" customHeight="1" x14ac:dyDescent="0.25">
      <c r="D392" s="8"/>
      <c r="E392" s="8"/>
    </row>
    <row r="393" spans="4:5" ht="15.75" customHeight="1" x14ac:dyDescent="0.25">
      <c r="D393" s="8"/>
      <c r="E393" s="8"/>
    </row>
    <row r="394" spans="4:5" ht="15.75" customHeight="1" x14ac:dyDescent="0.25">
      <c r="D394" s="8"/>
      <c r="E394" s="8"/>
    </row>
    <row r="395" spans="4:5" ht="15.75" customHeight="1" x14ac:dyDescent="0.25">
      <c r="D395" s="8"/>
      <c r="E395" s="8"/>
    </row>
    <row r="396" spans="4:5" ht="15.75" customHeight="1" x14ac:dyDescent="0.25">
      <c r="D396" s="8"/>
      <c r="E396" s="8"/>
    </row>
    <row r="397" spans="4:5" ht="15.75" customHeight="1" x14ac:dyDescent="0.25">
      <c r="D397" s="8"/>
      <c r="E397" s="8"/>
    </row>
    <row r="398" spans="4:5" ht="15.75" customHeight="1" x14ac:dyDescent="0.25">
      <c r="D398" s="8"/>
      <c r="E398" s="8"/>
    </row>
    <row r="399" spans="4:5" ht="15.75" customHeight="1" x14ac:dyDescent="0.25">
      <c r="D399" s="8"/>
      <c r="E399" s="8"/>
    </row>
    <row r="400" spans="4:5" ht="15.75" customHeight="1" x14ac:dyDescent="0.25">
      <c r="D400" s="8"/>
      <c r="E400" s="8"/>
    </row>
    <row r="401" spans="4:5" ht="15.75" customHeight="1" x14ac:dyDescent="0.25">
      <c r="D401" s="8"/>
      <c r="E401" s="8"/>
    </row>
    <row r="402" spans="4:5" ht="15.75" customHeight="1" x14ac:dyDescent="0.25">
      <c r="D402" s="8"/>
      <c r="E402" s="8"/>
    </row>
    <row r="403" spans="4:5" ht="15.75" customHeight="1" x14ac:dyDescent="0.25">
      <c r="D403" s="8"/>
      <c r="E403" s="8"/>
    </row>
    <row r="404" spans="4:5" ht="15.75" customHeight="1" x14ac:dyDescent="0.25">
      <c r="D404" s="8"/>
      <c r="E404" s="8"/>
    </row>
    <row r="405" spans="4:5" ht="15.75" customHeight="1" x14ac:dyDescent="0.25">
      <c r="D405" s="8"/>
      <c r="E405" s="8"/>
    </row>
    <row r="406" spans="4:5" ht="15.75" customHeight="1" x14ac:dyDescent="0.25">
      <c r="D406" s="8"/>
      <c r="E406" s="8"/>
    </row>
    <row r="407" spans="4:5" ht="15.75" customHeight="1" x14ac:dyDescent="0.25">
      <c r="D407" s="8"/>
      <c r="E407" s="8"/>
    </row>
    <row r="408" spans="4:5" ht="15.75" customHeight="1" x14ac:dyDescent="0.25">
      <c r="D408" s="8"/>
      <c r="E408" s="8"/>
    </row>
    <row r="409" spans="4:5" ht="15.75" customHeight="1" x14ac:dyDescent="0.25">
      <c r="D409" s="8"/>
      <c r="E409" s="8"/>
    </row>
    <row r="410" spans="4:5" ht="15.75" customHeight="1" x14ac:dyDescent="0.25">
      <c r="D410" s="8"/>
      <c r="E410" s="8"/>
    </row>
    <row r="411" spans="4:5" ht="15.75" customHeight="1" x14ac:dyDescent="0.25">
      <c r="D411" s="8"/>
      <c r="E411" s="8"/>
    </row>
    <row r="412" spans="4:5" ht="15.75" customHeight="1" x14ac:dyDescent="0.25">
      <c r="D412" s="8"/>
      <c r="E412" s="8"/>
    </row>
    <row r="413" spans="4:5" ht="15.75" customHeight="1" x14ac:dyDescent="0.25">
      <c r="D413" s="8"/>
      <c r="E413" s="8"/>
    </row>
    <row r="414" spans="4:5" ht="15.75" customHeight="1" x14ac:dyDescent="0.25">
      <c r="D414" s="8"/>
      <c r="E414" s="8"/>
    </row>
    <row r="415" spans="4:5" ht="15.75" customHeight="1" x14ac:dyDescent="0.25">
      <c r="D415" s="8"/>
      <c r="E415" s="8"/>
    </row>
    <row r="416" spans="4:5" ht="15.75" customHeight="1" x14ac:dyDescent="0.25">
      <c r="D416" s="8"/>
      <c r="E416" s="8"/>
    </row>
    <row r="417" spans="4:5" ht="15.75" customHeight="1" x14ac:dyDescent="0.25">
      <c r="D417" s="8"/>
      <c r="E417" s="8"/>
    </row>
    <row r="418" spans="4:5" ht="15.75" customHeight="1" x14ac:dyDescent="0.25">
      <c r="D418" s="8"/>
      <c r="E418" s="8"/>
    </row>
    <row r="419" spans="4:5" ht="15.75" customHeight="1" x14ac:dyDescent="0.25">
      <c r="D419" s="8"/>
      <c r="E419" s="8"/>
    </row>
    <row r="420" spans="4:5" ht="15.75" customHeight="1" x14ac:dyDescent="0.25">
      <c r="D420" s="8"/>
      <c r="E420" s="8"/>
    </row>
    <row r="421" spans="4:5" ht="15.75" customHeight="1" x14ac:dyDescent="0.25">
      <c r="D421" s="8"/>
      <c r="E421" s="8"/>
    </row>
    <row r="422" spans="4:5" ht="15.75" customHeight="1" x14ac:dyDescent="0.25">
      <c r="D422" s="8"/>
      <c r="E422" s="8"/>
    </row>
    <row r="423" spans="4:5" ht="15.75" customHeight="1" x14ac:dyDescent="0.25">
      <c r="D423" s="8"/>
      <c r="E423" s="8"/>
    </row>
    <row r="424" spans="4:5" ht="15.75" customHeight="1" x14ac:dyDescent="0.25">
      <c r="D424" s="8"/>
      <c r="E424" s="8"/>
    </row>
    <row r="425" spans="4:5" ht="15.75" customHeight="1" x14ac:dyDescent="0.25">
      <c r="D425" s="8"/>
      <c r="E425" s="8"/>
    </row>
    <row r="426" spans="4:5" ht="15.75" customHeight="1" x14ac:dyDescent="0.25">
      <c r="D426" s="8"/>
      <c r="E426" s="8"/>
    </row>
    <row r="427" spans="4:5" ht="15.75" customHeight="1" x14ac:dyDescent="0.25">
      <c r="D427" s="8"/>
      <c r="E427" s="8"/>
    </row>
    <row r="428" spans="4:5" ht="15.75" customHeight="1" x14ac:dyDescent="0.25">
      <c r="D428" s="8"/>
      <c r="E428" s="8"/>
    </row>
    <row r="429" spans="4:5" ht="15.75" customHeight="1" x14ac:dyDescent="0.25">
      <c r="D429" s="8"/>
      <c r="E429" s="8"/>
    </row>
    <row r="430" spans="4:5" ht="15.75" customHeight="1" x14ac:dyDescent="0.25">
      <c r="D430" s="8"/>
      <c r="E430" s="8"/>
    </row>
    <row r="431" spans="4:5" ht="15.75" customHeight="1" x14ac:dyDescent="0.25">
      <c r="D431" s="8"/>
      <c r="E431" s="8"/>
    </row>
    <row r="432" spans="4:5" ht="15.75" customHeight="1" x14ac:dyDescent="0.25">
      <c r="D432" s="8"/>
      <c r="E432" s="8"/>
    </row>
    <row r="433" spans="4:5" ht="15.75" customHeight="1" x14ac:dyDescent="0.25">
      <c r="D433" s="8"/>
      <c r="E433" s="8"/>
    </row>
    <row r="434" spans="4:5" ht="15.75" customHeight="1" x14ac:dyDescent="0.25">
      <c r="D434" s="8"/>
      <c r="E434" s="8"/>
    </row>
    <row r="435" spans="4:5" ht="15.75" customHeight="1" x14ac:dyDescent="0.25">
      <c r="D435" s="8"/>
      <c r="E435" s="8"/>
    </row>
    <row r="436" spans="4:5" ht="15.75" customHeight="1" x14ac:dyDescent="0.25">
      <c r="D436" s="8"/>
      <c r="E436" s="8"/>
    </row>
    <row r="437" spans="4:5" ht="15.75" customHeight="1" x14ac:dyDescent="0.25">
      <c r="D437" s="8"/>
      <c r="E437" s="8"/>
    </row>
    <row r="438" spans="4:5" ht="15.75" customHeight="1" x14ac:dyDescent="0.25">
      <c r="D438" s="8"/>
      <c r="E438" s="8"/>
    </row>
    <row r="439" spans="4:5" ht="15.75" customHeight="1" x14ac:dyDescent="0.25">
      <c r="D439" s="8"/>
      <c r="E439" s="8"/>
    </row>
    <row r="440" spans="4:5" ht="15.75" customHeight="1" x14ac:dyDescent="0.25">
      <c r="D440" s="8"/>
      <c r="E440" s="8"/>
    </row>
    <row r="441" spans="4:5" ht="15.75" customHeight="1" x14ac:dyDescent="0.25">
      <c r="D441" s="8"/>
      <c r="E441" s="8"/>
    </row>
    <row r="442" spans="4:5" ht="15.75" customHeight="1" x14ac:dyDescent="0.25">
      <c r="D442" s="8"/>
      <c r="E442" s="8"/>
    </row>
    <row r="443" spans="4:5" ht="15.75" customHeight="1" x14ac:dyDescent="0.25">
      <c r="D443" s="8"/>
      <c r="E443" s="8"/>
    </row>
    <row r="444" spans="4:5" ht="15.75" customHeight="1" x14ac:dyDescent="0.25">
      <c r="D444" s="8"/>
      <c r="E444" s="8"/>
    </row>
    <row r="445" spans="4:5" ht="15.75" customHeight="1" x14ac:dyDescent="0.25">
      <c r="D445" s="8"/>
      <c r="E445" s="8"/>
    </row>
    <row r="446" spans="4:5" ht="15.75" customHeight="1" x14ac:dyDescent="0.25">
      <c r="D446" s="8"/>
      <c r="E446" s="8"/>
    </row>
    <row r="447" spans="4:5" ht="15.75" customHeight="1" x14ac:dyDescent="0.25">
      <c r="D447" s="8"/>
      <c r="E447" s="8"/>
    </row>
    <row r="448" spans="4:5" ht="15.75" customHeight="1" x14ac:dyDescent="0.25">
      <c r="D448" s="8"/>
      <c r="E448" s="8"/>
    </row>
    <row r="449" spans="4:5" ht="15.75" customHeight="1" x14ac:dyDescent="0.25">
      <c r="D449" s="8"/>
      <c r="E449" s="8"/>
    </row>
    <row r="450" spans="4:5" ht="15.75" customHeight="1" x14ac:dyDescent="0.25">
      <c r="D450" s="8"/>
      <c r="E450" s="8"/>
    </row>
    <row r="451" spans="4:5" ht="15.75" customHeight="1" x14ac:dyDescent="0.25">
      <c r="D451" s="8"/>
      <c r="E451" s="8"/>
    </row>
    <row r="452" spans="4:5" ht="15.75" customHeight="1" x14ac:dyDescent="0.25">
      <c r="D452" s="8"/>
      <c r="E452" s="8"/>
    </row>
    <row r="453" spans="4:5" ht="15.75" customHeight="1" x14ac:dyDescent="0.25">
      <c r="D453" s="8"/>
      <c r="E453" s="8"/>
    </row>
    <row r="454" spans="4:5" ht="15.75" customHeight="1" x14ac:dyDescent="0.25">
      <c r="D454" s="8"/>
      <c r="E454" s="8"/>
    </row>
    <row r="455" spans="4:5" ht="15.75" customHeight="1" x14ac:dyDescent="0.25">
      <c r="D455" s="8"/>
      <c r="E455" s="8"/>
    </row>
    <row r="456" spans="4:5" ht="15.75" customHeight="1" x14ac:dyDescent="0.25">
      <c r="D456" s="8"/>
      <c r="E456" s="8"/>
    </row>
    <row r="457" spans="4:5" ht="15.75" customHeight="1" x14ac:dyDescent="0.25">
      <c r="D457" s="8"/>
      <c r="E457" s="8"/>
    </row>
    <row r="458" spans="4:5" ht="15.75" customHeight="1" x14ac:dyDescent="0.25">
      <c r="D458" s="8"/>
      <c r="E458" s="8"/>
    </row>
    <row r="459" spans="4:5" ht="15.75" customHeight="1" x14ac:dyDescent="0.25">
      <c r="D459" s="8"/>
      <c r="E459" s="8"/>
    </row>
    <row r="460" spans="4:5" ht="15.75" customHeight="1" x14ac:dyDescent="0.25">
      <c r="D460" s="8"/>
      <c r="E460" s="8"/>
    </row>
    <row r="461" spans="4:5" ht="15.75" customHeight="1" x14ac:dyDescent="0.25">
      <c r="D461" s="8"/>
      <c r="E461" s="8"/>
    </row>
    <row r="462" spans="4:5" ht="15.75" customHeight="1" x14ac:dyDescent="0.25">
      <c r="D462" s="8"/>
      <c r="E462" s="8"/>
    </row>
    <row r="463" spans="4:5" ht="15.75" customHeight="1" x14ac:dyDescent="0.25">
      <c r="D463" s="8"/>
      <c r="E463" s="8"/>
    </row>
    <row r="464" spans="4:5" ht="15.75" customHeight="1" x14ac:dyDescent="0.25">
      <c r="D464" s="8"/>
      <c r="E464" s="8"/>
    </row>
    <row r="465" spans="4:5" ht="15.75" customHeight="1" x14ac:dyDescent="0.25">
      <c r="D465" s="8"/>
      <c r="E465" s="8"/>
    </row>
    <row r="466" spans="4:5" ht="15.75" customHeight="1" x14ac:dyDescent="0.25">
      <c r="D466" s="8"/>
      <c r="E466" s="8"/>
    </row>
    <row r="467" spans="4:5" ht="15.75" customHeight="1" x14ac:dyDescent="0.25">
      <c r="D467" s="8"/>
      <c r="E467" s="8"/>
    </row>
    <row r="468" spans="4:5" ht="15.75" customHeight="1" x14ac:dyDescent="0.25">
      <c r="D468" s="8"/>
      <c r="E468" s="8"/>
    </row>
    <row r="469" spans="4:5" ht="15.75" customHeight="1" x14ac:dyDescent="0.25">
      <c r="D469" s="8"/>
      <c r="E469" s="8"/>
    </row>
    <row r="470" spans="4:5" ht="15.75" customHeight="1" x14ac:dyDescent="0.25">
      <c r="D470" s="8"/>
      <c r="E470" s="8"/>
    </row>
    <row r="471" spans="4:5" ht="15.75" customHeight="1" x14ac:dyDescent="0.25">
      <c r="D471" s="8"/>
      <c r="E471" s="8"/>
    </row>
    <row r="472" spans="4:5" ht="15.75" customHeight="1" x14ac:dyDescent="0.25">
      <c r="D472" s="8"/>
      <c r="E472" s="8"/>
    </row>
    <row r="473" spans="4:5" ht="15.75" customHeight="1" x14ac:dyDescent="0.25">
      <c r="D473" s="8"/>
      <c r="E473" s="8"/>
    </row>
    <row r="474" spans="4:5" ht="15.75" customHeight="1" x14ac:dyDescent="0.25">
      <c r="D474" s="8"/>
      <c r="E474" s="8"/>
    </row>
    <row r="475" spans="4:5" ht="15.75" customHeight="1" x14ac:dyDescent="0.25">
      <c r="D475" s="8"/>
      <c r="E475" s="8"/>
    </row>
    <row r="476" spans="4:5" ht="15.75" customHeight="1" x14ac:dyDescent="0.25">
      <c r="D476" s="8"/>
      <c r="E476" s="8"/>
    </row>
    <row r="477" spans="4:5" ht="15.75" customHeight="1" x14ac:dyDescent="0.25">
      <c r="D477" s="8"/>
      <c r="E477" s="8"/>
    </row>
    <row r="478" spans="4:5" ht="15.75" customHeight="1" x14ac:dyDescent="0.25">
      <c r="D478" s="8"/>
      <c r="E478" s="8"/>
    </row>
    <row r="479" spans="4:5" ht="15.75" customHeight="1" x14ac:dyDescent="0.25">
      <c r="D479" s="8"/>
      <c r="E479" s="8"/>
    </row>
    <row r="480" spans="4:5" ht="15.75" customHeight="1" x14ac:dyDescent="0.25">
      <c r="D480" s="8"/>
      <c r="E480" s="8"/>
    </row>
    <row r="481" spans="4:5" ht="15.75" customHeight="1" x14ac:dyDescent="0.25">
      <c r="D481" s="8"/>
      <c r="E481" s="8"/>
    </row>
    <row r="482" spans="4:5" ht="15.75" customHeight="1" x14ac:dyDescent="0.25">
      <c r="D482" s="8"/>
      <c r="E482" s="8"/>
    </row>
    <row r="483" spans="4:5" ht="15.75" customHeight="1" x14ac:dyDescent="0.25">
      <c r="D483" s="8"/>
      <c r="E483" s="8"/>
    </row>
    <row r="484" spans="4:5" ht="15.75" customHeight="1" x14ac:dyDescent="0.25">
      <c r="D484" s="8"/>
      <c r="E484" s="8"/>
    </row>
    <row r="485" spans="4:5" ht="15.75" customHeight="1" x14ac:dyDescent="0.25">
      <c r="D485" s="8"/>
      <c r="E485" s="8"/>
    </row>
    <row r="486" spans="4:5" ht="15.75" customHeight="1" x14ac:dyDescent="0.25">
      <c r="D486" s="8"/>
      <c r="E486" s="8"/>
    </row>
    <row r="487" spans="4:5" ht="15.75" customHeight="1" x14ac:dyDescent="0.25">
      <c r="D487" s="8"/>
      <c r="E487" s="8"/>
    </row>
    <row r="488" spans="4:5" ht="15.75" customHeight="1" x14ac:dyDescent="0.25">
      <c r="D488" s="8"/>
      <c r="E488" s="8"/>
    </row>
    <row r="489" spans="4:5" ht="15.75" customHeight="1" x14ac:dyDescent="0.25">
      <c r="D489" s="8"/>
      <c r="E489" s="8"/>
    </row>
    <row r="490" spans="4:5" ht="15.75" customHeight="1" x14ac:dyDescent="0.25">
      <c r="D490" s="8"/>
      <c r="E490" s="8"/>
    </row>
    <row r="491" spans="4:5" ht="15.75" customHeight="1" x14ac:dyDescent="0.25">
      <c r="D491" s="8"/>
      <c r="E491" s="8"/>
    </row>
    <row r="492" spans="4:5" ht="15.75" customHeight="1" x14ac:dyDescent="0.25">
      <c r="D492" s="8"/>
      <c r="E492" s="8"/>
    </row>
    <row r="493" spans="4:5" ht="15.75" customHeight="1" x14ac:dyDescent="0.25">
      <c r="D493" s="8"/>
      <c r="E493" s="8"/>
    </row>
    <row r="494" spans="4:5" ht="15.75" customHeight="1" x14ac:dyDescent="0.25">
      <c r="D494" s="8"/>
      <c r="E494" s="8"/>
    </row>
    <row r="495" spans="4:5" ht="15.75" customHeight="1" x14ac:dyDescent="0.25">
      <c r="D495" s="8"/>
      <c r="E495" s="8"/>
    </row>
    <row r="496" spans="4:5" ht="15.75" customHeight="1" x14ac:dyDescent="0.25">
      <c r="D496" s="8"/>
      <c r="E496" s="8"/>
    </row>
    <row r="497" spans="4:5" ht="15.75" customHeight="1" x14ac:dyDescent="0.25">
      <c r="D497" s="8"/>
      <c r="E497" s="8"/>
    </row>
    <row r="498" spans="4:5" ht="15.75" customHeight="1" x14ac:dyDescent="0.25">
      <c r="D498" s="8"/>
      <c r="E498" s="8"/>
    </row>
    <row r="499" spans="4:5" ht="15.75" customHeight="1" x14ac:dyDescent="0.25">
      <c r="D499" s="8"/>
      <c r="E499" s="8"/>
    </row>
    <row r="500" spans="4:5" ht="15.75" customHeight="1" x14ac:dyDescent="0.25">
      <c r="D500" s="8"/>
      <c r="E500" s="8"/>
    </row>
    <row r="501" spans="4:5" ht="15.75" customHeight="1" x14ac:dyDescent="0.25">
      <c r="D501" s="8"/>
      <c r="E501" s="8"/>
    </row>
    <row r="502" spans="4:5" ht="15.75" customHeight="1" x14ac:dyDescent="0.25">
      <c r="D502" s="8"/>
      <c r="E502" s="8"/>
    </row>
    <row r="503" spans="4:5" ht="15.75" customHeight="1" x14ac:dyDescent="0.25">
      <c r="D503" s="8"/>
      <c r="E503" s="8"/>
    </row>
    <row r="504" spans="4:5" ht="15.75" customHeight="1" x14ac:dyDescent="0.25">
      <c r="D504" s="8"/>
      <c r="E504" s="8"/>
    </row>
    <row r="505" spans="4:5" ht="15.75" customHeight="1" x14ac:dyDescent="0.25">
      <c r="D505" s="8"/>
      <c r="E505" s="8"/>
    </row>
    <row r="506" spans="4:5" ht="15.75" customHeight="1" x14ac:dyDescent="0.25">
      <c r="D506" s="8"/>
      <c r="E506" s="8"/>
    </row>
    <row r="507" spans="4:5" ht="15.75" customHeight="1" x14ac:dyDescent="0.25">
      <c r="D507" s="8"/>
      <c r="E507" s="8"/>
    </row>
    <row r="508" spans="4:5" ht="15.75" customHeight="1" x14ac:dyDescent="0.25">
      <c r="D508" s="8"/>
      <c r="E508" s="8"/>
    </row>
    <row r="509" spans="4:5" ht="15.75" customHeight="1" x14ac:dyDescent="0.25">
      <c r="D509" s="8"/>
      <c r="E509" s="8"/>
    </row>
    <row r="510" spans="4:5" ht="15.75" customHeight="1" x14ac:dyDescent="0.25">
      <c r="D510" s="8"/>
      <c r="E510" s="8"/>
    </row>
    <row r="511" spans="4:5" ht="15.75" customHeight="1" x14ac:dyDescent="0.25">
      <c r="D511" s="8"/>
      <c r="E511" s="8"/>
    </row>
    <row r="512" spans="4:5" ht="15.75" customHeight="1" x14ac:dyDescent="0.25">
      <c r="D512" s="8"/>
      <c r="E512" s="8"/>
    </row>
    <row r="513" spans="4:5" ht="15.75" customHeight="1" x14ac:dyDescent="0.25">
      <c r="D513" s="8"/>
      <c r="E513" s="8"/>
    </row>
    <row r="514" spans="4:5" ht="15.75" customHeight="1" x14ac:dyDescent="0.25">
      <c r="D514" s="8"/>
      <c r="E514" s="8"/>
    </row>
    <row r="515" spans="4:5" ht="15.75" customHeight="1" x14ac:dyDescent="0.25">
      <c r="D515" s="8"/>
      <c r="E515" s="8"/>
    </row>
    <row r="516" spans="4:5" ht="15.75" customHeight="1" x14ac:dyDescent="0.25">
      <c r="D516" s="8"/>
      <c r="E516" s="8"/>
    </row>
    <row r="517" spans="4:5" ht="15.75" customHeight="1" x14ac:dyDescent="0.25">
      <c r="D517" s="8"/>
      <c r="E517" s="8"/>
    </row>
    <row r="518" spans="4:5" ht="15.75" customHeight="1" x14ac:dyDescent="0.25">
      <c r="D518" s="8"/>
      <c r="E518" s="8"/>
    </row>
    <row r="519" spans="4:5" ht="15.75" customHeight="1" x14ac:dyDescent="0.25">
      <c r="D519" s="8"/>
      <c r="E519" s="8"/>
    </row>
    <row r="520" spans="4:5" ht="15.75" customHeight="1" x14ac:dyDescent="0.25">
      <c r="D520" s="8"/>
      <c r="E520" s="8"/>
    </row>
    <row r="521" spans="4:5" ht="15.75" customHeight="1" x14ac:dyDescent="0.25">
      <c r="D521" s="8"/>
      <c r="E521" s="8"/>
    </row>
    <row r="522" spans="4:5" ht="15.75" customHeight="1" x14ac:dyDescent="0.25">
      <c r="D522" s="8"/>
      <c r="E522" s="8"/>
    </row>
    <row r="523" spans="4:5" ht="15.75" customHeight="1" x14ac:dyDescent="0.25">
      <c r="D523" s="8"/>
      <c r="E523" s="8"/>
    </row>
    <row r="524" spans="4:5" ht="15.75" customHeight="1" x14ac:dyDescent="0.25">
      <c r="D524" s="8"/>
      <c r="E524" s="8"/>
    </row>
    <row r="525" spans="4:5" ht="15.75" customHeight="1" x14ac:dyDescent="0.25">
      <c r="D525" s="8"/>
      <c r="E525" s="8"/>
    </row>
    <row r="526" spans="4:5" ht="15.75" customHeight="1" x14ac:dyDescent="0.25">
      <c r="D526" s="8"/>
      <c r="E526" s="8"/>
    </row>
    <row r="527" spans="4:5" ht="15.75" customHeight="1" x14ac:dyDescent="0.25">
      <c r="D527" s="8"/>
      <c r="E527" s="8"/>
    </row>
    <row r="528" spans="4:5" ht="15.75" customHeight="1" x14ac:dyDescent="0.25">
      <c r="D528" s="8"/>
      <c r="E528" s="8"/>
    </row>
    <row r="529" spans="4:5" ht="15.75" customHeight="1" x14ac:dyDescent="0.25">
      <c r="D529" s="8"/>
      <c r="E529" s="8"/>
    </row>
    <row r="530" spans="4:5" ht="15.75" customHeight="1" x14ac:dyDescent="0.25">
      <c r="D530" s="8"/>
      <c r="E530" s="8"/>
    </row>
    <row r="531" spans="4:5" ht="15.75" customHeight="1" x14ac:dyDescent="0.25">
      <c r="D531" s="8"/>
      <c r="E531" s="8"/>
    </row>
    <row r="532" spans="4:5" ht="15.75" customHeight="1" x14ac:dyDescent="0.25">
      <c r="D532" s="8"/>
      <c r="E532" s="8"/>
    </row>
    <row r="533" spans="4:5" ht="15.75" customHeight="1" x14ac:dyDescent="0.25">
      <c r="D533" s="8"/>
      <c r="E533" s="8"/>
    </row>
    <row r="534" spans="4:5" ht="15.75" customHeight="1" x14ac:dyDescent="0.25">
      <c r="D534" s="8"/>
      <c r="E534" s="8"/>
    </row>
    <row r="535" spans="4:5" ht="15.75" customHeight="1" x14ac:dyDescent="0.25">
      <c r="D535" s="8"/>
      <c r="E535" s="8"/>
    </row>
    <row r="536" spans="4:5" ht="15.75" customHeight="1" x14ac:dyDescent="0.25">
      <c r="D536" s="8"/>
      <c r="E536" s="8"/>
    </row>
    <row r="537" spans="4:5" ht="15.75" customHeight="1" x14ac:dyDescent="0.25">
      <c r="D537" s="8"/>
      <c r="E537" s="8"/>
    </row>
    <row r="538" spans="4:5" ht="15.75" customHeight="1" x14ac:dyDescent="0.25">
      <c r="D538" s="8"/>
      <c r="E538" s="8"/>
    </row>
    <row r="539" spans="4:5" ht="15.75" customHeight="1" x14ac:dyDescent="0.25">
      <c r="D539" s="8"/>
      <c r="E539" s="8"/>
    </row>
    <row r="540" spans="4:5" ht="15.75" customHeight="1" x14ac:dyDescent="0.25">
      <c r="D540" s="8"/>
      <c r="E540" s="8"/>
    </row>
    <row r="541" spans="4:5" ht="15.75" customHeight="1" x14ac:dyDescent="0.25">
      <c r="D541" s="8"/>
      <c r="E541" s="8"/>
    </row>
    <row r="542" spans="4:5" ht="15.75" customHeight="1" x14ac:dyDescent="0.25">
      <c r="D542" s="8"/>
      <c r="E542" s="8"/>
    </row>
    <row r="543" spans="4:5" ht="15.75" customHeight="1" x14ac:dyDescent="0.25">
      <c r="D543" s="8"/>
      <c r="E543" s="8"/>
    </row>
    <row r="544" spans="4:5" ht="15.75" customHeight="1" x14ac:dyDescent="0.25">
      <c r="D544" s="8"/>
      <c r="E544" s="8"/>
    </row>
    <row r="545" spans="4:5" ht="15.75" customHeight="1" x14ac:dyDescent="0.25">
      <c r="D545" s="8"/>
      <c r="E545" s="8"/>
    </row>
    <row r="546" spans="4:5" ht="15.75" customHeight="1" x14ac:dyDescent="0.25">
      <c r="D546" s="8"/>
      <c r="E546" s="8"/>
    </row>
    <row r="547" spans="4:5" ht="15.75" customHeight="1" x14ac:dyDescent="0.25">
      <c r="D547" s="8"/>
      <c r="E547" s="8"/>
    </row>
    <row r="548" spans="4:5" ht="15.75" customHeight="1" x14ac:dyDescent="0.25">
      <c r="D548" s="8"/>
      <c r="E548" s="8"/>
    </row>
    <row r="549" spans="4:5" ht="15.75" customHeight="1" x14ac:dyDescent="0.25">
      <c r="D549" s="8"/>
      <c r="E549" s="8"/>
    </row>
    <row r="550" spans="4:5" ht="15.75" customHeight="1" x14ac:dyDescent="0.25">
      <c r="D550" s="8"/>
      <c r="E550" s="8"/>
    </row>
    <row r="551" spans="4:5" ht="15.75" customHeight="1" x14ac:dyDescent="0.25">
      <c r="D551" s="8"/>
      <c r="E551" s="8"/>
    </row>
    <row r="552" spans="4:5" ht="15.75" customHeight="1" x14ac:dyDescent="0.25">
      <c r="D552" s="8"/>
      <c r="E552" s="8"/>
    </row>
    <row r="553" spans="4:5" ht="15.75" customHeight="1" x14ac:dyDescent="0.25">
      <c r="D553" s="8"/>
      <c r="E553" s="8"/>
    </row>
    <row r="554" spans="4:5" ht="15.75" customHeight="1" x14ac:dyDescent="0.25">
      <c r="D554" s="8"/>
      <c r="E554" s="8"/>
    </row>
    <row r="555" spans="4:5" ht="15.75" customHeight="1" x14ac:dyDescent="0.25">
      <c r="D555" s="8"/>
      <c r="E555" s="8"/>
    </row>
    <row r="556" spans="4:5" ht="15.75" customHeight="1" x14ac:dyDescent="0.25">
      <c r="D556" s="8"/>
      <c r="E556" s="8"/>
    </row>
    <row r="557" spans="4:5" ht="15.75" customHeight="1" x14ac:dyDescent="0.25">
      <c r="D557" s="8"/>
      <c r="E557" s="8"/>
    </row>
    <row r="558" spans="4:5" ht="15.75" customHeight="1" x14ac:dyDescent="0.25">
      <c r="D558" s="8"/>
      <c r="E558" s="8"/>
    </row>
    <row r="559" spans="4:5" ht="15.75" customHeight="1" x14ac:dyDescent="0.25">
      <c r="D559" s="8"/>
      <c r="E559" s="8"/>
    </row>
    <row r="560" spans="4:5" ht="15.75" customHeight="1" x14ac:dyDescent="0.25">
      <c r="D560" s="8"/>
      <c r="E560" s="8"/>
    </row>
    <row r="561" spans="4:5" ht="15.75" customHeight="1" x14ac:dyDescent="0.25">
      <c r="D561" s="8"/>
      <c r="E561" s="8"/>
    </row>
    <row r="562" spans="4:5" ht="15.75" customHeight="1" x14ac:dyDescent="0.25">
      <c r="D562" s="8"/>
      <c r="E562" s="8"/>
    </row>
    <row r="563" spans="4:5" ht="15.75" customHeight="1" x14ac:dyDescent="0.25">
      <c r="D563" s="8"/>
      <c r="E563" s="8"/>
    </row>
    <row r="564" spans="4:5" ht="15.75" customHeight="1" x14ac:dyDescent="0.25">
      <c r="D564" s="8"/>
      <c r="E564" s="8"/>
    </row>
    <row r="565" spans="4:5" ht="15.75" customHeight="1" x14ac:dyDescent="0.25">
      <c r="D565" s="8"/>
      <c r="E565" s="8"/>
    </row>
    <row r="566" spans="4:5" ht="15.75" customHeight="1" x14ac:dyDescent="0.25">
      <c r="D566" s="8"/>
      <c r="E566" s="8"/>
    </row>
    <row r="567" spans="4:5" ht="15.75" customHeight="1" x14ac:dyDescent="0.25">
      <c r="D567" s="8"/>
      <c r="E567" s="8"/>
    </row>
    <row r="568" spans="4:5" ht="15.75" customHeight="1" x14ac:dyDescent="0.25">
      <c r="D568" s="8"/>
      <c r="E568" s="8"/>
    </row>
    <row r="569" spans="4:5" ht="15.75" customHeight="1" x14ac:dyDescent="0.25">
      <c r="D569" s="8"/>
      <c r="E569" s="8"/>
    </row>
    <row r="570" spans="4:5" ht="15.75" customHeight="1" x14ac:dyDescent="0.25">
      <c r="D570" s="8"/>
      <c r="E570" s="8"/>
    </row>
    <row r="571" spans="4:5" ht="15.75" customHeight="1" x14ac:dyDescent="0.25">
      <c r="D571" s="8"/>
      <c r="E571" s="8"/>
    </row>
    <row r="572" spans="4:5" ht="15.75" customHeight="1" x14ac:dyDescent="0.25">
      <c r="D572" s="8"/>
      <c r="E572" s="8"/>
    </row>
    <row r="573" spans="4:5" ht="15.75" customHeight="1" x14ac:dyDescent="0.25">
      <c r="D573" s="8"/>
      <c r="E573" s="8"/>
    </row>
    <row r="574" spans="4:5" ht="15.75" customHeight="1" x14ac:dyDescent="0.25">
      <c r="D574" s="8"/>
      <c r="E574" s="8"/>
    </row>
    <row r="575" spans="4:5" ht="15.75" customHeight="1" x14ac:dyDescent="0.25">
      <c r="D575" s="8"/>
      <c r="E575" s="8"/>
    </row>
    <row r="576" spans="4:5" ht="15.75" customHeight="1" x14ac:dyDescent="0.25">
      <c r="D576" s="8"/>
      <c r="E576" s="8"/>
    </row>
    <row r="577" spans="4:5" ht="15.75" customHeight="1" x14ac:dyDescent="0.25">
      <c r="D577" s="8"/>
      <c r="E577" s="8"/>
    </row>
    <row r="578" spans="4:5" ht="15.75" customHeight="1" x14ac:dyDescent="0.25">
      <c r="D578" s="8"/>
      <c r="E578" s="8"/>
    </row>
    <row r="579" spans="4:5" ht="15.75" customHeight="1" x14ac:dyDescent="0.25">
      <c r="D579" s="8"/>
      <c r="E579" s="8"/>
    </row>
    <row r="580" spans="4:5" ht="15.75" customHeight="1" x14ac:dyDescent="0.25">
      <c r="D580" s="8"/>
      <c r="E580" s="8"/>
    </row>
    <row r="581" spans="4:5" ht="15.75" customHeight="1" x14ac:dyDescent="0.25">
      <c r="D581" s="8"/>
      <c r="E581" s="8"/>
    </row>
    <row r="582" spans="4:5" ht="15.75" customHeight="1" x14ac:dyDescent="0.25">
      <c r="D582" s="8"/>
      <c r="E582" s="8"/>
    </row>
    <row r="583" spans="4:5" ht="15.75" customHeight="1" x14ac:dyDescent="0.25">
      <c r="D583" s="8"/>
      <c r="E583" s="8"/>
    </row>
    <row r="584" spans="4:5" ht="15.75" customHeight="1" x14ac:dyDescent="0.25">
      <c r="D584" s="8"/>
      <c r="E584" s="8"/>
    </row>
    <row r="585" spans="4:5" ht="15.75" customHeight="1" x14ac:dyDescent="0.25">
      <c r="D585" s="8"/>
      <c r="E585" s="8"/>
    </row>
    <row r="586" spans="4:5" ht="15.75" customHeight="1" x14ac:dyDescent="0.25">
      <c r="D586" s="8"/>
      <c r="E586" s="8"/>
    </row>
    <row r="587" spans="4:5" ht="15.75" customHeight="1" x14ac:dyDescent="0.25">
      <c r="D587" s="8"/>
      <c r="E587" s="8"/>
    </row>
    <row r="588" spans="4:5" ht="15.75" customHeight="1" x14ac:dyDescent="0.25">
      <c r="D588" s="8"/>
      <c r="E588" s="8"/>
    </row>
    <row r="589" spans="4:5" ht="15.75" customHeight="1" x14ac:dyDescent="0.25">
      <c r="D589" s="8"/>
      <c r="E589" s="8"/>
    </row>
    <row r="590" spans="4:5" ht="15.75" customHeight="1" x14ac:dyDescent="0.25">
      <c r="D590" s="8"/>
      <c r="E590" s="8"/>
    </row>
    <row r="591" spans="4:5" ht="15.75" customHeight="1" x14ac:dyDescent="0.25">
      <c r="D591" s="8"/>
      <c r="E591" s="8"/>
    </row>
    <row r="592" spans="4:5" ht="15.75" customHeight="1" x14ac:dyDescent="0.25">
      <c r="D592" s="8"/>
      <c r="E592" s="8"/>
    </row>
    <row r="593" spans="4:5" ht="15.75" customHeight="1" x14ac:dyDescent="0.25">
      <c r="D593" s="8"/>
      <c r="E593" s="8"/>
    </row>
    <row r="594" spans="4:5" ht="15.75" customHeight="1" x14ac:dyDescent="0.25">
      <c r="D594" s="8"/>
      <c r="E594" s="8"/>
    </row>
    <row r="595" spans="4:5" ht="15.75" customHeight="1" x14ac:dyDescent="0.25">
      <c r="D595" s="8"/>
      <c r="E595" s="8"/>
    </row>
    <row r="596" spans="4:5" ht="15.75" customHeight="1" x14ac:dyDescent="0.25">
      <c r="D596" s="8"/>
      <c r="E596" s="8"/>
    </row>
    <row r="597" spans="4:5" ht="15.75" customHeight="1" x14ac:dyDescent="0.25">
      <c r="D597" s="8"/>
      <c r="E597" s="8"/>
    </row>
    <row r="598" spans="4:5" ht="15.75" customHeight="1" x14ac:dyDescent="0.25">
      <c r="D598" s="8"/>
      <c r="E598" s="8"/>
    </row>
    <row r="599" spans="4:5" ht="15.75" customHeight="1" x14ac:dyDescent="0.25">
      <c r="D599" s="8"/>
      <c r="E599" s="8"/>
    </row>
    <row r="600" spans="4:5" ht="15.75" customHeight="1" x14ac:dyDescent="0.25">
      <c r="D600" s="8"/>
      <c r="E600" s="8"/>
    </row>
    <row r="601" spans="4:5" ht="15.75" customHeight="1" x14ac:dyDescent="0.25">
      <c r="D601" s="8"/>
      <c r="E601" s="8"/>
    </row>
    <row r="602" spans="4:5" ht="15.75" customHeight="1" x14ac:dyDescent="0.25">
      <c r="D602" s="8"/>
      <c r="E602" s="8"/>
    </row>
    <row r="603" spans="4:5" ht="15.75" customHeight="1" x14ac:dyDescent="0.25">
      <c r="D603" s="8"/>
      <c r="E603" s="8"/>
    </row>
    <row r="604" spans="4:5" ht="15.75" customHeight="1" x14ac:dyDescent="0.25">
      <c r="D604" s="8"/>
      <c r="E604" s="8"/>
    </row>
    <row r="605" spans="4:5" ht="15.75" customHeight="1" x14ac:dyDescent="0.25">
      <c r="D605" s="8"/>
      <c r="E605" s="8"/>
    </row>
    <row r="606" spans="4:5" ht="15.75" customHeight="1" x14ac:dyDescent="0.25">
      <c r="D606" s="8"/>
      <c r="E606" s="8"/>
    </row>
    <row r="607" spans="4:5" ht="15.75" customHeight="1" x14ac:dyDescent="0.25">
      <c r="D607" s="8"/>
      <c r="E607" s="8"/>
    </row>
    <row r="608" spans="4:5" ht="15.75" customHeight="1" x14ac:dyDescent="0.25">
      <c r="D608" s="8"/>
      <c r="E608" s="8"/>
    </row>
    <row r="609" spans="4:5" ht="15.75" customHeight="1" x14ac:dyDescent="0.25">
      <c r="D609" s="8"/>
      <c r="E609" s="8"/>
    </row>
    <row r="610" spans="4:5" ht="15.75" customHeight="1" x14ac:dyDescent="0.25">
      <c r="D610" s="8"/>
      <c r="E610" s="8"/>
    </row>
    <row r="611" spans="4:5" ht="15.75" customHeight="1" x14ac:dyDescent="0.25">
      <c r="D611" s="8"/>
      <c r="E611" s="8"/>
    </row>
    <row r="612" spans="4:5" ht="15.75" customHeight="1" x14ac:dyDescent="0.25">
      <c r="D612" s="8"/>
      <c r="E612" s="8"/>
    </row>
    <row r="613" spans="4:5" ht="15.75" customHeight="1" x14ac:dyDescent="0.25">
      <c r="D613" s="8"/>
      <c r="E613" s="8"/>
    </row>
    <row r="614" spans="4:5" ht="15.75" customHeight="1" x14ac:dyDescent="0.25">
      <c r="D614" s="8"/>
      <c r="E614" s="8"/>
    </row>
    <row r="615" spans="4:5" ht="15.75" customHeight="1" x14ac:dyDescent="0.25">
      <c r="D615" s="8"/>
      <c r="E615" s="8"/>
    </row>
    <row r="616" spans="4:5" ht="15.75" customHeight="1" x14ac:dyDescent="0.25">
      <c r="D616" s="8"/>
      <c r="E616" s="8"/>
    </row>
    <row r="617" spans="4:5" ht="15.75" customHeight="1" x14ac:dyDescent="0.25">
      <c r="D617" s="8"/>
      <c r="E617" s="8"/>
    </row>
    <row r="618" spans="4:5" ht="15.75" customHeight="1" x14ac:dyDescent="0.25">
      <c r="D618" s="8"/>
      <c r="E618" s="8"/>
    </row>
    <row r="619" spans="4:5" ht="15.75" customHeight="1" x14ac:dyDescent="0.25">
      <c r="D619" s="8"/>
      <c r="E619" s="8"/>
    </row>
    <row r="620" spans="4:5" ht="15.75" customHeight="1" x14ac:dyDescent="0.25">
      <c r="D620" s="8"/>
      <c r="E620" s="8"/>
    </row>
    <row r="621" spans="4:5" ht="15.75" customHeight="1" x14ac:dyDescent="0.25">
      <c r="D621" s="8"/>
      <c r="E621" s="8"/>
    </row>
    <row r="622" spans="4:5" ht="15.75" customHeight="1" x14ac:dyDescent="0.25">
      <c r="D622" s="8"/>
      <c r="E622" s="8"/>
    </row>
    <row r="623" spans="4:5" ht="15.75" customHeight="1" x14ac:dyDescent="0.25">
      <c r="D623" s="8"/>
      <c r="E623" s="8"/>
    </row>
    <row r="624" spans="4:5" ht="15.75" customHeight="1" x14ac:dyDescent="0.25">
      <c r="D624" s="8"/>
      <c r="E624" s="8"/>
    </row>
    <row r="625" spans="4:5" ht="15.75" customHeight="1" x14ac:dyDescent="0.25">
      <c r="D625" s="8"/>
      <c r="E625" s="8"/>
    </row>
    <row r="626" spans="4:5" ht="15.75" customHeight="1" x14ac:dyDescent="0.25">
      <c r="D626" s="8"/>
      <c r="E626" s="8"/>
    </row>
    <row r="627" spans="4:5" ht="15.75" customHeight="1" x14ac:dyDescent="0.25">
      <c r="D627" s="8"/>
      <c r="E627" s="8"/>
    </row>
    <row r="628" spans="4:5" ht="15.75" customHeight="1" x14ac:dyDescent="0.25">
      <c r="D628" s="8"/>
      <c r="E628" s="8"/>
    </row>
    <row r="629" spans="4:5" ht="15.75" customHeight="1" x14ac:dyDescent="0.25">
      <c r="D629" s="8"/>
      <c r="E629" s="8"/>
    </row>
    <row r="630" spans="4:5" ht="15.75" customHeight="1" x14ac:dyDescent="0.25">
      <c r="D630" s="8"/>
      <c r="E630" s="8"/>
    </row>
    <row r="631" spans="4:5" ht="15.75" customHeight="1" x14ac:dyDescent="0.25">
      <c r="D631" s="8"/>
      <c r="E631" s="8"/>
    </row>
    <row r="632" spans="4:5" ht="15.75" customHeight="1" x14ac:dyDescent="0.25">
      <c r="D632" s="8"/>
      <c r="E632" s="8"/>
    </row>
    <row r="633" spans="4:5" ht="15.75" customHeight="1" x14ac:dyDescent="0.25">
      <c r="D633" s="8"/>
      <c r="E633" s="8"/>
    </row>
    <row r="634" spans="4:5" ht="15.75" customHeight="1" x14ac:dyDescent="0.25">
      <c r="D634" s="8"/>
      <c r="E634" s="8"/>
    </row>
    <row r="635" spans="4:5" ht="15.75" customHeight="1" x14ac:dyDescent="0.25">
      <c r="D635" s="8"/>
      <c r="E635" s="8"/>
    </row>
    <row r="636" spans="4:5" ht="15.75" customHeight="1" x14ac:dyDescent="0.25">
      <c r="D636" s="8"/>
      <c r="E636" s="8"/>
    </row>
    <row r="637" spans="4:5" ht="15.75" customHeight="1" x14ac:dyDescent="0.25">
      <c r="D637" s="8"/>
      <c r="E637" s="8"/>
    </row>
    <row r="638" spans="4:5" ht="15.75" customHeight="1" x14ac:dyDescent="0.25">
      <c r="D638" s="8"/>
      <c r="E638" s="8"/>
    </row>
    <row r="639" spans="4:5" ht="15.75" customHeight="1" x14ac:dyDescent="0.25">
      <c r="D639" s="8"/>
      <c r="E639" s="8"/>
    </row>
    <row r="640" spans="4:5" ht="15.75" customHeight="1" x14ac:dyDescent="0.25">
      <c r="D640" s="8"/>
      <c r="E640" s="8"/>
    </row>
    <row r="641" spans="4:5" ht="15.75" customHeight="1" x14ac:dyDescent="0.25">
      <c r="D641" s="8"/>
      <c r="E641" s="8"/>
    </row>
    <row r="642" spans="4:5" ht="15.75" customHeight="1" x14ac:dyDescent="0.25">
      <c r="D642" s="8"/>
      <c r="E642" s="8"/>
    </row>
    <row r="643" spans="4:5" ht="15.75" customHeight="1" x14ac:dyDescent="0.25">
      <c r="D643" s="8"/>
      <c r="E643" s="8"/>
    </row>
    <row r="644" spans="4:5" ht="15.75" customHeight="1" x14ac:dyDescent="0.25">
      <c r="D644" s="8"/>
      <c r="E644" s="8"/>
    </row>
    <row r="645" spans="4:5" ht="15.75" customHeight="1" x14ac:dyDescent="0.25">
      <c r="D645" s="8"/>
      <c r="E645" s="8"/>
    </row>
    <row r="646" spans="4:5" ht="15.75" customHeight="1" x14ac:dyDescent="0.25">
      <c r="D646" s="8"/>
      <c r="E646" s="8"/>
    </row>
    <row r="647" spans="4:5" ht="15.75" customHeight="1" x14ac:dyDescent="0.25">
      <c r="D647" s="8"/>
      <c r="E647" s="8"/>
    </row>
    <row r="648" spans="4:5" ht="15.75" customHeight="1" x14ac:dyDescent="0.25">
      <c r="D648" s="8"/>
      <c r="E648" s="8"/>
    </row>
    <row r="649" spans="4:5" ht="15.75" customHeight="1" x14ac:dyDescent="0.25">
      <c r="D649" s="8"/>
      <c r="E649" s="8"/>
    </row>
    <row r="650" spans="4:5" ht="15.75" customHeight="1" x14ac:dyDescent="0.25">
      <c r="D650" s="8"/>
      <c r="E650" s="8"/>
    </row>
    <row r="651" spans="4:5" ht="15.75" customHeight="1" x14ac:dyDescent="0.25">
      <c r="D651" s="8"/>
      <c r="E651" s="8"/>
    </row>
    <row r="652" spans="4:5" ht="15.75" customHeight="1" x14ac:dyDescent="0.25">
      <c r="D652" s="8"/>
      <c r="E652" s="8"/>
    </row>
    <row r="653" spans="4:5" ht="15.75" customHeight="1" x14ac:dyDescent="0.25">
      <c r="D653" s="8"/>
      <c r="E653" s="8"/>
    </row>
    <row r="654" spans="4:5" ht="15.75" customHeight="1" x14ac:dyDescent="0.25">
      <c r="D654" s="8"/>
      <c r="E654" s="8"/>
    </row>
    <row r="655" spans="4:5" ht="15.75" customHeight="1" x14ac:dyDescent="0.25">
      <c r="D655" s="8"/>
      <c r="E655" s="8"/>
    </row>
    <row r="656" spans="4:5" ht="15.75" customHeight="1" x14ac:dyDescent="0.25">
      <c r="D656" s="8"/>
      <c r="E656" s="8"/>
    </row>
    <row r="657" spans="4:5" ht="15.75" customHeight="1" x14ac:dyDescent="0.25">
      <c r="D657" s="8"/>
      <c r="E657" s="8"/>
    </row>
    <row r="658" spans="4:5" ht="15.75" customHeight="1" x14ac:dyDescent="0.25">
      <c r="D658" s="8"/>
      <c r="E658" s="8"/>
    </row>
    <row r="659" spans="4:5" ht="15.75" customHeight="1" x14ac:dyDescent="0.25">
      <c r="D659" s="8"/>
      <c r="E659" s="8"/>
    </row>
    <row r="660" spans="4:5" ht="15.75" customHeight="1" x14ac:dyDescent="0.25">
      <c r="D660" s="8"/>
      <c r="E660" s="8"/>
    </row>
    <row r="661" spans="4:5" ht="15.75" customHeight="1" x14ac:dyDescent="0.25">
      <c r="D661" s="8"/>
      <c r="E661" s="8"/>
    </row>
    <row r="662" spans="4:5" ht="15.75" customHeight="1" x14ac:dyDescent="0.25">
      <c r="D662" s="8"/>
      <c r="E662" s="8"/>
    </row>
    <row r="663" spans="4:5" ht="15.75" customHeight="1" x14ac:dyDescent="0.25">
      <c r="D663" s="8"/>
      <c r="E663" s="8"/>
    </row>
    <row r="664" spans="4:5" ht="15.75" customHeight="1" x14ac:dyDescent="0.25">
      <c r="D664" s="8"/>
      <c r="E664" s="8"/>
    </row>
    <row r="665" spans="4:5" ht="15.75" customHeight="1" x14ac:dyDescent="0.25">
      <c r="D665" s="8"/>
      <c r="E665" s="8"/>
    </row>
    <row r="666" spans="4:5" ht="15.75" customHeight="1" x14ac:dyDescent="0.25">
      <c r="D666" s="8"/>
      <c r="E666" s="8"/>
    </row>
    <row r="667" spans="4:5" ht="15.75" customHeight="1" x14ac:dyDescent="0.25">
      <c r="D667" s="8"/>
      <c r="E667" s="8"/>
    </row>
    <row r="668" spans="4:5" ht="15.75" customHeight="1" x14ac:dyDescent="0.25">
      <c r="D668" s="8"/>
      <c r="E668" s="8"/>
    </row>
    <row r="669" spans="4:5" ht="15.75" customHeight="1" x14ac:dyDescent="0.25">
      <c r="D669" s="8"/>
      <c r="E669" s="8"/>
    </row>
    <row r="670" spans="4:5" ht="15.75" customHeight="1" x14ac:dyDescent="0.25">
      <c r="D670" s="8"/>
      <c r="E670" s="8"/>
    </row>
    <row r="671" spans="4:5" ht="15.75" customHeight="1" x14ac:dyDescent="0.25">
      <c r="D671" s="8"/>
      <c r="E671" s="8"/>
    </row>
    <row r="672" spans="4:5" ht="15.75" customHeight="1" x14ac:dyDescent="0.25">
      <c r="D672" s="8"/>
      <c r="E672" s="8"/>
    </row>
    <row r="673" spans="4:5" ht="15.75" customHeight="1" x14ac:dyDescent="0.25">
      <c r="D673" s="8"/>
      <c r="E673" s="8"/>
    </row>
    <row r="674" spans="4:5" ht="15.75" customHeight="1" x14ac:dyDescent="0.25">
      <c r="D674" s="8"/>
      <c r="E674" s="8"/>
    </row>
    <row r="675" spans="4:5" ht="15.75" customHeight="1" x14ac:dyDescent="0.25">
      <c r="D675" s="8"/>
      <c r="E675" s="8"/>
    </row>
    <row r="676" spans="4:5" ht="15.75" customHeight="1" x14ac:dyDescent="0.25">
      <c r="D676" s="8"/>
      <c r="E676" s="8"/>
    </row>
    <row r="677" spans="4:5" ht="15.75" customHeight="1" x14ac:dyDescent="0.25">
      <c r="D677" s="8"/>
      <c r="E677" s="8"/>
    </row>
    <row r="678" spans="4:5" ht="15.75" customHeight="1" x14ac:dyDescent="0.25">
      <c r="D678" s="8"/>
      <c r="E678" s="8"/>
    </row>
    <row r="679" spans="4:5" ht="15.75" customHeight="1" x14ac:dyDescent="0.25">
      <c r="D679" s="8"/>
      <c r="E679" s="8"/>
    </row>
    <row r="680" spans="4:5" ht="15.75" customHeight="1" x14ac:dyDescent="0.25">
      <c r="D680" s="8"/>
      <c r="E680" s="8"/>
    </row>
    <row r="681" spans="4:5" ht="15.75" customHeight="1" x14ac:dyDescent="0.25">
      <c r="D681" s="8"/>
      <c r="E681" s="8"/>
    </row>
    <row r="682" spans="4:5" ht="15.75" customHeight="1" x14ac:dyDescent="0.25">
      <c r="D682" s="8"/>
      <c r="E682" s="8"/>
    </row>
    <row r="683" spans="4:5" ht="15.75" customHeight="1" x14ac:dyDescent="0.25">
      <c r="D683" s="8"/>
      <c r="E683" s="8"/>
    </row>
    <row r="684" spans="4:5" ht="15.75" customHeight="1" x14ac:dyDescent="0.25">
      <c r="D684" s="8"/>
      <c r="E684" s="8"/>
    </row>
    <row r="685" spans="4:5" ht="15.75" customHeight="1" x14ac:dyDescent="0.25">
      <c r="D685" s="8"/>
      <c r="E685" s="8"/>
    </row>
    <row r="686" spans="4:5" ht="15.75" customHeight="1" x14ac:dyDescent="0.25">
      <c r="D686" s="8"/>
      <c r="E686" s="8"/>
    </row>
    <row r="687" spans="4:5" ht="15.75" customHeight="1" x14ac:dyDescent="0.25">
      <c r="D687" s="8"/>
      <c r="E687" s="8"/>
    </row>
    <row r="688" spans="4:5" ht="15.75" customHeight="1" x14ac:dyDescent="0.25">
      <c r="D688" s="8"/>
      <c r="E688" s="8"/>
    </row>
    <row r="689" spans="4:5" ht="15.75" customHeight="1" x14ac:dyDescent="0.25">
      <c r="D689" s="8"/>
      <c r="E689" s="8"/>
    </row>
    <row r="690" spans="4:5" ht="15.75" customHeight="1" x14ac:dyDescent="0.25">
      <c r="D690" s="8"/>
      <c r="E690" s="8"/>
    </row>
    <row r="691" spans="4:5" ht="15.75" customHeight="1" x14ac:dyDescent="0.25">
      <c r="D691" s="8"/>
      <c r="E691" s="8"/>
    </row>
    <row r="692" spans="4:5" ht="15.75" customHeight="1" x14ac:dyDescent="0.25">
      <c r="D692" s="8"/>
      <c r="E692" s="8"/>
    </row>
    <row r="693" spans="4:5" ht="15.75" customHeight="1" x14ac:dyDescent="0.25">
      <c r="D693" s="8"/>
      <c r="E693" s="8"/>
    </row>
    <row r="694" spans="4:5" ht="15.75" customHeight="1" x14ac:dyDescent="0.25">
      <c r="D694" s="8"/>
      <c r="E694" s="8"/>
    </row>
    <row r="695" spans="4:5" ht="15.75" customHeight="1" x14ac:dyDescent="0.25">
      <c r="D695" s="8"/>
      <c r="E695" s="8"/>
    </row>
    <row r="696" spans="4:5" ht="15.75" customHeight="1" x14ac:dyDescent="0.25">
      <c r="D696" s="8"/>
      <c r="E696" s="8"/>
    </row>
    <row r="697" spans="4:5" ht="15.75" customHeight="1" x14ac:dyDescent="0.25">
      <c r="D697" s="8"/>
      <c r="E697" s="8"/>
    </row>
    <row r="698" spans="4:5" ht="15.75" customHeight="1" x14ac:dyDescent="0.25">
      <c r="D698" s="8"/>
      <c r="E698" s="8"/>
    </row>
    <row r="699" spans="4:5" ht="15.75" customHeight="1" x14ac:dyDescent="0.25">
      <c r="D699" s="8"/>
      <c r="E699" s="8"/>
    </row>
    <row r="700" spans="4:5" ht="15.75" customHeight="1" x14ac:dyDescent="0.25">
      <c r="D700" s="8"/>
      <c r="E700" s="8"/>
    </row>
    <row r="701" spans="4:5" ht="15.75" customHeight="1" x14ac:dyDescent="0.25">
      <c r="D701" s="8"/>
      <c r="E701" s="8"/>
    </row>
    <row r="702" spans="4:5" ht="15.75" customHeight="1" x14ac:dyDescent="0.25">
      <c r="D702" s="8"/>
      <c r="E702" s="8"/>
    </row>
    <row r="703" spans="4:5" ht="15.75" customHeight="1" x14ac:dyDescent="0.25">
      <c r="D703" s="8"/>
      <c r="E703" s="8"/>
    </row>
    <row r="704" spans="4:5" ht="15.75" customHeight="1" x14ac:dyDescent="0.25">
      <c r="D704" s="8"/>
      <c r="E704" s="8"/>
    </row>
    <row r="705" spans="4:5" ht="15.75" customHeight="1" x14ac:dyDescent="0.25">
      <c r="D705" s="8"/>
      <c r="E705" s="8"/>
    </row>
    <row r="706" spans="4:5" ht="15.75" customHeight="1" x14ac:dyDescent="0.25">
      <c r="D706" s="8"/>
      <c r="E706" s="8"/>
    </row>
    <row r="707" spans="4:5" ht="15.75" customHeight="1" x14ac:dyDescent="0.25">
      <c r="D707" s="8"/>
      <c r="E707" s="8"/>
    </row>
    <row r="708" spans="4:5" ht="15.75" customHeight="1" x14ac:dyDescent="0.25">
      <c r="D708" s="8"/>
      <c r="E708" s="8"/>
    </row>
    <row r="709" spans="4:5" ht="15.75" customHeight="1" x14ac:dyDescent="0.25">
      <c r="D709" s="8"/>
      <c r="E709" s="8"/>
    </row>
    <row r="710" spans="4:5" ht="15.75" customHeight="1" x14ac:dyDescent="0.25">
      <c r="D710" s="8"/>
      <c r="E710" s="8"/>
    </row>
    <row r="711" spans="4:5" ht="15.75" customHeight="1" x14ac:dyDescent="0.25">
      <c r="D711" s="8"/>
      <c r="E711" s="8"/>
    </row>
    <row r="712" spans="4:5" ht="15.75" customHeight="1" x14ac:dyDescent="0.25">
      <c r="D712" s="8"/>
      <c r="E712" s="8"/>
    </row>
    <row r="713" spans="4:5" ht="15.75" customHeight="1" x14ac:dyDescent="0.25">
      <c r="D713" s="8"/>
      <c r="E713" s="8"/>
    </row>
    <row r="714" spans="4:5" ht="15.75" customHeight="1" x14ac:dyDescent="0.25">
      <c r="D714" s="8"/>
      <c r="E714" s="8"/>
    </row>
    <row r="715" spans="4:5" ht="15.75" customHeight="1" x14ac:dyDescent="0.25">
      <c r="D715" s="8"/>
      <c r="E715" s="8"/>
    </row>
    <row r="716" spans="4:5" ht="15.75" customHeight="1" x14ac:dyDescent="0.25">
      <c r="D716" s="8"/>
      <c r="E716" s="8"/>
    </row>
    <row r="717" spans="4:5" ht="15.75" customHeight="1" x14ac:dyDescent="0.25">
      <c r="D717" s="8"/>
      <c r="E717" s="8"/>
    </row>
    <row r="718" spans="4:5" ht="15.75" customHeight="1" x14ac:dyDescent="0.25">
      <c r="D718" s="8"/>
      <c r="E718" s="8"/>
    </row>
    <row r="719" spans="4:5" ht="15.75" customHeight="1" x14ac:dyDescent="0.25">
      <c r="D719" s="8"/>
      <c r="E719" s="8"/>
    </row>
    <row r="720" spans="4:5" ht="15.75" customHeight="1" x14ac:dyDescent="0.25">
      <c r="D720" s="8"/>
      <c r="E720" s="8"/>
    </row>
    <row r="721" spans="4:5" ht="15.75" customHeight="1" x14ac:dyDescent="0.25">
      <c r="D721" s="8"/>
      <c r="E721" s="8"/>
    </row>
    <row r="722" spans="4:5" ht="15.75" customHeight="1" x14ac:dyDescent="0.25">
      <c r="D722" s="8"/>
      <c r="E722" s="8"/>
    </row>
    <row r="723" spans="4:5" ht="15.75" customHeight="1" x14ac:dyDescent="0.25">
      <c r="D723" s="8"/>
      <c r="E723" s="8"/>
    </row>
    <row r="724" spans="4:5" ht="15.75" customHeight="1" x14ac:dyDescent="0.25">
      <c r="D724" s="8"/>
      <c r="E724" s="8"/>
    </row>
    <row r="725" spans="4:5" ht="15.75" customHeight="1" x14ac:dyDescent="0.25">
      <c r="D725" s="8"/>
      <c r="E725" s="8"/>
    </row>
    <row r="726" spans="4:5" ht="15.75" customHeight="1" x14ac:dyDescent="0.25">
      <c r="D726" s="8"/>
      <c r="E726" s="8"/>
    </row>
    <row r="727" spans="4:5" ht="15.75" customHeight="1" x14ac:dyDescent="0.25">
      <c r="D727" s="8"/>
      <c r="E727" s="8"/>
    </row>
    <row r="728" spans="4:5" ht="15.75" customHeight="1" x14ac:dyDescent="0.25">
      <c r="D728" s="8"/>
      <c r="E728" s="8"/>
    </row>
    <row r="729" spans="4:5" ht="15.75" customHeight="1" x14ac:dyDescent="0.25">
      <c r="D729" s="8"/>
      <c r="E729" s="8"/>
    </row>
    <row r="730" spans="4:5" ht="15.75" customHeight="1" x14ac:dyDescent="0.25">
      <c r="D730" s="8"/>
      <c r="E730" s="8"/>
    </row>
    <row r="731" spans="4:5" ht="15.75" customHeight="1" x14ac:dyDescent="0.25">
      <c r="D731" s="8"/>
      <c r="E731" s="8"/>
    </row>
    <row r="732" spans="4:5" ht="15.75" customHeight="1" x14ac:dyDescent="0.25">
      <c r="D732" s="8"/>
      <c r="E732" s="8"/>
    </row>
    <row r="733" spans="4:5" ht="15.75" customHeight="1" x14ac:dyDescent="0.25">
      <c r="D733" s="8"/>
      <c r="E733" s="8"/>
    </row>
    <row r="734" spans="4:5" ht="15.75" customHeight="1" x14ac:dyDescent="0.25">
      <c r="D734" s="8"/>
      <c r="E734" s="8"/>
    </row>
    <row r="735" spans="4:5" ht="15.75" customHeight="1" x14ac:dyDescent="0.25">
      <c r="D735" s="8"/>
      <c r="E735" s="8"/>
    </row>
    <row r="736" spans="4:5" ht="15.75" customHeight="1" x14ac:dyDescent="0.25">
      <c r="D736" s="8"/>
      <c r="E736" s="8"/>
    </row>
    <row r="737" spans="4:5" ht="15.75" customHeight="1" x14ac:dyDescent="0.25">
      <c r="D737" s="8"/>
      <c r="E737" s="8"/>
    </row>
    <row r="738" spans="4:5" ht="15.75" customHeight="1" x14ac:dyDescent="0.25">
      <c r="D738" s="8"/>
      <c r="E738" s="8"/>
    </row>
    <row r="739" spans="4:5" ht="15.75" customHeight="1" x14ac:dyDescent="0.25">
      <c r="D739" s="8"/>
      <c r="E739" s="8"/>
    </row>
    <row r="740" spans="4:5" ht="15.75" customHeight="1" x14ac:dyDescent="0.25">
      <c r="D740" s="8"/>
      <c r="E740" s="8"/>
    </row>
    <row r="741" spans="4:5" ht="15.75" customHeight="1" x14ac:dyDescent="0.25">
      <c r="D741" s="8"/>
      <c r="E741" s="8"/>
    </row>
    <row r="742" spans="4:5" ht="15.75" customHeight="1" x14ac:dyDescent="0.25">
      <c r="D742" s="8"/>
      <c r="E742" s="8"/>
    </row>
    <row r="743" spans="4:5" ht="15.75" customHeight="1" x14ac:dyDescent="0.25">
      <c r="D743" s="8"/>
      <c r="E743" s="8"/>
    </row>
    <row r="744" spans="4:5" ht="15.75" customHeight="1" x14ac:dyDescent="0.25">
      <c r="D744" s="8"/>
      <c r="E744" s="8"/>
    </row>
    <row r="745" spans="4:5" ht="15.75" customHeight="1" x14ac:dyDescent="0.25">
      <c r="D745" s="8"/>
      <c r="E745" s="8"/>
    </row>
    <row r="746" spans="4:5" ht="15.75" customHeight="1" x14ac:dyDescent="0.25">
      <c r="D746" s="8"/>
      <c r="E746" s="8"/>
    </row>
    <row r="747" spans="4:5" ht="15.75" customHeight="1" x14ac:dyDescent="0.25">
      <c r="D747" s="8"/>
      <c r="E747" s="8"/>
    </row>
    <row r="748" spans="4:5" ht="15.75" customHeight="1" x14ac:dyDescent="0.25">
      <c r="D748" s="8"/>
      <c r="E748" s="8"/>
    </row>
    <row r="749" spans="4:5" ht="15.75" customHeight="1" x14ac:dyDescent="0.25">
      <c r="D749" s="8"/>
      <c r="E749" s="8"/>
    </row>
    <row r="750" spans="4:5" ht="15.75" customHeight="1" x14ac:dyDescent="0.25">
      <c r="D750" s="8"/>
      <c r="E750" s="8"/>
    </row>
    <row r="751" spans="4:5" ht="15.75" customHeight="1" x14ac:dyDescent="0.25">
      <c r="D751" s="8"/>
      <c r="E751" s="8"/>
    </row>
    <row r="752" spans="4:5" ht="15.75" customHeight="1" x14ac:dyDescent="0.25">
      <c r="D752" s="8"/>
      <c r="E752" s="8"/>
    </row>
    <row r="753" spans="4:5" ht="15.75" customHeight="1" x14ac:dyDescent="0.25">
      <c r="D753" s="8"/>
      <c r="E753" s="8"/>
    </row>
    <row r="754" spans="4:5" ht="15.75" customHeight="1" x14ac:dyDescent="0.25">
      <c r="D754" s="8"/>
      <c r="E754" s="8"/>
    </row>
    <row r="755" spans="4:5" ht="15.75" customHeight="1" x14ac:dyDescent="0.25">
      <c r="D755" s="8"/>
      <c r="E755" s="8"/>
    </row>
    <row r="756" spans="4:5" ht="15.75" customHeight="1" x14ac:dyDescent="0.25">
      <c r="D756" s="8"/>
      <c r="E756" s="8"/>
    </row>
    <row r="757" spans="4:5" ht="15.75" customHeight="1" x14ac:dyDescent="0.25">
      <c r="D757" s="8"/>
      <c r="E757" s="8"/>
    </row>
    <row r="758" spans="4:5" ht="15.75" customHeight="1" x14ac:dyDescent="0.25">
      <c r="D758" s="8"/>
      <c r="E758" s="8"/>
    </row>
    <row r="759" spans="4:5" ht="15.75" customHeight="1" x14ac:dyDescent="0.25">
      <c r="D759" s="8"/>
      <c r="E759" s="8"/>
    </row>
    <row r="760" spans="4:5" ht="15.75" customHeight="1" x14ac:dyDescent="0.25">
      <c r="D760" s="8"/>
      <c r="E760" s="8"/>
    </row>
    <row r="761" spans="4:5" ht="15.75" customHeight="1" x14ac:dyDescent="0.25">
      <c r="D761" s="8"/>
      <c r="E761" s="8"/>
    </row>
    <row r="762" spans="4:5" ht="15.75" customHeight="1" x14ac:dyDescent="0.25">
      <c r="D762" s="8"/>
      <c r="E762" s="8"/>
    </row>
    <row r="763" spans="4:5" ht="15.75" customHeight="1" x14ac:dyDescent="0.25">
      <c r="D763" s="8"/>
      <c r="E763" s="8"/>
    </row>
    <row r="764" spans="4:5" ht="15.75" customHeight="1" x14ac:dyDescent="0.25">
      <c r="D764" s="8"/>
      <c r="E764" s="8"/>
    </row>
    <row r="765" spans="4:5" ht="15.75" customHeight="1" x14ac:dyDescent="0.25">
      <c r="D765" s="8"/>
      <c r="E765" s="8"/>
    </row>
    <row r="766" spans="4:5" ht="15.75" customHeight="1" x14ac:dyDescent="0.25">
      <c r="D766" s="8"/>
      <c r="E766" s="8"/>
    </row>
    <row r="767" spans="4:5" ht="15.75" customHeight="1" x14ac:dyDescent="0.25">
      <c r="D767" s="8"/>
      <c r="E767" s="8"/>
    </row>
    <row r="768" spans="4:5" ht="15.75" customHeight="1" x14ac:dyDescent="0.25">
      <c r="D768" s="8"/>
      <c r="E768" s="8"/>
    </row>
    <row r="769" spans="4:5" ht="15.75" customHeight="1" x14ac:dyDescent="0.25">
      <c r="D769" s="8"/>
      <c r="E769" s="8"/>
    </row>
    <row r="770" spans="4:5" ht="15.75" customHeight="1" x14ac:dyDescent="0.25">
      <c r="D770" s="8"/>
      <c r="E770" s="8"/>
    </row>
    <row r="771" spans="4:5" ht="15.75" customHeight="1" x14ac:dyDescent="0.25">
      <c r="D771" s="8"/>
      <c r="E771" s="8"/>
    </row>
    <row r="772" spans="4:5" ht="15.75" customHeight="1" x14ac:dyDescent="0.25">
      <c r="D772" s="8"/>
      <c r="E772" s="8"/>
    </row>
    <row r="773" spans="4:5" ht="15.75" customHeight="1" x14ac:dyDescent="0.25">
      <c r="D773" s="8"/>
      <c r="E773" s="8"/>
    </row>
    <row r="774" spans="4:5" ht="15.75" customHeight="1" x14ac:dyDescent="0.25">
      <c r="D774" s="8"/>
      <c r="E774" s="8"/>
    </row>
    <row r="775" spans="4:5" ht="15.75" customHeight="1" x14ac:dyDescent="0.25">
      <c r="D775" s="8"/>
      <c r="E775" s="8"/>
    </row>
    <row r="776" spans="4:5" ht="15.75" customHeight="1" x14ac:dyDescent="0.25">
      <c r="D776" s="8"/>
      <c r="E776" s="8"/>
    </row>
    <row r="777" spans="4:5" ht="15.75" customHeight="1" x14ac:dyDescent="0.25">
      <c r="D777" s="8"/>
      <c r="E777" s="8"/>
    </row>
    <row r="778" spans="4:5" ht="15.75" customHeight="1" x14ac:dyDescent="0.25">
      <c r="D778" s="8"/>
      <c r="E778" s="8"/>
    </row>
    <row r="779" spans="4:5" ht="15.75" customHeight="1" x14ac:dyDescent="0.25">
      <c r="D779" s="8"/>
      <c r="E779" s="8"/>
    </row>
    <row r="780" spans="4:5" ht="15.75" customHeight="1" x14ac:dyDescent="0.25">
      <c r="D780" s="8"/>
      <c r="E780" s="8"/>
    </row>
    <row r="781" spans="4:5" ht="15.75" customHeight="1" x14ac:dyDescent="0.25">
      <c r="D781" s="8"/>
      <c r="E781" s="8"/>
    </row>
    <row r="782" spans="4:5" ht="15.75" customHeight="1" x14ac:dyDescent="0.25">
      <c r="D782" s="8"/>
      <c r="E782" s="8"/>
    </row>
    <row r="783" spans="4:5" ht="15.75" customHeight="1" x14ac:dyDescent="0.25">
      <c r="D783" s="8"/>
      <c r="E783" s="8"/>
    </row>
    <row r="784" spans="4:5" ht="15.75" customHeight="1" x14ac:dyDescent="0.25">
      <c r="D784" s="8"/>
      <c r="E784" s="8"/>
    </row>
    <row r="785" spans="4:5" ht="15.75" customHeight="1" x14ac:dyDescent="0.25">
      <c r="D785" s="8"/>
      <c r="E785" s="8"/>
    </row>
    <row r="786" spans="4:5" ht="15.75" customHeight="1" x14ac:dyDescent="0.25">
      <c r="D786" s="8"/>
      <c r="E786" s="8"/>
    </row>
    <row r="787" spans="4:5" ht="15.75" customHeight="1" x14ac:dyDescent="0.25">
      <c r="D787" s="8"/>
      <c r="E787" s="8"/>
    </row>
    <row r="788" spans="4:5" ht="15.75" customHeight="1" x14ac:dyDescent="0.25">
      <c r="D788" s="8"/>
      <c r="E788" s="8"/>
    </row>
    <row r="789" spans="4:5" ht="15.75" customHeight="1" x14ac:dyDescent="0.25">
      <c r="D789" s="8"/>
      <c r="E789" s="8"/>
    </row>
    <row r="790" spans="4:5" ht="15.75" customHeight="1" x14ac:dyDescent="0.25">
      <c r="D790" s="8"/>
      <c r="E790" s="8"/>
    </row>
    <row r="791" spans="4:5" ht="15.75" customHeight="1" x14ac:dyDescent="0.25">
      <c r="D791" s="8"/>
      <c r="E791" s="8"/>
    </row>
    <row r="792" spans="4:5" ht="15.75" customHeight="1" x14ac:dyDescent="0.25">
      <c r="D792" s="8"/>
      <c r="E792" s="8"/>
    </row>
    <row r="793" spans="4:5" ht="15.75" customHeight="1" x14ac:dyDescent="0.25">
      <c r="D793" s="8"/>
      <c r="E793" s="8"/>
    </row>
    <row r="794" spans="4:5" ht="15.75" customHeight="1" x14ac:dyDescent="0.25">
      <c r="D794" s="8"/>
      <c r="E794" s="8"/>
    </row>
    <row r="795" spans="4:5" ht="15.75" customHeight="1" x14ac:dyDescent="0.25">
      <c r="D795" s="8"/>
      <c r="E795" s="8"/>
    </row>
    <row r="796" spans="4:5" ht="15.75" customHeight="1" x14ac:dyDescent="0.25">
      <c r="D796" s="8"/>
      <c r="E796" s="8"/>
    </row>
    <row r="797" spans="4:5" ht="15.75" customHeight="1" x14ac:dyDescent="0.25">
      <c r="D797" s="8"/>
      <c r="E797" s="8"/>
    </row>
    <row r="798" spans="4:5" ht="15.75" customHeight="1" x14ac:dyDescent="0.25">
      <c r="D798" s="8"/>
      <c r="E798" s="8"/>
    </row>
    <row r="799" spans="4:5" ht="15.75" customHeight="1" x14ac:dyDescent="0.25">
      <c r="D799" s="8"/>
      <c r="E799" s="8"/>
    </row>
    <row r="800" spans="4:5" ht="15.75" customHeight="1" x14ac:dyDescent="0.25">
      <c r="D800" s="8"/>
      <c r="E800" s="8"/>
    </row>
    <row r="801" spans="4:5" ht="15.75" customHeight="1" x14ac:dyDescent="0.25">
      <c r="D801" s="8"/>
      <c r="E801" s="8"/>
    </row>
    <row r="802" spans="4:5" ht="15.75" customHeight="1" x14ac:dyDescent="0.25">
      <c r="D802" s="8"/>
      <c r="E802" s="8"/>
    </row>
    <row r="803" spans="4:5" ht="15.75" customHeight="1" x14ac:dyDescent="0.25">
      <c r="D803" s="8"/>
      <c r="E803" s="8"/>
    </row>
    <row r="804" spans="4:5" ht="15.75" customHeight="1" x14ac:dyDescent="0.25">
      <c r="D804" s="8"/>
      <c r="E804" s="8"/>
    </row>
    <row r="805" spans="4:5" ht="15.75" customHeight="1" x14ac:dyDescent="0.25">
      <c r="D805" s="8"/>
      <c r="E805" s="8"/>
    </row>
    <row r="806" spans="4:5" ht="15.75" customHeight="1" x14ac:dyDescent="0.25">
      <c r="D806" s="8"/>
      <c r="E806" s="8"/>
    </row>
    <row r="807" spans="4:5" ht="15.75" customHeight="1" x14ac:dyDescent="0.25">
      <c r="D807" s="8"/>
      <c r="E807" s="8"/>
    </row>
    <row r="808" spans="4:5" ht="15.75" customHeight="1" x14ac:dyDescent="0.25">
      <c r="D808" s="8"/>
      <c r="E808" s="8"/>
    </row>
    <row r="809" spans="4:5" ht="15.75" customHeight="1" x14ac:dyDescent="0.25">
      <c r="D809" s="8"/>
      <c r="E809" s="8"/>
    </row>
    <row r="810" spans="4:5" ht="15.75" customHeight="1" x14ac:dyDescent="0.25">
      <c r="D810" s="8"/>
      <c r="E810" s="8"/>
    </row>
    <row r="811" spans="4:5" ht="15.75" customHeight="1" x14ac:dyDescent="0.25">
      <c r="D811" s="8"/>
      <c r="E811" s="8"/>
    </row>
    <row r="812" spans="4:5" ht="15.75" customHeight="1" x14ac:dyDescent="0.25">
      <c r="D812" s="8"/>
      <c r="E812" s="8"/>
    </row>
    <row r="813" spans="4:5" ht="15.75" customHeight="1" x14ac:dyDescent="0.25">
      <c r="D813" s="8"/>
      <c r="E813" s="8"/>
    </row>
    <row r="814" spans="4:5" ht="15.75" customHeight="1" x14ac:dyDescent="0.25">
      <c r="D814" s="8"/>
      <c r="E814" s="8"/>
    </row>
    <row r="815" spans="4:5" ht="15.75" customHeight="1" x14ac:dyDescent="0.25">
      <c r="D815" s="8"/>
      <c r="E815" s="8"/>
    </row>
    <row r="816" spans="4:5" ht="15.75" customHeight="1" x14ac:dyDescent="0.25">
      <c r="D816" s="8"/>
      <c r="E816" s="8"/>
    </row>
    <row r="817" spans="4:5" ht="15.75" customHeight="1" x14ac:dyDescent="0.25">
      <c r="D817" s="8"/>
      <c r="E817" s="8"/>
    </row>
    <row r="818" spans="4:5" ht="15.75" customHeight="1" x14ac:dyDescent="0.25">
      <c r="D818" s="8"/>
      <c r="E818" s="8"/>
    </row>
    <row r="819" spans="4:5" ht="15.75" customHeight="1" x14ac:dyDescent="0.25">
      <c r="D819" s="8"/>
      <c r="E819" s="8"/>
    </row>
    <row r="820" spans="4:5" ht="15.75" customHeight="1" x14ac:dyDescent="0.25">
      <c r="D820" s="8"/>
      <c r="E820" s="8"/>
    </row>
    <row r="821" spans="4:5" ht="15.75" customHeight="1" x14ac:dyDescent="0.25">
      <c r="D821" s="8"/>
      <c r="E821" s="8"/>
    </row>
    <row r="822" spans="4:5" ht="15.75" customHeight="1" x14ac:dyDescent="0.25">
      <c r="D822" s="8"/>
      <c r="E822" s="8"/>
    </row>
    <row r="823" spans="4:5" ht="15.75" customHeight="1" x14ac:dyDescent="0.25">
      <c r="D823" s="8"/>
      <c r="E823" s="8"/>
    </row>
    <row r="824" spans="4:5" ht="15.75" customHeight="1" x14ac:dyDescent="0.25">
      <c r="D824" s="8"/>
      <c r="E824" s="8"/>
    </row>
    <row r="825" spans="4:5" ht="15.75" customHeight="1" x14ac:dyDescent="0.25">
      <c r="D825" s="8"/>
      <c r="E825" s="8"/>
    </row>
    <row r="826" spans="4:5" ht="15.75" customHeight="1" x14ac:dyDescent="0.25">
      <c r="D826" s="8"/>
      <c r="E826" s="8"/>
    </row>
    <row r="827" spans="4:5" ht="15.75" customHeight="1" x14ac:dyDescent="0.25">
      <c r="D827" s="8"/>
      <c r="E827" s="8"/>
    </row>
    <row r="828" spans="4:5" ht="15.75" customHeight="1" x14ac:dyDescent="0.25">
      <c r="D828" s="8"/>
      <c r="E828" s="8"/>
    </row>
    <row r="829" spans="4:5" ht="15.75" customHeight="1" x14ac:dyDescent="0.25">
      <c r="D829" s="8"/>
      <c r="E829" s="8"/>
    </row>
    <row r="830" spans="4:5" ht="15.75" customHeight="1" x14ac:dyDescent="0.25">
      <c r="D830" s="8"/>
      <c r="E830" s="8"/>
    </row>
    <row r="831" spans="4:5" ht="15.75" customHeight="1" x14ac:dyDescent="0.25">
      <c r="D831" s="8"/>
      <c r="E831" s="8"/>
    </row>
    <row r="832" spans="4:5" ht="15.75" customHeight="1" x14ac:dyDescent="0.25">
      <c r="D832" s="8"/>
      <c r="E832" s="8"/>
    </row>
    <row r="833" spans="4:5" ht="15.75" customHeight="1" x14ac:dyDescent="0.25">
      <c r="D833" s="8"/>
      <c r="E833" s="8"/>
    </row>
    <row r="834" spans="4:5" ht="15.75" customHeight="1" x14ac:dyDescent="0.25">
      <c r="D834" s="8"/>
      <c r="E834" s="8"/>
    </row>
    <row r="835" spans="4:5" ht="15.75" customHeight="1" x14ac:dyDescent="0.25">
      <c r="D835" s="8"/>
      <c r="E835" s="8"/>
    </row>
    <row r="836" spans="4:5" ht="15.75" customHeight="1" x14ac:dyDescent="0.25">
      <c r="D836" s="8"/>
      <c r="E836" s="8"/>
    </row>
    <row r="837" spans="4:5" ht="15.75" customHeight="1" x14ac:dyDescent="0.25">
      <c r="D837" s="8"/>
      <c r="E837" s="8"/>
    </row>
    <row r="838" spans="4:5" ht="15.75" customHeight="1" x14ac:dyDescent="0.25">
      <c r="D838" s="8"/>
      <c r="E838" s="8"/>
    </row>
    <row r="839" spans="4:5" ht="15.75" customHeight="1" x14ac:dyDescent="0.25">
      <c r="D839" s="8"/>
      <c r="E839" s="8"/>
    </row>
    <row r="840" spans="4:5" ht="15.75" customHeight="1" x14ac:dyDescent="0.25">
      <c r="D840" s="8"/>
      <c r="E840" s="8"/>
    </row>
    <row r="841" spans="4:5" ht="15.75" customHeight="1" x14ac:dyDescent="0.25">
      <c r="D841" s="8"/>
      <c r="E841" s="8"/>
    </row>
    <row r="842" spans="4:5" ht="15.75" customHeight="1" x14ac:dyDescent="0.25">
      <c r="D842" s="8"/>
      <c r="E842" s="8"/>
    </row>
    <row r="843" spans="4:5" ht="15.75" customHeight="1" x14ac:dyDescent="0.25">
      <c r="D843" s="8"/>
      <c r="E843" s="8"/>
    </row>
    <row r="844" spans="4:5" ht="15.75" customHeight="1" x14ac:dyDescent="0.25">
      <c r="D844" s="8"/>
      <c r="E844" s="8"/>
    </row>
    <row r="845" spans="4:5" ht="15.75" customHeight="1" x14ac:dyDescent="0.25">
      <c r="D845" s="8"/>
      <c r="E845" s="8"/>
    </row>
    <row r="846" spans="4:5" ht="15.75" customHeight="1" x14ac:dyDescent="0.25">
      <c r="D846" s="8"/>
      <c r="E846" s="8"/>
    </row>
    <row r="847" spans="4:5" ht="15.75" customHeight="1" x14ac:dyDescent="0.25">
      <c r="D847" s="8"/>
      <c r="E847" s="8"/>
    </row>
    <row r="848" spans="4:5" ht="15.75" customHeight="1" x14ac:dyDescent="0.25">
      <c r="D848" s="8"/>
      <c r="E848" s="8"/>
    </row>
    <row r="849" spans="4:5" ht="15.75" customHeight="1" x14ac:dyDescent="0.25">
      <c r="D849" s="8"/>
      <c r="E849" s="8"/>
    </row>
    <row r="850" spans="4:5" ht="15.75" customHeight="1" x14ac:dyDescent="0.25">
      <c r="D850" s="8"/>
      <c r="E850" s="8"/>
    </row>
    <row r="851" spans="4:5" ht="15.75" customHeight="1" x14ac:dyDescent="0.25">
      <c r="D851" s="8"/>
      <c r="E851" s="8"/>
    </row>
    <row r="852" spans="4:5" ht="15.75" customHeight="1" x14ac:dyDescent="0.25">
      <c r="D852" s="8"/>
      <c r="E852" s="8"/>
    </row>
    <row r="853" spans="4:5" ht="15.75" customHeight="1" x14ac:dyDescent="0.25">
      <c r="D853" s="8"/>
      <c r="E853" s="8"/>
    </row>
    <row r="854" spans="4:5" ht="15.75" customHeight="1" x14ac:dyDescent="0.25">
      <c r="D854" s="8"/>
      <c r="E854" s="8"/>
    </row>
    <row r="855" spans="4:5" ht="15.75" customHeight="1" x14ac:dyDescent="0.25">
      <c r="D855" s="8"/>
      <c r="E855" s="8"/>
    </row>
    <row r="856" spans="4:5" ht="15.75" customHeight="1" x14ac:dyDescent="0.25">
      <c r="D856" s="8"/>
      <c r="E856" s="8"/>
    </row>
    <row r="857" spans="4:5" ht="15.75" customHeight="1" x14ac:dyDescent="0.25">
      <c r="D857" s="8"/>
      <c r="E857" s="8"/>
    </row>
    <row r="858" spans="4:5" ht="15.75" customHeight="1" x14ac:dyDescent="0.25">
      <c r="D858" s="8"/>
      <c r="E858" s="8"/>
    </row>
    <row r="859" spans="4:5" ht="15.75" customHeight="1" x14ac:dyDescent="0.25">
      <c r="D859" s="8"/>
      <c r="E859" s="8"/>
    </row>
    <row r="860" spans="4:5" ht="15.75" customHeight="1" x14ac:dyDescent="0.25">
      <c r="D860" s="8"/>
      <c r="E860" s="8"/>
    </row>
    <row r="861" spans="4:5" ht="15.75" customHeight="1" x14ac:dyDescent="0.25">
      <c r="D861" s="8"/>
      <c r="E861" s="8"/>
    </row>
    <row r="862" spans="4:5" ht="15.75" customHeight="1" x14ac:dyDescent="0.25">
      <c r="D862" s="8"/>
      <c r="E862" s="8"/>
    </row>
    <row r="863" spans="4:5" ht="15.75" customHeight="1" x14ac:dyDescent="0.25">
      <c r="D863" s="8"/>
      <c r="E863" s="8"/>
    </row>
    <row r="864" spans="4:5" ht="15.75" customHeight="1" x14ac:dyDescent="0.25">
      <c r="D864" s="8"/>
      <c r="E864" s="8"/>
    </row>
    <row r="865" spans="4:5" ht="15.75" customHeight="1" x14ac:dyDescent="0.25">
      <c r="D865" s="8"/>
      <c r="E865" s="8"/>
    </row>
    <row r="866" spans="4:5" ht="15.75" customHeight="1" x14ac:dyDescent="0.25">
      <c r="D866" s="8"/>
      <c r="E866" s="8"/>
    </row>
    <row r="867" spans="4:5" ht="15.75" customHeight="1" x14ac:dyDescent="0.25">
      <c r="D867" s="8"/>
      <c r="E867" s="8"/>
    </row>
    <row r="868" spans="4:5" ht="15.75" customHeight="1" x14ac:dyDescent="0.25">
      <c r="D868" s="8"/>
      <c r="E868" s="8"/>
    </row>
    <row r="869" spans="4:5" ht="15.75" customHeight="1" x14ac:dyDescent="0.25">
      <c r="D869" s="8"/>
      <c r="E869" s="8"/>
    </row>
    <row r="870" spans="4:5" ht="15.75" customHeight="1" x14ac:dyDescent="0.25">
      <c r="D870" s="8"/>
      <c r="E870" s="8"/>
    </row>
    <row r="871" spans="4:5" ht="15.75" customHeight="1" x14ac:dyDescent="0.25">
      <c r="D871" s="8"/>
      <c r="E871" s="8"/>
    </row>
    <row r="872" spans="4:5" ht="15.75" customHeight="1" x14ac:dyDescent="0.25">
      <c r="D872" s="8"/>
      <c r="E872" s="8"/>
    </row>
    <row r="873" spans="4:5" ht="15.75" customHeight="1" x14ac:dyDescent="0.25">
      <c r="D873" s="8"/>
      <c r="E873" s="8"/>
    </row>
    <row r="874" spans="4:5" ht="15.75" customHeight="1" x14ac:dyDescent="0.25">
      <c r="D874" s="8"/>
      <c r="E874" s="8"/>
    </row>
    <row r="875" spans="4:5" ht="15.75" customHeight="1" x14ac:dyDescent="0.25">
      <c r="D875" s="8"/>
      <c r="E875" s="8"/>
    </row>
    <row r="876" spans="4:5" ht="15.75" customHeight="1" x14ac:dyDescent="0.25">
      <c r="D876" s="8"/>
      <c r="E876" s="8"/>
    </row>
    <row r="877" spans="4:5" ht="15.75" customHeight="1" x14ac:dyDescent="0.25">
      <c r="D877" s="8"/>
      <c r="E877" s="8"/>
    </row>
    <row r="878" spans="4:5" ht="15.75" customHeight="1" x14ac:dyDescent="0.25">
      <c r="D878" s="8"/>
      <c r="E878" s="8"/>
    </row>
    <row r="879" spans="4:5" ht="15.75" customHeight="1" x14ac:dyDescent="0.25">
      <c r="D879" s="8"/>
      <c r="E879" s="8"/>
    </row>
    <row r="880" spans="4:5" ht="15.75" customHeight="1" x14ac:dyDescent="0.25">
      <c r="D880" s="8"/>
      <c r="E880" s="8"/>
    </row>
    <row r="881" spans="4:5" ht="15.75" customHeight="1" x14ac:dyDescent="0.25">
      <c r="D881" s="8"/>
      <c r="E881" s="8"/>
    </row>
    <row r="882" spans="4:5" ht="15.75" customHeight="1" x14ac:dyDescent="0.25">
      <c r="D882" s="8"/>
      <c r="E882" s="8"/>
    </row>
    <row r="883" spans="4:5" ht="15.75" customHeight="1" x14ac:dyDescent="0.25">
      <c r="D883" s="8"/>
      <c r="E883" s="8"/>
    </row>
    <row r="884" spans="4:5" ht="15.75" customHeight="1" x14ac:dyDescent="0.25">
      <c r="D884" s="8"/>
      <c r="E884" s="8"/>
    </row>
    <row r="885" spans="4:5" ht="15.75" customHeight="1" x14ac:dyDescent="0.25">
      <c r="D885" s="8"/>
      <c r="E885" s="8"/>
    </row>
    <row r="886" spans="4:5" ht="15.75" customHeight="1" x14ac:dyDescent="0.25">
      <c r="D886" s="8"/>
      <c r="E886" s="8"/>
    </row>
    <row r="887" spans="4:5" ht="15.75" customHeight="1" x14ac:dyDescent="0.25">
      <c r="D887" s="8"/>
      <c r="E887" s="8"/>
    </row>
    <row r="888" spans="4:5" ht="15.75" customHeight="1" x14ac:dyDescent="0.25">
      <c r="D888" s="8"/>
      <c r="E888" s="8"/>
    </row>
    <row r="889" spans="4:5" ht="15.75" customHeight="1" x14ac:dyDescent="0.25">
      <c r="D889" s="8"/>
      <c r="E889" s="8"/>
    </row>
    <row r="890" spans="4:5" ht="15.75" customHeight="1" x14ac:dyDescent="0.25">
      <c r="D890" s="8"/>
      <c r="E890" s="8"/>
    </row>
    <row r="891" spans="4:5" ht="15.75" customHeight="1" x14ac:dyDescent="0.25">
      <c r="D891" s="8"/>
      <c r="E891" s="8"/>
    </row>
    <row r="892" spans="4:5" ht="15.75" customHeight="1" x14ac:dyDescent="0.25">
      <c r="D892" s="8"/>
      <c r="E892" s="8"/>
    </row>
    <row r="893" spans="4:5" ht="15.75" customHeight="1" x14ac:dyDescent="0.25">
      <c r="D893" s="8"/>
      <c r="E893" s="8"/>
    </row>
    <row r="894" spans="4:5" ht="15.75" customHeight="1" x14ac:dyDescent="0.25">
      <c r="D894" s="8"/>
      <c r="E894" s="8"/>
    </row>
    <row r="895" spans="4:5" ht="15.75" customHeight="1" x14ac:dyDescent="0.25">
      <c r="D895" s="8"/>
      <c r="E895" s="8"/>
    </row>
    <row r="896" spans="4:5" ht="15.75" customHeight="1" x14ac:dyDescent="0.25">
      <c r="D896" s="8"/>
      <c r="E896" s="8"/>
    </row>
    <row r="897" spans="4:5" ht="15.75" customHeight="1" x14ac:dyDescent="0.25">
      <c r="D897" s="8"/>
      <c r="E897" s="8"/>
    </row>
    <row r="898" spans="4:5" ht="15.75" customHeight="1" x14ac:dyDescent="0.25">
      <c r="D898" s="8"/>
      <c r="E898" s="8"/>
    </row>
    <row r="899" spans="4:5" ht="15.75" customHeight="1" x14ac:dyDescent="0.25">
      <c r="D899" s="8"/>
      <c r="E899" s="8"/>
    </row>
    <row r="900" spans="4:5" ht="15.75" customHeight="1" x14ac:dyDescent="0.25">
      <c r="D900" s="8"/>
      <c r="E900" s="8"/>
    </row>
    <row r="901" spans="4:5" ht="15.75" customHeight="1" x14ac:dyDescent="0.25">
      <c r="D901" s="8"/>
      <c r="E901" s="8"/>
    </row>
    <row r="902" spans="4:5" ht="15.75" customHeight="1" x14ac:dyDescent="0.25">
      <c r="D902" s="8"/>
      <c r="E902" s="8"/>
    </row>
    <row r="903" spans="4:5" ht="15.75" customHeight="1" x14ac:dyDescent="0.25">
      <c r="D903" s="8"/>
      <c r="E903" s="8"/>
    </row>
    <row r="904" spans="4:5" ht="15.75" customHeight="1" x14ac:dyDescent="0.25">
      <c r="D904" s="8"/>
      <c r="E904" s="8"/>
    </row>
    <row r="905" spans="4:5" ht="15.75" customHeight="1" x14ac:dyDescent="0.25">
      <c r="D905" s="8"/>
      <c r="E905" s="8"/>
    </row>
    <row r="906" spans="4:5" ht="15.75" customHeight="1" x14ac:dyDescent="0.25">
      <c r="D906" s="8"/>
      <c r="E906" s="8"/>
    </row>
    <row r="907" spans="4:5" ht="15.75" customHeight="1" x14ac:dyDescent="0.25">
      <c r="D907" s="8"/>
      <c r="E907" s="8"/>
    </row>
    <row r="908" spans="4:5" ht="15.75" customHeight="1" x14ac:dyDescent="0.25">
      <c r="D908" s="8"/>
      <c r="E908" s="8"/>
    </row>
    <row r="909" spans="4:5" ht="15.75" customHeight="1" x14ac:dyDescent="0.25">
      <c r="D909" s="8"/>
      <c r="E909" s="8"/>
    </row>
    <row r="910" spans="4:5" ht="15.75" customHeight="1" x14ac:dyDescent="0.25">
      <c r="D910" s="8"/>
      <c r="E910" s="8"/>
    </row>
    <row r="911" spans="4:5" ht="15.75" customHeight="1" x14ac:dyDescent="0.25">
      <c r="D911" s="8"/>
      <c r="E911" s="8"/>
    </row>
    <row r="912" spans="4:5" ht="15.75" customHeight="1" x14ac:dyDescent="0.25">
      <c r="D912" s="8"/>
      <c r="E912" s="8"/>
    </row>
    <row r="913" spans="4:5" ht="15.75" customHeight="1" x14ac:dyDescent="0.25">
      <c r="D913" s="8"/>
      <c r="E913" s="8"/>
    </row>
    <row r="914" spans="4:5" ht="15.75" customHeight="1" x14ac:dyDescent="0.25">
      <c r="D914" s="8"/>
      <c r="E914" s="8"/>
    </row>
    <row r="915" spans="4:5" ht="15.75" customHeight="1" x14ac:dyDescent="0.25">
      <c r="D915" s="8"/>
      <c r="E915" s="8"/>
    </row>
    <row r="916" spans="4:5" ht="15.75" customHeight="1" x14ac:dyDescent="0.25">
      <c r="D916" s="8"/>
      <c r="E916" s="8"/>
    </row>
    <row r="917" spans="4:5" ht="15.75" customHeight="1" x14ac:dyDescent="0.25">
      <c r="D917" s="8"/>
      <c r="E917" s="8"/>
    </row>
    <row r="918" spans="4:5" ht="15.75" customHeight="1" x14ac:dyDescent="0.25">
      <c r="D918" s="8"/>
      <c r="E918" s="8"/>
    </row>
    <row r="919" spans="4:5" ht="15.75" customHeight="1" x14ac:dyDescent="0.25">
      <c r="D919" s="8"/>
      <c r="E919" s="8"/>
    </row>
    <row r="920" spans="4:5" ht="15.75" customHeight="1" x14ac:dyDescent="0.25">
      <c r="D920" s="8"/>
      <c r="E920" s="8"/>
    </row>
    <row r="921" spans="4:5" ht="15.75" customHeight="1" x14ac:dyDescent="0.25">
      <c r="D921" s="8"/>
      <c r="E921" s="8"/>
    </row>
    <row r="922" spans="4:5" ht="15.75" customHeight="1" x14ac:dyDescent="0.25">
      <c r="D922" s="8"/>
      <c r="E922" s="8"/>
    </row>
    <row r="923" spans="4:5" ht="15.75" customHeight="1" x14ac:dyDescent="0.25">
      <c r="D923" s="8"/>
      <c r="E923" s="8"/>
    </row>
    <row r="924" spans="4:5" ht="15.75" customHeight="1" x14ac:dyDescent="0.25">
      <c r="D924" s="8"/>
      <c r="E924" s="8"/>
    </row>
    <row r="925" spans="4:5" ht="15.75" customHeight="1" x14ac:dyDescent="0.25">
      <c r="D925" s="8"/>
      <c r="E925" s="8"/>
    </row>
    <row r="926" spans="4:5" ht="15.75" customHeight="1" x14ac:dyDescent="0.25">
      <c r="D926" s="8"/>
      <c r="E926" s="8"/>
    </row>
    <row r="927" spans="4:5" ht="15.75" customHeight="1" x14ac:dyDescent="0.25">
      <c r="D927" s="8"/>
      <c r="E927" s="8"/>
    </row>
    <row r="928" spans="4:5" ht="15.75" customHeight="1" x14ac:dyDescent="0.25">
      <c r="D928" s="8"/>
      <c r="E928" s="8"/>
    </row>
    <row r="929" spans="4:5" ht="15.75" customHeight="1" x14ac:dyDescent="0.25">
      <c r="D929" s="8"/>
      <c r="E929" s="8"/>
    </row>
    <row r="930" spans="4:5" ht="15.75" customHeight="1" x14ac:dyDescent="0.25">
      <c r="D930" s="8"/>
      <c r="E930" s="8"/>
    </row>
    <row r="931" spans="4:5" ht="15.75" customHeight="1" x14ac:dyDescent="0.25">
      <c r="D931" s="8"/>
      <c r="E931" s="8"/>
    </row>
    <row r="932" spans="4:5" ht="15.75" customHeight="1" x14ac:dyDescent="0.25">
      <c r="D932" s="8"/>
      <c r="E932" s="8"/>
    </row>
    <row r="933" spans="4:5" ht="15.75" customHeight="1" x14ac:dyDescent="0.25">
      <c r="D933" s="8"/>
      <c r="E933" s="8"/>
    </row>
    <row r="934" spans="4:5" ht="15.75" customHeight="1" x14ac:dyDescent="0.25">
      <c r="D934" s="8"/>
      <c r="E934" s="8"/>
    </row>
    <row r="935" spans="4:5" ht="15.75" customHeight="1" x14ac:dyDescent="0.25">
      <c r="D935" s="8"/>
      <c r="E935" s="8"/>
    </row>
    <row r="936" spans="4:5" ht="15.75" customHeight="1" x14ac:dyDescent="0.25">
      <c r="D936" s="8"/>
      <c r="E936" s="8"/>
    </row>
    <row r="937" spans="4:5" ht="15.75" customHeight="1" x14ac:dyDescent="0.25">
      <c r="D937" s="8"/>
      <c r="E937" s="8"/>
    </row>
    <row r="938" spans="4:5" ht="15.75" customHeight="1" x14ac:dyDescent="0.25">
      <c r="D938" s="8"/>
      <c r="E938" s="8"/>
    </row>
    <row r="939" spans="4:5" ht="15.75" customHeight="1" x14ac:dyDescent="0.25">
      <c r="D939" s="8"/>
      <c r="E939" s="8"/>
    </row>
    <row r="940" spans="4:5" ht="15.75" customHeight="1" x14ac:dyDescent="0.25">
      <c r="D940" s="8"/>
      <c r="E940" s="8"/>
    </row>
    <row r="941" spans="4:5" ht="15.75" customHeight="1" x14ac:dyDescent="0.25">
      <c r="D941" s="8"/>
      <c r="E941" s="8"/>
    </row>
    <row r="942" spans="4:5" ht="15.75" customHeight="1" x14ac:dyDescent="0.25">
      <c r="D942" s="8"/>
      <c r="E942" s="8"/>
    </row>
    <row r="943" spans="4:5" ht="15.75" customHeight="1" x14ac:dyDescent="0.25">
      <c r="D943" s="8"/>
      <c r="E943" s="8"/>
    </row>
    <row r="944" spans="4:5" ht="15.75" customHeight="1" x14ac:dyDescent="0.25">
      <c r="D944" s="8"/>
      <c r="E944" s="8"/>
    </row>
    <row r="945" spans="4:5" ht="15.75" customHeight="1" x14ac:dyDescent="0.25">
      <c r="D945" s="8"/>
      <c r="E945" s="8"/>
    </row>
    <row r="946" spans="4:5" ht="15.75" customHeight="1" x14ac:dyDescent="0.25">
      <c r="D946" s="8"/>
      <c r="E946" s="8"/>
    </row>
    <row r="947" spans="4:5" ht="15.75" customHeight="1" x14ac:dyDescent="0.25">
      <c r="D947" s="8"/>
      <c r="E947" s="8"/>
    </row>
    <row r="948" spans="4:5" ht="15.75" customHeight="1" x14ac:dyDescent="0.25">
      <c r="D948" s="8"/>
      <c r="E948" s="8"/>
    </row>
    <row r="949" spans="4:5" ht="15.75" customHeight="1" x14ac:dyDescent="0.25">
      <c r="D949" s="8"/>
      <c r="E949" s="8"/>
    </row>
    <row r="950" spans="4:5" ht="15.75" customHeight="1" x14ac:dyDescent="0.25">
      <c r="D950" s="8"/>
      <c r="E950" s="8"/>
    </row>
    <row r="951" spans="4:5" ht="15.75" customHeight="1" x14ac:dyDescent="0.25">
      <c r="D951" s="8"/>
      <c r="E951" s="8"/>
    </row>
    <row r="952" spans="4:5" ht="15.75" customHeight="1" x14ac:dyDescent="0.25">
      <c r="D952" s="8"/>
      <c r="E952" s="8"/>
    </row>
    <row r="953" spans="4:5" ht="15.75" customHeight="1" x14ac:dyDescent="0.25">
      <c r="D953" s="8"/>
      <c r="E953" s="8"/>
    </row>
    <row r="954" spans="4:5" ht="15.75" customHeight="1" x14ac:dyDescent="0.25">
      <c r="D954" s="8"/>
      <c r="E954" s="8"/>
    </row>
    <row r="955" spans="4:5" ht="15.75" customHeight="1" x14ac:dyDescent="0.25">
      <c r="D955" s="8"/>
      <c r="E955" s="8"/>
    </row>
    <row r="956" spans="4:5" ht="15.75" customHeight="1" x14ac:dyDescent="0.25">
      <c r="D956" s="8"/>
      <c r="E956" s="8"/>
    </row>
    <row r="957" spans="4:5" ht="15.75" customHeight="1" x14ac:dyDescent="0.25">
      <c r="D957" s="8"/>
      <c r="E957" s="8"/>
    </row>
    <row r="958" spans="4:5" ht="15.75" customHeight="1" x14ac:dyDescent="0.25">
      <c r="D958" s="8"/>
      <c r="E958" s="8"/>
    </row>
    <row r="959" spans="4:5" ht="15.75" customHeight="1" x14ac:dyDescent="0.25">
      <c r="D959" s="8"/>
      <c r="E959" s="8"/>
    </row>
    <row r="960" spans="4:5" ht="15.75" customHeight="1" x14ac:dyDescent="0.25">
      <c r="D960" s="8"/>
      <c r="E960" s="8"/>
    </row>
    <row r="961" spans="4:5" ht="15.75" customHeight="1" x14ac:dyDescent="0.25">
      <c r="D961" s="8"/>
      <c r="E961" s="8"/>
    </row>
    <row r="962" spans="4:5" ht="15.75" customHeight="1" x14ac:dyDescent="0.25">
      <c r="D962" s="8"/>
      <c r="E962" s="8"/>
    </row>
    <row r="963" spans="4:5" ht="15.75" customHeight="1" x14ac:dyDescent="0.25">
      <c r="D963" s="8"/>
      <c r="E963" s="8"/>
    </row>
    <row r="964" spans="4:5" ht="15.75" customHeight="1" x14ac:dyDescent="0.25">
      <c r="D964" s="8"/>
      <c r="E964" s="8"/>
    </row>
    <row r="965" spans="4:5" ht="15.75" customHeight="1" x14ac:dyDescent="0.25">
      <c r="D965" s="8"/>
      <c r="E965" s="8"/>
    </row>
    <row r="966" spans="4:5" ht="15.75" customHeight="1" x14ac:dyDescent="0.25">
      <c r="D966" s="8"/>
      <c r="E966" s="8"/>
    </row>
    <row r="967" spans="4:5" ht="15.75" customHeight="1" x14ac:dyDescent="0.25">
      <c r="D967" s="8"/>
      <c r="E967" s="8"/>
    </row>
    <row r="968" spans="4:5" ht="15.75" customHeight="1" x14ac:dyDescent="0.25">
      <c r="D968" s="8"/>
      <c r="E968" s="8"/>
    </row>
    <row r="969" spans="4:5" ht="15.75" customHeight="1" x14ac:dyDescent="0.25">
      <c r="D969" s="8"/>
      <c r="E969" s="8"/>
    </row>
    <row r="970" spans="4:5" ht="15.75" customHeight="1" x14ac:dyDescent="0.25">
      <c r="D970" s="8"/>
      <c r="E970" s="8"/>
    </row>
    <row r="971" spans="4:5" ht="15.75" customHeight="1" x14ac:dyDescent="0.25">
      <c r="D971" s="8"/>
      <c r="E971" s="8"/>
    </row>
    <row r="972" spans="4:5" ht="15.75" customHeight="1" x14ac:dyDescent="0.25">
      <c r="D972" s="8"/>
      <c r="E972" s="8"/>
    </row>
    <row r="973" spans="4:5" ht="15.75" customHeight="1" x14ac:dyDescent="0.25">
      <c r="D973" s="8"/>
      <c r="E973" s="8"/>
    </row>
    <row r="974" spans="4:5" ht="15.75" customHeight="1" x14ac:dyDescent="0.25">
      <c r="D974" s="8"/>
      <c r="E974" s="8"/>
    </row>
    <row r="975" spans="4:5" ht="15.75" customHeight="1" x14ac:dyDescent="0.25">
      <c r="D975" s="8"/>
      <c r="E975" s="8"/>
    </row>
    <row r="976" spans="4:5" ht="15.75" customHeight="1" x14ac:dyDescent="0.25">
      <c r="D976" s="8"/>
      <c r="E976" s="8"/>
    </row>
    <row r="977" spans="4:5" ht="15.75" customHeight="1" x14ac:dyDescent="0.25">
      <c r="D977" s="8"/>
      <c r="E977" s="8"/>
    </row>
    <row r="978" spans="4:5" ht="15.75" customHeight="1" x14ac:dyDescent="0.25">
      <c r="D978" s="8"/>
      <c r="E978" s="8"/>
    </row>
    <row r="979" spans="4:5" ht="15.75" customHeight="1" x14ac:dyDescent="0.25">
      <c r="D979" s="8"/>
      <c r="E979" s="8"/>
    </row>
    <row r="980" spans="4:5" ht="15.75" customHeight="1" x14ac:dyDescent="0.25">
      <c r="D980" s="8"/>
      <c r="E980" s="8"/>
    </row>
  </sheetData>
  <pageMargins left="0.7" right="0.7" top="0.75" bottom="0.75" header="0.51180555555555496" footer="0.51180555555555496"/>
  <pageSetup firstPageNumber="0" orientation="landscape"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42447</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Erik Archibald</cp:lastModifiedBy>
  <cp:revision>25</cp:revision>
  <dcterms:modified xsi:type="dcterms:W3CDTF">2023-09-13T16:55:19Z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