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\Documents\Kinetics\"/>
    </mc:Choice>
  </mc:AlternateContent>
  <bookViews>
    <workbookView xWindow="0" yWindow="0" windowWidth="11670" windowHeight="6240" firstSheet="1" activeTab="3"/>
  </bookViews>
  <sheets>
    <sheet name="Sheet2" sheetId="3" r:id="rId1"/>
    <sheet name="Some parameters" sheetId="1" r:id="rId2"/>
    <sheet name="Heat Rxn (2)" sheetId="23" r:id="rId3"/>
    <sheet name="Sheet3" sheetId="24" r:id="rId4"/>
    <sheet name="Heat Rxn" sheetId="2" r:id="rId5"/>
    <sheet name="porosity" sheetId="4" r:id="rId6"/>
    <sheet name="thermal cond. (2)" sheetId="15" r:id="rId7"/>
    <sheet name="thermal cond." sheetId="6" r:id="rId8"/>
    <sheet name="effec. diff.for species (2)" sheetId="22" r:id="rId9"/>
    <sheet name="effec. diff.for species" sheetId="7" r:id="rId10"/>
    <sheet name="cp" sheetId="5" r:id="rId11"/>
    <sheet name="effec. diff. " sheetId="12" r:id="rId12"/>
    <sheet name="Mol avg_model p. (3)" sheetId="21" r:id="rId13"/>
    <sheet name="Mol avg (2)" sheetId="13" r:id="rId14"/>
    <sheet name="Mol avg" sheetId="8" r:id="rId15"/>
    <sheet name="viscosity (2)" sheetId="16" r:id="rId16"/>
    <sheet name="viscosity" sheetId="9" r:id="rId17"/>
    <sheet name="Sheet5" sheetId="17" r:id="rId18"/>
    <sheet name="h" sheetId="10" r:id="rId19"/>
    <sheet name="Re and Sc" sheetId="11" r:id="rId20"/>
    <sheet name="Pr-wz Crit." sheetId="18" r:id="rId21"/>
    <sheet name="Re and Sc (2)" sheetId="14" r:id="rId22"/>
    <sheet name="Hf @298" sheetId="19" r:id="rId23"/>
    <sheet name="Sheet8" sheetId="2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4" l="1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" i="24"/>
  <c r="Q3" i="24"/>
  <c r="Q4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" i="24"/>
  <c r="K3" i="24"/>
  <c r="L3" i="24"/>
  <c r="M3" i="24"/>
  <c r="K4" i="24"/>
  <c r="L4" i="24"/>
  <c r="M4" i="24"/>
  <c r="K5" i="24"/>
  <c r="L5" i="24"/>
  <c r="M5" i="24"/>
  <c r="K6" i="24"/>
  <c r="L6" i="24"/>
  <c r="M6" i="24"/>
  <c r="K7" i="24"/>
  <c r="L7" i="24"/>
  <c r="M7" i="24"/>
  <c r="K8" i="24"/>
  <c r="L8" i="24"/>
  <c r="M8" i="24"/>
  <c r="K9" i="24"/>
  <c r="L9" i="24"/>
  <c r="M9" i="24"/>
  <c r="K10" i="24"/>
  <c r="L10" i="24"/>
  <c r="M10" i="24"/>
  <c r="K11" i="24"/>
  <c r="L11" i="24"/>
  <c r="M11" i="24"/>
  <c r="K12" i="24"/>
  <c r="L12" i="24"/>
  <c r="M12" i="24"/>
  <c r="K13" i="24"/>
  <c r="L13" i="24"/>
  <c r="M13" i="24"/>
  <c r="K14" i="24"/>
  <c r="L14" i="24"/>
  <c r="M14" i="24"/>
  <c r="K15" i="24"/>
  <c r="L15" i="24"/>
  <c r="M15" i="24"/>
  <c r="K16" i="24"/>
  <c r="L16" i="24"/>
  <c r="M16" i="24"/>
  <c r="K17" i="24"/>
  <c r="L17" i="24"/>
  <c r="M17" i="24"/>
  <c r="K18" i="24"/>
  <c r="L18" i="24"/>
  <c r="M18" i="24"/>
  <c r="K19" i="24"/>
  <c r="L19" i="24"/>
  <c r="M19" i="24"/>
  <c r="K20" i="24"/>
  <c r="L20" i="24"/>
  <c r="M20" i="24"/>
  <c r="K21" i="24"/>
  <c r="L21" i="24"/>
  <c r="M21" i="24"/>
  <c r="K22" i="24"/>
  <c r="L22" i="24"/>
  <c r="M22" i="24"/>
  <c r="L2" i="24"/>
  <c r="M2" i="24"/>
  <c r="K2" i="24"/>
  <c r="K38" i="23" l="1"/>
  <c r="J38" i="23"/>
  <c r="L37" i="23"/>
  <c r="K36" i="23"/>
  <c r="J36" i="23"/>
  <c r="L35" i="23"/>
  <c r="K34" i="23"/>
  <c r="J34" i="23"/>
  <c r="M33" i="23"/>
  <c r="L33" i="23"/>
  <c r="I33" i="23"/>
  <c r="J32" i="23"/>
  <c r="T26" i="23"/>
  <c r="S26" i="23"/>
  <c r="R26" i="23"/>
  <c r="L26" i="23"/>
  <c r="G26" i="23"/>
  <c r="M38" i="23" s="1"/>
  <c r="F26" i="23"/>
  <c r="L38" i="23" s="1"/>
  <c r="E26" i="23"/>
  <c r="K26" i="23" s="1"/>
  <c r="D26" i="23"/>
  <c r="J26" i="23" s="1"/>
  <c r="C26" i="23"/>
  <c r="I38" i="23" s="1"/>
  <c r="N38" i="23" s="1"/>
  <c r="T25" i="23"/>
  <c r="S25" i="23"/>
  <c r="R25" i="23"/>
  <c r="L25" i="23"/>
  <c r="G25" i="23"/>
  <c r="M37" i="23" s="1"/>
  <c r="F25" i="23"/>
  <c r="E25" i="23"/>
  <c r="K37" i="23" s="1"/>
  <c r="D25" i="23"/>
  <c r="J37" i="23" s="1"/>
  <c r="C25" i="23"/>
  <c r="Q25" i="23" s="1"/>
  <c r="U25" i="23" s="1"/>
  <c r="T24" i="23"/>
  <c r="S24" i="23"/>
  <c r="R24" i="23"/>
  <c r="L24" i="23"/>
  <c r="G24" i="23"/>
  <c r="M36" i="23" s="1"/>
  <c r="F24" i="23"/>
  <c r="F27" i="23" s="1"/>
  <c r="F28" i="23" s="1"/>
  <c r="F29" i="23" s="1"/>
  <c r="E24" i="23"/>
  <c r="K24" i="23" s="1"/>
  <c r="D24" i="23"/>
  <c r="J24" i="23" s="1"/>
  <c r="C24" i="23"/>
  <c r="I36" i="23" s="1"/>
  <c r="T23" i="23"/>
  <c r="S23" i="23"/>
  <c r="R23" i="23"/>
  <c r="L23" i="23"/>
  <c r="G23" i="23"/>
  <c r="M23" i="23" s="1"/>
  <c r="F23" i="23"/>
  <c r="E23" i="23"/>
  <c r="K35" i="23" s="1"/>
  <c r="D23" i="23"/>
  <c r="J35" i="23" s="1"/>
  <c r="C23" i="23"/>
  <c r="Q23" i="23" s="1"/>
  <c r="U23" i="23" s="1"/>
  <c r="T22" i="23"/>
  <c r="S22" i="23"/>
  <c r="R22" i="23"/>
  <c r="L22" i="23"/>
  <c r="G22" i="23"/>
  <c r="M34" i="23" s="1"/>
  <c r="F22" i="23"/>
  <c r="L34" i="23" s="1"/>
  <c r="E22" i="23"/>
  <c r="K22" i="23" s="1"/>
  <c r="D22" i="23"/>
  <c r="J22" i="23" s="1"/>
  <c r="C22" i="23"/>
  <c r="I34" i="23" s="1"/>
  <c r="N34" i="23" s="1"/>
  <c r="T21" i="23"/>
  <c r="R21" i="23"/>
  <c r="M21" i="23"/>
  <c r="L21" i="23"/>
  <c r="J21" i="23"/>
  <c r="I21" i="23"/>
  <c r="E21" i="23"/>
  <c r="K33" i="23" s="1"/>
  <c r="D21" i="23"/>
  <c r="J33" i="23" s="1"/>
  <c r="C21" i="23"/>
  <c r="Q21" i="23" s="1"/>
  <c r="T20" i="23"/>
  <c r="R20" i="23"/>
  <c r="Q20" i="23"/>
  <c r="J20" i="23"/>
  <c r="G20" i="23"/>
  <c r="M32" i="23" s="1"/>
  <c r="F20" i="23"/>
  <c r="L32" i="23" s="1"/>
  <c r="E20" i="23"/>
  <c r="S20" i="23" s="1"/>
  <c r="D20" i="23"/>
  <c r="C20" i="23"/>
  <c r="I32" i="23" s="1"/>
  <c r="F9" i="23"/>
  <c r="B9" i="23"/>
  <c r="K8" i="23"/>
  <c r="J8" i="23"/>
  <c r="D8" i="23"/>
  <c r="F8" i="23" s="1"/>
  <c r="K7" i="23"/>
  <c r="E7" i="23"/>
  <c r="D7" i="23"/>
  <c r="F7" i="23" s="1"/>
  <c r="B7" i="23"/>
  <c r="J6" i="23"/>
  <c r="K6" i="23" s="1"/>
  <c r="K10" i="23" s="1"/>
  <c r="E6" i="23"/>
  <c r="F6" i="23" s="1"/>
  <c r="B6" i="23"/>
  <c r="K33" i="2"/>
  <c r="M33" i="2"/>
  <c r="M34" i="2"/>
  <c r="M35" i="2"/>
  <c r="M36" i="2"/>
  <c r="M37" i="2"/>
  <c r="M38" i="2"/>
  <c r="M32" i="2"/>
  <c r="L33" i="2"/>
  <c r="L34" i="2"/>
  <c r="L35" i="2"/>
  <c r="L36" i="2"/>
  <c r="L37" i="2"/>
  <c r="L38" i="2"/>
  <c r="L32" i="2"/>
  <c r="K34" i="2"/>
  <c r="K35" i="2"/>
  <c r="N35" i="2" s="1"/>
  <c r="K36" i="2"/>
  <c r="N36" i="2" s="1"/>
  <c r="K37" i="2"/>
  <c r="K38" i="2"/>
  <c r="K32" i="2"/>
  <c r="N32" i="2" s="1"/>
  <c r="J33" i="2"/>
  <c r="J34" i="2"/>
  <c r="J35" i="2"/>
  <c r="J36" i="2"/>
  <c r="J37" i="2"/>
  <c r="J38" i="2"/>
  <c r="J32" i="2"/>
  <c r="I33" i="2"/>
  <c r="N33" i="2" s="1"/>
  <c r="I34" i="2"/>
  <c r="N34" i="2" s="1"/>
  <c r="I35" i="2"/>
  <c r="I36" i="2"/>
  <c r="I37" i="2"/>
  <c r="N37" i="2" s="1"/>
  <c r="I38" i="2"/>
  <c r="N38" i="2" s="1"/>
  <c r="I32" i="2"/>
  <c r="G11" i="2"/>
  <c r="D8" i="2"/>
  <c r="D7" i="2"/>
  <c r="N39" i="2" l="1"/>
  <c r="N40" i="2" s="1"/>
  <c r="L41" i="2" s="1"/>
  <c r="C9" i="23"/>
  <c r="U20" i="23"/>
  <c r="C6" i="23"/>
  <c r="N32" i="23"/>
  <c r="N33" i="23"/>
  <c r="F10" i="23"/>
  <c r="G11" i="23" s="1"/>
  <c r="B10" i="23"/>
  <c r="C8" i="23" s="1"/>
  <c r="C27" i="23"/>
  <c r="G27" i="23"/>
  <c r="G28" i="23" s="1"/>
  <c r="G29" i="23" s="1"/>
  <c r="K20" i="23"/>
  <c r="I24" i="23"/>
  <c r="M24" i="23"/>
  <c r="I26" i="23"/>
  <c r="N26" i="23" s="1"/>
  <c r="M26" i="23"/>
  <c r="D27" i="23"/>
  <c r="D28" i="23" s="1"/>
  <c r="D29" i="23" s="1"/>
  <c r="I35" i="23"/>
  <c r="M35" i="23"/>
  <c r="I37" i="23"/>
  <c r="N37" i="23" s="1"/>
  <c r="L20" i="23"/>
  <c r="J23" i="23"/>
  <c r="J25" i="23"/>
  <c r="E27" i="23"/>
  <c r="E28" i="23" s="1"/>
  <c r="E29" i="23" s="1"/>
  <c r="L36" i="23"/>
  <c r="N36" i="23" s="1"/>
  <c r="S21" i="23"/>
  <c r="U21" i="23" s="1"/>
  <c r="I22" i="23"/>
  <c r="N22" i="23" s="1"/>
  <c r="M22" i="23"/>
  <c r="I23" i="23"/>
  <c r="I25" i="23"/>
  <c r="M25" i="23"/>
  <c r="K32" i="23"/>
  <c r="I20" i="23"/>
  <c r="M20" i="23"/>
  <c r="K21" i="23"/>
  <c r="N21" i="23" s="1"/>
  <c r="Q22" i="23"/>
  <c r="U22" i="23" s="1"/>
  <c r="K23" i="23"/>
  <c r="Q24" i="23"/>
  <c r="U24" i="23" s="1"/>
  <c r="K25" i="23"/>
  <c r="Q26" i="23"/>
  <c r="U26" i="23" s="1"/>
  <c r="L28" i="22"/>
  <c r="L19" i="22"/>
  <c r="L20" i="22" s="1"/>
  <c r="L25" i="22" s="1"/>
  <c r="L17" i="22"/>
  <c r="L23" i="22"/>
  <c r="I25" i="22"/>
  <c r="I26" i="22" s="1"/>
  <c r="I22" i="22"/>
  <c r="I28" i="22"/>
  <c r="I20" i="22"/>
  <c r="I19" i="22"/>
  <c r="I17" i="22"/>
  <c r="I23" i="22"/>
  <c r="E23" i="22"/>
  <c r="E20" i="22"/>
  <c r="E17" i="22"/>
  <c r="B15" i="22"/>
  <c r="B14" i="22"/>
  <c r="E25" i="22" s="1"/>
  <c r="E26" i="22" s="1"/>
  <c r="B18" i="22"/>
  <c r="B20" i="22" s="1"/>
  <c r="B23" i="22"/>
  <c r="B22" i="22"/>
  <c r="E30" i="22"/>
  <c r="B21" i="22"/>
  <c r="B17" i="22"/>
  <c r="K46" i="22"/>
  <c r="E44" i="22"/>
  <c r="V31" i="22"/>
  <c r="AD27" i="22"/>
  <c r="AD32" i="22" s="1"/>
  <c r="Z27" i="22"/>
  <c r="V27" i="22"/>
  <c r="B36" i="22"/>
  <c r="AD26" i="22"/>
  <c r="Z26" i="22"/>
  <c r="Z20" i="22" s="1"/>
  <c r="B35" i="22"/>
  <c r="AD25" i="22"/>
  <c r="Z25" i="22"/>
  <c r="V25" i="22"/>
  <c r="B34" i="22"/>
  <c r="AD21" i="22"/>
  <c r="AD23" i="22" s="1"/>
  <c r="V21" i="22"/>
  <c r="V22" i="22" s="1"/>
  <c r="B30" i="22"/>
  <c r="B32" i="22" s="1"/>
  <c r="AD20" i="22"/>
  <c r="AD22" i="22" s="1"/>
  <c r="E33" i="22"/>
  <c r="E32" i="22"/>
  <c r="AD18" i="22"/>
  <c r="Z18" i="22"/>
  <c r="V18" i="22"/>
  <c r="E31" i="22"/>
  <c r="AD17" i="22"/>
  <c r="Z17" i="22"/>
  <c r="V17" i="22"/>
  <c r="AD16" i="22"/>
  <c r="Z16" i="22"/>
  <c r="V16" i="22"/>
  <c r="M11" i="22"/>
  <c r="L10" i="22"/>
  <c r="M9" i="22"/>
  <c r="L9" i="22"/>
  <c r="K8" i="22"/>
  <c r="H8" i="22"/>
  <c r="B8" i="22"/>
  <c r="D8" i="22" s="1"/>
  <c r="R7" i="22"/>
  <c r="D7" i="22"/>
  <c r="H7" i="22" s="1"/>
  <c r="B7" i="22"/>
  <c r="B6" i="22"/>
  <c r="P2" i="22"/>
  <c r="P1" i="22"/>
  <c r="B12" i="21"/>
  <c r="L17" i="21" s="1"/>
  <c r="L17" i="13"/>
  <c r="I14" i="5"/>
  <c r="H14" i="5"/>
  <c r="J14" i="5" s="1"/>
  <c r="E14" i="5"/>
  <c r="D14" i="5"/>
  <c r="T20" i="2"/>
  <c r="L18" i="21"/>
  <c r="I20" i="2"/>
  <c r="Q20" i="2"/>
  <c r="E7" i="2"/>
  <c r="G14" i="5"/>
  <c r="G15" i="5"/>
  <c r="C28" i="2"/>
  <c r="T17" i="13"/>
  <c r="P28" i="21"/>
  <c r="O28" i="21"/>
  <c r="N28" i="21"/>
  <c r="F19" i="21"/>
  <c r="E19" i="21"/>
  <c r="B19" i="21"/>
  <c r="E11" i="21"/>
  <c r="R31" i="21" s="1"/>
  <c r="S31" i="21" s="1"/>
  <c r="G9" i="21"/>
  <c r="B9" i="21"/>
  <c r="G8" i="21"/>
  <c r="T18" i="21" s="1"/>
  <c r="B8" i="21"/>
  <c r="T7" i="21"/>
  <c r="U7" i="21" s="1"/>
  <c r="B7" i="21"/>
  <c r="B18" i="21" s="1"/>
  <c r="T6" i="21"/>
  <c r="U6" i="21" s="1"/>
  <c r="U5" i="21"/>
  <c r="T5" i="21"/>
  <c r="L5" i="21"/>
  <c r="P5" i="21" s="1"/>
  <c r="D5" i="21"/>
  <c r="E5" i="21" s="1"/>
  <c r="T4" i="21"/>
  <c r="U2" i="21" s="1"/>
  <c r="V2" i="21" s="1"/>
  <c r="E4" i="21"/>
  <c r="D4" i="21"/>
  <c r="D3" i="21"/>
  <c r="E3" i="21" s="1"/>
  <c r="T2" i="21"/>
  <c r="L2" i="21"/>
  <c r="L6" i="21" s="1"/>
  <c r="E2" i="21"/>
  <c r="E6" i="21" s="1"/>
  <c r="D2" i="21"/>
  <c r="Q12" i="15"/>
  <c r="Q13" i="15" s="1"/>
  <c r="K26" i="15"/>
  <c r="K25" i="15"/>
  <c r="C14" i="19"/>
  <c r="C11" i="19"/>
  <c r="C10" i="19"/>
  <c r="B10" i="19"/>
  <c r="U27" i="23" l="1"/>
  <c r="N25" i="23"/>
  <c r="N35" i="23"/>
  <c r="N39" i="23" s="1"/>
  <c r="N40" i="23" s="1"/>
  <c r="L41" i="23" s="1"/>
  <c r="C29" i="23"/>
  <c r="C31" i="23" s="1"/>
  <c r="C28" i="23"/>
  <c r="C30" i="23" s="1"/>
  <c r="E11" i="23"/>
  <c r="N20" i="23"/>
  <c r="N23" i="23"/>
  <c r="N24" i="23"/>
  <c r="N27" i="23" s="1"/>
  <c r="C7" i="23"/>
  <c r="C10" i="23" s="1"/>
  <c r="L26" i="22"/>
  <c r="B25" i="22"/>
  <c r="B26" i="22" s="1"/>
  <c r="D9" i="22"/>
  <c r="E9" i="22" s="1"/>
  <c r="AD24" i="22"/>
  <c r="B38" i="22"/>
  <c r="B40" i="22" s="1"/>
  <c r="V30" i="22"/>
  <c r="V32" i="22" s="1"/>
  <c r="V33" i="22" s="1"/>
  <c r="V34" i="22" s="1"/>
  <c r="V35" i="22" s="1"/>
  <c r="Z28" i="22"/>
  <c r="B39" i="22"/>
  <c r="B41" i="22" s="1"/>
  <c r="Z32" i="22"/>
  <c r="AD29" i="22"/>
  <c r="C10" i="22"/>
  <c r="Z21" i="22"/>
  <c r="Z23" i="22" s="1"/>
  <c r="Z22" i="22"/>
  <c r="Z29" i="22"/>
  <c r="B9" i="22"/>
  <c r="C9" i="22" s="1"/>
  <c r="B10" i="22" s="1"/>
  <c r="H9" i="22"/>
  <c r="H10" i="22" s="1"/>
  <c r="H11" i="22" s="1"/>
  <c r="B31" i="22"/>
  <c r="B33" i="22" s="1"/>
  <c r="V20" i="22"/>
  <c r="V23" i="22" s="1"/>
  <c r="V24" i="22" s="1"/>
  <c r="M7" i="22"/>
  <c r="G6" i="21"/>
  <c r="N17" i="21"/>
  <c r="P6" i="21"/>
  <c r="M6" i="21"/>
  <c r="F20" i="21"/>
  <c r="B20" i="21"/>
  <c r="Q24" i="21"/>
  <c r="L4" i="21"/>
  <c r="U4" i="21"/>
  <c r="U8" i="21" s="1"/>
  <c r="V8" i="21" s="1"/>
  <c r="T11" i="21" s="1"/>
  <c r="M5" i="21"/>
  <c r="R28" i="21"/>
  <c r="S28" i="21" s="1"/>
  <c r="S32" i="21" s="1"/>
  <c r="R30" i="21"/>
  <c r="S30" i="21" s="1"/>
  <c r="L12" i="21"/>
  <c r="R29" i="21"/>
  <c r="S29" i="21" s="1"/>
  <c r="W27" i="23" l="1"/>
  <c r="T28" i="23"/>
  <c r="C32" i="23"/>
  <c r="T30" i="23"/>
  <c r="Z24" i="22"/>
  <c r="B42" i="22"/>
  <c r="B43" i="22" s="1"/>
  <c r="B44" i="22" s="1"/>
  <c r="B45" i="22" s="1"/>
  <c r="V36" i="22"/>
  <c r="V37" i="22" s="1"/>
  <c r="N45" i="22" s="1"/>
  <c r="Z30" i="22"/>
  <c r="Z31" i="22"/>
  <c r="Z33" i="22" s="1"/>
  <c r="Z34" i="22" s="1"/>
  <c r="Z35" i="22" s="1"/>
  <c r="Z36" i="22" s="1"/>
  <c r="Z37" i="22" s="1"/>
  <c r="R45" i="22" s="1"/>
  <c r="L22" i="21"/>
  <c r="L23" i="21" s="1"/>
  <c r="L20" i="21"/>
  <c r="M20" i="21" s="1"/>
  <c r="Q12" i="21"/>
  <c r="T12" i="21"/>
  <c r="P4" i="21"/>
  <c r="P7" i="21" s="1"/>
  <c r="Q7" i="21" s="1"/>
  <c r="Q11" i="21" s="1"/>
  <c r="Q14" i="21" s="1"/>
  <c r="M4" i="21"/>
  <c r="M7" i="21" s="1"/>
  <c r="N7" i="21" s="1"/>
  <c r="L11" i="21" s="1"/>
  <c r="L14" i="21" s="1"/>
  <c r="T17" i="21"/>
  <c r="F40" i="22" l="1"/>
  <c r="F41" i="22" s="1"/>
  <c r="H42" i="22" s="1"/>
  <c r="B46" i="22"/>
  <c r="F39" i="22" s="1"/>
  <c r="V45" i="22"/>
  <c r="AD28" i="22"/>
  <c r="T22" i="21"/>
  <c r="T23" i="21" s="1"/>
  <c r="T20" i="21"/>
  <c r="F42" i="22" l="1"/>
  <c r="K39" i="22" s="1"/>
  <c r="K40" i="22" s="1"/>
  <c r="AD31" i="22"/>
  <c r="AD33" i="22" s="1"/>
  <c r="AD34" i="22" s="1"/>
  <c r="AD35" i="22" s="1"/>
  <c r="AD36" i="22" s="1"/>
  <c r="AD37" i="22" s="1"/>
  <c r="Z45" i="22" s="1"/>
  <c r="AD30" i="22"/>
  <c r="U20" i="21"/>
  <c r="U22" i="21"/>
  <c r="U24" i="21" s="1"/>
  <c r="K42" i="22" l="1"/>
  <c r="K43" i="22" s="1"/>
  <c r="K47" i="22" s="1"/>
  <c r="K48" i="22" s="1"/>
  <c r="K49" i="22" s="1"/>
  <c r="H40" i="22"/>
  <c r="H41" i="22" s="1"/>
  <c r="D10" i="19" l="1"/>
  <c r="C9" i="19"/>
  <c r="D9" i="19" s="1"/>
  <c r="D11" i="19"/>
  <c r="D12" i="19"/>
  <c r="D13" i="19"/>
  <c r="D14" i="19"/>
  <c r="C13" i="19"/>
  <c r="C12" i="19"/>
  <c r="B13" i="19"/>
  <c r="B9" i="19"/>
  <c r="B11" i="19"/>
  <c r="B14" i="19"/>
  <c r="B12" i="19"/>
  <c r="O22" i="18"/>
  <c r="P15" i="18"/>
  <c r="P14" i="18"/>
  <c r="P6" i="18"/>
  <c r="H8" i="19" l="1"/>
  <c r="I31" i="18"/>
  <c r="B35" i="18"/>
  <c r="B34" i="18"/>
  <c r="B33" i="18"/>
  <c r="B32" i="18"/>
  <c r="B31" i="18"/>
  <c r="I16" i="18"/>
  <c r="E24" i="18"/>
  <c r="B18" i="18"/>
  <c r="B24" i="18"/>
  <c r="B23" i="18"/>
  <c r="B20" i="18"/>
  <c r="L36" i="14"/>
  <c r="P15" i="14"/>
  <c r="J30" i="14"/>
  <c r="G15" i="14"/>
  <c r="B8" i="18"/>
  <c r="B10" i="18"/>
  <c r="B11" i="18" s="1"/>
  <c r="C11" i="18" s="1"/>
  <c r="K11" i="11"/>
  <c r="B11" i="11"/>
  <c r="H49" i="7"/>
  <c r="B44" i="7"/>
  <c r="H46" i="7"/>
  <c r="H48" i="7"/>
  <c r="H47" i="7"/>
  <c r="H11" i="12"/>
  <c r="H10" i="12"/>
  <c r="H9" i="12"/>
  <c r="H8" i="12"/>
  <c r="E8" i="12"/>
  <c r="H7" i="12"/>
  <c r="B10" i="12"/>
  <c r="B9" i="12"/>
  <c r="C39" i="7"/>
  <c r="H42" i="7"/>
  <c r="B19" i="17"/>
  <c r="B22" i="17"/>
  <c r="B20" i="17"/>
  <c r="B18" i="17"/>
  <c r="B16" i="17"/>
  <c r="B15" i="17"/>
  <c r="B13" i="17"/>
  <c r="C9" i="17"/>
  <c r="C6" i="17"/>
  <c r="C7" i="17"/>
  <c r="C8" i="17"/>
  <c r="C5" i="17"/>
  <c r="C4" i="17"/>
  <c r="B9" i="17"/>
  <c r="B8" i="17"/>
  <c r="B7" i="17"/>
  <c r="B6" i="17"/>
  <c r="B5" i="17"/>
  <c r="B4" i="17"/>
  <c r="B2" i="17"/>
  <c r="K14" i="16"/>
  <c r="F27" i="16"/>
  <c r="C27" i="16"/>
  <c r="C13" i="9"/>
  <c r="C9" i="9"/>
  <c r="D19" i="9"/>
  <c r="H14" i="16"/>
  <c r="C22" i="16"/>
  <c r="D22" i="16" s="1"/>
  <c r="C21" i="16"/>
  <c r="D21" i="16" s="1"/>
  <c r="C20" i="16"/>
  <c r="F22" i="16"/>
  <c r="H22" i="16" s="1"/>
  <c r="E22" i="16"/>
  <c r="G22" i="16" s="1"/>
  <c r="F21" i="16"/>
  <c r="H21" i="16" s="1"/>
  <c r="E21" i="16"/>
  <c r="G21" i="16" s="1"/>
  <c r="F20" i="16"/>
  <c r="E20" i="16"/>
  <c r="B20" i="16"/>
  <c r="D20" i="16" s="1"/>
  <c r="B19" i="16"/>
  <c r="B37" i="16"/>
  <c r="F34" i="16"/>
  <c r="E34" i="16"/>
  <c r="C34" i="16"/>
  <c r="B34" i="16"/>
  <c r="F33" i="16"/>
  <c r="E33" i="16"/>
  <c r="C33" i="16"/>
  <c r="B33" i="16"/>
  <c r="F32" i="16"/>
  <c r="E32" i="16"/>
  <c r="C32" i="16"/>
  <c r="B32" i="16"/>
  <c r="F12" i="16"/>
  <c r="E12" i="16"/>
  <c r="D12" i="16"/>
  <c r="C12" i="16"/>
  <c r="B12" i="16"/>
  <c r="F11" i="16"/>
  <c r="E11" i="16"/>
  <c r="D11" i="16"/>
  <c r="B11" i="16"/>
  <c r="F10" i="16"/>
  <c r="E10" i="16"/>
  <c r="D10" i="16"/>
  <c r="C10" i="16"/>
  <c r="B10" i="16"/>
  <c r="F9" i="16"/>
  <c r="E9" i="16"/>
  <c r="C9" i="16"/>
  <c r="G28" i="9"/>
  <c r="E33" i="9"/>
  <c r="O24" i="9"/>
  <c r="U13" i="15"/>
  <c r="Q17" i="15" s="1"/>
  <c r="Q11" i="15"/>
  <c r="L21" i="15"/>
  <c r="L16" i="15"/>
  <c r="B29" i="15"/>
  <c r="B20" i="15"/>
  <c r="L17" i="15"/>
  <c r="B19" i="15" s="1"/>
  <c r="M19" i="15"/>
  <c r="M18" i="15"/>
  <c r="B14" i="15" s="1"/>
  <c r="M17" i="15"/>
  <c r="M16" i="15"/>
  <c r="J20" i="15"/>
  <c r="L12" i="6"/>
  <c r="O10" i="6"/>
  <c r="N11" i="6"/>
  <c r="B8" i="14"/>
  <c r="G6" i="14"/>
  <c r="R26" i="14"/>
  <c r="Q27" i="14" s="1"/>
  <c r="K24" i="14"/>
  <c r="Q24" i="14" s="1"/>
  <c r="B7" i="14"/>
  <c r="K13" i="14" s="1"/>
  <c r="N12" i="14"/>
  <c r="B19" i="11"/>
  <c r="Q22" i="11"/>
  <c r="Q21" i="11"/>
  <c r="Q20" i="11"/>
  <c r="R19" i="11"/>
  <c r="G8" i="11"/>
  <c r="Q17" i="11"/>
  <c r="K17" i="11"/>
  <c r="H43" i="7"/>
  <c r="E42" i="7"/>
  <c r="E41" i="7"/>
  <c r="C41" i="7"/>
  <c r="E40" i="7"/>
  <c r="M11" i="7"/>
  <c r="M9" i="7"/>
  <c r="L9" i="7"/>
  <c r="C10" i="7"/>
  <c r="E9" i="7"/>
  <c r="D9" i="7"/>
  <c r="D8" i="7"/>
  <c r="K9" i="11"/>
  <c r="K8" i="11"/>
  <c r="N7" i="11"/>
  <c r="B9" i="11"/>
  <c r="E7" i="11"/>
  <c r="B8" i="11"/>
  <c r="L18" i="8"/>
  <c r="L13" i="8"/>
  <c r="L12" i="8"/>
  <c r="L7" i="8"/>
  <c r="M7" i="8" s="1"/>
  <c r="L6" i="8"/>
  <c r="M6" i="8" s="1"/>
  <c r="L5" i="8"/>
  <c r="M5" i="8" s="1"/>
  <c r="L4" i="8"/>
  <c r="M4" i="8" s="1"/>
  <c r="M8" i="8" s="1"/>
  <c r="N8" i="8" s="1"/>
  <c r="M2" i="8"/>
  <c r="N2" i="8" s="1"/>
  <c r="L2" i="8"/>
  <c r="L14" i="8"/>
  <c r="E19" i="13"/>
  <c r="F19" i="8"/>
  <c r="F20" i="8"/>
  <c r="E19" i="8"/>
  <c r="B12" i="8"/>
  <c r="B11" i="14" l="1"/>
  <c r="B26" i="14" s="1"/>
  <c r="G13" i="14"/>
  <c r="K14" i="14"/>
  <c r="H7" i="18"/>
  <c r="G13" i="16"/>
  <c r="G20" i="16"/>
  <c r="G9" i="16"/>
  <c r="G10" i="16"/>
  <c r="I9" i="16" s="1"/>
  <c r="G11" i="16"/>
  <c r="D32" i="16"/>
  <c r="D33" i="16"/>
  <c r="D34" i="16"/>
  <c r="H20" i="16"/>
  <c r="G34" i="16"/>
  <c r="G12" i="16"/>
  <c r="G32" i="16"/>
  <c r="G33" i="16"/>
  <c r="H32" i="16"/>
  <c r="H33" i="16"/>
  <c r="H34" i="16"/>
  <c r="B24" i="15"/>
  <c r="B30" i="15"/>
  <c r="B25" i="15"/>
  <c r="B13" i="15"/>
  <c r="B18" i="15"/>
  <c r="N17" i="15" s="1"/>
  <c r="B28" i="15"/>
  <c r="N19" i="15" s="1"/>
  <c r="B15" i="15"/>
  <c r="N16" i="15" s="1"/>
  <c r="B23" i="15"/>
  <c r="F19" i="13"/>
  <c r="U7" i="13"/>
  <c r="T5" i="13"/>
  <c r="U5" i="13" s="1"/>
  <c r="T2" i="13"/>
  <c r="T7" i="13"/>
  <c r="T6" i="13"/>
  <c r="T4" i="13"/>
  <c r="U4" i="13" s="1"/>
  <c r="U6" i="13"/>
  <c r="B13" i="14" l="1"/>
  <c r="M4" i="6" s="1"/>
  <c r="P7" i="14"/>
  <c r="H35" i="16"/>
  <c r="J36" i="16"/>
  <c r="G35" i="16"/>
  <c r="D35" i="16"/>
  <c r="C19" i="16" s="1"/>
  <c r="D19" i="16" s="1"/>
  <c r="D23" i="16" s="1"/>
  <c r="F19" i="16"/>
  <c r="H19" i="16" s="1"/>
  <c r="H23" i="16" s="1"/>
  <c r="I23" i="16" s="1"/>
  <c r="P13" i="16" s="1"/>
  <c r="I35" i="16"/>
  <c r="D36" i="16" s="1"/>
  <c r="E19" i="16"/>
  <c r="G19" i="16" s="1"/>
  <c r="G23" i="16" s="1"/>
  <c r="K35" i="16"/>
  <c r="N18" i="15"/>
  <c r="N20" i="15" s="1"/>
  <c r="Q28" i="14"/>
  <c r="Q29" i="14" s="1"/>
  <c r="U2" i="13"/>
  <c r="V2" i="13" s="1"/>
  <c r="U8" i="13"/>
  <c r="V8" i="13" s="1"/>
  <c r="B33" i="14" l="1"/>
  <c r="F36" i="16"/>
  <c r="H13" i="16" s="1"/>
  <c r="J8" i="16"/>
  <c r="J35" i="16"/>
  <c r="L35" i="16" s="1"/>
  <c r="J9" i="16"/>
  <c r="T11" i="13"/>
  <c r="L35" i="8"/>
  <c r="L36" i="8" s="1"/>
  <c r="N36" i="8" s="1"/>
  <c r="L37" i="8"/>
  <c r="N37" i="8" s="1"/>
  <c r="P28" i="13"/>
  <c r="O28" i="13"/>
  <c r="N28" i="13"/>
  <c r="B19" i="13"/>
  <c r="E11" i="13"/>
  <c r="R31" i="13" s="1"/>
  <c r="S31" i="13" s="1"/>
  <c r="G9" i="13"/>
  <c r="B9" i="13"/>
  <c r="B8" i="13"/>
  <c r="B7" i="13"/>
  <c r="D5" i="13"/>
  <c r="E5" i="13" s="1"/>
  <c r="D4" i="13"/>
  <c r="E4" i="13" s="1"/>
  <c r="D3" i="13"/>
  <c r="E3" i="13" s="1"/>
  <c r="L2" i="13"/>
  <c r="D2" i="13"/>
  <c r="E2" i="13" s="1"/>
  <c r="P14" i="16" l="1"/>
  <c r="M6" i="13"/>
  <c r="L6" i="13"/>
  <c r="P6" i="13" s="1"/>
  <c r="L4" i="13"/>
  <c r="L5" i="13"/>
  <c r="P5" i="13" s="1"/>
  <c r="B18" i="13"/>
  <c r="R30" i="13"/>
  <c r="S30" i="13" s="1"/>
  <c r="Q24" i="13"/>
  <c r="R28" i="13"/>
  <c r="S28" i="13" s="1"/>
  <c r="E6" i="13"/>
  <c r="L12" i="13"/>
  <c r="R29" i="13"/>
  <c r="S29" i="13" s="1"/>
  <c r="M5" i="13"/>
  <c r="L34" i="8"/>
  <c r="Q34" i="8" s="1"/>
  <c r="P16" i="16" l="1"/>
  <c r="B20" i="13"/>
  <c r="F20" i="13"/>
  <c r="S32" i="13"/>
  <c r="P4" i="13"/>
  <c r="P7" i="13" s="1"/>
  <c r="Q7" i="13" s="1"/>
  <c r="Q11" i="13" s="1"/>
  <c r="Q14" i="13" s="1"/>
  <c r="M4" i="13"/>
  <c r="G6" i="13"/>
  <c r="B12" i="13"/>
  <c r="Q12" i="13"/>
  <c r="T12" i="13"/>
  <c r="T14" i="13" s="1"/>
  <c r="Q36" i="8"/>
  <c r="Q35" i="8"/>
  <c r="M7" i="13"/>
  <c r="N7" i="13" s="1"/>
  <c r="L11" i="13" s="1"/>
  <c r="L14" i="13" s="1"/>
  <c r="P1" i="7"/>
  <c r="AB36" i="7"/>
  <c r="AB35" i="7"/>
  <c r="AB32" i="7"/>
  <c r="AB31" i="7"/>
  <c r="AB30" i="7"/>
  <c r="AB29" i="7"/>
  <c r="AB28" i="7"/>
  <c r="AB27" i="7"/>
  <c r="AB23" i="7"/>
  <c r="AB22" i="7"/>
  <c r="AB21" i="7"/>
  <c r="AB20" i="7"/>
  <c r="AB24" i="7"/>
  <c r="AB26" i="7"/>
  <c r="W16" i="7"/>
  <c r="R7" i="7"/>
  <c r="AB25" i="7"/>
  <c r="AB18" i="7"/>
  <c r="AB17" i="7"/>
  <c r="AB16" i="7"/>
  <c r="W36" i="7"/>
  <c r="W32" i="7"/>
  <c r="W31" i="7"/>
  <c r="W30" i="7"/>
  <c r="W26" i="7"/>
  <c r="W28" i="7"/>
  <c r="W27" i="7"/>
  <c r="W20" i="7"/>
  <c r="W22" i="7" s="1"/>
  <c r="W24" i="7" s="1"/>
  <c r="W25" i="7"/>
  <c r="W23" i="7"/>
  <c r="W21" i="7"/>
  <c r="W18" i="7"/>
  <c r="W17" i="7"/>
  <c r="S36" i="7"/>
  <c r="S35" i="7"/>
  <c r="S34" i="7"/>
  <c r="S32" i="7"/>
  <c r="S31" i="7"/>
  <c r="S30" i="7"/>
  <c r="S22" i="7"/>
  <c r="S20" i="7"/>
  <c r="S28" i="7"/>
  <c r="S26" i="7"/>
  <c r="S24" i="7" s="1"/>
  <c r="S16" i="7"/>
  <c r="S27" i="7"/>
  <c r="S25" i="7"/>
  <c r="S21" i="7"/>
  <c r="S23" i="7" s="1"/>
  <c r="S18" i="7"/>
  <c r="S17" i="7"/>
  <c r="O36" i="7"/>
  <c r="O35" i="7"/>
  <c r="O34" i="7"/>
  <c r="O33" i="7"/>
  <c r="O32" i="7"/>
  <c r="O31" i="7"/>
  <c r="O30" i="7"/>
  <c r="O29" i="7"/>
  <c r="O28" i="7"/>
  <c r="O27" i="7"/>
  <c r="O21" i="7"/>
  <c r="O23" i="7" s="1"/>
  <c r="O20" i="7"/>
  <c r="O22" i="7" s="1"/>
  <c r="O26" i="7"/>
  <c r="K22" i="7"/>
  <c r="O16" i="7"/>
  <c r="O25" i="7"/>
  <c r="O18" i="7"/>
  <c r="O17" i="7"/>
  <c r="K31" i="12"/>
  <c r="K27" i="12"/>
  <c r="B27" i="12"/>
  <c r="B30" i="12" s="1"/>
  <c r="B32" i="12" s="1"/>
  <c r="B26" i="12"/>
  <c r="K25" i="12"/>
  <c r="B25" i="12"/>
  <c r="K21" i="12"/>
  <c r="K23" i="12" s="1"/>
  <c r="B21" i="12"/>
  <c r="B29" i="12" s="1"/>
  <c r="B31" i="12" s="1"/>
  <c r="K20" i="12"/>
  <c r="K30" i="12" s="1"/>
  <c r="K32" i="12" s="1"/>
  <c r="B20" i="12"/>
  <c r="B22" i="12" s="1"/>
  <c r="B19" i="12"/>
  <c r="K18" i="12"/>
  <c r="B18" i="12"/>
  <c r="K17" i="12"/>
  <c r="B17" i="12"/>
  <c r="K16" i="12"/>
  <c r="B16" i="12"/>
  <c r="P15" i="12"/>
  <c r="P14" i="12"/>
  <c r="O13" i="12"/>
  <c r="D7" i="12"/>
  <c r="B7" i="12"/>
  <c r="B6" i="12"/>
  <c r="N17" i="13" l="1"/>
  <c r="AB33" i="7"/>
  <c r="AB34" i="7" s="1"/>
  <c r="AB37" i="7" s="1"/>
  <c r="W29" i="7"/>
  <c r="W33" i="7"/>
  <c r="W34" i="7" s="1"/>
  <c r="W35" i="7" s="1"/>
  <c r="W37" i="7" s="1"/>
  <c r="S29" i="7"/>
  <c r="S33" i="7"/>
  <c r="S37" i="7" s="1"/>
  <c r="O24" i="7"/>
  <c r="B33" i="12"/>
  <c r="K33" i="12"/>
  <c r="K34" i="12" s="1"/>
  <c r="K35" i="12" s="1"/>
  <c r="K22" i="12"/>
  <c r="K24" i="12" s="1"/>
  <c r="K36" i="12" s="1"/>
  <c r="K37" i="12" s="1"/>
  <c r="B23" i="12"/>
  <c r="B24" i="12" s="1"/>
  <c r="B36" i="12" s="1"/>
  <c r="B34" i="12"/>
  <c r="B35" i="12" s="1"/>
  <c r="O37" i="7" l="1"/>
  <c r="C40" i="12"/>
  <c r="B37" i="12"/>
  <c r="C39" i="12" s="1"/>
  <c r="G9" i="8" l="1"/>
  <c r="B9" i="8"/>
  <c r="B23" i="1"/>
  <c r="B22" i="1"/>
  <c r="B21" i="1"/>
  <c r="B17" i="1"/>
  <c r="L16" i="9"/>
  <c r="B21" i="9"/>
  <c r="F26" i="9"/>
  <c r="D27" i="9"/>
  <c r="F27" i="9" s="1"/>
  <c r="C27" i="9"/>
  <c r="E27" i="9" s="1"/>
  <c r="C26" i="9"/>
  <c r="E26" i="9" s="1"/>
  <c r="D26" i="9"/>
  <c r="D25" i="9"/>
  <c r="C25" i="9"/>
  <c r="B25" i="9"/>
  <c r="E25" i="9" s="1"/>
  <c r="B24" i="9"/>
  <c r="F18" i="9"/>
  <c r="H18" i="9" s="1"/>
  <c r="F17" i="9"/>
  <c r="F16" i="9"/>
  <c r="H16" i="9" s="1"/>
  <c r="E18" i="9"/>
  <c r="E17" i="9"/>
  <c r="G17" i="9" s="1"/>
  <c r="E16" i="9"/>
  <c r="C18" i="9"/>
  <c r="C17" i="9"/>
  <c r="C16" i="9"/>
  <c r="B18" i="9"/>
  <c r="D18" i="9" s="1"/>
  <c r="B17" i="9"/>
  <c r="D17" i="9" s="1"/>
  <c r="B16" i="9"/>
  <c r="G16" i="9" s="1"/>
  <c r="E11" i="8"/>
  <c r="W27" i="2"/>
  <c r="F12" i="9"/>
  <c r="E12" i="9"/>
  <c r="D12" i="9"/>
  <c r="F11" i="9"/>
  <c r="E11" i="9"/>
  <c r="D11" i="9"/>
  <c r="F10" i="9"/>
  <c r="E10" i="9"/>
  <c r="D10" i="9"/>
  <c r="G10" i="9" s="1"/>
  <c r="F9" i="9"/>
  <c r="E9" i="9"/>
  <c r="G9" i="9" s="1"/>
  <c r="H7" i="5"/>
  <c r="B34" i="7"/>
  <c r="B19" i="7"/>
  <c r="B6" i="7"/>
  <c r="C12" i="9"/>
  <c r="J12" i="9" s="1"/>
  <c r="C10" i="9"/>
  <c r="B12" i="9"/>
  <c r="B11" i="9"/>
  <c r="J11" i="9" s="1"/>
  <c r="B10" i="9"/>
  <c r="G18" i="9" l="1"/>
  <c r="H17" i="9"/>
  <c r="H19" i="9"/>
  <c r="D24" i="9" s="1"/>
  <c r="F24" i="9" s="1"/>
  <c r="F28" i="9" s="1"/>
  <c r="F25" i="9"/>
  <c r="J10" i="9"/>
  <c r="G19" i="9"/>
  <c r="C24" i="9" s="1"/>
  <c r="E24" i="9"/>
  <c r="E28" i="9" s="1"/>
  <c r="B33" i="9" s="1"/>
  <c r="J9" i="9"/>
  <c r="G12" i="9"/>
  <c r="D16" i="9"/>
  <c r="G11" i="9"/>
  <c r="I10" i="9" s="1"/>
  <c r="K10" i="9" s="1"/>
  <c r="I12" i="9" l="1"/>
  <c r="K12" i="9" s="1"/>
  <c r="I11" i="9"/>
  <c r="K11" i="9" s="1"/>
  <c r="I9" i="9"/>
  <c r="K9" i="9" s="1"/>
  <c r="B19" i="8"/>
  <c r="B8" i="8"/>
  <c r="B7" i="8"/>
  <c r="R30" i="8"/>
  <c r="S30" i="8" s="1"/>
  <c r="R31" i="8"/>
  <c r="S31" i="8" s="1"/>
  <c r="R29" i="8"/>
  <c r="S29" i="8" s="1"/>
  <c r="P28" i="8"/>
  <c r="O28" i="8"/>
  <c r="N28" i="8"/>
  <c r="R28" i="8" s="1"/>
  <c r="S28" i="8" s="1"/>
  <c r="B24" i="7"/>
  <c r="H7" i="7"/>
  <c r="D7" i="7"/>
  <c r="L10" i="7"/>
  <c r="K8" i="7"/>
  <c r="K31" i="7"/>
  <c r="K30" i="7"/>
  <c r="K32" i="7" s="1"/>
  <c r="K33" i="7" s="1"/>
  <c r="K34" i="7" s="1"/>
  <c r="K35" i="7" s="1"/>
  <c r="K27" i="7"/>
  <c r="K25" i="7"/>
  <c r="K20" i="7"/>
  <c r="K23" i="7" s="1"/>
  <c r="K24" i="7" s="1"/>
  <c r="K21" i="7"/>
  <c r="B35" i="7"/>
  <c r="B36" i="7" s="1"/>
  <c r="B37" i="7" s="1"/>
  <c r="B21" i="7"/>
  <c r="B29" i="7" s="1"/>
  <c r="B31" i="7" s="1"/>
  <c r="B20" i="7"/>
  <c r="B26" i="7"/>
  <c r="B30" i="7"/>
  <c r="B32" i="7" s="1"/>
  <c r="B27" i="7"/>
  <c r="B25" i="7"/>
  <c r="K16" i="7"/>
  <c r="K18" i="7"/>
  <c r="K17" i="7"/>
  <c r="B22" i="7"/>
  <c r="B18" i="7"/>
  <c r="B17" i="7"/>
  <c r="B16" i="7"/>
  <c r="H8" i="7"/>
  <c r="B7" i="7"/>
  <c r="D5" i="8"/>
  <c r="E5" i="8" s="1"/>
  <c r="D4" i="8"/>
  <c r="E4" i="8" s="1"/>
  <c r="D3" i="8"/>
  <c r="E3" i="8" s="1"/>
  <c r="D2" i="8"/>
  <c r="E2" i="8" s="1"/>
  <c r="G16" i="5"/>
  <c r="F17" i="5"/>
  <c r="C17" i="5"/>
  <c r="C16" i="5"/>
  <c r="C14" i="5"/>
  <c r="B15" i="5"/>
  <c r="B14" i="5"/>
  <c r="B18" i="5" s="1"/>
  <c r="B17" i="5"/>
  <c r="B16" i="5"/>
  <c r="F10" i="5"/>
  <c r="G17" i="5" s="1"/>
  <c r="E10" i="5"/>
  <c r="D10" i="5"/>
  <c r="E17" i="5" s="1"/>
  <c r="C10" i="5"/>
  <c r="D17" i="5" s="1"/>
  <c r="B10" i="5"/>
  <c r="F9" i="5"/>
  <c r="E9" i="5"/>
  <c r="D9" i="5"/>
  <c r="C9" i="5"/>
  <c r="B9" i="5"/>
  <c r="F8" i="5"/>
  <c r="E8" i="5"/>
  <c r="F15" i="5" s="1"/>
  <c r="D8" i="5"/>
  <c r="C8" i="5"/>
  <c r="D15" i="5" s="1"/>
  <c r="F7" i="5"/>
  <c r="E7" i="5"/>
  <c r="D7" i="5"/>
  <c r="C7" i="5"/>
  <c r="B7" i="5"/>
  <c r="K13" i="9" l="1"/>
  <c r="K14" i="9" s="1"/>
  <c r="B18" i="8"/>
  <c r="B20" i="8" s="1"/>
  <c r="B15" i="1" s="1"/>
  <c r="K36" i="7"/>
  <c r="C40" i="7" s="1"/>
  <c r="S32" i="8"/>
  <c r="E6" i="8"/>
  <c r="K37" i="7"/>
  <c r="B33" i="7"/>
  <c r="B23" i="7"/>
  <c r="H17" i="5"/>
  <c r="J17" i="5" s="1"/>
  <c r="D16" i="5"/>
  <c r="F14" i="5"/>
  <c r="E15" i="5"/>
  <c r="H15" i="5" s="1"/>
  <c r="J15" i="5" s="1"/>
  <c r="E16" i="5"/>
  <c r="F16" i="5"/>
  <c r="B8" i="12" l="1"/>
  <c r="B20" i="9"/>
  <c r="O23" i="9" s="1"/>
  <c r="O26" i="9" s="1"/>
  <c r="G8" i="13" s="1"/>
  <c r="B20" i="1"/>
  <c r="H6" i="8"/>
  <c r="B8" i="7"/>
  <c r="H16" i="5"/>
  <c r="J16" i="5" s="1"/>
  <c r="J18" i="5" l="1"/>
  <c r="T18" i="13"/>
  <c r="L18" i="13"/>
  <c r="G8" i="8"/>
  <c r="M7" i="12"/>
  <c r="C9" i="12"/>
  <c r="C41" i="12" s="1"/>
  <c r="C42" i="12" s="1"/>
  <c r="H39" i="12" s="1"/>
  <c r="H40" i="12" s="1"/>
  <c r="N13" i="5"/>
  <c r="M7" i="7"/>
  <c r="H9" i="7"/>
  <c r="H10" i="7" s="1"/>
  <c r="H11" i="7" s="1"/>
  <c r="B9" i="7"/>
  <c r="C9" i="7" s="1"/>
  <c r="B10" i="7" s="1"/>
  <c r="C42" i="7" s="1"/>
  <c r="J19" i="5" l="1"/>
  <c r="J20" i="5" s="1"/>
  <c r="B16" i="1"/>
  <c r="L19" i="8"/>
  <c r="L21" i="8" s="1"/>
  <c r="L23" i="8" s="1"/>
  <c r="L24" i="8" s="1"/>
  <c r="B27" i="11"/>
  <c r="H24" i="11" s="1"/>
  <c r="K16" i="14"/>
  <c r="T22" i="13"/>
  <c r="T20" i="13"/>
  <c r="U22" i="13" s="1"/>
  <c r="U24" i="13" s="1"/>
  <c r="H39" i="7"/>
  <c r="H40" i="7" s="1"/>
  <c r="B18" i="1" s="1"/>
  <c r="L20" i="13"/>
  <c r="T23" i="13"/>
  <c r="U20" i="13"/>
  <c r="B14" i="1"/>
  <c r="B13" i="4"/>
  <c r="B12" i="4"/>
  <c r="B11" i="4"/>
  <c r="B10" i="4"/>
  <c r="B13" i="1"/>
  <c r="B12" i="1"/>
  <c r="B9" i="1"/>
  <c r="L22" i="13" l="1"/>
  <c r="L23" i="13" s="1"/>
  <c r="M20" i="13"/>
  <c r="M15" i="8"/>
  <c r="L15" i="8"/>
  <c r="U27" i="2"/>
  <c r="U21" i="2"/>
  <c r="U22" i="2"/>
  <c r="U23" i="2"/>
  <c r="U24" i="2"/>
  <c r="U25" i="2"/>
  <c r="U26" i="2"/>
  <c r="U20" i="2"/>
  <c r="T21" i="2"/>
  <c r="T22" i="2"/>
  <c r="T23" i="2"/>
  <c r="T24" i="2"/>
  <c r="T25" i="2"/>
  <c r="T26" i="2"/>
  <c r="S21" i="2"/>
  <c r="S22" i="2"/>
  <c r="S23" i="2"/>
  <c r="S24" i="2"/>
  <c r="S25" i="2"/>
  <c r="S26" i="2"/>
  <c r="S20" i="2"/>
  <c r="R21" i="2"/>
  <c r="R22" i="2"/>
  <c r="R23" i="2"/>
  <c r="R24" i="2"/>
  <c r="R25" i="2"/>
  <c r="R26" i="2"/>
  <c r="R20" i="2"/>
  <c r="Q21" i="2"/>
  <c r="Q22" i="2"/>
  <c r="Q23" i="2"/>
  <c r="Q24" i="2"/>
  <c r="Q25" i="2"/>
  <c r="Q26" i="2"/>
  <c r="F7" i="2"/>
  <c r="F8" i="2"/>
  <c r="F9" i="2"/>
  <c r="F6" i="2"/>
  <c r="K10" i="2"/>
  <c r="K7" i="2"/>
  <c r="K8" i="2"/>
  <c r="K6" i="2"/>
  <c r="E6" i="2"/>
  <c r="J8" i="2"/>
  <c r="J6" i="2"/>
  <c r="G25" i="2"/>
  <c r="M25" i="2" s="1"/>
  <c r="F25" i="2"/>
  <c r="E25" i="2"/>
  <c r="D25" i="2"/>
  <c r="C25" i="2"/>
  <c r="G22" i="2"/>
  <c r="F22" i="2"/>
  <c r="E22" i="2"/>
  <c r="D23" i="2"/>
  <c r="D22" i="2"/>
  <c r="C22" i="2"/>
  <c r="G23" i="2"/>
  <c r="F23" i="2"/>
  <c r="E23" i="2"/>
  <c r="J23" i="2"/>
  <c r="C23" i="2"/>
  <c r="I23" i="2" s="1"/>
  <c r="K23" i="2"/>
  <c r="L23" i="2"/>
  <c r="M23" i="2"/>
  <c r="E21" i="2"/>
  <c r="D21" i="2"/>
  <c r="C21" i="2"/>
  <c r="I21" i="2" s="1"/>
  <c r="G24" i="2"/>
  <c r="F24" i="2"/>
  <c r="L24" i="2" s="1"/>
  <c r="E24" i="2"/>
  <c r="D24" i="2"/>
  <c r="C24" i="2"/>
  <c r="G26" i="2"/>
  <c r="M26" i="2" s="1"/>
  <c r="F26" i="2"/>
  <c r="E26" i="2"/>
  <c r="D26" i="2"/>
  <c r="C26" i="2"/>
  <c r="G20" i="2"/>
  <c r="F20" i="2"/>
  <c r="E20" i="2"/>
  <c r="D20" i="2"/>
  <c r="C20" i="2"/>
  <c r="M21" i="2"/>
  <c r="M20" i="2"/>
  <c r="L21" i="2"/>
  <c r="L22" i="2"/>
  <c r="L25" i="2"/>
  <c r="K21" i="2"/>
  <c r="K25" i="2"/>
  <c r="J21" i="2"/>
  <c r="J25" i="2"/>
  <c r="J20" i="2"/>
  <c r="I25" i="2"/>
  <c r="F10" i="2" l="1"/>
  <c r="E11" i="2" s="1"/>
  <c r="T30" i="2" s="1"/>
  <c r="B19" i="1" s="1"/>
  <c r="P2" i="7"/>
  <c r="M21" i="8"/>
  <c r="N23" i="2"/>
  <c r="N25" i="2"/>
  <c r="N21" i="2"/>
  <c r="M24" i="2"/>
  <c r="M22" i="2"/>
  <c r="K26" i="2"/>
  <c r="K22" i="2"/>
  <c r="J26" i="2"/>
  <c r="J22" i="2"/>
  <c r="I26" i="2"/>
  <c r="I22" i="2"/>
  <c r="L20" i="2"/>
  <c r="K20" i="2"/>
  <c r="N20" i="2" s="1"/>
  <c r="B9" i="2"/>
  <c r="B6" i="2"/>
  <c r="B7" i="2"/>
  <c r="T28" i="2" l="1"/>
  <c r="AB45" i="7"/>
  <c r="S45" i="7"/>
  <c r="W45" i="7"/>
  <c r="O45" i="7"/>
  <c r="K45" i="7"/>
  <c r="D27" i="2"/>
  <c r="D28" i="2" s="1"/>
  <c r="D29" i="2" s="1"/>
  <c r="J24" i="2"/>
  <c r="E27" i="2"/>
  <c r="E28" i="2" s="1"/>
  <c r="E29" i="2" s="1"/>
  <c r="K24" i="2"/>
  <c r="N22" i="2"/>
  <c r="N27" i="2" s="1"/>
  <c r="G27" i="2"/>
  <c r="G28" i="2" s="1"/>
  <c r="G29" i="2" s="1"/>
  <c r="C27" i="2"/>
  <c r="C29" i="2" s="1"/>
  <c r="I24" i="2"/>
  <c r="F27" i="2"/>
  <c r="F28" i="2" s="1"/>
  <c r="F29" i="2" s="1"/>
  <c r="L26" i="2"/>
  <c r="N26" i="2" s="1"/>
  <c r="B10" i="2"/>
  <c r="C30" i="2" l="1"/>
  <c r="C31" i="2"/>
  <c r="C32" i="2" s="1"/>
  <c r="N24" i="2"/>
  <c r="C8" i="2"/>
  <c r="C7" i="2"/>
  <c r="C9" i="2"/>
  <c r="C6" i="2"/>
  <c r="C10" i="2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<sst xmlns="http://schemas.openxmlformats.org/spreadsheetml/2006/main" count="1577" uniqueCount="425">
  <si>
    <t>d,m</t>
  </si>
  <si>
    <t>L,m</t>
  </si>
  <si>
    <t>dp,m</t>
  </si>
  <si>
    <t>H_rxn</t>
  </si>
  <si>
    <t>S/C</t>
  </si>
  <si>
    <t>O/C</t>
  </si>
  <si>
    <t>FAO,mmol/min</t>
  </si>
  <si>
    <t>Glycerol</t>
  </si>
  <si>
    <t>water</t>
  </si>
  <si>
    <t>Oxygen</t>
  </si>
  <si>
    <t>yi/mol fr.</t>
  </si>
  <si>
    <t>Nitrogen</t>
  </si>
  <si>
    <t>yi</t>
  </si>
  <si>
    <t>vstoi</t>
  </si>
  <si>
    <t>vstoi_prd</t>
  </si>
  <si>
    <t>prdts</t>
  </si>
  <si>
    <t>CH4</t>
  </si>
  <si>
    <t>H2</t>
  </si>
  <si>
    <t>C02</t>
  </si>
  <si>
    <t>Hf</t>
  </si>
  <si>
    <t>To calculate the Hrxn at temperature other than the reforming temperature</t>
  </si>
  <si>
    <t>a</t>
  </si>
  <si>
    <t>b</t>
  </si>
  <si>
    <t>c</t>
  </si>
  <si>
    <t>d</t>
  </si>
  <si>
    <t>e</t>
  </si>
  <si>
    <t>glycerol</t>
  </si>
  <si>
    <t>Water</t>
  </si>
  <si>
    <t>Methane</t>
  </si>
  <si>
    <t>CO2</t>
  </si>
  <si>
    <t>cpdT</t>
  </si>
  <si>
    <t>Hrxn</t>
  </si>
  <si>
    <t xml:space="preserve">Parameters to calculate </t>
  </si>
  <si>
    <t>cp</t>
  </si>
  <si>
    <t>k</t>
  </si>
  <si>
    <t>density</t>
  </si>
  <si>
    <t>molar mass</t>
  </si>
  <si>
    <t>viscosity</t>
  </si>
  <si>
    <t>superificial vel.</t>
  </si>
  <si>
    <t>cp0</t>
  </si>
  <si>
    <t>J/molK</t>
  </si>
  <si>
    <t>Hf (kJ/mol)</t>
  </si>
  <si>
    <t>kJ/mol</t>
  </si>
  <si>
    <t>From Perry.s handbook</t>
  </si>
  <si>
    <t>diameter of reactor</t>
  </si>
  <si>
    <t>Length of reactor</t>
  </si>
  <si>
    <t>diameter of catalyst</t>
  </si>
  <si>
    <t>Inlet temperature</t>
  </si>
  <si>
    <t>Steam to Carbon ratio</t>
  </si>
  <si>
    <t>Oxygen to Carbon ratio</t>
  </si>
  <si>
    <t>Inlet flowrate</t>
  </si>
  <si>
    <t>T0/K</t>
  </si>
  <si>
    <t>T/K</t>
  </si>
  <si>
    <t>OPTIMUM TEMPERATURE</t>
  </si>
  <si>
    <t>yCG</t>
  </si>
  <si>
    <t>yH2O</t>
  </si>
  <si>
    <t>yO2</t>
  </si>
  <si>
    <t>yN2</t>
  </si>
  <si>
    <t>mole fraction of crude glycerol</t>
  </si>
  <si>
    <t>mole fraction of water</t>
  </si>
  <si>
    <t>mole fraction of oxygen</t>
  </si>
  <si>
    <t>mole fraction of nitrogen</t>
  </si>
  <si>
    <t>Ro_g</t>
  </si>
  <si>
    <t>Ro_p</t>
  </si>
  <si>
    <t>lambda_eff</t>
  </si>
  <si>
    <t>Deff</t>
  </si>
  <si>
    <t>delta H</t>
  </si>
  <si>
    <t>M_avg</t>
  </si>
  <si>
    <t>density of gas</t>
  </si>
  <si>
    <t>density of pellet</t>
  </si>
  <si>
    <t>specific heat capacity of mixture</t>
  </si>
  <si>
    <t>effective thermal conductivity</t>
  </si>
  <si>
    <t>effective diffusivity</t>
  </si>
  <si>
    <t>heat of reaction</t>
  </si>
  <si>
    <t>average molecular weight</t>
  </si>
  <si>
    <t>m</t>
  </si>
  <si>
    <t>dp</t>
  </si>
  <si>
    <t>d/dp</t>
  </si>
  <si>
    <t>Ɛ</t>
  </si>
  <si>
    <t>porosity</t>
  </si>
  <si>
    <t>from http://mathscinotes.com/wp-content/uploads/2016/01/Appendix_C.pdf</t>
  </si>
  <si>
    <t>A</t>
  </si>
  <si>
    <t>B</t>
  </si>
  <si>
    <t>C</t>
  </si>
  <si>
    <t>D</t>
  </si>
  <si>
    <t>E</t>
  </si>
  <si>
    <t>N2 Nitrogen 29.342 –3.5395E–03 1.0076E–05 –4.3116E–09 2.5935E–13</t>
  </si>
  <si>
    <t>Oxygen 29.526 –8.8999E–03 3.8083E–05 –3.2629E–08 8.8607E–12</t>
  </si>
  <si>
    <t>Water 33.933 –8.4186E–03 2.9906E–05 –1.7825E–08 3.6934E–12</t>
  </si>
  <si>
    <t>C3H8O3 Glycerol 9.656 4.2826E–01 –2.6797E–04 3.1794E–08 2.7745E–11</t>
  </si>
  <si>
    <t>At 500 K</t>
  </si>
  <si>
    <t>BT</t>
  </si>
  <si>
    <t>CT^2</t>
  </si>
  <si>
    <t>DT^3</t>
  </si>
  <si>
    <t>ET^4</t>
  </si>
  <si>
    <t>T</t>
  </si>
  <si>
    <t>cp.0,J/molK</t>
  </si>
  <si>
    <t>from file:///C:/Users/anita/Downloads/9783319097367-c2.pdf</t>
  </si>
  <si>
    <t>K</t>
  </si>
  <si>
    <t>Mi</t>
  </si>
  <si>
    <t>Compd.</t>
  </si>
  <si>
    <t>Crude glycerol</t>
  </si>
  <si>
    <t>moles,n</t>
  </si>
  <si>
    <t>Chem form.</t>
  </si>
  <si>
    <t>C2.5H7O2</t>
  </si>
  <si>
    <t>O2</t>
  </si>
  <si>
    <t>H2O</t>
  </si>
  <si>
    <t>N2</t>
  </si>
  <si>
    <t>Mavg</t>
  </si>
  <si>
    <t>Avg Mol wt</t>
  </si>
  <si>
    <t>Dik</t>
  </si>
  <si>
    <t>cm</t>
  </si>
  <si>
    <t>g/mol</t>
  </si>
  <si>
    <t>dp/3</t>
  </si>
  <si>
    <t>Num.</t>
  </si>
  <si>
    <t>Den</t>
  </si>
  <si>
    <t>RHS</t>
  </si>
  <si>
    <t>Diffusivity of O2 in glycerol</t>
  </si>
  <si>
    <t>Using chapman Ensong's relation</t>
  </si>
  <si>
    <t>MAB</t>
  </si>
  <si>
    <t>T^1.5</t>
  </si>
  <si>
    <t>P</t>
  </si>
  <si>
    <t>atm</t>
  </si>
  <si>
    <t>Vb,A</t>
  </si>
  <si>
    <t>m^3/mol</t>
  </si>
  <si>
    <t>Vb,B</t>
  </si>
  <si>
    <t>σA</t>
  </si>
  <si>
    <t>σB</t>
  </si>
  <si>
    <t>σAB</t>
  </si>
  <si>
    <t>Diffusivity of O2 in water</t>
  </si>
  <si>
    <t>TbA</t>
  </si>
  <si>
    <t>Tb,B</t>
  </si>
  <si>
    <t>μA</t>
  </si>
  <si>
    <t>μB</t>
  </si>
  <si>
    <t>Debye</t>
  </si>
  <si>
    <t>δB</t>
  </si>
  <si>
    <t>δA</t>
  </si>
  <si>
    <t>ƐA</t>
  </si>
  <si>
    <t>ƐB</t>
  </si>
  <si>
    <t>ƐAB</t>
  </si>
  <si>
    <t>T'</t>
  </si>
  <si>
    <t>cm^3/mol</t>
  </si>
  <si>
    <t>Ω</t>
  </si>
  <si>
    <t>DAB</t>
  </si>
  <si>
    <t>cm^2/s-1</t>
  </si>
  <si>
    <t>m^2/s-1</t>
  </si>
  <si>
    <t>CG</t>
  </si>
  <si>
    <t xml:space="preserve">Relative </t>
  </si>
  <si>
    <t>m^2/S-1</t>
  </si>
  <si>
    <t>cm^2/S-2</t>
  </si>
  <si>
    <t>1/Dt</t>
  </si>
  <si>
    <t>Dt</t>
  </si>
  <si>
    <t>cm2/s-1</t>
  </si>
  <si>
    <t>num/denom.</t>
  </si>
  <si>
    <t>cm2/s</t>
  </si>
  <si>
    <t>m2/s-1</t>
  </si>
  <si>
    <t>Density of gas</t>
  </si>
  <si>
    <t>PM/RT</t>
  </si>
  <si>
    <t>kg/mol</t>
  </si>
  <si>
    <t>H20</t>
  </si>
  <si>
    <t>n</t>
  </si>
  <si>
    <t>Tc</t>
  </si>
  <si>
    <t>g/ml</t>
  </si>
  <si>
    <t>ρ</t>
  </si>
  <si>
    <t>T opt.</t>
  </si>
  <si>
    <t>kg/m^3</t>
  </si>
  <si>
    <t>Density of catalyst</t>
  </si>
  <si>
    <t>Vol of bed</t>
  </si>
  <si>
    <t>H</t>
  </si>
  <si>
    <t>m^3</t>
  </si>
  <si>
    <t>wtof cat</t>
  </si>
  <si>
    <t>Flowrate</t>
  </si>
  <si>
    <t>FA0</t>
  </si>
  <si>
    <t>molC/min</t>
  </si>
  <si>
    <t>FA0 CG</t>
  </si>
  <si>
    <t>g/min</t>
  </si>
  <si>
    <t>Vo</t>
  </si>
  <si>
    <t>kg/s</t>
  </si>
  <si>
    <t>volumetric flowrate</t>
  </si>
  <si>
    <t>vs</t>
  </si>
  <si>
    <t>m2</t>
  </si>
  <si>
    <t>FAO</t>
  </si>
  <si>
    <t>m3/s</t>
  </si>
  <si>
    <t>g/s</t>
  </si>
  <si>
    <t>Vo,Carbon</t>
  </si>
  <si>
    <t>m/s</t>
  </si>
  <si>
    <t>where A,B,C,D are CG,O2,N2,H2O</t>
  </si>
  <si>
    <t>Compd</t>
  </si>
  <si>
    <t>mole frac</t>
  </si>
  <si>
    <t>Mol wt</t>
  </si>
  <si>
    <t>at 773K</t>
  </si>
  <si>
    <t>T0</t>
  </si>
  <si>
    <t>Num</t>
  </si>
  <si>
    <t>uG</t>
  </si>
  <si>
    <t>cP</t>
  </si>
  <si>
    <t>Pa.s</t>
  </si>
  <si>
    <t>J/mol</t>
  </si>
  <si>
    <t>Propanol</t>
  </si>
  <si>
    <t>Methanol</t>
  </si>
  <si>
    <t>yiMi</t>
  </si>
  <si>
    <t>Tci</t>
  </si>
  <si>
    <t>Pci</t>
  </si>
  <si>
    <t>yTci</t>
  </si>
  <si>
    <t>yPci</t>
  </si>
  <si>
    <t>Total</t>
  </si>
  <si>
    <t>Cmpds</t>
  </si>
  <si>
    <t>Pci, KpA</t>
  </si>
  <si>
    <t>https://www.engineeringtoolbox.com/gas-critical-temperature-pressure-d_161.html</t>
  </si>
  <si>
    <t>Tr</t>
  </si>
  <si>
    <t>Pr</t>
  </si>
  <si>
    <t>Tc,t K</t>
  </si>
  <si>
    <t>Pc,t Pa</t>
  </si>
  <si>
    <t>ξi</t>
  </si>
  <si>
    <t>From Perry's chemical engineering handbook chapter 5</t>
  </si>
  <si>
    <t>μ^0</t>
  </si>
  <si>
    <t>μ</t>
  </si>
  <si>
    <t>W/mK</t>
  </si>
  <si>
    <t>From Ejiro</t>
  </si>
  <si>
    <t>h eff</t>
  </si>
  <si>
    <t>Overall heat transfer coeff.</t>
  </si>
  <si>
    <t>W/m2K</t>
  </si>
  <si>
    <t>Not yet ready</t>
  </si>
  <si>
    <t>kg</t>
  </si>
  <si>
    <t>cpg</t>
  </si>
  <si>
    <t>CPp</t>
  </si>
  <si>
    <t>J/kgK</t>
  </si>
  <si>
    <t>specific heat capacity of the pellet</t>
  </si>
  <si>
    <t>Cp at 773 K</t>
  </si>
  <si>
    <t>KJ/kgK</t>
  </si>
  <si>
    <t>m2/s</t>
  </si>
  <si>
    <t>U</t>
  </si>
  <si>
    <t>J/m2sk</t>
  </si>
  <si>
    <t>Overall heat transfer coefficient</t>
  </si>
  <si>
    <t>kv</t>
  </si>
  <si>
    <t>kD</t>
  </si>
  <si>
    <t>Viscosity</t>
  </si>
  <si>
    <t>Kp</t>
  </si>
  <si>
    <t>delta P</t>
  </si>
  <si>
    <t>Pinlet</t>
  </si>
  <si>
    <t>Comp.</t>
  </si>
  <si>
    <t>Diffusivity of H2 in water</t>
  </si>
  <si>
    <t>TbB</t>
  </si>
  <si>
    <t>Tb,A</t>
  </si>
  <si>
    <t>Diffusivity of CO2 in water</t>
  </si>
  <si>
    <t>co2</t>
  </si>
  <si>
    <t>Diffusivity of CH4 in water</t>
  </si>
  <si>
    <t>dipole moment</t>
  </si>
  <si>
    <r>
      <t>The molecules having μ are called polar molecules whereas molecules having zero μ are said to be non-polar molecules. </t>
    </r>
    <r>
      <rPr>
        <b/>
        <i/>
        <sz val="14"/>
        <color rgb="FF4A4A4A"/>
        <rFont val="Times New Roman"/>
        <family val="1"/>
      </rPr>
      <t>For example:</t>
    </r>
    <r>
      <rPr>
        <sz val="14"/>
        <color rgb="FF4A4A4A"/>
        <rFont val="Times New Roman"/>
        <family val="1"/>
      </rPr>
      <t> Molecules such as H</t>
    </r>
    <r>
      <rPr>
        <sz val="10"/>
        <color rgb="FF4A4A4A"/>
        <rFont val="Times New Roman"/>
        <family val="1"/>
      </rPr>
      <t>2</t>
    </r>
    <r>
      <rPr>
        <sz val="14"/>
        <color rgb="FF4A4A4A"/>
        <rFont val="Times New Roman"/>
        <family val="1"/>
      </rPr>
      <t>, N</t>
    </r>
    <r>
      <rPr>
        <sz val="10"/>
        <color rgb="FF4A4A4A"/>
        <rFont val="Times New Roman"/>
        <family val="1"/>
      </rPr>
      <t>2</t>
    </r>
    <r>
      <rPr>
        <sz val="14"/>
        <color rgb="FF4A4A4A"/>
        <rFont val="Times New Roman"/>
        <family val="1"/>
      </rPr>
      <t>, O</t>
    </r>
    <r>
      <rPr>
        <sz val="10"/>
        <color rgb="FF4A4A4A"/>
        <rFont val="Times New Roman"/>
        <family val="1"/>
      </rPr>
      <t>2</t>
    </r>
    <r>
      <rPr>
        <sz val="14"/>
        <color rgb="FF4A4A4A"/>
        <rFont val="Times New Roman"/>
        <family val="1"/>
      </rPr>
      <t>, Cl</t>
    </r>
    <r>
      <rPr>
        <sz val="10"/>
        <color rgb="FF4A4A4A"/>
        <rFont val="Times New Roman"/>
        <family val="1"/>
      </rPr>
      <t>2</t>
    </r>
    <r>
      <rPr>
        <sz val="14"/>
        <color rgb="FF4A4A4A"/>
        <rFont val="Times New Roman"/>
        <family val="1"/>
      </rPr>
      <t> etc. have non-polar bonds and zero value of dipole moment, whereas CO</t>
    </r>
    <r>
      <rPr>
        <sz val="10"/>
        <color rgb="FF4A4A4A"/>
        <rFont val="Times New Roman"/>
        <family val="1"/>
      </rPr>
      <t>2</t>
    </r>
    <r>
      <rPr>
        <sz val="14"/>
        <color rgb="FF4A4A4A"/>
        <rFont val="Times New Roman"/>
        <family val="1"/>
      </rPr>
      <t>, BF</t>
    </r>
    <r>
      <rPr>
        <sz val="10"/>
        <color rgb="FF4A4A4A"/>
        <rFont val="Times New Roman"/>
        <family val="1"/>
      </rPr>
      <t>3</t>
    </r>
    <r>
      <rPr>
        <sz val="14"/>
        <color rgb="FF4A4A4A"/>
        <rFont val="Times New Roman"/>
        <family val="1"/>
      </rPr>
      <t>, CH</t>
    </r>
    <r>
      <rPr>
        <sz val="10"/>
        <color rgb="FF4A4A4A"/>
        <rFont val="Times New Roman"/>
        <family val="1"/>
      </rPr>
      <t>4</t>
    </r>
    <r>
      <rPr>
        <sz val="14"/>
        <color rgb="FF4A4A4A"/>
        <rFont val="Times New Roman"/>
        <family val="1"/>
      </rPr>
      <t>, etc., have polar bonds but zero value of dipole moment and Molecules such as HF, HCl, NH</t>
    </r>
    <r>
      <rPr>
        <sz val="10"/>
        <color rgb="FF4A4A4A"/>
        <rFont val="Times New Roman"/>
        <family val="1"/>
      </rPr>
      <t>3</t>
    </r>
    <r>
      <rPr>
        <sz val="14"/>
        <color rgb="FF4A4A4A"/>
        <rFont val="Times New Roman"/>
        <family val="1"/>
      </rPr>
      <t>, H</t>
    </r>
    <r>
      <rPr>
        <sz val="10"/>
        <color rgb="FF4A4A4A"/>
        <rFont val="Times New Roman"/>
        <family val="1"/>
      </rPr>
      <t>2</t>
    </r>
    <r>
      <rPr>
        <sz val="14"/>
        <color rgb="FF4A4A4A"/>
        <rFont val="Times New Roman"/>
        <family val="1"/>
      </rPr>
      <t>O, have polar bonds and their dipole moment is greater than zero.</t>
    </r>
  </si>
  <si>
    <t>https://www.toppr.com/bytes/dipole-moment-and-applications/</t>
  </si>
  <si>
    <t>Diffusivity of CG in water</t>
  </si>
  <si>
    <t xml:space="preserve">To calculate the axial dispersion coefficient of the species is calculated by </t>
  </si>
  <si>
    <t>DL_O2</t>
  </si>
  <si>
    <t>mm</t>
  </si>
  <si>
    <t>uz</t>
  </si>
  <si>
    <t>DL_H2</t>
  </si>
  <si>
    <t>DL_CO2</t>
  </si>
  <si>
    <t>DL_CH4</t>
  </si>
  <si>
    <t>m^3/s</t>
  </si>
  <si>
    <t>S</t>
  </si>
  <si>
    <t>Total flow</t>
  </si>
  <si>
    <t>mol/min</t>
  </si>
  <si>
    <t>m3/min</t>
  </si>
  <si>
    <t>superficial vel.</t>
  </si>
  <si>
    <t>eb</t>
  </si>
  <si>
    <t>Pa</t>
  </si>
  <si>
    <t>Re</t>
  </si>
  <si>
    <t>P_outlet</t>
  </si>
  <si>
    <t>Updated</t>
  </si>
  <si>
    <t>Reynolds Numbers</t>
  </si>
  <si>
    <t>Assuming Pt as 101325 Pa</t>
  </si>
  <si>
    <t>g/mol(Kg/Kmol)</t>
  </si>
  <si>
    <t>kg/m3</t>
  </si>
  <si>
    <t>NB: Using the correlation in S.Z. Abbas*</t>
  </si>
  <si>
    <t>, V. Dupont, T. Mahmud,2017 , The catalyst weight was calculated</t>
  </si>
  <si>
    <t>wt</t>
  </si>
  <si>
    <t>R0_p</t>
  </si>
  <si>
    <t>g/mol(kg/kmol)</t>
  </si>
  <si>
    <t>Vs</t>
  </si>
  <si>
    <t>Assuming Pt of101534.05 Pa</t>
  </si>
  <si>
    <t>Rog</t>
  </si>
  <si>
    <t>M</t>
  </si>
  <si>
    <t>T_in</t>
  </si>
  <si>
    <t>For Schmidt's number</t>
  </si>
  <si>
    <t>where Di</t>
  </si>
  <si>
    <t>Sci</t>
  </si>
  <si>
    <t>t</t>
  </si>
  <si>
    <t>D,im, eff</t>
  </si>
  <si>
    <t>Deff new</t>
  </si>
  <si>
    <t>Dik, eff</t>
  </si>
  <si>
    <t>Deff_new</t>
  </si>
  <si>
    <t>1/Deff_new</t>
  </si>
  <si>
    <t>Tortuosity</t>
  </si>
  <si>
    <t>Solving for JD</t>
  </si>
  <si>
    <t>Jd</t>
  </si>
  <si>
    <t>Mass Transfer coefficient</t>
  </si>
  <si>
    <t>Kgi</t>
  </si>
  <si>
    <t>NRe</t>
  </si>
  <si>
    <t>Pa.S</t>
  </si>
  <si>
    <t>effective diffusivity,Di</t>
  </si>
  <si>
    <r>
      <rPr>
        <b/>
        <u/>
        <sz val="11"/>
        <color theme="1"/>
        <rFont val="Calibri"/>
        <family val="2"/>
        <scheme val="minor"/>
      </rPr>
      <t>Sherwood Numbe</t>
    </r>
    <r>
      <rPr>
        <sz val="11"/>
        <color theme="1"/>
        <rFont val="Calibri"/>
        <family val="2"/>
        <scheme val="minor"/>
      </rPr>
      <t>r</t>
    </r>
  </si>
  <si>
    <t>Where the shape factor is 1</t>
  </si>
  <si>
    <t>Nsh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</si>
  <si>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</si>
  <si>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Thermal Conductivity</t>
  </si>
  <si>
    <t>lambda_eff/lambda</t>
  </si>
  <si>
    <t>5.5+0.05NRe</t>
  </si>
  <si>
    <t>V</t>
  </si>
  <si>
    <t>g/m3</t>
  </si>
  <si>
    <t>m3/mol</t>
  </si>
  <si>
    <t>molar volume,V</t>
  </si>
  <si>
    <t>Bridgman’s equation can be used to calculate thermal conductivity of the liquid reactant</t>
  </si>
  <si>
    <t>Assuming the main mixture of being gases</t>
  </si>
  <si>
    <t>Using the Chapman-Enskog model for conductivity for gas mixtures</t>
  </si>
  <si>
    <t>For a gas mixture, the thermal conductivity is given as</t>
  </si>
  <si>
    <t>All A wrt CG</t>
  </si>
  <si>
    <t>A12</t>
  </si>
  <si>
    <t>A13</t>
  </si>
  <si>
    <t>A14</t>
  </si>
  <si>
    <t xml:space="preserve">All A  </t>
  </si>
  <si>
    <t>wrt O2</t>
  </si>
  <si>
    <t>A21</t>
  </si>
  <si>
    <t>A23</t>
  </si>
  <si>
    <t>A24</t>
  </si>
  <si>
    <t>wrt N2</t>
  </si>
  <si>
    <t>A31</t>
  </si>
  <si>
    <t>A32</t>
  </si>
  <si>
    <t>A34</t>
  </si>
  <si>
    <t>wrt H2O</t>
  </si>
  <si>
    <t>A41</t>
  </si>
  <si>
    <t>A42</t>
  </si>
  <si>
    <t>A43</t>
  </si>
  <si>
    <t>Lambda</t>
  </si>
  <si>
    <t xml:space="preserve">The gas conductivity is </t>
  </si>
  <si>
    <t>The effective thermal conductivity</t>
  </si>
  <si>
    <t>W/mk</t>
  </si>
  <si>
    <t>Lambda_eff</t>
  </si>
  <si>
    <t>Nre</t>
  </si>
  <si>
    <t>Pr=</t>
  </si>
  <si>
    <t>Cp</t>
  </si>
  <si>
    <t>Biomas composition</t>
  </si>
  <si>
    <t>Petroleum</t>
  </si>
  <si>
    <t>natural gas</t>
  </si>
  <si>
    <t>coal</t>
  </si>
  <si>
    <t>nuclear power</t>
  </si>
  <si>
    <t>renewable energy</t>
  </si>
  <si>
    <t>%</t>
  </si>
  <si>
    <t>Renewable Energy</t>
  </si>
  <si>
    <t>Total,BTU</t>
  </si>
  <si>
    <t>geothermal</t>
  </si>
  <si>
    <t>solar</t>
  </si>
  <si>
    <t>Biomass</t>
  </si>
  <si>
    <t>biofuel</t>
  </si>
  <si>
    <t>Wood</t>
  </si>
  <si>
    <t>hydroelectric</t>
  </si>
  <si>
    <t>Wind</t>
  </si>
  <si>
    <t>Davg</t>
  </si>
  <si>
    <t>1/D avg_it</t>
  </si>
  <si>
    <t>Davg_it</t>
  </si>
  <si>
    <t>Porosity</t>
  </si>
  <si>
    <t>Hr</t>
  </si>
  <si>
    <t>k_eff</t>
  </si>
  <si>
    <t>J/msK</t>
  </si>
  <si>
    <t>Highest temp</t>
  </si>
  <si>
    <t>del C</t>
  </si>
  <si>
    <t>del T</t>
  </si>
  <si>
    <t>mol/L</t>
  </si>
  <si>
    <t>actual</t>
  </si>
  <si>
    <t>Prater Analysis</t>
  </si>
  <si>
    <t>Di</t>
  </si>
  <si>
    <t>JD</t>
  </si>
  <si>
    <t>Kc</t>
  </si>
  <si>
    <t>For heat transfer coefficient</t>
  </si>
  <si>
    <t>h</t>
  </si>
  <si>
    <t>Prandtl Number</t>
  </si>
  <si>
    <t>lambda</t>
  </si>
  <si>
    <t>NPr</t>
  </si>
  <si>
    <t>Internal Heat Transfer</t>
  </si>
  <si>
    <t>External Heat Transfer</t>
  </si>
  <si>
    <t>L</t>
  </si>
  <si>
    <t>characteristic length</t>
  </si>
  <si>
    <t>heat transfer coefficient</t>
  </si>
  <si>
    <t>r,obs</t>
  </si>
  <si>
    <t>1/(w/FA0)</t>
  </si>
  <si>
    <t>w/FAO</t>
  </si>
  <si>
    <t>gcat.min/molC</t>
  </si>
  <si>
    <t>molC/gcat.s</t>
  </si>
  <si>
    <t>Rop</t>
  </si>
  <si>
    <t>g/m^3</t>
  </si>
  <si>
    <t>molC/m^3.s</t>
  </si>
  <si>
    <t>Mears Criterion</t>
  </si>
  <si>
    <t>LHS</t>
  </si>
  <si>
    <t>Rc</t>
  </si>
  <si>
    <t>R</t>
  </si>
  <si>
    <t>Mass Transfer Limitation</t>
  </si>
  <si>
    <t>External Mass Transfer</t>
  </si>
  <si>
    <t>Internal Mass Transfer</t>
  </si>
  <si>
    <t>Cwp</t>
  </si>
  <si>
    <t>rate if film…</t>
  </si>
  <si>
    <t>Heat of Rxn for the system</t>
  </si>
  <si>
    <t>del Hr</t>
  </si>
  <si>
    <t>viHf(prdts)-viHf(reac.)</t>
  </si>
  <si>
    <t>Hf, kJ/mol</t>
  </si>
  <si>
    <t>v</t>
  </si>
  <si>
    <t>vHf</t>
  </si>
  <si>
    <t>Lamba_eff</t>
  </si>
  <si>
    <t>Since N2 is inert,assume the gases in the inert N2</t>
  </si>
  <si>
    <t>https://www.ethz.ch/content/dam/ethz/special-interest/mavt/process-engineering/particle-technology-laboratory-dam/documents/lectures/mass-transfer/script17/Chapter_8_Diffusivities.pdf</t>
  </si>
  <si>
    <t>Diff of O2 in N2 using Chapman</t>
  </si>
  <si>
    <t>ΩA</t>
  </si>
  <si>
    <t>ΩB</t>
  </si>
  <si>
    <t>ΩAB</t>
  </si>
  <si>
    <t>T,K</t>
  </si>
  <si>
    <t>P,atm</t>
  </si>
  <si>
    <t xml:space="preserve">Diffusivity  H2O in N2 </t>
  </si>
  <si>
    <t>Diffusivity of CG in N2</t>
  </si>
  <si>
    <t xml:space="preserve">Diffusivity  CO2 in N2 </t>
  </si>
  <si>
    <t>KJ/mol</t>
  </si>
  <si>
    <t>Ts</t>
  </si>
  <si>
    <t>Trxn</t>
  </si>
  <si>
    <t>RR</t>
  </si>
  <si>
    <t>PA</t>
  </si>
  <si>
    <t>PB</t>
  </si>
  <si>
    <t>PC</t>
  </si>
  <si>
    <t>Exp r-atm</t>
  </si>
  <si>
    <t>Exp r-Pa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</si>
</sst>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E+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4"/>
      <color rgb="FF4A4A4A"/>
      <name val="Times New Roman"/>
      <family val="1"/>
    </font>
    <font>
      <b/>
      <i/>
      <sz val="14"/>
      <color rgb="FF4A4A4A"/>
      <name val="Times New Roman"/>
      <family val="1"/>
    </font>
    <font>
      <sz val="10"/>
      <color rgb="FF4A4A4A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0" fillId="6" borderId="0" xfId="0" applyFill="1"/>
    <xf numFmtId="165" fontId="0" fillId="2" borderId="0" xfId="0" applyNumberFormat="1" applyFill="1"/>
    <xf numFmtId="0" fontId="8" fillId="3" borderId="0" xfId="0" applyFont="1" applyFill="1"/>
    <xf numFmtId="0" fontId="6" fillId="3" borderId="0" xfId="0" applyFont="1" applyFill="1"/>
    <xf numFmtId="0" fontId="9" fillId="0" borderId="0" xfId="0" applyFont="1"/>
    <xf numFmtId="11" fontId="0" fillId="0" borderId="0" xfId="0" applyNumberFormat="1"/>
    <xf numFmtId="0" fontId="0" fillId="0" borderId="0" xfId="0" applyAlignment="1">
      <alignment vertical="center"/>
    </xf>
    <xf numFmtId="9" fontId="0" fillId="0" borderId="0" xfId="0" applyNumberFormat="1"/>
    <xf numFmtId="0" fontId="0" fillId="7" borderId="0" xfId="0" applyFill="1"/>
    <xf numFmtId="0" fontId="7" fillId="8" borderId="0" xfId="0" applyFont="1" applyFill="1"/>
    <xf numFmtId="0" fontId="9" fillId="3" borderId="0" xfId="0" applyFont="1" applyFill="1"/>
    <xf numFmtId="166" fontId="0" fillId="0" borderId="0" xfId="0" applyNumberFormat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 Energy Consumption ,2017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798150902104294"/>
          <c:y val="0.19516071997276491"/>
          <c:w val="0.48467742417153609"/>
          <c:h val="0.80204987974829511"/>
        </c:manualLayout>
      </c:layout>
      <c:pieChart>
        <c:varyColors val="1"/>
        <c:ser>
          <c:idx val="0"/>
          <c:order val="1"/>
          <c:tx>
            <c:strRef>
              <c:f>Sheet5!$A$4:$A$8</c:f>
              <c:strCache>
                <c:ptCount val="5"/>
                <c:pt idx="0">
                  <c:v>Petroleum</c:v>
                </c:pt>
                <c:pt idx="1">
                  <c:v>natural gas</c:v>
                </c:pt>
                <c:pt idx="2">
                  <c:v>coal</c:v>
                </c:pt>
                <c:pt idx="3">
                  <c:v>nuclear power</c:v>
                </c:pt>
                <c:pt idx="4">
                  <c:v>renewable energy</c:v>
                </c:pt>
              </c:strCache>
            </c:strRef>
          </c:tx>
          <c:explosion val="12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8E-4915-A758-C30DEA18A3A4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8E-4915-A758-C30DEA18A3A4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F8E-4915-A758-C30DEA18A3A4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8E-4915-A758-C30DEA18A3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F8E-4915-A758-C30DEA18A3A4}"/>
              </c:ext>
            </c:extLst>
          </c:dPt>
          <c:dLbls>
            <c:dLbl>
              <c:idx val="0"/>
              <c:layout>
                <c:manualLayout>
                  <c:x val="-0.12478350161288333"/>
                  <c:y val="5.48781402324708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Petroleum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37 %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8E-4915-A758-C30DEA18A3A4}"/>
                </c:ext>
              </c:extLst>
            </c:dLbl>
            <c:dLbl>
              <c:idx val="1"/>
              <c:layout>
                <c:manualLayout>
                  <c:x val="1.3894332653508515E-2"/>
                  <c:y val="-0.155786435786435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Natural gas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29 %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8E-4915-A758-C30DEA18A3A4}"/>
                </c:ext>
              </c:extLst>
            </c:dLbl>
            <c:dLbl>
              <c:idx val="2"/>
              <c:layout>
                <c:manualLayout>
                  <c:x val="0.10896310440418221"/>
                  <c:y val="-2.41049414277760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Coal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14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%</a:t>
                    </a:r>
                    <a:endParaRPr lang="en-US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745772765190949E-2"/>
                      <c:h val="6.83694083694083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F8E-4915-A758-C30DEA18A3A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Nuclear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Power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9 %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8E-4915-A758-C30DEA18A3A4}"/>
                </c:ext>
              </c:extLst>
            </c:dLbl>
            <c:dLbl>
              <c:idx val="4"/>
              <c:layout>
                <c:manualLayout>
                  <c:x val="7.4626341578224606E-2"/>
                  <c:y val="0.132648418947631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Renewable Energy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11%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8E-4915-A758-C30DEA18A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Sheet5!$C$4:$C$8</c:f>
              <c:numCache>
                <c:formatCode>General</c:formatCode>
                <c:ptCount val="5"/>
                <c:pt idx="0">
                  <c:v>133.19999999999999</c:v>
                </c:pt>
                <c:pt idx="1">
                  <c:v>104.39999999999999</c:v>
                </c:pt>
                <c:pt idx="2">
                  <c:v>50.400000000000006</c:v>
                </c:pt>
                <c:pt idx="3">
                  <c:v>32.4</c:v>
                </c:pt>
                <c:pt idx="4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E-4915-A758-C30DEA18A3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2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038-4CEE-B9DF-CBADE99122E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C038-4CEE-B9DF-CBADE99122E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C038-4CEE-B9DF-CBADE99122E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C038-4CEE-B9DF-CBADE99122E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C038-4CEE-B9DF-CBADE99122E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C038-4CEE-B9DF-CBADE99122E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C038-4CEE-B9DF-CBADE99122E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C038-4CEE-B9DF-CBADE99122E4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C038-4CEE-B9DF-CBADE99122E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Sheet5!$C$1:$C$9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2">
                        <c:v>360</c:v>
                      </c:pt>
                      <c:pt idx="3">
                        <c:v>133.19999999999999</c:v>
                      </c:pt>
                      <c:pt idx="4">
                        <c:v>104.39999999999999</c:v>
                      </c:pt>
                      <c:pt idx="5">
                        <c:v>50.400000000000006</c:v>
                      </c:pt>
                      <c:pt idx="6">
                        <c:v>32.4</c:v>
                      </c:pt>
                      <c:pt idx="7">
                        <c:v>39.6</c:v>
                      </c:pt>
                      <c:pt idx="8">
                        <c:v>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F8E-4915-A758-C30DEA18A3A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</a:t>
            </a:r>
            <a:r>
              <a:rPr lang="en-US" baseline="0"/>
              <a:t>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AE9-94DA-DCB54307C269}"/>
            </c:ext>
          </c:extLst>
        </c:ser>
        <c:ser>
          <c:idx val="1"/>
          <c:order val="1"/>
          <c:tx>
            <c:strRef>
              <c:f>Sheet5!$A$16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Sheet5!$B$16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2-4AE9-94DA-DCB54307C269}"/>
            </c:ext>
          </c:extLst>
        </c:ser>
        <c:ser>
          <c:idx val="2"/>
          <c:order val="2"/>
          <c:tx>
            <c:strRef>
              <c:f>Sheet5!$A$17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Sheet5!$B$17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2-4AE9-94DA-DCB54307C269}"/>
            </c:ext>
          </c:extLst>
        </c:ser>
        <c:ser>
          <c:idx val="3"/>
          <c:order val="3"/>
          <c:tx>
            <c:strRef>
              <c:f>Sheet5!$A$18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Sheet5!$B$18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2-4AE9-94DA-DCB54307C269}"/>
            </c:ext>
          </c:extLst>
        </c:ser>
        <c:ser>
          <c:idx val="4"/>
          <c:order val="4"/>
          <c:tx>
            <c:strRef>
              <c:f>Sheet5!$A$19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Sheet5!$B$19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2-4AE9-94DA-DCB54307C269}"/>
            </c:ext>
          </c:extLst>
        </c:ser>
        <c:ser>
          <c:idx val="5"/>
          <c:order val="5"/>
          <c:tx>
            <c:strRef>
              <c:f>Sheet5!$A$20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Sheet5!$B$20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2-4AE9-94DA-DCB54307C269}"/>
            </c:ext>
          </c:extLst>
        </c:ser>
        <c:ser>
          <c:idx val="6"/>
          <c:order val="6"/>
          <c:tx>
            <c:strRef>
              <c:f>Sheet5!$A$21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Sheet5!$B$21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2-4AE9-94DA-DCB54307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92808"/>
        <c:axId val="569991824"/>
      </c:barChart>
      <c:catAx>
        <c:axId val="5699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1824"/>
        <c:crosses val="autoZero"/>
        <c:auto val="1"/>
        <c:lblAlgn val="ctr"/>
        <c:lblOffset val="100"/>
        <c:noMultiLvlLbl val="0"/>
      </c:catAx>
      <c:valAx>
        <c:axId val="569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51.png"/><Relationship Id="rId7" Type="http://schemas.openxmlformats.org/officeDocument/2006/relationships/image" Target="../media/image63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62.png"/><Relationship Id="rId5" Type="http://schemas.openxmlformats.org/officeDocument/2006/relationships/image" Target="../media/image55.png"/><Relationship Id="rId10" Type="http://schemas.openxmlformats.org/officeDocument/2006/relationships/image" Target="../media/image66.png"/><Relationship Id="rId4" Type="http://schemas.openxmlformats.org/officeDocument/2006/relationships/image" Target="../media/image52.png"/><Relationship Id="rId9" Type="http://schemas.openxmlformats.org/officeDocument/2006/relationships/image" Target="../media/image6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142875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BAE241-7D4D-471C-9E60-84846318D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142875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D23813-2BF5-48C4-A72B-FBDB5814C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142875</xdr:colOff>
      <xdr:row>2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231DB-3655-48BF-80CB-BE334777A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142875</xdr:colOff>
      <xdr:row>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8E1551-7818-41D9-936C-F15188CC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0</xdr:row>
      <xdr:rowOff>142875</xdr:rowOff>
    </xdr:from>
    <xdr:to>
      <xdr:col>9</xdr:col>
      <xdr:colOff>256729</xdr:colOff>
      <xdr:row>3</xdr:row>
      <xdr:rowOff>47565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A38A02-19C7-49D7-B373-84620C4DF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142875"/>
          <a:ext cx="3571429" cy="47619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14</xdr:row>
      <xdr:rowOff>142875</xdr:rowOff>
    </xdr:from>
    <xdr:to>
      <xdr:col>3</xdr:col>
      <xdr:colOff>564143</xdr:colOff>
      <xdr:row>17</xdr:row>
      <xdr:rowOff>5111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073968-BF66-4E15-A266-0B6F65625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09875"/>
          <a:ext cx="2554868" cy="433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114300</xdr:rowOff>
    </xdr:from>
    <xdr:to>
      <xdr:col>13</xdr:col>
      <xdr:colOff>152000</xdr:colOff>
      <xdr:row>16</xdr:row>
      <xdr:rowOff>19024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A89CA9A-FCEE-48DA-9970-406E391BF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8350" y="2781300"/>
          <a:ext cx="3200000" cy="285724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14</xdr:row>
      <xdr:rowOff>95250</xdr:rowOff>
    </xdr:from>
    <xdr:to>
      <xdr:col>7</xdr:col>
      <xdr:colOff>180699</xdr:colOff>
      <xdr:row>16</xdr:row>
      <xdr:rowOff>85725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859280-0631-4A36-A0C3-5E4FD6391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09925" y="2762250"/>
          <a:ext cx="2209524" cy="371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23</xdr:col>
      <xdr:colOff>180975</xdr:colOff>
      <xdr:row>17</xdr:row>
      <xdr:rowOff>18976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D7420-2C35-4484-983A-736D48243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25150" y="2667000"/>
          <a:ext cx="4638675" cy="59047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380876</xdr:colOff>
      <xdr:row>16</xdr:row>
      <xdr:rowOff>161857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87F0B6-4FBF-48AA-8ED5-B8F93AE8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92450" y="2667000"/>
          <a:ext cx="990476" cy="5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24</xdr:row>
      <xdr:rowOff>57150</xdr:rowOff>
    </xdr:from>
    <xdr:to>
      <xdr:col>14</xdr:col>
      <xdr:colOff>380819</xdr:colOff>
      <xdr:row>25</xdr:row>
      <xdr:rowOff>152364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31B98-87AB-4CF2-BEEB-52186EB7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4629150"/>
          <a:ext cx="1447619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</xdr:rowOff>
    </xdr:from>
    <xdr:to>
      <xdr:col>7</xdr:col>
      <xdr:colOff>219075</xdr:colOff>
      <xdr:row>16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957C4-22B8-497B-963B-2F186751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2857501"/>
          <a:ext cx="4162425" cy="32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7</xdr:row>
      <xdr:rowOff>161925</xdr:rowOff>
    </xdr:from>
    <xdr:to>
      <xdr:col>13</xdr:col>
      <xdr:colOff>247300</xdr:colOff>
      <xdr:row>9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19CB5F-D3F7-462F-904E-9C00BA207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8925" y="1495425"/>
          <a:ext cx="2800000" cy="3905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24</xdr:row>
      <xdr:rowOff>57150</xdr:rowOff>
    </xdr:from>
    <xdr:to>
      <xdr:col>14</xdr:col>
      <xdr:colOff>380819</xdr:colOff>
      <xdr:row>25</xdr:row>
      <xdr:rowOff>152364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18FD8-4726-4998-880F-368D1BBC4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4629150"/>
          <a:ext cx="1447619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</xdr:rowOff>
    </xdr:from>
    <xdr:to>
      <xdr:col>7</xdr:col>
      <xdr:colOff>219075</xdr:colOff>
      <xdr:row>16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67916A-33A5-4027-810D-39D26099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2857501"/>
          <a:ext cx="4162425" cy="32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7</xdr:row>
      <xdr:rowOff>161925</xdr:rowOff>
    </xdr:from>
    <xdr:to>
      <xdr:col>13</xdr:col>
      <xdr:colOff>247300</xdr:colOff>
      <xdr:row>9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E5360D-EC54-45C4-A6BF-FAD61F77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8925" y="1495425"/>
          <a:ext cx="2800000" cy="3905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24</xdr:row>
      <xdr:rowOff>57150</xdr:rowOff>
    </xdr:from>
    <xdr:to>
      <xdr:col>14</xdr:col>
      <xdr:colOff>428444</xdr:colOff>
      <xdr:row>25</xdr:row>
      <xdr:rowOff>152364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BA0D40-9BE1-4E35-B020-5393F7FCF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4629150"/>
          <a:ext cx="1447619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</xdr:rowOff>
    </xdr:from>
    <xdr:to>
      <xdr:col>7</xdr:col>
      <xdr:colOff>219075</xdr:colOff>
      <xdr:row>16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17D1EB-FEB0-4509-925A-83AC4D30C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2857501"/>
          <a:ext cx="4162425" cy="32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8</xdr:row>
      <xdr:rowOff>104775</xdr:rowOff>
    </xdr:from>
    <xdr:to>
      <xdr:col>13</xdr:col>
      <xdr:colOff>266350</xdr:colOff>
      <xdr:row>10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12226BA-4398-4B0A-BC35-F5B81D12D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1628775"/>
          <a:ext cx="2800000" cy="3905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66675</xdr:rowOff>
    </xdr:from>
    <xdr:to>
      <xdr:col>4</xdr:col>
      <xdr:colOff>247338</xdr:colOff>
      <xdr:row>3</xdr:row>
      <xdr:rowOff>85651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17544-D008-4624-BBC8-32A2D4CF4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6675"/>
          <a:ext cx="2495238" cy="59047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133350</xdr:rowOff>
    </xdr:from>
    <xdr:to>
      <xdr:col>11</xdr:col>
      <xdr:colOff>190500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AAB0F9-AE73-48CB-A250-6ACB5B4E7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133350"/>
          <a:ext cx="34290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142875</xdr:colOff>
      <xdr:row>6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45A9A-2591-4CC1-BB72-A86F219E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18</xdr:col>
      <xdr:colOff>295086</xdr:colOff>
      <xdr:row>2</xdr:row>
      <xdr:rowOff>95214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3318E-1BFA-4FC8-B2E3-A41DD1F2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72725" y="190500"/>
          <a:ext cx="1514286" cy="285714"/>
        </a:xfrm>
        <a:prstGeom prst="rect">
          <a:avLst/>
        </a:prstGeom>
      </xdr:spPr>
    </xdr:pic>
    <xdr:clientData/>
  </xdr:twoCellAnchor>
  <xdr:twoCellAnchor>
    <xdr:from>
      <xdr:col>8</xdr:col>
      <xdr:colOff>104775</xdr:colOff>
      <xdr:row>6</xdr:row>
      <xdr:rowOff>9525</xdr:rowOff>
    </xdr:from>
    <xdr:to>
      <xdr:col>8</xdr:col>
      <xdr:colOff>247650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790145-A69C-490B-A6A1-4EEC5653C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525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571500</xdr:colOff>
      <xdr:row>16</xdr:row>
      <xdr:rowOff>142875</xdr:rowOff>
    </xdr:from>
    <xdr:to>
      <xdr:col>17</xdr:col>
      <xdr:colOff>466725</xdr:colOff>
      <xdr:row>18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F55519-3B2D-489C-95B4-292F247BA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3762375"/>
          <a:ext cx="23336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304800</xdr:colOff>
      <xdr:row>4</xdr:row>
      <xdr:rowOff>85725</xdr:rowOff>
    </xdr:from>
    <xdr:to>
      <xdr:col>14</xdr:col>
      <xdr:colOff>514350</xdr:colOff>
      <xdr:row>6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51048C4-CBBB-46ED-95E8-B5797F89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847725"/>
          <a:ext cx="1428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7</xdr:row>
      <xdr:rowOff>123825</xdr:rowOff>
    </xdr:from>
    <xdr:to>
      <xdr:col>19</xdr:col>
      <xdr:colOff>247114</xdr:colOff>
      <xdr:row>10</xdr:row>
      <xdr:rowOff>66611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EA5C11-977D-447F-9985-1DCD306D1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2925" y="1457325"/>
          <a:ext cx="4285714" cy="514286"/>
        </a:xfrm>
        <a:prstGeom prst="rect">
          <a:avLst/>
        </a:prstGeom>
      </xdr:spPr>
    </xdr:pic>
    <xdr:clientData/>
  </xdr:twoCellAnchor>
  <xdr:twoCellAnchor>
    <xdr:from>
      <xdr:col>10</xdr:col>
      <xdr:colOff>219075</xdr:colOff>
      <xdr:row>30</xdr:row>
      <xdr:rowOff>9525</xdr:rowOff>
    </xdr:from>
    <xdr:to>
      <xdr:col>10</xdr:col>
      <xdr:colOff>361950</xdr:colOff>
      <xdr:row>31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1BD8E8-22E1-46A0-BEF4-0F62B829F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26765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66675</xdr:rowOff>
    </xdr:from>
    <xdr:to>
      <xdr:col>4</xdr:col>
      <xdr:colOff>247338</xdr:colOff>
      <xdr:row>3</xdr:row>
      <xdr:rowOff>85651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EEBE5-6004-4457-9CFF-8F684EB59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66675"/>
          <a:ext cx="2495238" cy="59047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133350</xdr:rowOff>
    </xdr:from>
    <xdr:to>
      <xdr:col>11</xdr:col>
      <xdr:colOff>190500</xdr:colOff>
      <xdr:row>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4BBCF8-250B-450F-9E54-C19534BA4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350"/>
          <a:ext cx="3238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142875</xdr:colOff>
      <xdr:row>6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84901B-64D5-4883-AA9B-DADD03F60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18</xdr:col>
      <xdr:colOff>295086</xdr:colOff>
      <xdr:row>2</xdr:row>
      <xdr:rowOff>95214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9937BD-D009-47EA-9F83-2D2802B07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600" y="190500"/>
          <a:ext cx="1514286" cy="285714"/>
        </a:xfrm>
        <a:prstGeom prst="rect">
          <a:avLst/>
        </a:prstGeom>
      </xdr:spPr>
    </xdr:pic>
    <xdr:clientData/>
  </xdr:twoCellAnchor>
  <xdr:twoCellAnchor>
    <xdr:from>
      <xdr:col>10</xdr:col>
      <xdr:colOff>95250</xdr:colOff>
      <xdr:row>6</xdr:row>
      <xdr:rowOff>38100</xdr:rowOff>
    </xdr:from>
    <xdr:to>
      <xdr:col>10</xdr:col>
      <xdr:colOff>238125</xdr:colOff>
      <xdr:row>7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B56B17-F0A6-4D83-9624-F4D2385D0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1811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28575</xdr:colOff>
      <xdr:row>18</xdr:row>
      <xdr:rowOff>38100</xdr:rowOff>
    </xdr:from>
    <xdr:to>
      <xdr:col>14</xdr:col>
      <xdr:colOff>533400</xdr:colOff>
      <xdr:row>19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6D4F9E-133D-48B3-9618-3EBCAA397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3467100"/>
          <a:ext cx="23336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10</xdr:col>
      <xdr:colOff>209550</xdr:colOff>
      <xdr:row>27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3081E85-EA63-4D44-BC2F-7F403BEBF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4762500"/>
          <a:ext cx="1428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28</xdr:row>
      <xdr:rowOff>28575</xdr:rowOff>
    </xdr:from>
    <xdr:to>
      <xdr:col>14</xdr:col>
      <xdr:colOff>218539</xdr:colOff>
      <xdr:row>30</xdr:row>
      <xdr:rowOff>161861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380DF2C-38C9-443E-9F2A-B9B307A88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86350" y="5362575"/>
          <a:ext cx="4285714" cy="514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0</xdr:row>
      <xdr:rowOff>142875</xdr:rowOff>
    </xdr:from>
    <xdr:to>
      <xdr:col>18</xdr:col>
      <xdr:colOff>600075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C6124-EB20-4E99-A456-B60F0568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5</xdr:row>
      <xdr:rowOff>28575</xdr:rowOff>
    </xdr:from>
    <xdr:to>
      <xdr:col>9</xdr:col>
      <xdr:colOff>295275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B55847-4F52-4D27-9F2E-1B484F6EC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314327</xdr:colOff>
      <xdr:row>5</xdr:row>
      <xdr:rowOff>133352</xdr:rowOff>
    </xdr:from>
    <xdr:to>
      <xdr:col>12</xdr:col>
      <xdr:colOff>219075</xdr:colOff>
      <xdr:row>6</xdr:row>
      <xdr:rowOff>152400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922E0A7B-9F3A-4AAD-8D40-90BDBC724070}"/>
            </a:ext>
          </a:extLst>
        </xdr:cNvPr>
        <xdr:cNvCxnSpPr/>
      </xdr:nvCxnSpPr>
      <xdr:spPr>
        <a:xfrm rot="10800000">
          <a:off x="6543677" y="1085852"/>
          <a:ext cx="1733548" cy="209548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38100</xdr:rowOff>
    </xdr:from>
    <xdr:to>
      <xdr:col>3</xdr:col>
      <xdr:colOff>485476</xdr:colOff>
      <xdr:row>5</xdr:row>
      <xdr:rowOff>9457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AF7D4-A7F0-4680-8BAC-F4BAC2069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19100"/>
          <a:ext cx="2390476" cy="5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1</xdr:rowOff>
    </xdr:from>
    <xdr:to>
      <xdr:col>12</xdr:col>
      <xdr:colOff>561676</xdr:colOff>
      <xdr:row>4</xdr:row>
      <xdr:rowOff>95251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8BFF99-45D1-498F-8173-EA7E62C0E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1"/>
          <a:ext cx="2390476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13</xdr:row>
      <xdr:rowOff>66675</xdr:rowOff>
    </xdr:from>
    <xdr:to>
      <xdr:col>5</xdr:col>
      <xdr:colOff>513931</xdr:colOff>
      <xdr:row>15</xdr:row>
      <xdr:rowOff>142813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AEA212-2A6D-43B0-9862-DCFD22DF5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2543175"/>
          <a:ext cx="3352381" cy="4571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13</xdr:col>
      <xdr:colOff>256838</xdr:colOff>
      <xdr:row>15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689DAF-7B08-4BDF-A6F6-A654D083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476500"/>
          <a:ext cx="2695238" cy="504825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13</xdr:row>
      <xdr:rowOff>0</xdr:rowOff>
    </xdr:from>
    <xdr:to>
      <xdr:col>17</xdr:col>
      <xdr:colOff>485776</xdr:colOff>
      <xdr:row>15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523F6E-0894-4AD3-92FB-F585824E0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4501" y="2476500"/>
          <a:ext cx="1962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22</xdr:row>
      <xdr:rowOff>180975</xdr:rowOff>
    </xdr:from>
    <xdr:to>
      <xdr:col>4</xdr:col>
      <xdr:colOff>333054</xdr:colOff>
      <xdr:row>25</xdr:row>
      <xdr:rowOff>9475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760DA4-477F-41E1-9726-92C02BF4E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" y="4371975"/>
          <a:ext cx="2571429" cy="4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76199</xdr:colOff>
      <xdr:row>19</xdr:row>
      <xdr:rowOff>95250</xdr:rowOff>
    </xdr:from>
    <xdr:to>
      <xdr:col>9</xdr:col>
      <xdr:colOff>285749</xdr:colOff>
      <xdr:row>21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8F8673-28E7-48FC-B531-FCD5EC12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24299" y="3714750"/>
          <a:ext cx="2162175" cy="4381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514201</xdr:colOff>
      <xdr:row>4</xdr:row>
      <xdr:rowOff>66595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7222E7-9F77-41C5-990D-6AE7E87E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96425" y="190500"/>
          <a:ext cx="1190476" cy="6380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9525</xdr:rowOff>
    </xdr:from>
    <xdr:to>
      <xdr:col>12</xdr:col>
      <xdr:colOff>37638</xdr:colOff>
      <xdr:row>5</xdr:row>
      <xdr:rowOff>76096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922FA-176D-4E4D-ADE9-F042BF8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0025"/>
          <a:ext cx="3695238" cy="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13</xdr:row>
      <xdr:rowOff>57150</xdr:rowOff>
    </xdr:from>
    <xdr:to>
      <xdr:col>7</xdr:col>
      <xdr:colOff>199659</xdr:colOff>
      <xdr:row>16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362412-D31E-40F3-B073-A1ECF144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" y="2533650"/>
          <a:ext cx="2923809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26</xdr:row>
      <xdr:rowOff>1</xdr:rowOff>
    </xdr:from>
    <xdr:to>
      <xdr:col>7</xdr:col>
      <xdr:colOff>95250</xdr:colOff>
      <xdr:row>28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BA7A68-61B6-47C9-9521-4A36032AE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4953001"/>
          <a:ext cx="3238500" cy="552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19</xdr:col>
      <xdr:colOff>504610</xdr:colOff>
      <xdr:row>4</xdr:row>
      <xdr:rowOff>104714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4580C6-3C6F-4341-BDE1-A4217604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381000"/>
          <a:ext cx="1723810" cy="485714"/>
        </a:xfrm>
        <a:prstGeom prst="rect">
          <a:avLst/>
        </a:prstGeom>
      </xdr:spPr>
    </xdr:pic>
    <xdr:clientData/>
  </xdr:twoCellAnchor>
  <xdr:twoCellAnchor>
    <xdr:from>
      <xdr:col>14</xdr:col>
      <xdr:colOff>76200</xdr:colOff>
      <xdr:row>9</xdr:row>
      <xdr:rowOff>171450</xdr:rowOff>
    </xdr:from>
    <xdr:to>
      <xdr:col>19</xdr:col>
      <xdr:colOff>561975</xdr:colOff>
      <xdr:row>12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42399B-CD52-4605-A2BA-AF1957279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1885950"/>
          <a:ext cx="3533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18</xdr:row>
      <xdr:rowOff>0</xdr:rowOff>
    </xdr:from>
    <xdr:to>
      <xdr:col>16</xdr:col>
      <xdr:colOff>447675</xdr:colOff>
      <xdr:row>20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1097A8-0B22-4660-B90E-457340A17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429000"/>
          <a:ext cx="1247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76200</xdr:rowOff>
    </xdr:from>
    <xdr:to>
      <xdr:col>8</xdr:col>
      <xdr:colOff>47326</xdr:colOff>
      <xdr:row>3</xdr:row>
      <xdr:rowOff>47557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0242F-703A-4170-9D8D-11FF4793A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76200"/>
          <a:ext cx="2390476" cy="5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1</xdr:rowOff>
    </xdr:from>
    <xdr:to>
      <xdr:col>12</xdr:col>
      <xdr:colOff>561676</xdr:colOff>
      <xdr:row>9</xdr:row>
      <xdr:rowOff>95251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AF1261-8EA2-42B6-B6A5-8017FCCC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381001"/>
          <a:ext cx="2390476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20</xdr:row>
      <xdr:rowOff>66675</xdr:rowOff>
    </xdr:from>
    <xdr:to>
      <xdr:col>5</xdr:col>
      <xdr:colOff>513931</xdr:colOff>
      <xdr:row>22</xdr:row>
      <xdr:rowOff>142813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34BC34-8807-42F6-A25B-46EAD6C07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2543175"/>
          <a:ext cx="3352381" cy="4571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161925</xdr:rowOff>
    </xdr:from>
    <xdr:to>
      <xdr:col>13</xdr:col>
      <xdr:colOff>256838</xdr:colOff>
      <xdr:row>22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4C9229-CA4C-45C3-8354-97BD0A5F9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3971925"/>
          <a:ext cx="2695238" cy="342900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20</xdr:row>
      <xdr:rowOff>0</xdr:rowOff>
    </xdr:from>
    <xdr:to>
      <xdr:col>17</xdr:col>
      <xdr:colOff>485776</xdr:colOff>
      <xdr:row>22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8188C-CDFC-487F-AB87-FF1A1D66D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6" y="2476500"/>
          <a:ext cx="1962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161924</xdr:rowOff>
    </xdr:from>
    <xdr:to>
      <xdr:col>2</xdr:col>
      <xdr:colOff>142874</xdr:colOff>
      <xdr:row>3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FB18F3B-3ADA-4722-A0E5-AE40F620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2424"/>
          <a:ext cx="1590674" cy="36195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18</xdr:col>
      <xdr:colOff>9187</xdr:colOff>
      <xdr:row>4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FA54B9-175D-44DC-ABE6-FCF21870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86825" y="381000"/>
          <a:ext cx="2704762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29</xdr:row>
      <xdr:rowOff>104775</xdr:rowOff>
    </xdr:from>
    <xdr:to>
      <xdr:col>3</xdr:col>
      <xdr:colOff>590244</xdr:colOff>
      <xdr:row>31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878906-49F2-4300-B5F9-C63F2194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" y="5629275"/>
          <a:ext cx="2447619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285750</xdr:colOff>
      <xdr:row>28</xdr:row>
      <xdr:rowOff>95190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EA41D40-7250-43E4-8CCE-85E7C4CC8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95900" y="4953000"/>
          <a:ext cx="2114550" cy="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35</xdr:row>
      <xdr:rowOff>47626</xdr:rowOff>
    </xdr:from>
    <xdr:to>
      <xdr:col>6</xdr:col>
      <xdr:colOff>457200</xdr:colOff>
      <xdr:row>37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553D4BB-5AC8-4AB1-B5E3-3366F413F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6715126"/>
          <a:ext cx="4305300" cy="514349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11</xdr:row>
      <xdr:rowOff>1</xdr:rowOff>
    </xdr:from>
    <xdr:to>
      <xdr:col>17</xdr:col>
      <xdr:colOff>19049</xdr:colOff>
      <xdr:row>12</xdr:row>
      <xdr:rowOff>133351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07C152-B4BB-4775-ABBB-DABAB58C5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01199" y="2095501"/>
          <a:ext cx="1457325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171450</xdr:rowOff>
    </xdr:from>
    <xdr:to>
      <xdr:col>8</xdr:col>
      <xdr:colOff>219075</xdr:colOff>
      <xdr:row>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CD540D-3642-438C-A82E-85B19663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933450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12</xdr:col>
      <xdr:colOff>85725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26BB3-3D08-4D78-AD7F-22FACE6C5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"/>
          <a:ext cx="37433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142875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EDD4A6-4634-42B0-A794-A06B7AC51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142875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DF4252-5263-4926-A2D8-C55B1C790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142875</xdr:colOff>
      <xdr:row>2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F5FE6F-982D-4791-8F0A-2A02429A1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142875</xdr:colOff>
      <xdr:row>1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D4B545-0C1A-43FA-83AD-1EFDFED78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0</xdr:row>
      <xdr:rowOff>142875</xdr:rowOff>
    </xdr:from>
    <xdr:to>
      <xdr:col>9</xdr:col>
      <xdr:colOff>256729</xdr:colOff>
      <xdr:row>3</xdr:row>
      <xdr:rowOff>47565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106CF3-5B60-4977-9B57-6CFBC438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42875"/>
          <a:ext cx="3571429" cy="47619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14</xdr:row>
      <xdr:rowOff>142875</xdr:rowOff>
    </xdr:from>
    <xdr:to>
      <xdr:col>3</xdr:col>
      <xdr:colOff>564143</xdr:colOff>
      <xdr:row>17</xdr:row>
      <xdr:rowOff>5111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71E4529-CEC5-43C8-9FC7-00C344D2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09875"/>
          <a:ext cx="2554868" cy="433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114300</xdr:rowOff>
    </xdr:from>
    <xdr:to>
      <xdr:col>13</xdr:col>
      <xdr:colOff>152000</xdr:colOff>
      <xdr:row>16</xdr:row>
      <xdr:rowOff>19024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E1F9530-0DC9-4526-B79A-6A876C33C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781300"/>
          <a:ext cx="3200000" cy="285724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14</xdr:row>
      <xdr:rowOff>95250</xdr:rowOff>
    </xdr:from>
    <xdr:to>
      <xdr:col>7</xdr:col>
      <xdr:colOff>180699</xdr:colOff>
      <xdr:row>16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99F10D-0C36-43DE-8C58-C9A716F38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09925" y="2762250"/>
          <a:ext cx="2209524" cy="371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23</xdr:col>
      <xdr:colOff>180975</xdr:colOff>
      <xdr:row>17</xdr:row>
      <xdr:rowOff>18976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43CF73-04F3-4412-9775-4F5454EC4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25150" y="2667000"/>
          <a:ext cx="4638675" cy="59047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380876</xdr:colOff>
      <xdr:row>16</xdr:row>
      <xdr:rowOff>161857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91A85F-8E60-447E-808F-0C37DD1D6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01950" y="2667000"/>
          <a:ext cx="990476" cy="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1</xdr:row>
      <xdr:rowOff>9526</xdr:rowOff>
    </xdr:from>
    <xdr:to>
      <xdr:col>8</xdr:col>
      <xdr:colOff>257175</xdr:colOff>
      <xdr:row>7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B7ED71-068E-4122-A77A-D9F76BB3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200026"/>
          <a:ext cx="4152900" cy="1314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104775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DB1936-FFF9-4296-98B7-45C4E15B2F61}"/>
            </a:ext>
          </a:extLst>
        </xdr:cNvPr>
        <xdr:cNvSpPr txBox="1"/>
      </xdr:nvSpPr>
      <xdr:spPr>
        <a:xfrm>
          <a:off x="6305550" y="676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438150</xdr:colOff>
      <xdr:row>5</xdr:row>
      <xdr:rowOff>57150</xdr:rowOff>
    </xdr:from>
    <xdr:to>
      <xdr:col>4</xdr:col>
      <xdr:colOff>75940</xdr:colOff>
      <xdr:row>9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EE58A8-136F-4CE4-AF4F-554B74079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343150"/>
          <a:ext cx="2076190" cy="847725"/>
        </a:xfrm>
        <a:prstGeom prst="rect">
          <a:avLst/>
        </a:prstGeom>
      </xdr:spPr>
    </xdr:pic>
    <xdr:clientData/>
  </xdr:twoCellAnchor>
  <xdr:twoCellAnchor>
    <xdr:from>
      <xdr:col>6</xdr:col>
      <xdr:colOff>38101</xdr:colOff>
      <xdr:row>4</xdr:row>
      <xdr:rowOff>133350</xdr:rowOff>
    </xdr:from>
    <xdr:to>
      <xdr:col>14</xdr:col>
      <xdr:colOff>533401</xdr:colOff>
      <xdr:row>9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80C791-30BF-4BDB-AD3E-D5A8D8A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1" y="895350"/>
          <a:ext cx="53530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2</xdr:row>
      <xdr:rowOff>57150</xdr:rowOff>
    </xdr:from>
    <xdr:to>
      <xdr:col>20</xdr:col>
      <xdr:colOff>314325</xdr:colOff>
      <xdr:row>5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FEF767-496A-4A3A-9E27-E46AFCA5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438150"/>
          <a:ext cx="3524250" cy="695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76201</xdr:rowOff>
    </xdr:from>
    <xdr:to>
      <xdr:col>20</xdr:col>
      <xdr:colOff>276225</xdr:colOff>
      <xdr:row>9</xdr:row>
      <xdr:rowOff>19051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5D6E344-70AA-487C-BB7F-057D60C0B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4950" y="1219201"/>
          <a:ext cx="3514725" cy="51435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12</xdr:row>
      <xdr:rowOff>0</xdr:rowOff>
    </xdr:from>
    <xdr:to>
      <xdr:col>15</xdr:col>
      <xdr:colOff>133350</xdr:colOff>
      <xdr:row>12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72A2B7-1BFA-4AF9-9441-64F3D865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28600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142875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E3AA31-7633-4E88-B606-F16C720F1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095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114300</xdr:colOff>
      <xdr:row>15</xdr:row>
      <xdr:rowOff>180975</xdr:rowOff>
    </xdr:from>
    <xdr:to>
      <xdr:col>15</xdr:col>
      <xdr:colOff>247650</xdr:colOff>
      <xdr:row>16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7F2302-9DE7-4F55-9EF0-AFD615F9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30384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9526</xdr:colOff>
      <xdr:row>21</xdr:row>
      <xdr:rowOff>123825</xdr:rowOff>
    </xdr:from>
    <xdr:to>
      <xdr:col>13</xdr:col>
      <xdr:colOff>323851</xdr:colOff>
      <xdr:row>23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68A1F8C-F71D-47C5-BF7F-04CC2A884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86326" y="4124325"/>
          <a:ext cx="3219450" cy="333375"/>
        </a:xfrm>
        <a:prstGeom prst="rect">
          <a:avLst/>
        </a:prstGeom>
      </xdr:spPr>
    </xdr:pic>
    <xdr:clientData/>
  </xdr:twoCellAnchor>
  <xdr:twoCellAnchor>
    <xdr:from>
      <xdr:col>19</xdr:col>
      <xdr:colOff>257175</xdr:colOff>
      <xdr:row>9</xdr:row>
      <xdr:rowOff>180975</xdr:rowOff>
    </xdr:from>
    <xdr:to>
      <xdr:col>19</xdr:col>
      <xdr:colOff>523875</xdr:colOff>
      <xdr:row>11</xdr:row>
      <xdr:rowOff>47625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0CA55C-0436-4B27-AF13-92551A946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189547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38100</xdr:rowOff>
    </xdr:from>
    <xdr:to>
      <xdr:col>8</xdr:col>
      <xdr:colOff>257175</xdr:colOff>
      <xdr:row>27</xdr:row>
      <xdr:rowOff>18457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38C1C3-6440-4302-8203-A8AB590FC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19100"/>
          <a:ext cx="5038725" cy="4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27</xdr:row>
      <xdr:rowOff>133349</xdr:rowOff>
    </xdr:from>
    <xdr:to>
      <xdr:col>8</xdr:col>
      <xdr:colOff>238125</xdr:colOff>
      <xdr:row>35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0340DC-5B13-4264-BF81-F094E2B7C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5276849"/>
          <a:ext cx="5105400" cy="1543051"/>
        </a:xfrm>
        <a:prstGeom prst="rect">
          <a:avLst/>
        </a:prstGeom>
      </xdr:spPr>
    </xdr:pic>
    <xdr:clientData/>
  </xdr:twoCellAnchor>
  <xdr:oneCellAnchor>
    <xdr:from>
      <xdr:col>10</xdr:col>
      <xdr:colOff>352425</xdr:colOff>
      <xdr:row>3</xdr:row>
      <xdr:rowOff>104775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225032D-6CC3-4D8A-A7B1-8A9E90C7715A}"/>
            </a:ext>
          </a:extLst>
        </xdr:cNvPr>
        <xdr:cNvSpPr txBox="1"/>
      </xdr:nvSpPr>
      <xdr:spPr>
        <a:xfrm>
          <a:off x="6448425" y="676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10</xdr:col>
      <xdr:colOff>47625</xdr:colOff>
      <xdr:row>6</xdr:row>
      <xdr:rowOff>95250</xdr:rowOff>
    </xdr:from>
    <xdr:to>
      <xdr:col>15</xdr:col>
      <xdr:colOff>190500</xdr:colOff>
      <xdr:row>8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52CC5B-C50C-481E-8EED-5AED5F1E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1238250"/>
          <a:ext cx="343852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</xdr:row>
      <xdr:rowOff>104775</xdr:rowOff>
    </xdr:from>
    <xdr:to>
      <xdr:col>13</xdr:col>
      <xdr:colOff>180975</xdr:colOff>
      <xdr:row>14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163726-027F-4646-BF6F-3F907ED1B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0" y="2390775"/>
          <a:ext cx="2228850" cy="314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38100</xdr:rowOff>
    </xdr:from>
    <xdr:to>
      <xdr:col>4</xdr:col>
      <xdr:colOff>209274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83401-8705-4789-8C37-ED89882F9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228600"/>
          <a:ext cx="2209524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9</xdr:col>
      <xdr:colOff>342900</xdr:colOff>
      <xdr:row>5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6B8B79-8F34-4894-8C4B-E517D5E6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4825" y="571501"/>
          <a:ext cx="2362200" cy="5524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123826</xdr:rowOff>
    </xdr:from>
    <xdr:to>
      <xdr:col>18</xdr:col>
      <xdr:colOff>600075</xdr:colOff>
      <xdr:row>15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2862EB-4789-4EC1-B671-C70F2FD5A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4425" y="2219326"/>
          <a:ext cx="1819275" cy="4381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18</xdr:col>
      <xdr:colOff>361950</xdr:colOff>
      <xdr:row>18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DBEE7E-D00A-4733-82F6-29A24475E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7525" y="2667000"/>
          <a:ext cx="1581150" cy="4381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47625</xdr:rowOff>
    </xdr:from>
    <xdr:to>
      <xdr:col>18</xdr:col>
      <xdr:colOff>695325</xdr:colOff>
      <xdr:row>21</xdr:row>
      <xdr:rowOff>38101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2255D5-A0A4-4E70-BD21-C2F174726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7525" y="3095625"/>
          <a:ext cx="1914525" cy="561976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21</xdr:row>
      <xdr:rowOff>0</xdr:rowOff>
    </xdr:from>
    <xdr:to>
      <xdr:col>18</xdr:col>
      <xdr:colOff>523875</xdr:colOff>
      <xdr:row>22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0EBF9A-DF2D-4E1F-AFA3-A4CBA035B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1825" y="3619500"/>
          <a:ext cx="1628775" cy="3619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23</xdr:row>
      <xdr:rowOff>0</xdr:rowOff>
    </xdr:from>
    <xdr:to>
      <xdr:col>20</xdr:col>
      <xdr:colOff>28575</xdr:colOff>
      <xdr:row>24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7C76C4-E0B8-45BC-A8DD-B49EA75F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57525" y="4000500"/>
          <a:ext cx="2657475" cy="371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17</xdr:col>
      <xdr:colOff>514350</xdr:colOff>
      <xdr:row>27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B29AFE-41A7-4AE4-BA53-F2B194426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7525" y="4381500"/>
          <a:ext cx="1123950" cy="390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27</xdr:row>
      <xdr:rowOff>0</xdr:rowOff>
    </xdr:from>
    <xdr:to>
      <xdr:col>19</xdr:col>
      <xdr:colOff>409575</xdr:colOff>
      <xdr:row>29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BE27BB-7F07-4EC4-8B9D-C1A96F3E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7525" y="4762500"/>
          <a:ext cx="2428875" cy="49530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30</xdr:row>
      <xdr:rowOff>0</xdr:rowOff>
    </xdr:from>
    <xdr:to>
      <xdr:col>20</xdr:col>
      <xdr:colOff>361950</xdr:colOff>
      <xdr:row>31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656E99-E018-4FAF-8A95-9CCB2F4E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72475" y="5715000"/>
          <a:ext cx="2971800" cy="371475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32</xdr:row>
      <xdr:rowOff>133350</xdr:rowOff>
    </xdr:from>
    <xdr:to>
      <xdr:col>18</xdr:col>
      <xdr:colOff>714375</xdr:colOff>
      <xdr:row>35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8D6B59F-B58C-4E89-B7ED-C02B3D3C5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" y="5848350"/>
          <a:ext cx="1771650" cy="485775"/>
        </a:xfrm>
        <a:prstGeom prst="rect">
          <a:avLst/>
        </a:prstGeom>
      </xdr:spPr>
    </xdr:pic>
    <xdr:clientData/>
  </xdr:twoCellAnchor>
  <xdr:twoCellAnchor editAs="oneCell">
    <xdr:from>
      <xdr:col>15</xdr:col>
      <xdr:colOff>609599</xdr:colOff>
      <xdr:row>36</xdr:row>
      <xdr:rowOff>0</xdr:rowOff>
    </xdr:from>
    <xdr:to>
      <xdr:col>18</xdr:col>
      <xdr:colOff>561974</xdr:colOff>
      <xdr:row>38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2420D1-0D73-4D21-819A-657982A1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57524" y="6477000"/>
          <a:ext cx="1971675" cy="40005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40</xdr:row>
      <xdr:rowOff>180975</xdr:rowOff>
    </xdr:from>
    <xdr:to>
      <xdr:col>24</xdr:col>
      <xdr:colOff>323850</xdr:colOff>
      <xdr:row>43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541E02E-519B-4A34-95ED-9065578CA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287125" y="7858125"/>
          <a:ext cx="3448050" cy="3905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38100</xdr:rowOff>
    </xdr:from>
    <xdr:to>
      <xdr:col>4</xdr:col>
      <xdr:colOff>209274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CEFFC5-EA35-4EBA-875B-D1E3A3605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228600"/>
          <a:ext cx="2209524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9</xdr:col>
      <xdr:colOff>342900</xdr:colOff>
      <xdr:row>5</xdr:row>
      <xdr:rowOff>171451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511FDD-F6D7-4C5A-9857-02378DF5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71501"/>
          <a:ext cx="2362200" cy="552450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11</xdr:row>
      <xdr:rowOff>76201</xdr:rowOff>
    </xdr:from>
    <xdr:to>
      <xdr:col>6</xdr:col>
      <xdr:colOff>504825</xdr:colOff>
      <xdr:row>13</xdr:row>
      <xdr:rowOff>133351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22EADF-5750-4C40-AF42-6A9D4AF6D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0" y="2171701"/>
          <a:ext cx="1819275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6</xdr:col>
      <xdr:colOff>323850</xdr:colOff>
      <xdr:row>16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B951B-F83C-4CE0-95C1-24D53D4B4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2667000"/>
          <a:ext cx="1581150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47625</xdr:rowOff>
    </xdr:from>
    <xdr:to>
      <xdr:col>7</xdr:col>
      <xdr:colOff>47625</xdr:colOff>
      <xdr:row>19</xdr:row>
      <xdr:rowOff>38101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7EE506-50DC-420A-B503-AB0ACFCB9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3095625"/>
          <a:ext cx="1914525" cy="56197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19</xdr:row>
      <xdr:rowOff>0</xdr:rowOff>
    </xdr:from>
    <xdr:to>
      <xdr:col>6</xdr:col>
      <xdr:colOff>485775</xdr:colOff>
      <xdr:row>20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C1BA33-5145-4618-8070-D10EA0E16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2700" y="3619500"/>
          <a:ext cx="1628775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790575</xdr:colOff>
      <xdr:row>22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0B3949-27B4-49D6-86A1-E2063ADC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8400" y="4000500"/>
          <a:ext cx="2657475" cy="3714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628650</xdr:colOff>
      <xdr:row>25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1B31C38-DDE7-439A-B730-2D919EC73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0" y="4381500"/>
          <a:ext cx="1123950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7</xdr:col>
      <xdr:colOff>561975</xdr:colOff>
      <xdr:row>27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487DA67-11BC-425D-8C48-9D4C27461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8400" y="4762500"/>
          <a:ext cx="2428875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8</xdr:col>
      <xdr:colOff>304800</xdr:colOff>
      <xdr:row>29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E253FF5-0DA5-4FE1-8163-7C4D07EDD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28900" y="5334000"/>
          <a:ext cx="2971800" cy="371475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30</xdr:row>
      <xdr:rowOff>133350</xdr:rowOff>
    </xdr:from>
    <xdr:to>
      <xdr:col>7</xdr:col>
      <xdr:colOff>66675</xdr:colOff>
      <xdr:row>33</xdr:row>
      <xdr:rowOff>47625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7901749-7305-4DE8-9228-DF0D1A897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81325" y="5848350"/>
          <a:ext cx="1771650" cy="485775"/>
        </a:xfrm>
        <a:prstGeom prst="rect">
          <a:avLst/>
        </a:prstGeom>
      </xdr:spPr>
    </xdr:pic>
    <xdr:clientData/>
  </xdr:twoCellAnchor>
  <xdr:twoCellAnchor editAs="oneCell">
    <xdr:from>
      <xdr:col>3</xdr:col>
      <xdr:colOff>609599</xdr:colOff>
      <xdr:row>34</xdr:row>
      <xdr:rowOff>0</xdr:rowOff>
    </xdr:from>
    <xdr:to>
      <xdr:col>7</xdr:col>
      <xdr:colOff>104774</xdr:colOff>
      <xdr:row>36</xdr:row>
      <xdr:rowOff>19050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E61AB86-74A8-4F51-A934-60FFB2113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19399" y="6477000"/>
          <a:ext cx="1971675" cy="40005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40</xdr:row>
      <xdr:rowOff>180975</xdr:rowOff>
    </xdr:from>
    <xdr:to>
      <xdr:col>21</xdr:col>
      <xdr:colOff>323850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B87ED-E310-46D7-8B0B-F3869B80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87100" y="7858125"/>
          <a:ext cx="3448050" cy="3905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19050</xdr:rowOff>
    </xdr:from>
    <xdr:to>
      <xdr:col>9</xdr:col>
      <xdr:colOff>581025</xdr:colOff>
      <xdr:row>3</xdr:row>
      <xdr:rowOff>181207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B7EF5-F4DD-4967-A8BD-226273D7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09550"/>
          <a:ext cx="2019300" cy="543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190499</xdr:rowOff>
    </xdr:from>
    <xdr:to>
      <xdr:col>5</xdr:col>
      <xdr:colOff>290629</xdr:colOff>
      <xdr:row>2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C6C32A-AFCE-4C6C-BF61-3C579494B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499"/>
          <a:ext cx="2119429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3</xdr:row>
      <xdr:rowOff>76200</xdr:rowOff>
    </xdr:from>
    <xdr:to>
      <xdr:col>3</xdr:col>
      <xdr:colOff>618856</xdr:colOff>
      <xdr:row>4</xdr:row>
      <xdr:rowOff>161890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955B4B-5773-4670-8F12-FEB69A9F3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647700"/>
          <a:ext cx="2152381" cy="2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38100</xdr:rowOff>
    </xdr:from>
    <xdr:to>
      <xdr:col>4</xdr:col>
      <xdr:colOff>209274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291401-17C3-4A7A-BDF4-6187FE27A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228600"/>
          <a:ext cx="2209524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9</xdr:col>
      <xdr:colOff>342900</xdr:colOff>
      <xdr:row>5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4815B6-653F-4BB4-B36A-E9A49522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571501"/>
          <a:ext cx="2362200" cy="552450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11</xdr:row>
      <xdr:rowOff>76201</xdr:rowOff>
    </xdr:from>
    <xdr:to>
      <xdr:col>6</xdr:col>
      <xdr:colOff>542925</xdr:colOff>
      <xdr:row>13</xdr:row>
      <xdr:rowOff>133351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0E5CF5-E5A4-4AA1-B70F-BB52CFA3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2171701"/>
          <a:ext cx="1819275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6</xdr:col>
      <xdr:colOff>361950</xdr:colOff>
      <xdr:row>16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5D8984-E79C-4C1A-B727-D418D58A4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7525" y="2667000"/>
          <a:ext cx="1581150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47625</xdr:rowOff>
    </xdr:from>
    <xdr:to>
      <xdr:col>7</xdr:col>
      <xdr:colOff>85725</xdr:colOff>
      <xdr:row>19</xdr:row>
      <xdr:rowOff>38101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FEA351-8DD3-4580-812B-3D3F5744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7525" y="3095625"/>
          <a:ext cx="1914525" cy="56197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19</xdr:row>
      <xdr:rowOff>0</xdr:rowOff>
    </xdr:from>
    <xdr:to>
      <xdr:col>6</xdr:col>
      <xdr:colOff>523875</xdr:colOff>
      <xdr:row>20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C290E5-DE71-47E3-8990-70B62AB0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1825" y="3619500"/>
          <a:ext cx="1628775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8</xdr:col>
      <xdr:colOff>28575</xdr:colOff>
      <xdr:row>22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6DE041-0277-4AA7-856C-220B80FD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57525" y="4000500"/>
          <a:ext cx="2657475" cy="3714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514350</xdr:colOff>
      <xdr:row>25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48661B-DD4D-422E-875D-F7CAF7FC6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7525" y="4381500"/>
          <a:ext cx="1123950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7</xdr:col>
      <xdr:colOff>600075</xdr:colOff>
      <xdr:row>27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41F87F-C765-4280-889C-0FD302C59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7525" y="4762500"/>
          <a:ext cx="2428875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8</xdr:col>
      <xdr:colOff>342900</xdr:colOff>
      <xdr:row>29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DFD2C6-090C-4929-AB47-39BDED140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7525" y="5334000"/>
          <a:ext cx="2971800" cy="371475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30</xdr:row>
      <xdr:rowOff>133350</xdr:rowOff>
    </xdr:from>
    <xdr:to>
      <xdr:col>7</xdr:col>
      <xdr:colOff>104775</xdr:colOff>
      <xdr:row>33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77B525-52C5-4F5F-A34A-4CC01AC52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" y="5848350"/>
          <a:ext cx="1771650" cy="485775"/>
        </a:xfrm>
        <a:prstGeom prst="rect">
          <a:avLst/>
        </a:prstGeom>
      </xdr:spPr>
    </xdr:pic>
    <xdr:clientData/>
  </xdr:twoCellAnchor>
  <xdr:twoCellAnchor editAs="oneCell">
    <xdr:from>
      <xdr:col>3</xdr:col>
      <xdr:colOff>609599</xdr:colOff>
      <xdr:row>34</xdr:row>
      <xdr:rowOff>0</xdr:rowOff>
    </xdr:from>
    <xdr:to>
      <xdr:col>7</xdr:col>
      <xdr:colOff>142874</xdr:colOff>
      <xdr:row>36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3BAC25-AA39-43AA-B29C-45BD1B1D6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57524" y="6477000"/>
          <a:ext cx="1971675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37</v>
      </c>
    </row>
    <row r="8" spans="1:1" x14ac:dyDescent="0.25">
      <c r="A8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A29" workbookViewId="0">
      <selection activeCell="J40" sqref="J40"/>
    </sheetView>
  </sheetViews>
  <sheetFormatPr defaultRowHeight="15" x14ac:dyDescent="0.25"/>
  <cols>
    <col min="1" max="1" width="12.7109375" customWidth="1"/>
    <col min="2" max="3" width="12" bestFit="1" customWidth="1"/>
    <col min="5" max="5" width="7.42578125" customWidth="1"/>
    <col min="6" max="6" width="11.42578125" customWidth="1"/>
    <col min="8" max="8" width="12" bestFit="1" customWidth="1"/>
    <col min="11" max="11" width="12" bestFit="1" customWidth="1"/>
    <col min="15" max="16" width="12" bestFit="1" customWidth="1"/>
    <col min="19" max="19" width="12" bestFit="1" customWidth="1"/>
    <col min="23" max="23" width="12" bestFit="1" customWidth="1"/>
    <col min="28" max="28" width="12" bestFit="1" customWidth="1"/>
  </cols>
  <sheetData>
    <row r="1" spans="1:30" x14ac:dyDescent="0.25">
      <c r="O1" t="s">
        <v>76</v>
      </c>
      <c r="P1">
        <f>0.8/1000</f>
        <v>8.0000000000000004E-4</v>
      </c>
      <c r="Q1" t="s">
        <v>252</v>
      </c>
    </row>
    <row r="2" spans="1:30" x14ac:dyDescent="0.25">
      <c r="O2" t="s">
        <v>253</v>
      </c>
      <c r="P2">
        <f>'Mol avg'!L15</f>
        <v>1.6579353889786302E-2</v>
      </c>
      <c r="Q2" t="s">
        <v>185</v>
      </c>
    </row>
    <row r="3" spans="1:30" x14ac:dyDescent="0.25">
      <c r="H3" t="s">
        <v>97</v>
      </c>
    </row>
    <row r="6" spans="1:30" x14ac:dyDescent="0.25">
      <c r="A6" t="s">
        <v>95</v>
      </c>
      <c r="B6">
        <f>773</f>
        <v>773</v>
      </c>
      <c r="C6" t="s">
        <v>98</v>
      </c>
    </row>
    <row r="7" spans="1:30" x14ac:dyDescent="0.25">
      <c r="A7" t="s">
        <v>76</v>
      </c>
      <c r="B7">
        <f>0.8/10</f>
        <v>0.08</v>
      </c>
      <c r="C7" t="s">
        <v>111</v>
      </c>
      <c r="D7">
        <f>0.08/1000</f>
        <v>8.0000000000000007E-5</v>
      </c>
      <c r="E7" t="s">
        <v>75</v>
      </c>
      <c r="G7" t="s">
        <v>113</v>
      </c>
      <c r="H7">
        <f>(D7/3)</f>
        <v>2.666666666666667E-5</v>
      </c>
      <c r="M7">
        <f>48.5*(B7/1000)*((B6/B8)^2)</f>
        <v>3.3671545606223976</v>
      </c>
      <c r="R7">
        <f>(2.5*12)+7+(2*16)</f>
        <v>69</v>
      </c>
    </row>
    <row r="8" spans="1:30" x14ac:dyDescent="0.25">
      <c r="A8" t="s">
        <v>99</v>
      </c>
      <c r="B8">
        <f>'Mol avg'!E6</f>
        <v>26.240000000000002</v>
      </c>
      <c r="C8" t="s">
        <v>112</v>
      </c>
      <c r="D8">
        <f>B8/1000</f>
        <v>2.6240000000000003E-2</v>
      </c>
      <c r="G8" t="s">
        <v>114</v>
      </c>
      <c r="H8">
        <f>8*8.314*500</f>
        <v>33256</v>
      </c>
      <c r="J8" t="s">
        <v>107</v>
      </c>
      <c r="K8">
        <f>0.23</f>
        <v>0.23</v>
      </c>
    </row>
    <row r="9" spans="1:30" x14ac:dyDescent="0.25">
      <c r="A9" t="s">
        <v>153</v>
      </c>
      <c r="B9">
        <f>B6/B8</f>
        <v>29.458841463414632</v>
      </c>
      <c r="C9">
        <f>SQRT(B9)</f>
        <v>5.4275999726780375</v>
      </c>
      <c r="D9">
        <f>B6/D8</f>
        <v>29458.841463414632</v>
      </c>
      <c r="E9">
        <f>SQRT(D9)</f>
        <v>171.63578141930265</v>
      </c>
      <c r="G9" t="s">
        <v>115</v>
      </c>
      <c r="H9">
        <f>3.142*(B8)</f>
        <v>82.446080000000009</v>
      </c>
      <c r="J9" t="s">
        <v>146</v>
      </c>
      <c r="K9">
        <v>0.1</v>
      </c>
      <c r="L9" s="6">
        <f>(0.1/(0.1+0.61))*1</f>
        <v>0.14084507042253522</v>
      </c>
      <c r="M9">
        <f>(0.1/(0.1+0.06))*1</f>
        <v>0.625</v>
      </c>
    </row>
    <row r="10" spans="1:30" x14ac:dyDescent="0.25">
      <c r="A10" s="5" t="s">
        <v>110</v>
      </c>
      <c r="B10" s="5">
        <f>4850*B7*C9</f>
        <v>2105.9087893990786</v>
      </c>
      <c r="C10">
        <f>4850*B7*E9</f>
        <v>66594.683190689422</v>
      </c>
      <c r="G10" t="s">
        <v>116</v>
      </c>
      <c r="H10">
        <f>SQRT(H8/H9)</f>
        <v>20.083990165653269</v>
      </c>
      <c r="J10" t="s">
        <v>106</v>
      </c>
      <c r="K10">
        <v>0.61</v>
      </c>
      <c r="L10" s="6">
        <f>(0.61/(0.1+0.61))*1</f>
        <v>0.85915492957746487</v>
      </c>
    </row>
    <row r="11" spans="1:30" x14ac:dyDescent="0.25">
      <c r="G11" t="s">
        <v>110</v>
      </c>
      <c r="H11">
        <f>H7*H10</f>
        <v>5.355730710840872E-4</v>
      </c>
      <c r="J11" t="s">
        <v>105</v>
      </c>
      <c r="K11">
        <v>0.06</v>
      </c>
      <c r="M11">
        <f>(0.06/(0.1+0.06))*1</f>
        <v>0.375</v>
      </c>
    </row>
    <row r="13" spans="1:30" x14ac:dyDescent="0.25">
      <c r="A13" t="s">
        <v>117</v>
      </c>
      <c r="J13" s="7" t="s">
        <v>129</v>
      </c>
      <c r="K13" s="7"/>
      <c r="L13" s="7"/>
      <c r="N13" s="5" t="s">
        <v>240</v>
      </c>
      <c r="O13" s="5"/>
      <c r="P13" s="5"/>
      <c r="R13" s="7" t="s">
        <v>243</v>
      </c>
      <c r="S13" s="7"/>
      <c r="T13" s="7"/>
      <c r="V13" s="5" t="s">
        <v>245</v>
      </c>
      <c r="W13" s="5"/>
      <c r="X13" s="5"/>
      <c r="Y13" s="10"/>
      <c r="AA13" s="7" t="s">
        <v>249</v>
      </c>
      <c r="AB13" s="7"/>
      <c r="AC13" s="7"/>
      <c r="AD13" s="7"/>
    </row>
    <row r="14" spans="1:30" x14ac:dyDescent="0.25">
      <c r="A14" t="s">
        <v>118</v>
      </c>
      <c r="J14" s="7" t="s">
        <v>118</v>
      </c>
      <c r="K14" s="7"/>
      <c r="L14" s="7"/>
      <c r="N14" s="5" t="s">
        <v>118</v>
      </c>
      <c r="O14" s="5"/>
      <c r="P14" s="5"/>
      <c r="R14" s="7" t="s">
        <v>118</v>
      </c>
      <c r="S14" s="7"/>
      <c r="T14" s="7"/>
      <c r="V14" s="5" t="s">
        <v>118</v>
      </c>
      <c r="W14" s="5"/>
      <c r="X14" s="5"/>
      <c r="Y14" s="10"/>
      <c r="AA14" s="7" t="s">
        <v>118</v>
      </c>
      <c r="AB14" s="7"/>
      <c r="AC14" s="7"/>
      <c r="AD14" s="7"/>
    </row>
    <row r="16" spans="1:30" x14ac:dyDescent="0.25">
      <c r="A16" t="s">
        <v>119</v>
      </c>
      <c r="B16">
        <f>(32+69)/(32*69)</f>
        <v>4.5742753623188408E-2</v>
      </c>
      <c r="C16" t="s">
        <v>112</v>
      </c>
      <c r="J16" t="s">
        <v>119</v>
      </c>
      <c r="K16">
        <f>(32+18)/(32*18)</f>
        <v>8.6805555555555552E-2</v>
      </c>
      <c r="L16" t="s">
        <v>112</v>
      </c>
      <c r="N16" t="s">
        <v>119</v>
      </c>
      <c r="O16">
        <f>(2+18)/(2*18)</f>
        <v>0.55555555555555558</v>
      </c>
      <c r="P16" t="s">
        <v>112</v>
      </c>
      <c r="R16" t="s">
        <v>119</v>
      </c>
      <c r="S16">
        <f>(44+18)/(44*18)</f>
        <v>7.8282828282828287E-2</v>
      </c>
      <c r="T16" t="s">
        <v>112</v>
      </c>
      <c r="V16" t="s">
        <v>119</v>
      </c>
      <c r="W16">
        <f>(69+18)/(69*18)</f>
        <v>7.0048309178743967E-2</v>
      </c>
      <c r="X16" t="s">
        <v>112</v>
      </c>
      <c r="AA16" t="s">
        <v>119</v>
      </c>
      <c r="AB16">
        <f>(16+18)/(16*18)</f>
        <v>0.11805555555555555</v>
      </c>
      <c r="AC16" t="s">
        <v>112</v>
      </c>
    </row>
    <row r="17" spans="1:29" x14ac:dyDescent="0.25">
      <c r="A17" t="s">
        <v>120</v>
      </c>
      <c r="B17">
        <f>(500)^1.5</f>
        <v>11180.339887498953</v>
      </c>
      <c r="C17" t="s">
        <v>98</v>
      </c>
      <c r="J17" t="s">
        <v>120</v>
      </c>
      <c r="K17">
        <f>(500)^1.5</f>
        <v>11180.339887498953</v>
      </c>
      <c r="L17" t="s">
        <v>98</v>
      </c>
      <c r="N17" t="s">
        <v>120</v>
      </c>
      <c r="O17">
        <f>(500)^1.5</f>
        <v>11180.339887498953</v>
      </c>
      <c r="P17" t="s">
        <v>98</v>
      </c>
      <c r="R17" t="s">
        <v>120</v>
      </c>
      <c r="S17">
        <f>(500)^1.5</f>
        <v>11180.339887498953</v>
      </c>
      <c r="T17" t="s">
        <v>98</v>
      </c>
      <c r="V17" t="s">
        <v>120</v>
      </c>
      <c r="W17">
        <f>(500)^1.5</f>
        <v>11180.339887498953</v>
      </c>
      <c r="X17" t="s">
        <v>98</v>
      </c>
      <c r="AA17" t="s">
        <v>120</v>
      </c>
      <c r="AB17">
        <f>(500)^1.5</f>
        <v>11180.339887498953</v>
      </c>
      <c r="AC17" t="s">
        <v>98</v>
      </c>
    </row>
    <row r="18" spans="1:29" x14ac:dyDescent="0.25">
      <c r="A18" t="s">
        <v>121</v>
      </c>
      <c r="B18">
        <f>1</f>
        <v>1</v>
      </c>
      <c r="C18" t="s">
        <v>122</v>
      </c>
      <c r="J18" t="s">
        <v>121</v>
      </c>
      <c r="K18">
        <f>1</f>
        <v>1</v>
      </c>
      <c r="L18" t="s">
        <v>122</v>
      </c>
      <c r="N18" t="s">
        <v>121</v>
      </c>
      <c r="O18">
        <f>1</f>
        <v>1</v>
      </c>
      <c r="P18" t="s">
        <v>122</v>
      </c>
      <c r="R18" t="s">
        <v>121</v>
      </c>
      <c r="S18">
        <f>1</f>
        <v>1</v>
      </c>
      <c r="T18" t="s">
        <v>122</v>
      </c>
      <c r="V18" t="s">
        <v>121</v>
      </c>
      <c r="W18">
        <f>1</f>
        <v>1</v>
      </c>
      <c r="X18" t="s">
        <v>122</v>
      </c>
      <c r="AA18" t="s">
        <v>121</v>
      </c>
      <c r="AB18">
        <f>1</f>
        <v>1</v>
      </c>
      <c r="AC18" t="s">
        <v>122</v>
      </c>
    </row>
    <row r="19" spans="1:29" x14ac:dyDescent="0.25">
      <c r="A19" t="s">
        <v>95</v>
      </c>
      <c r="B19">
        <f>773</f>
        <v>773</v>
      </c>
      <c r="C19" t="s">
        <v>98</v>
      </c>
    </row>
    <row r="20" spans="1:29" x14ac:dyDescent="0.25">
      <c r="A20" t="s">
        <v>123</v>
      </c>
      <c r="B20">
        <f>(((82.057)*563)/1)</f>
        <v>46198.091</v>
      </c>
      <c r="C20" t="s">
        <v>141</v>
      </c>
      <c r="J20" t="s">
        <v>125</v>
      </c>
      <c r="K20">
        <f>(((82.057)*(B26)/1))</f>
        <v>7385.13</v>
      </c>
      <c r="L20" t="s">
        <v>141</v>
      </c>
      <c r="N20" t="s">
        <v>123</v>
      </c>
      <c r="O20">
        <f>(((82.057)*(O26)/1))</f>
        <v>1649.3456999999996</v>
      </c>
      <c r="P20" t="s">
        <v>141</v>
      </c>
      <c r="R20" t="s">
        <v>123</v>
      </c>
      <c r="S20">
        <f>(((82.057)*(S26)/1))</f>
        <v>15960.086500000001</v>
      </c>
      <c r="T20" t="s">
        <v>141</v>
      </c>
      <c r="V20" t="s">
        <v>123</v>
      </c>
      <c r="W20">
        <f>(((82.057)*(W26)/1))</f>
        <v>9149.3554999999997</v>
      </c>
      <c r="X20" t="s">
        <v>141</v>
      </c>
      <c r="AA20" t="s">
        <v>123</v>
      </c>
      <c r="AB20">
        <f>(((82.057)*(AB26)/1))</f>
        <v>46198.091</v>
      </c>
      <c r="AC20" t="s">
        <v>141</v>
      </c>
    </row>
    <row r="21" spans="1:29" x14ac:dyDescent="0.25">
      <c r="A21" t="s">
        <v>125</v>
      </c>
      <c r="B21">
        <f>(((82.057)*(-183+273)/1))</f>
        <v>7385.13</v>
      </c>
      <c r="C21" t="s">
        <v>124</v>
      </c>
      <c r="J21" t="s">
        <v>123</v>
      </c>
      <c r="K21">
        <f>(((82.057)*(100+273)/1))</f>
        <v>30607.261000000002</v>
      </c>
      <c r="L21" t="s">
        <v>141</v>
      </c>
      <c r="N21" t="s">
        <v>125</v>
      </c>
      <c r="O21">
        <f>(((82.057)*(O25)/1))</f>
        <v>30607.261000000002</v>
      </c>
      <c r="P21" t="s">
        <v>141</v>
      </c>
      <c r="R21" t="s">
        <v>125</v>
      </c>
      <c r="S21">
        <f>(((82.057)*(S25)/1))</f>
        <v>30607.261000000002</v>
      </c>
      <c r="T21" t="s">
        <v>141</v>
      </c>
      <c r="V21" t="s">
        <v>125</v>
      </c>
      <c r="W21">
        <f>(((82.057)*(W25)/1))</f>
        <v>30607.261000000002</v>
      </c>
      <c r="X21" t="s">
        <v>141</v>
      </c>
      <c r="AA21" t="s">
        <v>125</v>
      </c>
      <c r="AB21">
        <f>(((82.057)*(AB25)/1))</f>
        <v>30607.261000000002</v>
      </c>
      <c r="AC21" t="s">
        <v>141</v>
      </c>
    </row>
    <row r="22" spans="1:29" x14ac:dyDescent="0.25">
      <c r="A22" s="3" t="s">
        <v>126</v>
      </c>
      <c r="B22">
        <f>1.18*B20^0.333333</f>
        <v>42.340416818020877</v>
      </c>
      <c r="J22" s="3" t="s">
        <v>126</v>
      </c>
      <c r="K22">
        <f>1.18*K21^0.333333</f>
        <v>36.910959459479464</v>
      </c>
      <c r="N22" t="s">
        <v>126</v>
      </c>
      <c r="O22">
        <f>1.18*O20^0.333333</f>
        <v>13.941778086493395</v>
      </c>
      <c r="R22" t="s">
        <v>126</v>
      </c>
      <c r="S22">
        <f>1.18*S20^0.333333</f>
        <v>29.709295484739517</v>
      </c>
      <c r="V22" t="s">
        <v>126</v>
      </c>
      <c r="W22">
        <f>1.18*W20^0.333333</f>
        <v>24.679945009012599</v>
      </c>
      <c r="AA22" t="s">
        <v>126</v>
      </c>
      <c r="AB22">
        <f>1.18*AB20^0.333333</f>
        <v>42.340416818020877</v>
      </c>
    </row>
    <row r="23" spans="1:29" x14ac:dyDescent="0.25">
      <c r="A23" s="3" t="s">
        <v>127</v>
      </c>
      <c r="B23">
        <f>1.18*B21^0.333333</f>
        <v>22.979122096566876</v>
      </c>
      <c r="J23" s="3" t="s">
        <v>127</v>
      </c>
      <c r="K23">
        <f>1.18*K20^0.333333</f>
        <v>22.979122096566876</v>
      </c>
      <c r="N23" t="s">
        <v>127</v>
      </c>
      <c r="O23">
        <f>1.18*O21^0.333333</f>
        <v>36.910959459479464</v>
      </c>
      <c r="R23" t="s">
        <v>127</v>
      </c>
      <c r="S23">
        <f>1.18*S21^0.333333</f>
        <v>36.910959459479464</v>
      </c>
      <c r="V23" t="s">
        <v>127</v>
      </c>
      <c r="W23">
        <f>1.18*W21^0.333333</f>
        <v>36.910959459479464</v>
      </c>
      <c r="AA23" t="s">
        <v>127</v>
      </c>
      <c r="AB23">
        <f>1.18*AB21^0.333333</f>
        <v>36.910959459479464</v>
      </c>
    </row>
    <row r="24" spans="1:29" x14ac:dyDescent="0.25">
      <c r="A24" s="3" t="s">
        <v>128</v>
      </c>
      <c r="B24">
        <f>(B22+B23)/2</f>
        <v>32.659769457293876</v>
      </c>
      <c r="J24" s="3" t="s">
        <v>128</v>
      </c>
      <c r="K24">
        <f>(K22+K23)/2</f>
        <v>29.94504077802317</v>
      </c>
      <c r="N24" t="s">
        <v>128</v>
      </c>
      <c r="O24">
        <f>(O22+O23)/2</f>
        <v>25.426368772986429</v>
      </c>
      <c r="R24" t="s">
        <v>128</v>
      </c>
      <c r="S24">
        <f>(S22+S23)/2</f>
        <v>33.310127472109492</v>
      </c>
      <c r="V24" t="s">
        <v>128</v>
      </c>
      <c r="W24">
        <f>(W22+W23)/2</f>
        <v>30.795452234246032</v>
      </c>
      <c r="AA24" t="s">
        <v>128</v>
      </c>
      <c r="AB24">
        <f>(AB22+AB23)/2</f>
        <v>39.625688138750171</v>
      </c>
    </row>
    <row r="25" spans="1:29" x14ac:dyDescent="0.25">
      <c r="A25" s="3" t="s">
        <v>130</v>
      </c>
      <c r="B25">
        <f>563</f>
        <v>563</v>
      </c>
      <c r="C25" t="s">
        <v>98</v>
      </c>
      <c r="J25" t="s">
        <v>130</v>
      </c>
      <c r="K25">
        <f>100+273</f>
        <v>373</v>
      </c>
      <c r="N25" t="s">
        <v>241</v>
      </c>
      <c r="O25">
        <f>100+273</f>
        <v>373</v>
      </c>
      <c r="P25" t="s">
        <v>27</v>
      </c>
      <c r="R25" t="s">
        <v>241</v>
      </c>
      <c r="S25">
        <f>100+273</f>
        <v>373</v>
      </c>
      <c r="T25" t="s">
        <v>27</v>
      </c>
      <c r="V25" t="s">
        <v>241</v>
      </c>
      <c r="W25">
        <f>100+273</f>
        <v>373</v>
      </c>
      <c r="X25" t="s">
        <v>27</v>
      </c>
      <c r="AA25" t="s">
        <v>241</v>
      </c>
      <c r="AB25">
        <f>100+273</f>
        <v>373</v>
      </c>
      <c r="AC25" t="s">
        <v>27</v>
      </c>
    </row>
    <row r="26" spans="1:29" x14ac:dyDescent="0.25">
      <c r="A26" s="3" t="s">
        <v>131</v>
      </c>
      <c r="B26">
        <f>-183+273</f>
        <v>90</v>
      </c>
      <c r="C26" t="s">
        <v>98</v>
      </c>
      <c r="J26" t="s">
        <v>131</v>
      </c>
      <c r="K26">
        <v>90</v>
      </c>
      <c r="N26" t="s">
        <v>242</v>
      </c>
      <c r="O26">
        <f>-252.9+273</f>
        <v>20.099999999999994</v>
      </c>
      <c r="P26" t="s">
        <v>17</v>
      </c>
      <c r="R26" t="s">
        <v>242</v>
      </c>
      <c r="S26">
        <f>-78.5+273</f>
        <v>194.5</v>
      </c>
      <c r="T26" t="s">
        <v>244</v>
      </c>
      <c r="V26" t="s">
        <v>242</v>
      </c>
      <c r="W26">
        <f>-161.5+273</f>
        <v>111.5</v>
      </c>
      <c r="X26" t="s">
        <v>16</v>
      </c>
      <c r="AA26" t="s">
        <v>242</v>
      </c>
      <c r="AB26">
        <f>290+273</f>
        <v>563</v>
      </c>
      <c r="AC26" t="s">
        <v>146</v>
      </c>
    </row>
    <row r="27" spans="1:29" x14ac:dyDescent="0.25">
      <c r="A27" s="3" t="s">
        <v>132</v>
      </c>
      <c r="B27">
        <f>2.67</f>
        <v>2.67</v>
      </c>
      <c r="C27" t="s">
        <v>134</v>
      </c>
      <c r="J27" t="s">
        <v>132</v>
      </c>
      <c r="K27">
        <f>1.84</f>
        <v>1.84</v>
      </c>
      <c r="N27" t="s">
        <v>132</v>
      </c>
      <c r="O27">
        <f>0</f>
        <v>0</v>
      </c>
      <c r="R27" t="s">
        <v>132</v>
      </c>
      <c r="S27">
        <f>0</f>
        <v>0</v>
      </c>
      <c r="V27" t="s">
        <v>132</v>
      </c>
      <c r="W27">
        <f>0</f>
        <v>0</v>
      </c>
      <c r="X27" t="s">
        <v>16</v>
      </c>
      <c r="AA27" t="s">
        <v>132</v>
      </c>
      <c r="AB27">
        <f>B27</f>
        <v>2.67</v>
      </c>
    </row>
    <row r="28" spans="1:29" x14ac:dyDescent="0.25">
      <c r="A28" s="3" t="s">
        <v>133</v>
      </c>
      <c r="B28">
        <v>0</v>
      </c>
      <c r="C28" t="s">
        <v>134</v>
      </c>
      <c r="J28" t="s">
        <v>133</v>
      </c>
      <c r="K28">
        <v>0</v>
      </c>
      <c r="N28" t="s">
        <v>133</v>
      </c>
      <c r="O28">
        <f>K27</f>
        <v>1.84</v>
      </c>
      <c r="R28" t="s">
        <v>133</v>
      </c>
      <c r="S28">
        <f>O28</f>
        <v>1.84</v>
      </c>
      <c r="V28" t="s">
        <v>133</v>
      </c>
      <c r="W28">
        <f>S28</f>
        <v>1.84</v>
      </c>
      <c r="X28" t="s">
        <v>106</v>
      </c>
      <c r="Y28" t="s">
        <v>246</v>
      </c>
      <c r="AA28" t="s">
        <v>133</v>
      </c>
      <c r="AB28">
        <f>W28</f>
        <v>1.84</v>
      </c>
    </row>
    <row r="29" spans="1:29" x14ac:dyDescent="0.25">
      <c r="A29" s="3" t="s">
        <v>135</v>
      </c>
      <c r="B29">
        <f>1.94*10^3*(0^2)/(B21*B26)</f>
        <v>0</v>
      </c>
      <c r="J29" t="s">
        <v>135</v>
      </c>
      <c r="K29">
        <v>0</v>
      </c>
      <c r="N29" t="s">
        <v>136</v>
      </c>
      <c r="O29">
        <f>((1.94*10^3)*((O27^2)/(O20*O26)))</f>
        <v>0</v>
      </c>
      <c r="R29" t="s">
        <v>136</v>
      </c>
      <c r="S29">
        <f>((1.94*10^3)*((S27^2)/(S20*S26)))</f>
        <v>0</v>
      </c>
      <c r="V29" t="s">
        <v>136</v>
      </c>
      <c r="W29">
        <f>((1.94*10^3)*((W27^2)/(W20*W26)))</f>
        <v>0</v>
      </c>
      <c r="AA29" t="s">
        <v>136</v>
      </c>
      <c r="AB29">
        <f>((1.94*10^3)*((AB27^2)/(AB20*AB26)))</f>
        <v>5.3173081308123548E-4</v>
      </c>
    </row>
    <row r="30" spans="1:29" x14ac:dyDescent="0.25">
      <c r="A30" s="3" t="s">
        <v>136</v>
      </c>
      <c r="B30">
        <f>((1.94*10^3)*((B27^2)/(B20*B25)))</f>
        <v>5.3173081308123548E-4</v>
      </c>
      <c r="J30" t="s">
        <v>136</v>
      </c>
      <c r="K30">
        <f>((1.94*10^3)*((K27^2)/(K21*K25)))</f>
        <v>5.7531285371276077E-4</v>
      </c>
      <c r="N30" t="s">
        <v>135</v>
      </c>
      <c r="O30">
        <f>((1.94*10^3)*((O28^2)/(O21*O25)))</f>
        <v>5.7531285371276077E-4</v>
      </c>
      <c r="R30" t="s">
        <v>135</v>
      </c>
      <c r="S30">
        <f>((1.94*10^3)*((S28^2)/(S21*S25)))</f>
        <v>5.7531285371276077E-4</v>
      </c>
      <c r="V30" t="s">
        <v>135</v>
      </c>
      <c r="W30">
        <f>((1.94*10^3)*((W28^2)/(W21*W25)))</f>
        <v>5.7531285371276077E-4</v>
      </c>
      <c r="AA30" t="s">
        <v>135</v>
      </c>
      <c r="AB30">
        <f>((1.94*10^3)*((AB28^2)/(AB21*AB25)))</f>
        <v>5.7531285371276077E-4</v>
      </c>
    </row>
    <row r="31" spans="1:29" x14ac:dyDescent="0.25">
      <c r="A31" s="3" t="s">
        <v>138</v>
      </c>
      <c r="B31">
        <f>1.18*(1+1.3*(B29^2))*B26*(1.38*10^-16)</f>
        <v>1.4655599999999995E-14</v>
      </c>
      <c r="J31" s="3" t="s">
        <v>138</v>
      </c>
      <c r="K31">
        <f>1.18*(1+(1.3*(K29^2)))*K26*(1.38*10^-16)</f>
        <v>1.4655599999999995E-14</v>
      </c>
      <c r="N31" t="s">
        <v>138</v>
      </c>
      <c r="O31">
        <f>1.18*(1+(1.3*(O28^2)))*O25*(1.38*10^-16)</f>
        <v>3.2807007432959998E-13</v>
      </c>
      <c r="P31" t="s">
        <v>27</v>
      </c>
      <c r="R31" t="s">
        <v>138</v>
      </c>
      <c r="S31">
        <f>1.18*(1+(1.3*(S28^2)))*S25*(1.38*10^-16)</f>
        <v>3.2807007432959998E-13</v>
      </c>
      <c r="T31" t="s">
        <v>27</v>
      </c>
      <c r="V31" t="s">
        <v>138</v>
      </c>
      <c r="W31">
        <f>1.18*(1+(1.3*(W28^2)))*W25*(1.38*10^-16)</f>
        <v>3.2807007432959998E-13</v>
      </c>
      <c r="X31" t="s">
        <v>27</v>
      </c>
      <c r="AA31" t="s">
        <v>138</v>
      </c>
      <c r="AB31">
        <f>1.18*(1+(1.3*(AB28^2)))*AB25*(1.38*10^-16)</f>
        <v>3.2807007432959998E-13</v>
      </c>
      <c r="AC31" t="s">
        <v>27</v>
      </c>
    </row>
    <row r="32" spans="1:29" x14ac:dyDescent="0.25">
      <c r="A32" s="3" t="s">
        <v>137</v>
      </c>
      <c r="B32">
        <f>1.18*(1+1.3*(B30^2))*B25*(1.38*10^-16)</f>
        <v>9.1678953697407995E-14</v>
      </c>
      <c r="J32" s="3" t="s">
        <v>137</v>
      </c>
      <c r="K32">
        <f>1.18*(1+(1.3*(K30^2)))*K25*(1.38*10^-16)</f>
        <v>6.0739346134935459E-14</v>
      </c>
      <c r="N32" t="s">
        <v>137</v>
      </c>
      <c r="O32">
        <f>1.18*(1+(1.3*(O27^2)))*O26*(1.38*10^-16)</f>
        <v>3.2730839999999984E-15</v>
      </c>
      <c r="P32" t="s">
        <v>17</v>
      </c>
      <c r="R32" t="s">
        <v>137</v>
      </c>
      <c r="S32">
        <f>1.18*(1+(1.3*(S27^2)))*S26*(1.38*10^-16)</f>
        <v>3.1672379999999993E-14</v>
      </c>
      <c r="T32" t="s">
        <v>29</v>
      </c>
      <c r="V32" t="s">
        <v>137</v>
      </c>
      <c r="W32">
        <f>1.18*(1+(1.3*(W27^2)))*W26*(1.38*10^-16)</f>
        <v>1.8156659999999997E-14</v>
      </c>
      <c r="X32" t="s">
        <v>16</v>
      </c>
      <c r="AA32" t="s">
        <v>137</v>
      </c>
      <c r="AB32">
        <f>1.18*(1+(1.3*(AB27^2)))*AB26*(1.38*10^-16)</f>
        <v>9.4131972862439961E-13</v>
      </c>
      <c r="AC32" t="s">
        <v>16</v>
      </c>
    </row>
    <row r="33" spans="1:29" x14ac:dyDescent="0.25">
      <c r="A33" s="3" t="s">
        <v>139</v>
      </c>
      <c r="B33">
        <f>(B32*B31)^0.5</f>
        <v>3.665528711942838E-14</v>
      </c>
      <c r="J33" s="3" t="s">
        <v>139</v>
      </c>
      <c r="K33">
        <f>(K31*K32)^0.5</f>
        <v>2.983574301429679E-14</v>
      </c>
      <c r="N33" t="s">
        <v>139</v>
      </c>
      <c r="O33">
        <f>(O31*O32)^0.5</f>
        <v>3.2768901586214691E-14</v>
      </c>
      <c r="R33" t="s">
        <v>139</v>
      </c>
      <c r="S33">
        <f>(S31*S32)^0.5</f>
        <v>1.019350776759175E-13</v>
      </c>
      <c r="V33" t="s">
        <v>139</v>
      </c>
      <c r="W33">
        <f>(W31*W32)^0.5</f>
        <v>7.7179380638725482E-14</v>
      </c>
      <c r="AA33" t="s">
        <v>139</v>
      </c>
      <c r="AB33">
        <f>(AB31*AB32)^0.5</f>
        <v>5.5571470498604374E-13</v>
      </c>
    </row>
    <row r="34" spans="1:29" x14ac:dyDescent="0.25">
      <c r="A34" s="3" t="s">
        <v>140</v>
      </c>
      <c r="B34">
        <f>((1.38*10^-16)*B19)/(B33)</f>
        <v>2.9101940915764812</v>
      </c>
      <c r="J34" s="3" t="s">
        <v>140</v>
      </c>
      <c r="K34">
        <f>((1.38*10^-16)*B19)/(K33)</f>
        <v>3.5753760162394337</v>
      </c>
      <c r="N34" t="s">
        <v>140</v>
      </c>
      <c r="O34">
        <f>((1.38*10^-16)*$B19)/(O33)</f>
        <v>3.2553425606696527</v>
      </c>
      <c r="R34" t="s">
        <v>140</v>
      </c>
      <c r="S34">
        <f>((1.38*10^-16)*$B19)/(S33)</f>
        <v>1.0464896131158006</v>
      </c>
      <c r="V34" t="s">
        <v>140</v>
      </c>
      <c r="W34">
        <f>((1.38*10^-16)*$B19)/(W33)</f>
        <v>1.3821567252442459</v>
      </c>
      <c r="AA34" t="s">
        <v>140</v>
      </c>
      <c r="AB34">
        <f>((1.38*10^-16)*$B19)/(AB33)</f>
        <v>0.19195820992838222</v>
      </c>
    </row>
    <row r="35" spans="1:29" x14ac:dyDescent="0.25">
      <c r="A35" s="3" t="s">
        <v>142</v>
      </c>
      <c r="B35">
        <f>(44.54*(B34^-4.909)+1.911*(B34^-1.575))^0.1</f>
        <v>0.94867642159597465</v>
      </c>
      <c r="J35" s="3" t="s">
        <v>142</v>
      </c>
      <c r="K35">
        <f>(44.54*(K34^-4.909)+1.911*(K34^-1.575))^0.1</f>
        <v>0.89839572272847501</v>
      </c>
      <c r="N35" t="s">
        <v>142</v>
      </c>
      <c r="O35">
        <f>(44.54*(O34^-4.909)+1.911*(O34^-1.575))^0.1</f>
        <v>0.91980004749667144</v>
      </c>
      <c r="R35" t="s">
        <v>142</v>
      </c>
      <c r="S35">
        <f>(44.54*(S34^-4.909)+1.911*(S34^-1.575))^0.1</f>
        <v>1.4364910405716822</v>
      </c>
      <c r="V35" t="s">
        <v>142</v>
      </c>
      <c r="W35">
        <f>(44.54*(W34^-4.909)+1.911*(W34^-1.575))^0.1</f>
        <v>1.2619372903658352</v>
      </c>
      <c r="AA35" t="s">
        <v>142</v>
      </c>
      <c r="AB35">
        <f>(44.54*(AB34^-4.909)+1.911*(AB34^-1.575))^0.1</f>
        <v>3.2866726469267911</v>
      </c>
    </row>
    <row r="36" spans="1:29" x14ac:dyDescent="0.25">
      <c r="A36" s="3" t="s">
        <v>143</v>
      </c>
      <c r="B36">
        <f>(0.001858*(B19^1.5)*(B16^0.5))/(1*(B24^2)*B35)</f>
        <v>8.4397924491752228E-3</v>
      </c>
      <c r="C36" t="s">
        <v>144</v>
      </c>
      <c r="J36" s="8" t="s">
        <v>143</v>
      </c>
      <c r="K36" s="7">
        <f>(0.001858*(B19^1.5)*(K16^0.5))/(1*(K24^2)*K35)</f>
        <v>1.4603979604705166E-2</v>
      </c>
      <c r="L36" s="7" t="s">
        <v>144</v>
      </c>
      <c r="N36" s="5" t="s">
        <v>143</v>
      </c>
      <c r="O36" s="5">
        <f>(0.001858*(B19^1.5)*(O16^0.5))/(1*(O24^2)*O35)</f>
        <v>5.0051441205644857E-2</v>
      </c>
      <c r="P36" s="5" t="s">
        <v>144</v>
      </c>
      <c r="R36" s="7" t="s">
        <v>143</v>
      </c>
      <c r="S36" s="7">
        <f>(0.001858*(B19^1.5)*(S16^0.5))/(S18*(S24^2)*S35)</f>
        <v>7.009591247095077E-3</v>
      </c>
      <c r="T36" s="7" t="s">
        <v>144</v>
      </c>
      <c r="V36" s="5" t="s">
        <v>143</v>
      </c>
      <c r="W36" s="5">
        <f>(0.001858*(B19^1.5)*(W16^0.5))/(W18*(W24^2)*W35)</f>
        <v>8.8308566031096835E-3</v>
      </c>
      <c r="X36" s="5" t="s">
        <v>144</v>
      </c>
      <c r="AA36" s="7" t="s">
        <v>143</v>
      </c>
      <c r="AB36" s="7">
        <f>(0.001858*(B19^1.5)*(AB16^0.5))/(AB18*(AB24^2)*AB35)</f>
        <v>2.6585698806691313E-3</v>
      </c>
      <c r="AC36" s="7" t="s">
        <v>144</v>
      </c>
    </row>
    <row r="37" spans="1:29" x14ac:dyDescent="0.25">
      <c r="A37" s="3" t="s">
        <v>143</v>
      </c>
      <c r="B37">
        <f>B36/(10^4)</f>
        <v>8.4397924491752226E-7</v>
      </c>
      <c r="C37" t="s">
        <v>145</v>
      </c>
      <c r="J37" s="8" t="s">
        <v>143</v>
      </c>
      <c r="K37" s="7">
        <f>K36/10^4</f>
        <v>1.4603979604705167E-6</v>
      </c>
      <c r="L37" s="7" t="s">
        <v>145</v>
      </c>
      <c r="N37" s="5" t="s">
        <v>143</v>
      </c>
      <c r="O37" s="5">
        <f>O36/10^4</f>
        <v>5.0051441205644853E-6</v>
      </c>
      <c r="P37" s="5" t="s">
        <v>145</v>
      </c>
      <c r="R37" s="7" t="s">
        <v>143</v>
      </c>
      <c r="S37" s="7">
        <f>S36/10^4</f>
        <v>7.0095912470950772E-7</v>
      </c>
      <c r="T37" s="7" t="s">
        <v>145</v>
      </c>
      <c r="V37" s="5" t="s">
        <v>143</v>
      </c>
      <c r="W37" s="5">
        <f>W36/10^4</f>
        <v>8.8308566031096838E-7</v>
      </c>
      <c r="X37" s="5" t="s">
        <v>145</v>
      </c>
      <c r="AA37" s="7" t="s">
        <v>143</v>
      </c>
      <c r="AB37" s="7">
        <f>AB36/10^4</f>
        <v>2.6585698806691312E-7</v>
      </c>
      <c r="AC37" s="7" t="s">
        <v>145</v>
      </c>
    </row>
    <row r="39" spans="1:29" ht="19.5" x14ac:dyDescent="0.35">
      <c r="A39" t="s">
        <v>147</v>
      </c>
      <c r="B39" t="s">
        <v>143</v>
      </c>
      <c r="C39">
        <f>(B37*L9)+(K37*L10)</f>
        <v>1.3735784230686866E-6</v>
      </c>
      <c r="D39" t="s">
        <v>148</v>
      </c>
      <c r="G39" s="5" t="s">
        <v>65</v>
      </c>
      <c r="H39" s="5">
        <f>(porosity!B13*C42)/8</f>
        <v>4.6113592887507749E-4</v>
      </c>
      <c r="I39" s="5" t="s">
        <v>154</v>
      </c>
      <c r="P39" s="9" t="s">
        <v>247</v>
      </c>
    </row>
    <row r="40" spans="1:29" x14ac:dyDescent="0.25">
      <c r="A40" t="s">
        <v>147</v>
      </c>
      <c r="B40" t="s">
        <v>143</v>
      </c>
      <c r="C40">
        <f>(B36*L10)+(K36*L11)</f>
        <v>7.2510892873195584E-3</v>
      </c>
      <c r="D40" t="s">
        <v>149</v>
      </c>
      <c r="E40">
        <f>(K36*M11)+(AB36*M9)</f>
        <v>7.1380985271826446E-3</v>
      </c>
      <c r="G40" s="5" t="s">
        <v>65</v>
      </c>
      <c r="H40" s="5">
        <f>H39/10000</f>
        <v>4.6113592887507749E-8</v>
      </c>
      <c r="I40" s="5" t="s">
        <v>155</v>
      </c>
      <c r="J40" t="s">
        <v>366</v>
      </c>
      <c r="P40" t="s">
        <v>248</v>
      </c>
    </row>
    <row r="41" spans="1:29" x14ac:dyDescent="0.25">
      <c r="B41" t="s">
        <v>150</v>
      </c>
      <c r="C41">
        <f>(1/C40)+(1/B10)</f>
        <v>137.91078879144882</v>
      </c>
      <c r="E41">
        <f>(1/E40)+(1/C10)</f>
        <v>140.09334606115422</v>
      </c>
    </row>
    <row r="42" spans="1:29" x14ac:dyDescent="0.25">
      <c r="B42" t="s">
        <v>151</v>
      </c>
      <c r="C42">
        <f>(1/C41)</f>
        <v>7.2510643203717584E-3</v>
      </c>
      <c r="D42" t="s">
        <v>152</v>
      </c>
      <c r="E42">
        <f>(1/C41)</f>
        <v>7.2510643203717584E-3</v>
      </c>
      <c r="G42" t="s">
        <v>355</v>
      </c>
      <c r="H42">
        <f>(K36+O36+S36+W36+AB36)/5</f>
        <v>1.6630887708244786E-2</v>
      </c>
      <c r="I42" t="s">
        <v>154</v>
      </c>
      <c r="J42" s="5" t="s">
        <v>250</v>
      </c>
      <c r="K42" s="5"/>
      <c r="L42" s="5"/>
      <c r="M42" s="5"/>
      <c r="N42" s="5"/>
      <c r="O42" s="5"/>
      <c r="P42" s="5"/>
    </row>
    <row r="43" spans="1:29" x14ac:dyDescent="0.25">
      <c r="G43" s="24" t="s">
        <v>355</v>
      </c>
      <c r="H43" s="24">
        <f>H42/10000</f>
        <v>1.6630887708244787E-6</v>
      </c>
      <c r="I43" s="24" t="s">
        <v>229</v>
      </c>
    </row>
    <row r="44" spans="1:29" x14ac:dyDescent="0.25">
      <c r="A44" t="s">
        <v>358</v>
      </c>
      <c r="B44">
        <f>porosity!B13</f>
        <v>0.50876495752991502</v>
      </c>
      <c r="G44" s="16" t="s">
        <v>110</v>
      </c>
      <c r="H44" s="16">
        <v>2105.9087893990786</v>
      </c>
    </row>
    <row r="45" spans="1:29" x14ac:dyDescent="0.25">
      <c r="G45" s="24" t="s">
        <v>110</v>
      </c>
      <c r="H45" s="24">
        <v>6.6592217516110806E-4</v>
      </c>
      <c r="J45" s="7" t="s">
        <v>251</v>
      </c>
      <c r="K45" s="7">
        <f>(0.73*K37)+((0.5*P2*P1)/(1+(9.49*K37)/(P1*P2)))</f>
        <v>4.3091349956423609E-6</v>
      </c>
      <c r="L45" s="7" t="s">
        <v>145</v>
      </c>
      <c r="N45" s="5" t="s">
        <v>254</v>
      </c>
      <c r="O45" s="5">
        <f>(0.73*O37)+((0.5*P1*P2)/(1+(9.49*O37)/(P1*P2)))</f>
        <v>5.1013631976316115E-6</v>
      </c>
      <c r="P45" s="5" t="s">
        <v>145</v>
      </c>
      <c r="R45" s="7" t="s">
        <v>255</v>
      </c>
      <c r="S45" s="7">
        <f>(0.73*S37)+((0.5*P1*P2)/(1+(9.49*S37)/(P1*P2)))</f>
        <v>4.9283412600592517E-6</v>
      </c>
      <c r="T45" s="7" t="s">
        <v>145</v>
      </c>
      <c r="V45" s="5" t="s">
        <v>256</v>
      </c>
      <c r="W45" s="5">
        <f>(0.73*W37)+((0.5*P1*P2)/(1+(9.49*W37)/(P1*P2)))</f>
        <v>4.7086023651751665E-6</v>
      </c>
      <c r="X45" s="5" t="s">
        <v>145</v>
      </c>
      <c r="AA45" s="7" t="s">
        <v>254</v>
      </c>
      <c r="AB45" s="7">
        <f>(0.73*AB37)+((0.5*P1*P2)/(1+(9.49*AB37)/(P1*P2)))</f>
        <v>5.7659364931950423E-6</v>
      </c>
      <c r="AC45" s="7" t="s">
        <v>145</v>
      </c>
    </row>
    <row r="46" spans="1:29" x14ac:dyDescent="0.25">
      <c r="G46" t="s">
        <v>95</v>
      </c>
      <c r="H46">
        <f>8</f>
        <v>8</v>
      </c>
    </row>
    <row r="47" spans="1:29" x14ac:dyDescent="0.25">
      <c r="G47" t="s">
        <v>356</v>
      </c>
      <c r="H47">
        <f>(1/H43)+(1/H44)</f>
        <v>601290.8140158829</v>
      </c>
    </row>
    <row r="48" spans="1:29" x14ac:dyDescent="0.25">
      <c r="G48" t="s">
        <v>357</v>
      </c>
      <c r="H48">
        <f>1/H47</f>
        <v>1.6630887695110961E-6</v>
      </c>
    </row>
    <row r="49" spans="7:8" x14ac:dyDescent="0.25">
      <c r="G49" s="7" t="s">
        <v>65</v>
      </c>
      <c r="H49" s="7">
        <f>(H48*B44)/H46</f>
        <v>1.0576516089859893E-7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0"/>
  <sheetViews>
    <sheetView topLeftCell="B2" workbookViewId="0">
      <selection activeCell="H14" sqref="H14"/>
    </sheetView>
  </sheetViews>
  <sheetFormatPr defaultRowHeight="15" x14ac:dyDescent="0.25"/>
  <cols>
    <col min="4" max="4" width="12" bestFit="1" customWidth="1"/>
    <col min="5" max="5" width="11.7109375" bestFit="1" customWidth="1"/>
    <col min="6" max="6" width="11" bestFit="1" customWidth="1"/>
    <col min="7" max="7" width="10.42578125" customWidth="1"/>
    <col min="8" max="8" width="11" customWidth="1"/>
  </cols>
  <sheetData>
    <row r="5" spans="1:15" x14ac:dyDescent="0.25">
      <c r="F5" t="s">
        <v>80</v>
      </c>
    </row>
    <row r="6" spans="1:15" x14ac:dyDescent="0.25">
      <c r="B6" t="s">
        <v>81</v>
      </c>
      <c r="C6" t="s">
        <v>82</v>
      </c>
      <c r="D6" t="s">
        <v>83</v>
      </c>
      <c r="E6" t="s">
        <v>84</v>
      </c>
      <c r="F6" t="s">
        <v>85</v>
      </c>
      <c r="H6" t="s">
        <v>95</v>
      </c>
    </row>
    <row r="7" spans="1:15" x14ac:dyDescent="0.25">
      <c r="A7" t="s">
        <v>7</v>
      </c>
      <c r="B7">
        <f>9.656</f>
        <v>9.6560000000000006</v>
      </c>
      <c r="C7">
        <f>0.42826</f>
        <v>0.42825999999999997</v>
      </c>
      <c r="D7">
        <f>-0.00026797</f>
        <v>-2.6797000000000002E-4</v>
      </c>
      <c r="E7">
        <f>0.000000031794</f>
        <v>3.1794E-8</v>
      </c>
      <c r="F7">
        <f>0.000000000027745</f>
        <v>2.7745E-11</v>
      </c>
      <c r="H7">
        <f>773</f>
        <v>773</v>
      </c>
      <c r="K7" t="s">
        <v>89</v>
      </c>
    </row>
    <row r="8" spans="1:15" x14ac:dyDescent="0.25">
      <c r="A8" t="s">
        <v>9</v>
      </c>
      <c r="B8">
        <v>29.526</v>
      </c>
      <c r="C8">
        <f>-0.0088999</f>
        <v>-8.8999000000000005E-3</v>
      </c>
      <c r="D8">
        <f>0.000038083</f>
        <v>3.8083000000000001E-5</v>
      </c>
      <c r="E8">
        <f>-0.000000032629</f>
        <v>-3.2629000000000001E-8</v>
      </c>
      <c r="F8">
        <f>0.0000000000088607</f>
        <v>8.8607000000000008E-12</v>
      </c>
      <c r="K8" t="s">
        <v>87</v>
      </c>
    </row>
    <row r="9" spans="1:15" x14ac:dyDescent="0.25">
      <c r="A9" t="s">
        <v>11</v>
      </c>
      <c r="B9">
        <f>29.342</f>
        <v>29.341999999999999</v>
      </c>
      <c r="C9">
        <f>-0.0035395</f>
        <v>-3.5395000000000001E-3</v>
      </c>
      <c r="D9">
        <f>0.000010076</f>
        <v>1.0076E-5</v>
      </c>
      <c r="E9">
        <f>-0.0000000043116</f>
        <v>-4.3115999999999999E-9</v>
      </c>
      <c r="F9">
        <f>0.00000000000025935</f>
        <v>2.5935E-13</v>
      </c>
      <c r="K9" t="s">
        <v>86</v>
      </c>
    </row>
    <row r="10" spans="1:15" x14ac:dyDescent="0.25">
      <c r="A10" t="s">
        <v>27</v>
      </c>
      <c r="B10">
        <f>33.933</f>
        <v>33.933</v>
      </c>
      <c r="C10">
        <f>-0.0084186</f>
        <v>-8.4186E-3</v>
      </c>
      <c r="D10">
        <f>0.000029906</f>
        <v>2.9906000000000001E-5</v>
      </c>
      <c r="E10">
        <f>-0.000000017825</f>
        <v>-1.7824999999999999E-8</v>
      </c>
      <c r="F10">
        <f>0.0000000000036934</f>
        <v>3.6934000000000004E-12</v>
      </c>
      <c r="K10" t="s">
        <v>88</v>
      </c>
    </row>
    <row r="13" spans="1:15" x14ac:dyDescent="0.25">
      <c r="A13" t="s">
        <v>90</v>
      </c>
      <c r="B13" t="s">
        <v>12</v>
      </c>
      <c r="C13" t="s">
        <v>81</v>
      </c>
      <c r="D13" t="s">
        <v>91</v>
      </c>
      <c r="E13" t="s">
        <v>92</v>
      </c>
      <c r="F13" t="s">
        <v>93</v>
      </c>
      <c r="G13" t="s">
        <v>94</v>
      </c>
      <c r="H13" t="s">
        <v>96</v>
      </c>
      <c r="I13" t="s">
        <v>40</v>
      </c>
      <c r="M13" t="s">
        <v>108</v>
      </c>
      <c r="N13">
        <f>'Mol avg'!H6</f>
        <v>2.6240000000000003E-2</v>
      </c>
      <c r="O13" t="s">
        <v>158</v>
      </c>
    </row>
    <row r="14" spans="1:15" x14ac:dyDescent="0.25">
      <c r="A14" t="s">
        <v>7</v>
      </c>
      <c r="B14">
        <f>0.1</f>
        <v>0.1</v>
      </c>
      <c r="C14">
        <f>9.656</f>
        <v>9.6560000000000006</v>
      </c>
      <c r="D14">
        <f>C7*H$7</f>
        <v>331.04497999999995</v>
      </c>
      <c r="E14">
        <f>D7*(H$7^2)</f>
        <v>-160.11984613000001</v>
      </c>
      <c r="F14">
        <f>E7*(H$7^3)</f>
        <v>14.685328021098</v>
      </c>
      <c r="G14">
        <f>F7*(H$7^4)</f>
        <v>9.9060999325585453</v>
      </c>
      <c r="H14">
        <f>SUM(C14:G14)</f>
        <v>205.17256182365648</v>
      </c>
      <c r="I14">
        <f>H14*B14</f>
        <v>20.517256182365649</v>
      </c>
      <c r="J14">
        <f>H14*B14</f>
        <v>20.517256182365649</v>
      </c>
    </row>
    <row r="15" spans="1:15" x14ac:dyDescent="0.25">
      <c r="A15" t="s">
        <v>9</v>
      </c>
      <c r="B15">
        <f>0.06</f>
        <v>0.06</v>
      </c>
      <c r="C15">
        <v>29.526</v>
      </c>
      <c r="D15">
        <f t="shared" ref="D15:D17" si="0">C8*H$7</f>
        <v>-6.8796227000000005</v>
      </c>
      <c r="E15">
        <f>D8*(H$7^2)</f>
        <v>22.755696907000001</v>
      </c>
      <c r="F15">
        <f t="shared" ref="F15:F17" si="1">E8*(H$7^3)</f>
        <v>-15.071006101792999</v>
      </c>
      <c r="G15">
        <f>F8*(H$7^4)</f>
        <v>3.1636323543853488</v>
      </c>
      <c r="H15">
        <f>SUM(C15:G15)</f>
        <v>33.494700459592345</v>
      </c>
      <c r="J15">
        <f>H15*B15</f>
        <v>2.0096820275755407</v>
      </c>
    </row>
    <row r="16" spans="1:15" x14ac:dyDescent="0.25">
      <c r="A16" t="s">
        <v>11</v>
      </c>
      <c r="B16">
        <f>0.23</f>
        <v>0.23</v>
      </c>
      <c r="C16">
        <f>29.342</f>
        <v>29.341999999999999</v>
      </c>
      <c r="D16">
        <f t="shared" si="0"/>
        <v>-2.7360335</v>
      </c>
      <c r="E16">
        <f>D9*(H$7^2)</f>
        <v>6.020702204</v>
      </c>
      <c r="F16">
        <f t="shared" si="1"/>
        <v>-1.9914845661372</v>
      </c>
      <c r="G16">
        <f t="shared" ref="G16:G17" si="2">F9*(H$7^4)</f>
        <v>9.259855892986335E-2</v>
      </c>
      <c r="H16">
        <f t="shared" ref="H16:H17" si="3">SUM(C16:G16)</f>
        <v>30.727782696792662</v>
      </c>
      <c r="J16">
        <f>H16*B16</f>
        <v>7.0673900202623123</v>
      </c>
    </row>
    <row r="17" spans="1:11" x14ac:dyDescent="0.25">
      <c r="A17" t="s">
        <v>27</v>
      </c>
      <c r="B17">
        <f>0.61</f>
        <v>0.61</v>
      </c>
      <c r="C17">
        <f>33.933</f>
        <v>33.933</v>
      </c>
      <c r="D17">
        <f t="shared" si="0"/>
        <v>-6.5075778</v>
      </c>
      <c r="E17">
        <f t="shared" ref="E17" si="4">D10*(H$7^2)</f>
        <v>17.869702274000002</v>
      </c>
      <c r="F17">
        <f t="shared" si="1"/>
        <v>-8.2331877705249994</v>
      </c>
      <c r="G17">
        <f t="shared" si="2"/>
        <v>1.3186948816331496</v>
      </c>
      <c r="H17">
        <f t="shared" si="3"/>
        <v>38.380631585108155</v>
      </c>
      <c r="J17">
        <f>H17*B17</f>
        <v>23.412185266915973</v>
      </c>
    </row>
    <row r="18" spans="1:11" x14ac:dyDescent="0.25">
      <c r="B18">
        <f>SUM(B14:B17)</f>
        <v>1</v>
      </c>
      <c r="G18" s="5" t="s">
        <v>227</v>
      </c>
      <c r="H18" s="5"/>
      <c r="J18" s="5">
        <f>SUM(J14:J17)</f>
        <v>53.006513497119471</v>
      </c>
      <c r="K18" s="5" t="s">
        <v>40</v>
      </c>
    </row>
    <row r="19" spans="1:11" x14ac:dyDescent="0.25">
      <c r="G19" t="s">
        <v>227</v>
      </c>
      <c r="J19">
        <f>J18/N13</f>
        <v>2020.0653009572966</v>
      </c>
      <c r="K19" t="s">
        <v>225</v>
      </c>
    </row>
    <row r="20" spans="1:11" x14ac:dyDescent="0.25">
      <c r="J20">
        <f>J19/1000</f>
        <v>2.0200653009572966</v>
      </c>
      <c r="K20" t="s">
        <v>228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2"/>
  <sheetViews>
    <sheetView topLeftCell="A21" workbookViewId="0">
      <selection activeCell="H40" sqref="H40"/>
    </sheetView>
  </sheetViews>
  <sheetFormatPr defaultRowHeight="15" x14ac:dyDescent="0.25"/>
  <cols>
    <col min="1" max="1" width="12.7109375" customWidth="1"/>
    <col min="2" max="3" width="12" bestFit="1" customWidth="1"/>
    <col min="8" max="8" width="12" bestFit="1" customWidth="1"/>
    <col min="11" max="11" width="12" bestFit="1" customWidth="1"/>
    <col min="16" max="16" width="9.5703125" bestFit="1" customWidth="1"/>
  </cols>
  <sheetData>
    <row r="3" spans="1:16" x14ac:dyDescent="0.25">
      <c r="H3" t="s">
        <v>97</v>
      </c>
    </row>
    <row r="6" spans="1:16" x14ac:dyDescent="0.25">
      <c r="A6" t="s">
        <v>95</v>
      </c>
      <c r="B6">
        <f>773</f>
        <v>773</v>
      </c>
      <c r="C6" t="s">
        <v>98</v>
      </c>
    </row>
    <row r="7" spans="1:16" x14ac:dyDescent="0.25">
      <c r="A7" t="s">
        <v>76</v>
      </c>
      <c r="B7">
        <f>0.8/10</f>
        <v>0.08</v>
      </c>
      <c r="C7" t="s">
        <v>111</v>
      </c>
      <c r="D7">
        <f>0.08/1000</f>
        <v>8.0000000000000007E-5</v>
      </c>
      <c r="E7" t="s">
        <v>75</v>
      </c>
      <c r="G7" t="s">
        <v>113</v>
      </c>
      <c r="H7">
        <f>(D7/3)</f>
        <v>2.666666666666667E-5</v>
      </c>
      <c r="M7">
        <f>48.5*(B7/1000)*((B6/B8)^2)</f>
        <v>3.3671545606223976</v>
      </c>
    </row>
    <row r="8" spans="1:16" x14ac:dyDescent="0.25">
      <c r="A8" t="s">
        <v>99</v>
      </c>
      <c r="B8">
        <f>'Mol avg'!E6</f>
        <v>26.240000000000002</v>
      </c>
      <c r="C8" t="s">
        <v>112</v>
      </c>
      <c r="D8" t="s">
        <v>95</v>
      </c>
      <c r="E8">
        <f>773</f>
        <v>773</v>
      </c>
      <c r="F8" t="s">
        <v>98</v>
      </c>
      <c r="G8" t="s">
        <v>114</v>
      </c>
      <c r="H8">
        <f>8*8.314*E8</f>
        <v>51413.775999999998</v>
      </c>
    </row>
    <row r="9" spans="1:16" x14ac:dyDescent="0.25">
      <c r="A9" t="s">
        <v>153</v>
      </c>
      <c r="B9">
        <f>B6/B8</f>
        <v>29.458841463414632</v>
      </c>
      <c r="C9">
        <f>SQRT(B9)</f>
        <v>5.4275999726780375</v>
      </c>
      <c r="G9" t="s">
        <v>115</v>
      </c>
      <c r="H9">
        <f>3.142*(B8)</f>
        <v>82.446080000000009</v>
      </c>
    </row>
    <row r="10" spans="1:16" x14ac:dyDescent="0.25">
      <c r="A10" s="5" t="s">
        <v>110</v>
      </c>
      <c r="B10" s="5">
        <f>4850*B7*C9</f>
        <v>2105.9087893990786</v>
      </c>
      <c r="G10" t="s">
        <v>116</v>
      </c>
      <c r="H10">
        <f>SQRT(H8/H9)</f>
        <v>24.972081568541547</v>
      </c>
    </row>
    <row r="11" spans="1:16" x14ac:dyDescent="0.25">
      <c r="G11" s="24" t="s">
        <v>110</v>
      </c>
      <c r="H11" s="24">
        <f>H7*H10</f>
        <v>6.6592217516110806E-4</v>
      </c>
    </row>
    <row r="13" spans="1:16" x14ac:dyDescent="0.25">
      <c r="A13" t="s">
        <v>117</v>
      </c>
      <c r="J13" t="s">
        <v>129</v>
      </c>
      <c r="N13" t="s">
        <v>107</v>
      </c>
      <c r="O13">
        <f>0.23</f>
        <v>0.23</v>
      </c>
    </row>
    <row r="14" spans="1:16" x14ac:dyDescent="0.25">
      <c r="A14" t="s">
        <v>118</v>
      </c>
      <c r="J14" t="s">
        <v>118</v>
      </c>
      <c r="N14" t="s">
        <v>146</v>
      </c>
      <c r="O14">
        <v>0.1</v>
      </c>
      <c r="P14" s="6">
        <f>(0.1/(0.1+0.61))*1</f>
        <v>0.14084507042253522</v>
      </c>
    </row>
    <row r="15" spans="1:16" x14ac:dyDescent="0.25">
      <c r="N15" t="s">
        <v>106</v>
      </c>
      <c r="O15">
        <v>0.61</v>
      </c>
      <c r="P15" s="6">
        <f>(0.61/(0.1+0.61))*1</f>
        <v>0.85915492957746487</v>
      </c>
    </row>
    <row r="16" spans="1:16" x14ac:dyDescent="0.25">
      <c r="A16" t="s">
        <v>119</v>
      </c>
      <c r="B16">
        <f>(32+69)/(32*69)</f>
        <v>4.5742753623188408E-2</v>
      </c>
      <c r="C16" t="s">
        <v>112</v>
      </c>
      <c r="J16" t="s">
        <v>119</v>
      </c>
      <c r="K16">
        <f>(32+18)/(32*18)</f>
        <v>8.6805555555555552E-2</v>
      </c>
      <c r="L16" t="s">
        <v>112</v>
      </c>
      <c r="N16" t="s">
        <v>105</v>
      </c>
      <c r="O16">
        <v>0.06</v>
      </c>
    </row>
    <row r="17" spans="1:12" x14ac:dyDescent="0.25">
      <c r="A17" t="s">
        <v>120</v>
      </c>
      <c r="B17">
        <f>(500)^1.5</f>
        <v>11180.339887498953</v>
      </c>
      <c r="C17" t="s">
        <v>98</v>
      </c>
      <c r="J17" t="s">
        <v>120</v>
      </c>
      <c r="K17">
        <f>(500)^1.5</f>
        <v>11180.339887498953</v>
      </c>
      <c r="L17" t="s">
        <v>98</v>
      </c>
    </row>
    <row r="18" spans="1:12" x14ac:dyDescent="0.25">
      <c r="A18" t="s">
        <v>121</v>
      </c>
      <c r="B18">
        <f>1</f>
        <v>1</v>
      </c>
      <c r="C18" t="s">
        <v>122</v>
      </c>
      <c r="J18" t="s">
        <v>121</v>
      </c>
      <c r="K18">
        <f>1</f>
        <v>1</v>
      </c>
      <c r="L18" t="s">
        <v>122</v>
      </c>
    </row>
    <row r="19" spans="1:12" x14ac:dyDescent="0.25">
      <c r="A19" t="s">
        <v>95</v>
      </c>
      <c r="B19">
        <f>773</f>
        <v>773</v>
      </c>
      <c r="C19" t="s">
        <v>98</v>
      </c>
    </row>
    <row r="20" spans="1:12" x14ac:dyDescent="0.25">
      <c r="A20" t="s">
        <v>123</v>
      </c>
      <c r="B20">
        <f>(((82.057)*563)/1)</f>
        <v>46198.091</v>
      </c>
      <c r="C20" t="s">
        <v>141</v>
      </c>
      <c r="J20" t="s">
        <v>123</v>
      </c>
      <c r="K20">
        <f>(((82.057)*(100+273)/1))</f>
        <v>30607.261000000002</v>
      </c>
      <c r="L20" t="s">
        <v>141</v>
      </c>
    </row>
    <row r="21" spans="1:12" x14ac:dyDescent="0.25">
      <c r="A21" t="s">
        <v>125</v>
      </c>
      <c r="B21">
        <f>(((82.057)*(-183+273)/1))</f>
        <v>7385.13</v>
      </c>
      <c r="C21" t="s">
        <v>124</v>
      </c>
      <c r="J21" t="s">
        <v>125</v>
      </c>
      <c r="K21">
        <f>(((82.057)*(B26)/1))</f>
        <v>7385.13</v>
      </c>
      <c r="L21" t="s">
        <v>141</v>
      </c>
    </row>
    <row r="22" spans="1:12" x14ac:dyDescent="0.25">
      <c r="A22" s="3" t="s">
        <v>126</v>
      </c>
      <c r="B22">
        <f>1.18*B20^0.333333</f>
        <v>42.340416818020877</v>
      </c>
      <c r="J22" s="3" t="s">
        <v>126</v>
      </c>
      <c r="K22">
        <f>1.18*K20^0.333333</f>
        <v>36.910959459479464</v>
      </c>
    </row>
    <row r="23" spans="1:12" x14ac:dyDescent="0.25">
      <c r="A23" s="3" t="s">
        <v>127</v>
      </c>
      <c r="B23">
        <f>1.18*B21^0.333333</f>
        <v>22.979122096566876</v>
      </c>
      <c r="J23" s="3" t="s">
        <v>127</v>
      </c>
      <c r="K23">
        <f>1.18*K21^0.333333</f>
        <v>22.979122096566876</v>
      </c>
    </row>
    <row r="24" spans="1:12" x14ac:dyDescent="0.25">
      <c r="A24" s="3" t="s">
        <v>128</v>
      </c>
      <c r="B24">
        <f>(B22+B23)/2</f>
        <v>32.659769457293876</v>
      </c>
      <c r="J24" s="3" t="s">
        <v>128</v>
      </c>
      <c r="K24">
        <f>(K22+K23)/2</f>
        <v>29.94504077802317</v>
      </c>
    </row>
    <row r="25" spans="1:12" x14ac:dyDescent="0.25">
      <c r="A25" s="3" t="s">
        <v>130</v>
      </c>
      <c r="B25">
        <f>563</f>
        <v>563</v>
      </c>
      <c r="C25" t="s">
        <v>98</v>
      </c>
      <c r="J25" t="s">
        <v>130</v>
      </c>
      <c r="K25">
        <f>100+273</f>
        <v>373</v>
      </c>
    </row>
    <row r="26" spans="1:12" x14ac:dyDescent="0.25">
      <c r="A26" s="3" t="s">
        <v>131</v>
      </c>
      <c r="B26">
        <f>-183+273</f>
        <v>90</v>
      </c>
      <c r="C26" t="s">
        <v>98</v>
      </c>
      <c r="J26" t="s">
        <v>131</v>
      </c>
      <c r="K26">
        <v>90</v>
      </c>
    </row>
    <row r="27" spans="1:12" x14ac:dyDescent="0.25">
      <c r="A27" s="3" t="s">
        <v>132</v>
      </c>
      <c r="B27">
        <f>2.67</f>
        <v>2.67</v>
      </c>
      <c r="C27" t="s">
        <v>134</v>
      </c>
      <c r="J27" t="s">
        <v>132</v>
      </c>
      <c r="K27">
        <f>1.84</f>
        <v>1.84</v>
      </c>
    </row>
    <row r="28" spans="1:12" x14ac:dyDescent="0.25">
      <c r="A28" s="3" t="s">
        <v>133</v>
      </c>
      <c r="B28">
        <v>0</v>
      </c>
      <c r="C28" t="s">
        <v>134</v>
      </c>
      <c r="J28" t="s">
        <v>133</v>
      </c>
      <c r="K28">
        <v>0</v>
      </c>
    </row>
    <row r="29" spans="1:12" x14ac:dyDescent="0.25">
      <c r="A29" s="3" t="s">
        <v>135</v>
      </c>
      <c r="B29">
        <f>1.94*10^3*(0^2)/(B21*B26)</f>
        <v>0</v>
      </c>
      <c r="J29" t="s">
        <v>135</v>
      </c>
      <c r="K29">
        <v>0</v>
      </c>
    </row>
    <row r="30" spans="1:12" x14ac:dyDescent="0.25">
      <c r="A30" s="3" t="s">
        <v>136</v>
      </c>
      <c r="B30">
        <f>((1.94*10^3)*((B27^2)/(B20*B25)))</f>
        <v>5.3173081308123548E-4</v>
      </c>
      <c r="J30" t="s">
        <v>136</v>
      </c>
      <c r="K30">
        <f>((1.94*10^3)*((K27^2)/(K20*K25)))</f>
        <v>5.7531285371276077E-4</v>
      </c>
    </row>
    <row r="31" spans="1:12" x14ac:dyDescent="0.25">
      <c r="A31" s="3" t="s">
        <v>138</v>
      </c>
      <c r="B31">
        <f>1.18*(1+1.3*(B29^2))*B26*(1.38*10^-16)</f>
        <v>1.4655599999999995E-14</v>
      </c>
      <c r="J31" s="3" t="s">
        <v>138</v>
      </c>
      <c r="K31">
        <f>1.18*(1+(1.3*(K29^2)))*K26*(1.38*10^-16)</f>
        <v>1.4655599999999995E-14</v>
      </c>
    </row>
    <row r="32" spans="1:12" x14ac:dyDescent="0.25">
      <c r="A32" s="3" t="s">
        <v>137</v>
      </c>
      <c r="B32">
        <f>1.18*(1+1.3*(B30^2))*B25*(1.38*10^-16)</f>
        <v>9.1678953697407995E-14</v>
      </c>
      <c r="J32" s="3" t="s">
        <v>137</v>
      </c>
      <c r="K32">
        <f>1.18*(1+(1.3*(K30^2)))*K25*(1.38*10^-16)</f>
        <v>6.0739346134935459E-14</v>
      </c>
    </row>
    <row r="33" spans="1:12" x14ac:dyDescent="0.25">
      <c r="A33" s="3" t="s">
        <v>139</v>
      </c>
      <c r="B33">
        <f>(B32*B31)^0.5</f>
        <v>3.665528711942838E-14</v>
      </c>
      <c r="J33" s="3" t="s">
        <v>139</v>
      </c>
      <c r="K33">
        <f>(K31*K32)^0.5</f>
        <v>2.983574301429679E-14</v>
      </c>
    </row>
    <row r="34" spans="1:12" x14ac:dyDescent="0.25">
      <c r="A34" s="3" t="s">
        <v>140</v>
      </c>
      <c r="B34">
        <f>((1.38*10^-16)*B19)/(B33)</f>
        <v>2.9101940915764812</v>
      </c>
      <c r="J34" s="3" t="s">
        <v>140</v>
      </c>
      <c r="K34">
        <f>((1.38*10^-16)*B19)/(K33)</f>
        <v>3.5753760162394337</v>
      </c>
    </row>
    <row r="35" spans="1:12" x14ac:dyDescent="0.25">
      <c r="A35" s="3" t="s">
        <v>142</v>
      </c>
      <c r="B35">
        <f>(44.54*(B34^-4.909)+1.911*(B34^-1.575))^0.1</f>
        <v>0.94867642159597465</v>
      </c>
      <c r="J35" s="3" t="s">
        <v>142</v>
      </c>
      <c r="K35">
        <f>(44.54*(K34^-4.909)+1.911*(K34^-1.575))^0.1</f>
        <v>0.89839572272847501</v>
      </c>
    </row>
    <row r="36" spans="1:12" x14ac:dyDescent="0.25">
      <c r="A36" s="3" t="s">
        <v>143</v>
      </c>
      <c r="B36">
        <f>(0.001858*(B19^1.5)*(B16^0.5))/(1*(B24^2)*B35)</f>
        <v>8.4397924491752228E-3</v>
      </c>
      <c r="C36" t="s">
        <v>144</v>
      </c>
      <c r="J36" s="3" t="s">
        <v>143</v>
      </c>
      <c r="K36">
        <f>(0.001858*(B19^1.5)*(K16^0.5))/(1*(K24^2)*K35)</f>
        <v>1.4603979604705166E-2</v>
      </c>
      <c r="L36" t="s">
        <v>144</v>
      </c>
    </row>
    <row r="37" spans="1:12" x14ac:dyDescent="0.25">
      <c r="A37" s="3" t="s">
        <v>143</v>
      </c>
      <c r="B37">
        <f>B36/(10^4)</f>
        <v>8.4397924491752226E-7</v>
      </c>
      <c r="C37" t="s">
        <v>145</v>
      </c>
      <c r="J37" s="3" t="s">
        <v>143</v>
      </c>
      <c r="K37">
        <f>K36/10^4</f>
        <v>1.4603979604705167E-6</v>
      </c>
      <c r="L37" t="s">
        <v>145</v>
      </c>
    </row>
    <row r="39" spans="1:12" x14ac:dyDescent="0.25">
      <c r="A39" t="s">
        <v>147</v>
      </c>
      <c r="B39" t="s">
        <v>143</v>
      </c>
      <c r="C39">
        <f>(B37*P14)+(K37*P15)</f>
        <v>1.3735784230686866E-6</v>
      </c>
      <c r="D39" t="s">
        <v>148</v>
      </c>
      <c r="G39" s="5" t="s">
        <v>65</v>
      </c>
      <c r="H39" s="5">
        <f>(porosity!B13*C42)/8</f>
        <v>4.6113592887507749E-4</v>
      </c>
      <c r="I39" s="5" t="s">
        <v>154</v>
      </c>
    </row>
    <row r="40" spans="1:12" x14ac:dyDescent="0.25">
      <c r="A40" t="s">
        <v>147</v>
      </c>
      <c r="B40" t="s">
        <v>143</v>
      </c>
      <c r="C40">
        <f>(B36*P15)+(K36*P16)</f>
        <v>7.2510892873195584E-3</v>
      </c>
      <c r="D40" t="s">
        <v>149</v>
      </c>
      <c r="G40" s="5" t="s">
        <v>65</v>
      </c>
      <c r="H40" s="5">
        <f>H39/10000</f>
        <v>4.6113592887507749E-8</v>
      </c>
      <c r="I40" s="5" t="s">
        <v>155</v>
      </c>
    </row>
    <row r="41" spans="1:12" x14ac:dyDescent="0.25">
      <c r="B41" t="s">
        <v>150</v>
      </c>
      <c r="C41">
        <f>(1/C40)+(1/B10)</f>
        <v>137.91078879144882</v>
      </c>
    </row>
    <row r="42" spans="1:12" x14ac:dyDescent="0.25">
      <c r="B42" t="s">
        <v>151</v>
      </c>
      <c r="C42">
        <f>(1/C41)</f>
        <v>7.2510643203717584E-3</v>
      </c>
      <c r="D42" t="s">
        <v>152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A4" workbookViewId="0">
      <selection activeCell="B12" sqref="B12"/>
    </sheetView>
  </sheetViews>
  <sheetFormatPr defaultRowHeight="15" x14ac:dyDescent="0.25"/>
  <cols>
    <col min="1" max="1" width="15.85546875" customWidth="1"/>
    <col min="2" max="2" width="12.42578125" customWidth="1"/>
    <col min="3" max="3" width="10.140625" customWidth="1"/>
    <col min="10" max="10" width="5.5703125" customWidth="1"/>
    <col min="11" max="11" width="14.28515625" customWidth="1"/>
    <col min="12" max="12" width="12" bestFit="1" customWidth="1"/>
    <col min="13" max="13" width="12.7109375" bestFit="1" customWidth="1"/>
    <col min="14" max="14" width="12" bestFit="1" customWidth="1"/>
    <col min="15" max="15" width="7.28515625" customWidth="1"/>
    <col min="16" max="16" width="9.5703125" customWidth="1"/>
    <col min="18" max="18" width="12" bestFit="1" customWidth="1"/>
    <col min="20" max="22" width="12" bestFit="1" customWidth="1"/>
  </cols>
  <sheetData>
    <row r="1" spans="1:23" x14ac:dyDescent="0.25">
      <c r="A1" t="s">
        <v>100</v>
      </c>
      <c r="B1" t="s">
        <v>103</v>
      </c>
      <c r="C1" t="s">
        <v>99</v>
      </c>
      <c r="D1" t="s">
        <v>12</v>
      </c>
      <c r="E1" t="s">
        <v>108</v>
      </c>
      <c r="F1" t="s">
        <v>102</v>
      </c>
      <c r="K1" s="5" t="s">
        <v>171</v>
      </c>
      <c r="L1" t="s">
        <v>173</v>
      </c>
      <c r="S1" t="s">
        <v>171</v>
      </c>
      <c r="T1" t="s">
        <v>173</v>
      </c>
      <c r="U1" t="s">
        <v>261</v>
      </c>
    </row>
    <row r="2" spans="1:23" x14ac:dyDescent="0.25">
      <c r="A2" t="s">
        <v>101</v>
      </c>
      <c r="B2" t="s">
        <v>104</v>
      </c>
      <c r="C2">
        <v>69</v>
      </c>
      <c r="D2">
        <f>0.1</f>
        <v>0.1</v>
      </c>
      <c r="E2">
        <f>D2*C2</f>
        <v>6.9</v>
      </c>
      <c r="K2" t="s">
        <v>172</v>
      </c>
      <c r="L2">
        <f>(0.0019+0.0033)/2</f>
        <v>2.5999999999999999E-3</v>
      </c>
      <c r="S2" t="s">
        <v>172</v>
      </c>
      <c r="T2">
        <f>(0.001967)</f>
        <v>1.967E-3</v>
      </c>
      <c r="U2">
        <f>(T4*(12/1000))/2250</f>
        <v>2.7680000000000004E-8</v>
      </c>
      <c r="V2">
        <f>U2/60</f>
        <v>4.6133333333333339E-10</v>
      </c>
    </row>
    <row r="3" spans="1:23" x14ac:dyDescent="0.25">
      <c r="A3" t="s">
        <v>9</v>
      </c>
      <c r="B3" t="s">
        <v>105</v>
      </c>
      <c r="C3">
        <v>32</v>
      </c>
      <c r="D3">
        <f>0.06</f>
        <v>0.06</v>
      </c>
      <c r="E3">
        <f t="shared" ref="E3:E5" si="0">D3*C3</f>
        <v>1.92</v>
      </c>
      <c r="L3" t="s">
        <v>260</v>
      </c>
      <c r="M3" t="s">
        <v>261</v>
      </c>
      <c r="P3" t="s">
        <v>261</v>
      </c>
      <c r="T3" t="s">
        <v>260</v>
      </c>
    </row>
    <row r="4" spans="1:23" x14ac:dyDescent="0.25">
      <c r="A4" t="s">
        <v>27</v>
      </c>
      <c r="B4" t="s">
        <v>106</v>
      </c>
      <c r="C4">
        <v>18</v>
      </c>
      <c r="D4">
        <f>0.61</f>
        <v>0.61</v>
      </c>
      <c r="E4">
        <f t="shared" si="0"/>
        <v>10.98</v>
      </c>
      <c r="K4" t="s">
        <v>258</v>
      </c>
      <c r="L4">
        <f>2.6*L2</f>
        <v>6.7599999999999995E-3</v>
      </c>
      <c r="M4">
        <f>L4*(18.02/1000)*(1/0.8177)</f>
        <v>1.4897297297297298E-4</v>
      </c>
      <c r="P4">
        <f>L4*(18.02/1)*(1/0.8177)</f>
        <v>0.14897297297297296</v>
      </c>
      <c r="S4" t="s">
        <v>258</v>
      </c>
      <c r="T4">
        <f>0.00519</f>
        <v>5.1900000000000002E-3</v>
      </c>
      <c r="U4">
        <f>T4*(18.02/1000)*(1/0.8177)</f>
        <v>1.1437422037422039E-4</v>
      </c>
    </row>
    <row r="5" spans="1:23" x14ac:dyDescent="0.25">
      <c r="A5" t="s">
        <v>11</v>
      </c>
      <c r="B5" t="s">
        <v>107</v>
      </c>
      <c r="C5">
        <v>28</v>
      </c>
      <c r="D5">
        <f>0.23</f>
        <v>0.23</v>
      </c>
      <c r="E5">
        <f t="shared" si="0"/>
        <v>6.44</v>
      </c>
      <c r="K5" t="s">
        <v>105</v>
      </c>
      <c r="L5">
        <f>0.125*L2</f>
        <v>3.2499999999999999E-4</v>
      </c>
      <c r="M5">
        <f>L5*(32/1000)*(1/1.3537)</f>
        <v>7.6826475585432529E-6</v>
      </c>
      <c r="P5">
        <f>L5*(32/1)*(1/1.3537)</f>
        <v>7.6826475585432524E-3</v>
      </c>
      <c r="S5" t="s">
        <v>105</v>
      </c>
      <c r="T5">
        <f>0.000491</f>
        <v>4.9100000000000001E-4</v>
      </c>
      <c r="U5">
        <f>T5*(32/1000)*(1/1.3537)</f>
        <v>1.1606707542291499E-5</v>
      </c>
    </row>
    <row r="6" spans="1:23" x14ac:dyDescent="0.25">
      <c r="D6" t="s">
        <v>109</v>
      </c>
      <c r="E6" s="5">
        <f>SUM(E2:E5)</f>
        <v>26.240000000000002</v>
      </c>
      <c r="F6" t="s">
        <v>276</v>
      </c>
      <c r="G6">
        <f>E6/1000</f>
        <v>2.6240000000000003E-2</v>
      </c>
      <c r="H6" t="s">
        <v>158</v>
      </c>
      <c r="K6" t="s">
        <v>146</v>
      </c>
      <c r="L6">
        <f>2.5*L2</f>
        <v>6.4999999999999997E-3</v>
      </c>
      <c r="M6">
        <f>L6*(69.08/1000)*(1/1126)</f>
        <v>3.9877442273534638E-7</v>
      </c>
      <c r="P6">
        <f>L6*(69.08/1)*(1/1126)</f>
        <v>3.9877442273534636E-4</v>
      </c>
      <c r="S6" t="s">
        <v>146</v>
      </c>
      <c r="T6">
        <f>0.000793</f>
        <v>7.9299999999999998E-4</v>
      </c>
      <c r="U6">
        <f>T6*(69.08/1000)*(1/1126)</f>
        <v>4.8650479573712256E-8</v>
      </c>
    </row>
    <row r="7" spans="1:23" x14ac:dyDescent="0.25">
      <c r="A7" t="s">
        <v>24</v>
      </c>
      <c r="B7">
        <f>12.7/1000</f>
        <v>1.2699999999999999E-2</v>
      </c>
      <c r="C7" t="s">
        <v>75</v>
      </c>
      <c r="K7" t="s">
        <v>259</v>
      </c>
      <c r="M7">
        <f>SUM(M4:M6)</f>
        <v>1.5705439495425157E-4</v>
      </c>
      <c r="N7">
        <f>M7/60</f>
        <v>2.6175732492375262E-6</v>
      </c>
      <c r="O7" t="s">
        <v>182</v>
      </c>
      <c r="P7">
        <f>SUM(P4:P6)</f>
        <v>0.15705439495425155</v>
      </c>
      <c r="Q7">
        <f>P7/60</f>
        <v>2.6175732492375258E-3</v>
      </c>
      <c r="R7" t="s">
        <v>182</v>
      </c>
      <c r="S7" t="s">
        <v>107</v>
      </c>
      <c r="T7">
        <f>0.001962</f>
        <v>1.9620000000000002E-3</v>
      </c>
      <c r="U7">
        <f>T7*(28/1000)*(1/1.2504)</f>
        <v>4.3934740882917472E-5</v>
      </c>
    </row>
    <row r="8" spans="1:23" x14ac:dyDescent="0.25">
      <c r="A8" t="s">
        <v>168</v>
      </c>
      <c r="B8">
        <f>45/1000</f>
        <v>4.4999999999999998E-2</v>
      </c>
      <c r="C8" t="s">
        <v>75</v>
      </c>
      <c r="F8" t="s">
        <v>235</v>
      </c>
      <c r="G8">
        <f>viscosity!O26</f>
        <v>5.3364758406074849E-4</v>
      </c>
      <c r="S8" t="s">
        <v>259</v>
      </c>
      <c r="U8">
        <f>SUM(U4:U6)</f>
        <v>1.2602957839608561E-4</v>
      </c>
      <c r="V8">
        <f>U8/60</f>
        <v>2.1004929732680934E-6</v>
      </c>
      <c r="W8" t="s">
        <v>182</v>
      </c>
    </row>
    <row r="9" spans="1:23" x14ac:dyDescent="0.25">
      <c r="A9" t="s">
        <v>76</v>
      </c>
      <c r="B9">
        <f>0.8/1000</f>
        <v>8.0000000000000004E-4</v>
      </c>
      <c r="C9" t="s">
        <v>75</v>
      </c>
      <c r="F9" t="s">
        <v>79</v>
      </c>
      <c r="G9">
        <f>porosity!B13</f>
        <v>0.50876495752991502</v>
      </c>
    </row>
    <row r="10" spans="1:23" x14ac:dyDescent="0.25">
      <c r="A10" s="5" t="s">
        <v>156</v>
      </c>
    </row>
    <row r="11" spans="1:23" x14ac:dyDescent="0.25">
      <c r="A11" t="s">
        <v>62</v>
      </c>
      <c r="B11" t="s">
        <v>157</v>
      </c>
      <c r="D11" t="s">
        <v>164</v>
      </c>
      <c r="E11">
        <f>848</f>
        <v>848</v>
      </c>
      <c r="F11" t="s">
        <v>98</v>
      </c>
      <c r="K11" t="s">
        <v>176</v>
      </c>
      <c r="L11">
        <f>N7</f>
        <v>2.6175732492375262E-6</v>
      </c>
      <c r="M11" t="s">
        <v>257</v>
      </c>
      <c r="N11" t="s">
        <v>178</v>
      </c>
      <c r="P11" t="s">
        <v>176</v>
      </c>
      <c r="Q11">
        <f>Q7</f>
        <v>2.6175732492375258E-3</v>
      </c>
      <c r="R11" t="s">
        <v>257</v>
      </c>
      <c r="S11" t="s">
        <v>176</v>
      </c>
      <c r="T11">
        <f>V8</f>
        <v>2.1004929732680934E-6</v>
      </c>
      <c r="U11" t="s">
        <v>257</v>
      </c>
      <c r="V11" t="s">
        <v>178</v>
      </c>
    </row>
    <row r="12" spans="1:23" x14ac:dyDescent="0.25">
      <c r="A12" t="s">
        <v>62</v>
      </c>
      <c r="B12" s="5">
        <f>((1*E6)/(0.000082057*E11))</f>
        <v>377.09636260666485</v>
      </c>
      <c r="C12" s="5" t="s">
        <v>165</v>
      </c>
      <c r="K12" t="s">
        <v>81</v>
      </c>
      <c r="L12">
        <f>(3.142*(B7^2)/4)</f>
        <v>1.26693295E-4</v>
      </c>
      <c r="M12" t="s">
        <v>180</v>
      </c>
      <c r="P12" t="s">
        <v>81</v>
      </c>
      <c r="Q12">
        <f>L12</f>
        <v>1.26693295E-4</v>
      </c>
      <c r="R12" t="s">
        <v>180</v>
      </c>
      <c r="S12" t="s">
        <v>81</v>
      </c>
      <c r="T12">
        <f>L12</f>
        <v>1.26693295E-4</v>
      </c>
      <c r="U12" t="s">
        <v>180</v>
      </c>
    </row>
    <row r="14" spans="1:23" x14ac:dyDescent="0.25">
      <c r="K14" s="5" t="s">
        <v>262</v>
      </c>
      <c r="L14" s="5">
        <f>L11/L12</f>
        <v>2.0660708597384937E-2</v>
      </c>
      <c r="M14" s="5" t="s">
        <v>185</v>
      </c>
      <c r="P14" t="s">
        <v>277</v>
      </c>
      <c r="Q14">
        <f>Q11/Q12</f>
        <v>20.660708597384936</v>
      </c>
      <c r="S14" t="s">
        <v>262</v>
      </c>
      <c r="T14">
        <v>1.89</v>
      </c>
      <c r="U14" t="s">
        <v>185</v>
      </c>
    </row>
    <row r="15" spans="1:23" x14ac:dyDescent="0.25">
      <c r="A15" s="5" t="s">
        <v>166</v>
      </c>
      <c r="B15" s="5"/>
    </row>
    <row r="16" spans="1:23" x14ac:dyDescent="0.25">
      <c r="A16" t="s">
        <v>63</v>
      </c>
    </row>
    <row r="17" spans="1:23" x14ac:dyDescent="0.25">
      <c r="K17" t="s">
        <v>233</v>
      </c>
      <c r="L17">
        <f>(1.75*(1-G9))/(B9*(G9^3))*B12</f>
        <v>3077075.6477669636</v>
      </c>
      <c r="M17" t="s">
        <v>233</v>
      </c>
      <c r="N17">
        <f>(1.75*B12*(1-G9))/(B9*(G9^3))</f>
        <v>3077075.6477669631</v>
      </c>
      <c r="S17" t="s">
        <v>233</v>
      </c>
      <c r="T17">
        <f>(1.75*(1-G9))/(B9*(G9^3))*B12</f>
        <v>3077075.6477669636</v>
      </c>
      <c r="U17" t="s">
        <v>233</v>
      </c>
    </row>
    <row r="18" spans="1:23" x14ac:dyDescent="0.25">
      <c r="A18" t="s">
        <v>167</v>
      </c>
      <c r="B18">
        <f>(3.142*((B7^2)/4)*B8)</f>
        <v>5.7011982749999995E-6</v>
      </c>
      <c r="C18" t="s">
        <v>169</v>
      </c>
      <c r="K18" t="s">
        <v>234</v>
      </c>
      <c r="L18">
        <f>(150*(G8)*((1-G9)^2))/((B9^2)*(G9^3))</f>
        <v>229188.56253040052</v>
      </c>
      <c r="S18" t="s">
        <v>234</v>
      </c>
      <c r="T18">
        <f>(150*(G8)*((1-G9)^2))/((B9^2)*(G9^3))</f>
        <v>229188.56253040052</v>
      </c>
    </row>
    <row r="19" spans="1:23" x14ac:dyDescent="0.25">
      <c r="A19" t="s">
        <v>170</v>
      </c>
      <c r="B19">
        <f>0.05/1000</f>
        <v>5.0000000000000002E-5</v>
      </c>
      <c r="C19" t="s">
        <v>222</v>
      </c>
      <c r="D19" t="s">
        <v>274</v>
      </c>
      <c r="E19">
        <f>(45/30)*5</f>
        <v>7.5</v>
      </c>
      <c r="F19">
        <f>E19/1000</f>
        <v>7.4999999999999997E-3</v>
      </c>
      <c r="G19" t="s">
        <v>222</v>
      </c>
    </row>
    <row r="20" spans="1:23" x14ac:dyDescent="0.25">
      <c r="A20" s="5" t="s">
        <v>63</v>
      </c>
      <c r="B20" s="5">
        <f>B19/B18</f>
        <v>8.7700861447412137</v>
      </c>
      <c r="C20" s="5" t="s">
        <v>165</v>
      </c>
      <c r="D20" t="s">
        <v>275</v>
      </c>
      <c r="E20" t="s">
        <v>271</v>
      </c>
      <c r="F20" s="5">
        <f>(E19/1000)/B18</f>
        <v>1315.5129217111819</v>
      </c>
      <c r="K20" t="s">
        <v>236</v>
      </c>
      <c r="L20">
        <f>(L18+(L17*L14))</f>
        <v>292763.12582102325</v>
      </c>
      <c r="M20">
        <f>1/L20</f>
        <v>3.4157307112895644E-6</v>
      </c>
      <c r="S20" t="s">
        <v>236</v>
      </c>
      <c r="T20">
        <f>(T18+(T17*T14))</f>
        <v>6044861.5368099613</v>
      </c>
      <c r="U20">
        <f>1/T20</f>
        <v>1.6542976111372227E-7</v>
      </c>
      <c r="W20" t="s">
        <v>236</v>
      </c>
    </row>
    <row r="21" spans="1:23" x14ac:dyDescent="0.25">
      <c r="A21" t="s">
        <v>272</v>
      </c>
    </row>
    <row r="22" spans="1:23" x14ac:dyDescent="0.25">
      <c r="A22" t="s">
        <v>273</v>
      </c>
      <c r="K22" t="s">
        <v>237</v>
      </c>
      <c r="L22">
        <f>(-(L18*L14)+(L17*(L14^2)))*B8</f>
        <v>-153.97661600732607</v>
      </c>
      <c r="S22" t="s">
        <v>237</v>
      </c>
      <c r="T22">
        <f>(-(T18*T14)-(T17*(T14^2)))*B8</f>
        <v>-514115.47370568721</v>
      </c>
      <c r="U22">
        <f>-(B8*T20*T14)</f>
        <v>-514115.47370568715</v>
      </c>
    </row>
    <row r="23" spans="1:23" x14ac:dyDescent="0.25">
      <c r="K23" s="5" t="s">
        <v>238</v>
      </c>
      <c r="L23" s="5">
        <f>101325+(L22/-1)</f>
        <v>101478.97661600732</v>
      </c>
      <c r="M23" s="5" t="s">
        <v>264</v>
      </c>
      <c r="S23" s="11" t="s">
        <v>266</v>
      </c>
      <c r="T23" s="11">
        <f>-T22+101325</f>
        <v>615440.47370568721</v>
      </c>
      <c r="U23" s="11" t="s">
        <v>264</v>
      </c>
      <c r="V23" s="11" t="s">
        <v>267</v>
      </c>
    </row>
    <row r="24" spans="1:23" x14ac:dyDescent="0.25">
      <c r="P24" t="s">
        <v>263</v>
      </c>
      <c r="Q24">
        <f>0.4+(0.05*(B9/B7))+(0.412*((B9^2)/B7))</f>
        <v>0.403170368503937</v>
      </c>
      <c r="U24" s="7">
        <f>101325+(-1*(U22))</f>
        <v>615440.47370568709</v>
      </c>
      <c r="V24" s="7" t="s">
        <v>264</v>
      </c>
    </row>
    <row r="27" spans="1:23" x14ac:dyDescent="0.25">
      <c r="N27" t="s">
        <v>81</v>
      </c>
      <c r="O27" t="s">
        <v>82</v>
      </c>
      <c r="P27" t="s">
        <v>160</v>
      </c>
      <c r="Q27" t="s">
        <v>161</v>
      </c>
      <c r="R27" s="3" t="s">
        <v>163</v>
      </c>
      <c r="S27" t="s">
        <v>162</v>
      </c>
    </row>
    <row r="28" spans="1:23" x14ac:dyDescent="0.25">
      <c r="M28" t="s">
        <v>146</v>
      </c>
      <c r="N28">
        <f>0.34908</f>
        <v>0.34908</v>
      </c>
      <c r="O28">
        <f>0.24902</f>
        <v>0.24901999999999999</v>
      </c>
      <c r="P28">
        <f>0.1541</f>
        <v>0.15409999999999999</v>
      </c>
      <c r="Q28">
        <v>723</v>
      </c>
      <c r="R28">
        <f>(N28*O28)^-(1-(E11/Q28)*P28)</f>
        <v>7.3977870423424514</v>
      </c>
      <c r="S28">
        <f>0.6*R28</f>
        <v>4.4386722254054707</v>
      </c>
    </row>
    <row r="29" spans="1:23" x14ac:dyDescent="0.25">
      <c r="M29" t="s">
        <v>105</v>
      </c>
      <c r="N29">
        <v>0.43532999999999999</v>
      </c>
      <c r="O29">
        <v>0.28771999999999998</v>
      </c>
      <c r="P29">
        <v>0.29239999999999999</v>
      </c>
      <c r="Q29">
        <v>154.58000000000001</v>
      </c>
      <c r="R29">
        <f>(N29*O29)^-(1-(E$11/Q29)*P29)</f>
        <v>0.2851100427702174</v>
      </c>
      <c r="S29">
        <f>R29*0.06</f>
        <v>1.7106602566213044E-2</v>
      </c>
    </row>
    <row r="30" spans="1:23" x14ac:dyDescent="0.25">
      <c r="M30" t="s">
        <v>159</v>
      </c>
      <c r="N30">
        <v>0.34710000000000002</v>
      </c>
      <c r="O30">
        <v>0.27400000000000002</v>
      </c>
      <c r="P30">
        <v>0.28571000000000002</v>
      </c>
      <c r="Q30">
        <v>647.13</v>
      </c>
      <c r="R30">
        <f>(N30*O30)^-(1-(E$11/Q30)*P30)</f>
        <v>4.3575281104847008</v>
      </c>
      <c r="S30">
        <f>0.61*R30</f>
        <v>2.6580921473956676</v>
      </c>
    </row>
    <row r="31" spans="1:23" x14ac:dyDescent="0.25">
      <c r="M31" t="s">
        <v>107</v>
      </c>
      <c r="N31">
        <v>0.31204999999999999</v>
      </c>
      <c r="O31">
        <v>0.28478999999999999</v>
      </c>
      <c r="P31">
        <v>0.29249999999999998</v>
      </c>
      <c r="Q31">
        <v>126.1</v>
      </c>
      <c r="R31">
        <f>(N31*O31)^-(1-(E$11/Q31)*P31)</f>
        <v>9.625634579692291E-2</v>
      </c>
      <c r="S31">
        <f>0.23*R31</f>
        <v>2.2138959533292271E-2</v>
      </c>
    </row>
    <row r="32" spans="1:23" x14ac:dyDescent="0.25">
      <c r="S32">
        <f>SUM(S28:S31)</f>
        <v>7.1360099349006436</v>
      </c>
      <c r="T32" t="s">
        <v>162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A8" workbookViewId="0">
      <selection activeCell="L17" sqref="L17"/>
    </sheetView>
  </sheetViews>
  <sheetFormatPr defaultRowHeight="15" x14ac:dyDescent="0.25"/>
  <cols>
    <col min="1" max="1" width="15.85546875" customWidth="1"/>
    <col min="2" max="2" width="12.42578125" customWidth="1"/>
    <col min="3" max="3" width="10.140625" customWidth="1"/>
    <col min="10" max="10" width="5.5703125" customWidth="1"/>
    <col min="11" max="11" width="14.28515625" customWidth="1"/>
    <col min="12" max="12" width="12" bestFit="1" customWidth="1"/>
    <col min="13" max="13" width="12.7109375" bestFit="1" customWidth="1"/>
    <col min="14" max="14" width="12" bestFit="1" customWidth="1"/>
    <col min="15" max="15" width="7.28515625" customWidth="1"/>
    <col min="16" max="16" width="9.5703125" customWidth="1"/>
    <col min="18" max="18" width="12" bestFit="1" customWidth="1"/>
    <col min="20" max="22" width="12" bestFit="1" customWidth="1"/>
  </cols>
  <sheetData>
    <row r="1" spans="1:23" x14ac:dyDescent="0.25">
      <c r="A1" t="s">
        <v>100</v>
      </c>
      <c r="B1" t="s">
        <v>103</v>
      </c>
      <c r="C1" t="s">
        <v>99</v>
      </c>
      <c r="D1" t="s">
        <v>12</v>
      </c>
      <c r="E1" t="s">
        <v>108</v>
      </c>
      <c r="F1" t="s">
        <v>102</v>
      </c>
      <c r="K1" s="5" t="s">
        <v>171</v>
      </c>
      <c r="L1" t="s">
        <v>173</v>
      </c>
      <c r="S1" t="s">
        <v>171</v>
      </c>
      <c r="T1" t="s">
        <v>173</v>
      </c>
      <c r="U1" t="s">
        <v>261</v>
      </c>
    </row>
    <row r="2" spans="1:23" x14ac:dyDescent="0.25">
      <c r="A2" t="s">
        <v>101</v>
      </c>
      <c r="B2" t="s">
        <v>104</v>
      </c>
      <c r="C2">
        <v>69</v>
      </c>
      <c r="D2">
        <f>0.1</f>
        <v>0.1</v>
      </c>
      <c r="E2">
        <f>D2*C2</f>
        <v>6.9</v>
      </c>
      <c r="K2" t="s">
        <v>172</v>
      </c>
      <c r="L2">
        <f>(0.0019+0.0033)/2</f>
        <v>2.5999999999999999E-3</v>
      </c>
      <c r="S2" t="s">
        <v>172</v>
      </c>
      <c r="T2">
        <f>(0.001967)</f>
        <v>1.967E-3</v>
      </c>
      <c r="U2">
        <f>(T4*(12/1000))/2250</f>
        <v>2.7680000000000004E-8</v>
      </c>
      <c r="V2">
        <f>U2/60</f>
        <v>4.6133333333333339E-10</v>
      </c>
    </row>
    <row r="3" spans="1:23" x14ac:dyDescent="0.25">
      <c r="A3" t="s">
        <v>9</v>
      </c>
      <c r="B3" t="s">
        <v>105</v>
      </c>
      <c r="C3">
        <v>32</v>
      </c>
      <c r="D3">
        <f>0.06</f>
        <v>0.06</v>
      </c>
      <c r="E3">
        <f t="shared" ref="E3:E5" si="0">D3*C3</f>
        <v>1.92</v>
      </c>
      <c r="L3" t="s">
        <v>260</v>
      </c>
      <c r="M3" t="s">
        <v>261</v>
      </c>
      <c r="P3" t="s">
        <v>261</v>
      </c>
      <c r="T3" t="s">
        <v>260</v>
      </c>
    </row>
    <row r="4" spans="1:23" x14ac:dyDescent="0.25">
      <c r="A4" t="s">
        <v>27</v>
      </c>
      <c r="B4" t="s">
        <v>106</v>
      </c>
      <c r="C4">
        <v>18</v>
      </c>
      <c r="D4">
        <f>0.61</f>
        <v>0.61</v>
      </c>
      <c r="E4">
        <f t="shared" si="0"/>
        <v>10.98</v>
      </c>
      <c r="K4" t="s">
        <v>258</v>
      </c>
      <c r="L4">
        <f>2.6*L2</f>
        <v>6.7599999999999995E-3</v>
      </c>
      <c r="M4">
        <f>L4*(18.02/1000)*(1/0.8177)</f>
        <v>1.4897297297297298E-4</v>
      </c>
      <c r="P4">
        <f>L4*(18.02/1)*(1/0.8177)</f>
        <v>0.14897297297297296</v>
      </c>
      <c r="S4" t="s">
        <v>258</v>
      </c>
      <c r="T4">
        <f>0.00519</f>
        <v>5.1900000000000002E-3</v>
      </c>
      <c r="U4">
        <f>T4*(18.02/1000)*(1/0.8177)</f>
        <v>1.1437422037422039E-4</v>
      </c>
    </row>
    <row r="5" spans="1:23" x14ac:dyDescent="0.25">
      <c r="A5" t="s">
        <v>11</v>
      </c>
      <c r="B5" t="s">
        <v>107</v>
      </c>
      <c r="C5">
        <v>28</v>
      </c>
      <c r="D5">
        <f>0.23</f>
        <v>0.23</v>
      </c>
      <c r="E5">
        <f t="shared" si="0"/>
        <v>6.44</v>
      </c>
      <c r="K5" t="s">
        <v>105</v>
      </c>
      <c r="L5">
        <f>0.125*L2</f>
        <v>3.2499999999999999E-4</v>
      </c>
      <c r="M5">
        <f>L5*(32/1000)*(1/1.3537)</f>
        <v>7.6826475585432529E-6</v>
      </c>
      <c r="P5">
        <f>L5*(32/1)*(1/1.3537)</f>
        <v>7.6826475585432524E-3</v>
      </c>
      <c r="S5" t="s">
        <v>105</v>
      </c>
      <c r="T5">
        <f>0.000491</f>
        <v>4.9100000000000001E-4</v>
      </c>
      <c r="U5">
        <f>T5*(32/1000)*(1/1.3537)</f>
        <v>1.1606707542291499E-5</v>
      </c>
    </row>
    <row r="6" spans="1:23" x14ac:dyDescent="0.25">
      <c r="D6" t="s">
        <v>109</v>
      </c>
      <c r="E6" s="5">
        <f>SUM(E2:E5)</f>
        <v>26.240000000000002</v>
      </c>
      <c r="F6" t="s">
        <v>276</v>
      </c>
      <c r="G6">
        <f>E6/1000</f>
        <v>2.6240000000000003E-2</v>
      </c>
      <c r="H6" t="s">
        <v>158</v>
      </c>
      <c r="K6" t="s">
        <v>146</v>
      </c>
      <c r="L6">
        <f>2.5*L2</f>
        <v>6.4999999999999997E-3</v>
      </c>
      <c r="M6">
        <f>L6*(69.08/1000)*(1/1126)</f>
        <v>3.9877442273534638E-7</v>
      </c>
      <c r="P6">
        <f>L6*(69.08/1)*(1/1126)</f>
        <v>3.9877442273534636E-4</v>
      </c>
      <c r="S6" t="s">
        <v>146</v>
      </c>
      <c r="T6">
        <f>0.000793</f>
        <v>7.9299999999999998E-4</v>
      </c>
      <c r="U6">
        <f>T6*(69.08/1000)*(1/1126)</f>
        <v>4.8650479573712256E-8</v>
      </c>
    </row>
    <row r="7" spans="1:23" x14ac:dyDescent="0.25">
      <c r="A7" t="s">
        <v>24</v>
      </c>
      <c r="B7">
        <f>12.7/1000</f>
        <v>1.2699999999999999E-2</v>
      </c>
      <c r="C7" t="s">
        <v>75</v>
      </c>
      <c r="K7" t="s">
        <v>259</v>
      </c>
      <c r="M7">
        <f>SUM(M4:M6)</f>
        <v>1.5705439495425157E-4</v>
      </c>
      <c r="N7">
        <f>M7/60</f>
        <v>2.6175732492375262E-6</v>
      </c>
      <c r="O7" t="s">
        <v>182</v>
      </c>
      <c r="P7">
        <f>SUM(P4:P6)</f>
        <v>0.15705439495425155</v>
      </c>
      <c r="Q7">
        <f>P7/60</f>
        <v>2.6175732492375258E-3</v>
      </c>
      <c r="R7" t="s">
        <v>182</v>
      </c>
      <c r="S7" t="s">
        <v>107</v>
      </c>
      <c r="T7">
        <f>0.001962</f>
        <v>1.9620000000000002E-3</v>
      </c>
      <c r="U7">
        <f>T7*(28/1000)*(1/1.2504)</f>
        <v>4.3934740882917472E-5</v>
      </c>
    </row>
    <row r="8" spans="1:23" x14ac:dyDescent="0.25">
      <c r="A8" t="s">
        <v>168</v>
      </c>
      <c r="B8">
        <f>45/1000</f>
        <v>4.4999999999999998E-2</v>
      </c>
      <c r="C8" t="s">
        <v>75</v>
      </c>
      <c r="F8" t="s">
        <v>235</v>
      </c>
      <c r="G8">
        <f>viscosity!O26</f>
        <v>5.3364758406074849E-4</v>
      </c>
      <c r="S8" t="s">
        <v>259</v>
      </c>
      <c r="U8">
        <f>SUM(U4:U6)</f>
        <v>1.2602957839608561E-4</v>
      </c>
      <c r="V8">
        <f>U8/60</f>
        <v>2.1004929732680934E-6</v>
      </c>
      <c r="W8" t="s">
        <v>182</v>
      </c>
    </row>
    <row r="9" spans="1:23" x14ac:dyDescent="0.25">
      <c r="A9" t="s">
        <v>76</v>
      </c>
      <c r="B9">
        <f>0.8/1000</f>
        <v>8.0000000000000004E-4</v>
      </c>
      <c r="C9" t="s">
        <v>75</v>
      </c>
      <c r="F9" t="s">
        <v>79</v>
      </c>
      <c r="G9">
        <f>porosity!B13</f>
        <v>0.50876495752991502</v>
      </c>
    </row>
    <row r="10" spans="1:23" x14ac:dyDescent="0.25">
      <c r="A10" s="5" t="s">
        <v>156</v>
      </c>
    </row>
    <row r="11" spans="1:23" x14ac:dyDescent="0.25">
      <c r="A11" t="s">
        <v>62</v>
      </c>
      <c r="B11" t="s">
        <v>157</v>
      </c>
      <c r="D11" t="s">
        <v>164</v>
      </c>
      <c r="E11">
        <f>848</f>
        <v>848</v>
      </c>
      <c r="F11" t="s">
        <v>98</v>
      </c>
      <c r="K11" t="s">
        <v>176</v>
      </c>
      <c r="L11">
        <f>N7</f>
        <v>2.6175732492375262E-6</v>
      </c>
      <c r="M11" t="s">
        <v>257</v>
      </c>
      <c r="N11" t="s">
        <v>178</v>
      </c>
      <c r="P11" t="s">
        <v>176</v>
      </c>
      <c r="Q11">
        <f>Q7</f>
        <v>2.6175732492375258E-3</v>
      </c>
      <c r="R11" t="s">
        <v>257</v>
      </c>
      <c r="S11" t="s">
        <v>176</v>
      </c>
      <c r="T11">
        <f>V8</f>
        <v>2.1004929732680934E-6</v>
      </c>
      <c r="U11" t="s">
        <v>257</v>
      </c>
      <c r="V11" t="s">
        <v>178</v>
      </c>
    </row>
    <row r="12" spans="1:23" x14ac:dyDescent="0.25">
      <c r="A12" t="s">
        <v>62</v>
      </c>
      <c r="B12" s="5">
        <f>((1*E6)/(0.000082057*E11))</f>
        <v>377.09636260666485</v>
      </c>
      <c r="C12" s="5" t="s">
        <v>165</v>
      </c>
      <c r="K12" t="s">
        <v>81</v>
      </c>
      <c r="L12">
        <f>(3.142*(B7^2)/4)</f>
        <v>1.26693295E-4</v>
      </c>
      <c r="M12" t="s">
        <v>180</v>
      </c>
      <c r="P12" t="s">
        <v>81</v>
      </c>
      <c r="Q12">
        <f>L12</f>
        <v>1.26693295E-4</v>
      </c>
      <c r="R12" t="s">
        <v>180</v>
      </c>
      <c r="S12" t="s">
        <v>81</v>
      </c>
      <c r="T12">
        <f>L12</f>
        <v>1.26693295E-4</v>
      </c>
      <c r="U12" t="s">
        <v>180</v>
      </c>
    </row>
    <row r="14" spans="1:23" x14ac:dyDescent="0.25">
      <c r="K14" s="5" t="s">
        <v>262</v>
      </c>
      <c r="L14" s="5">
        <f>L11/L12</f>
        <v>2.0660708597384937E-2</v>
      </c>
      <c r="M14" s="5" t="s">
        <v>185</v>
      </c>
      <c r="P14" t="s">
        <v>277</v>
      </c>
      <c r="Q14">
        <f>Q11/Q12</f>
        <v>20.660708597384936</v>
      </c>
      <c r="S14" t="s">
        <v>262</v>
      </c>
      <c r="T14">
        <f>T11/T12</f>
        <v>1.6579353889786302E-2</v>
      </c>
      <c r="U14" t="s">
        <v>185</v>
      </c>
    </row>
    <row r="15" spans="1:23" x14ac:dyDescent="0.25">
      <c r="A15" s="5" t="s">
        <v>166</v>
      </c>
      <c r="B15" s="5"/>
    </row>
    <row r="16" spans="1:23" x14ac:dyDescent="0.25">
      <c r="A16" t="s">
        <v>63</v>
      </c>
    </row>
    <row r="17" spans="1:23" x14ac:dyDescent="0.25">
      <c r="K17" t="s">
        <v>233</v>
      </c>
      <c r="L17">
        <f>(1.75*(1-G9))/(B9*(G9^3))*B12</f>
        <v>3077075.6477669636</v>
      </c>
      <c r="M17" t="s">
        <v>233</v>
      </c>
      <c r="N17">
        <f>(1.75*B12*(1-G9))/(B9*(G9^3))</f>
        <v>3077075.6477669631</v>
      </c>
      <c r="S17" t="s">
        <v>233</v>
      </c>
      <c r="T17">
        <f>(1.75*(1-G9))/(B9*(G9^3))*B12</f>
        <v>3077075.6477669636</v>
      </c>
      <c r="U17" t="s">
        <v>233</v>
      </c>
    </row>
    <row r="18" spans="1:23" x14ac:dyDescent="0.25">
      <c r="A18" t="s">
        <v>167</v>
      </c>
      <c r="B18">
        <f>(3.142*((B7^2)/4)*B8)</f>
        <v>5.7011982749999995E-6</v>
      </c>
      <c r="C18" t="s">
        <v>169</v>
      </c>
      <c r="K18" t="s">
        <v>234</v>
      </c>
      <c r="L18">
        <f>(150*(G8)*((1-G9)^2))/((B9^2)*(G9^3))</f>
        <v>229188.56253040052</v>
      </c>
      <c r="S18" t="s">
        <v>234</v>
      </c>
      <c r="T18">
        <f>(150*(G8)*((1-G9)^2))/((B9^2)*(G9^3))</f>
        <v>229188.56253040052</v>
      </c>
    </row>
    <row r="19" spans="1:23" x14ac:dyDescent="0.25">
      <c r="A19" t="s">
        <v>170</v>
      </c>
      <c r="B19">
        <f>0.05/1000</f>
        <v>5.0000000000000002E-5</v>
      </c>
      <c r="C19" t="s">
        <v>222</v>
      </c>
      <c r="D19" t="s">
        <v>274</v>
      </c>
      <c r="E19">
        <f>(45/30)*5</f>
        <v>7.5</v>
      </c>
      <c r="F19">
        <f>E19/1000</f>
        <v>7.4999999999999997E-3</v>
      </c>
      <c r="G19" t="s">
        <v>222</v>
      </c>
    </row>
    <row r="20" spans="1:23" x14ac:dyDescent="0.25">
      <c r="A20" s="5" t="s">
        <v>63</v>
      </c>
      <c r="B20" s="5">
        <f>B19/B18</f>
        <v>8.7700861447412137</v>
      </c>
      <c r="C20" s="5" t="s">
        <v>165</v>
      </c>
      <c r="D20" t="s">
        <v>275</v>
      </c>
      <c r="E20" t="s">
        <v>271</v>
      </c>
      <c r="F20" s="5">
        <f>(E19/1000)/B18</f>
        <v>1315.5129217111819</v>
      </c>
      <c r="K20" t="s">
        <v>236</v>
      </c>
      <c r="L20">
        <f>(L18+(L17*L14))</f>
        <v>292763.12582102325</v>
      </c>
      <c r="M20">
        <f>1/L20</f>
        <v>3.4157307112895644E-6</v>
      </c>
      <c r="S20" t="s">
        <v>236</v>
      </c>
      <c r="T20">
        <f>(T18+(T17*T14))</f>
        <v>280204.48864037241</v>
      </c>
      <c r="U20">
        <f>1/T20</f>
        <v>3.5688222014296384E-6</v>
      </c>
      <c r="W20" t="s">
        <v>236</v>
      </c>
    </row>
    <row r="21" spans="1:23" x14ac:dyDescent="0.25">
      <c r="A21" t="s">
        <v>272</v>
      </c>
    </row>
    <row r="22" spans="1:23" x14ac:dyDescent="0.25">
      <c r="A22" t="s">
        <v>273</v>
      </c>
      <c r="K22" t="s">
        <v>237</v>
      </c>
      <c r="L22">
        <f>(-(L18*L14)+(L17*(L14^2)))*B8</f>
        <v>-153.97661600732607</v>
      </c>
      <c r="S22" t="s">
        <v>237</v>
      </c>
      <c r="T22">
        <f>(-(T18*T14)-(T17*(T14^2)))*B8</f>
        <v>-209.05242204039033</v>
      </c>
      <c r="U22">
        <f>-(B8*T20*T14)</f>
        <v>-209.0524220403903</v>
      </c>
    </row>
    <row r="23" spans="1:23" x14ac:dyDescent="0.25">
      <c r="K23" s="5" t="s">
        <v>238</v>
      </c>
      <c r="L23" s="5">
        <f>101325+(L22/-1)</f>
        <v>101478.97661600732</v>
      </c>
      <c r="M23" s="5" t="s">
        <v>264</v>
      </c>
      <c r="S23" s="11" t="s">
        <v>266</v>
      </c>
      <c r="T23" s="11">
        <f>-T22+101325</f>
        <v>101534.05242204039</v>
      </c>
      <c r="U23" s="11" t="s">
        <v>264</v>
      </c>
      <c r="V23" s="11" t="s">
        <v>267</v>
      </c>
    </row>
    <row r="24" spans="1:23" x14ac:dyDescent="0.25">
      <c r="P24" t="s">
        <v>263</v>
      </c>
      <c r="Q24">
        <f>0.4+(0.05*(B9/B7))+(0.412*((B9^2)/B7))</f>
        <v>0.403170368503937</v>
      </c>
      <c r="U24" s="7">
        <f>101325+(-1*(U22))</f>
        <v>101534.05242204039</v>
      </c>
      <c r="V24" s="7" t="s">
        <v>264</v>
      </c>
    </row>
    <row r="27" spans="1:23" x14ac:dyDescent="0.25">
      <c r="N27" t="s">
        <v>81</v>
      </c>
      <c r="O27" t="s">
        <v>82</v>
      </c>
      <c r="P27" t="s">
        <v>160</v>
      </c>
      <c r="Q27" t="s">
        <v>161</v>
      </c>
      <c r="R27" s="3" t="s">
        <v>163</v>
      </c>
      <c r="S27" t="s">
        <v>162</v>
      </c>
    </row>
    <row r="28" spans="1:23" x14ac:dyDescent="0.25">
      <c r="M28" t="s">
        <v>146</v>
      </c>
      <c r="N28">
        <f>0.34908</f>
        <v>0.34908</v>
      </c>
      <c r="O28">
        <f>0.24902</f>
        <v>0.24901999999999999</v>
      </c>
      <c r="P28">
        <f>0.1541</f>
        <v>0.15409999999999999</v>
      </c>
      <c r="Q28">
        <v>723</v>
      </c>
      <c r="R28">
        <f>(N28*O28)^-(1-(E11/Q28)*P28)</f>
        <v>7.3977870423424514</v>
      </c>
      <c r="S28">
        <f>0.6*R28</f>
        <v>4.4386722254054707</v>
      </c>
    </row>
    <row r="29" spans="1:23" x14ac:dyDescent="0.25">
      <c r="M29" t="s">
        <v>105</v>
      </c>
      <c r="N29">
        <v>0.43532999999999999</v>
      </c>
      <c r="O29">
        <v>0.28771999999999998</v>
      </c>
      <c r="P29">
        <v>0.29239999999999999</v>
      </c>
      <c r="Q29">
        <v>154.58000000000001</v>
      </c>
      <c r="R29">
        <f>(N29*O29)^-(1-(E$11/Q29)*P29)</f>
        <v>0.2851100427702174</v>
      </c>
      <c r="S29">
        <f>R29*0.06</f>
        <v>1.7106602566213044E-2</v>
      </c>
    </row>
    <row r="30" spans="1:23" x14ac:dyDescent="0.25">
      <c r="M30" t="s">
        <v>159</v>
      </c>
      <c r="N30">
        <v>0.34710000000000002</v>
      </c>
      <c r="O30">
        <v>0.27400000000000002</v>
      </c>
      <c r="P30">
        <v>0.28571000000000002</v>
      </c>
      <c r="Q30">
        <v>647.13</v>
      </c>
      <c r="R30">
        <f>(N30*O30)^-(1-(E$11/Q30)*P30)</f>
        <v>4.3575281104847008</v>
      </c>
      <c r="S30">
        <f>0.61*R30</f>
        <v>2.6580921473956676</v>
      </c>
    </row>
    <row r="31" spans="1:23" x14ac:dyDescent="0.25">
      <c r="M31" t="s">
        <v>107</v>
      </c>
      <c r="N31">
        <v>0.31204999999999999</v>
      </c>
      <c r="O31">
        <v>0.28478999999999999</v>
      </c>
      <c r="P31">
        <v>0.29249999999999998</v>
      </c>
      <c r="Q31">
        <v>126.1</v>
      </c>
      <c r="R31">
        <f>(N31*O31)^-(1-(E$11/Q31)*P31)</f>
        <v>9.625634579692291E-2</v>
      </c>
      <c r="S31">
        <f>0.23*R31</f>
        <v>2.2138959533292271E-2</v>
      </c>
    </row>
    <row r="32" spans="1:23" x14ac:dyDescent="0.25">
      <c r="S32">
        <f>SUM(S28:S31)</f>
        <v>7.1360099349006436</v>
      </c>
      <c r="T32" t="s">
        <v>162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5" workbookViewId="0">
      <selection activeCell="A12" sqref="A12:C12"/>
    </sheetView>
  </sheetViews>
  <sheetFormatPr defaultRowHeight="15" x14ac:dyDescent="0.25"/>
  <cols>
    <col min="1" max="1" width="15.85546875" customWidth="1"/>
    <col min="2" max="2" width="12.42578125" customWidth="1"/>
    <col min="3" max="3" width="10.140625" customWidth="1"/>
    <col min="10" max="10" width="5.5703125" customWidth="1"/>
    <col min="11" max="11" width="14.28515625" customWidth="1"/>
    <col min="12" max="14" width="12" bestFit="1" customWidth="1"/>
    <col min="15" max="15" width="7.28515625" customWidth="1"/>
    <col min="16" max="16" width="9.5703125" customWidth="1"/>
  </cols>
  <sheetData>
    <row r="1" spans="1:15" x14ac:dyDescent="0.25">
      <c r="A1" t="s">
        <v>100</v>
      </c>
      <c r="B1" t="s">
        <v>103</v>
      </c>
      <c r="C1" t="s">
        <v>99</v>
      </c>
      <c r="D1" t="s">
        <v>12</v>
      </c>
      <c r="E1" t="s">
        <v>108</v>
      </c>
      <c r="F1" t="s">
        <v>102</v>
      </c>
      <c r="K1" t="s">
        <v>171</v>
      </c>
      <c r="L1" t="s">
        <v>173</v>
      </c>
      <c r="M1" t="s">
        <v>261</v>
      </c>
    </row>
    <row r="2" spans="1:15" x14ac:dyDescent="0.25">
      <c r="A2" t="s">
        <v>101</v>
      </c>
      <c r="B2" t="s">
        <v>104</v>
      </c>
      <c r="C2">
        <v>69</v>
      </c>
      <c r="D2">
        <f>0.1</f>
        <v>0.1</v>
      </c>
      <c r="E2">
        <f>D2*C2</f>
        <v>6.9</v>
      </c>
      <c r="K2" t="s">
        <v>172</v>
      </c>
      <c r="L2">
        <f>(0.001967)</f>
        <v>1.967E-3</v>
      </c>
      <c r="M2">
        <f>(L4*(12/1000))/2250</f>
        <v>2.7680000000000004E-8</v>
      </c>
      <c r="N2">
        <f>M2/60</f>
        <v>4.6133333333333339E-10</v>
      </c>
    </row>
    <row r="3" spans="1:15" x14ac:dyDescent="0.25">
      <c r="A3" t="s">
        <v>9</v>
      </c>
      <c r="B3" t="s">
        <v>105</v>
      </c>
      <c r="C3">
        <v>32</v>
      </c>
      <c r="D3">
        <f>0.06</f>
        <v>0.06</v>
      </c>
      <c r="E3">
        <f t="shared" ref="E3:E5" si="0">D3*C3</f>
        <v>1.92</v>
      </c>
      <c r="L3" t="s">
        <v>260</v>
      </c>
    </row>
    <row r="4" spans="1:15" x14ac:dyDescent="0.25">
      <c r="A4" t="s">
        <v>27</v>
      </c>
      <c r="B4" t="s">
        <v>106</v>
      </c>
      <c r="C4">
        <v>18</v>
      </c>
      <c r="D4">
        <f>0.61</f>
        <v>0.61</v>
      </c>
      <c r="E4">
        <f t="shared" si="0"/>
        <v>10.98</v>
      </c>
      <c r="K4" t="s">
        <v>258</v>
      </c>
      <c r="L4">
        <f>0.00519</f>
        <v>5.1900000000000002E-3</v>
      </c>
      <c r="M4">
        <f>L4*(18.02/1000)*(1/0.8177)</f>
        <v>1.1437422037422039E-4</v>
      </c>
    </row>
    <row r="5" spans="1:15" x14ac:dyDescent="0.25">
      <c r="A5" t="s">
        <v>11</v>
      </c>
      <c r="B5" t="s">
        <v>107</v>
      </c>
      <c r="C5">
        <v>28</v>
      </c>
      <c r="D5">
        <f>0.23</f>
        <v>0.23</v>
      </c>
      <c r="E5">
        <f t="shared" si="0"/>
        <v>6.44</v>
      </c>
      <c r="K5" t="s">
        <v>105</v>
      </c>
      <c r="L5">
        <f>0.000491</f>
        <v>4.9100000000000001E-4</v>
      </c>
      <c r="M5">
        <f>L5*(32/1000)*(1/1.3537)</f>
        <v>1.1606707542291499E-5</v>
      </c>
    </row>
    <row r="6" spans="1:15" x14ac:dyDescent="0.25">
      <c r="D6" t="s">
        <v>109</v>
      </c>
      <c r="E6" s="5">
        <f>SUM(E2:E5)</f>
        <v>26.240000000000002</v>
      </c>
      <c r="F6" t="s">
        <v>270</v>
      </c>
      <c r="H6">
        <f>E6/1000</f>
        <v>2.6240000000000003E-2</v>
      </c>
      <c r="I6" t="s">
        <v>158</v>
      </c>
      <c r="K6" t="s">
        <v>146</v>
      </c>
      <c r="L6">
        <f>0.000793</f>
        <v>7.9299999999999998E-4</v>
      </c>
      <c r="M6">
        <f>L6*(69.08/1000)*(1/1126)</f>
        <v>4.8650479573712256E-8</v>
      </c>
    </row>
    <row r="7" spans="1:15" x14ac:dyDescent="0.25">
      <c r="A7" t="s">
        <v>24</v>
      </c>
      <c r="B7">
        <f>12.7/1000</f>
        <v>1.2699999999999999E-2</v>
      </c>
      <c r="C7" t="s">
        <v>75</v>
      </c>
      <c r="K7" t="s">
        <v>107</v>
      </c>
      <c r="L7">
        <f>0.001962</f>
        <v>1.9620000000000002E-3</v>
      </c>
      <c r="M7">
        <f>L7*(28/1000)*(1/1.2504)</f>
        <v>4.3934740882917472E-5</v>
      </c>
    </row>
    <row r="8" spans="1:15" x14ac:dyDescent="0.25">
      <c r="A8" t="s">
        <v>168</v>
      </c>
      <c r="B8">
        <f>45/1000</f>
        <v>4.4999999999999998E-2</v>
      </c>
      <c r="C8" t="s">
        <v>75</v>
      </c>
      <c r="F8" t="s">
        <v>235</v>
      </c>
      <c r="G8">
        <f>viscosity!O26</f>
        <v>5.3364758406074849E-4</v>
      </c>
      <c r="K8" t="s">
        <v>259</v>
      </c>
      <c r="M8">
        <f>SUM(M4:M6)</f>
        <v>1.2602957839608561E-4</v>
      </c>
      <c r="N8">
        <f>M8/60</f>
        <v>2.1004929732680934E-6</v>
      </c>
      <c r="O8" t="s">
        <v>182</v>
      </c>
    </row>
    <row r="9" spans="1:15" x14ac:dyDescent="0.25">
      <c r="A9" t="s">
        <v>76</v>
      </c>
      <c r="B9">
        <f>0.8/1000</f>
        <v>8.0000000000000004E-4</v>
      </c>
      <c r="C9" t="s">
        <v>75</v>
      </c>
      <c r="F9" t="s">
        <v>79</v>
      </c>
      <c r="G9">
        <f>porosity!B13</f>
        <v>0.50876495752991502</v>
      </c>
    </row>
    <row r="10" spans="1:15" x14ac:dyDescent="0.25">
      <c r="A10" s="5" t="s">
        <v>156</v>
      </c>
    </row>
    <row r="11" spans="1:15" x14ac:dyDescent="0.25">
      <c r="A11" t="s">
        <v>62</v>
      </c>
      <c r="B11" t="s">
        <v>157</v>
      </c>
      <c r="D11" t="s">
        <v>164</v>
      </c>
      <c r="E11">
        <f>848</f>
        <v>848</v>
      </c>
      <c r="F11" t="s">
        <v>98</v>
      </c>
    </row>
    <row r="12" spans="1:15" x14ac:dyDescent="0.25">
      <c r="A12" t="s">
        <v>62</v>
      </c>
      <c r="B12" s="5">
        <f>((1*E6)/(0.000082057*E11))</f>
        <v>377.09636260666485</v>
      </c>
      <c r="C12" s="5" t="s">
        <v>165</v>
      </c>
      <c r="K12" t="s">
        <v>176</v>
      </c>
      <c r="L12">
        <f>N8</f>
        <v>2.1004929732680934E-6</v>
      </c>
      <c r="M12" t="s">
        <v>257</v>
      </c>
      <c r="N12" t="s">
        <v>178</v>
      </c>
    </row>
    <row r="13" spans="1:15" x14ac:dyDescent="0.25">
      <c r="K13" t="s">
        <v>184</v>
      </c>
      <c r="L13">
        <f>L12</f>
        <v>2.1004929732680934E-6</v>
      </c>
      <c r="M13" t="s">
        <v>182</v>
      </c>
    </row>
    <row r="14" spans="1:15" x14ac:dyDescent="0.25">
      <c r="K14" t="s">
        <v>81</v>
      </c>
      <c r="L14">
        <f>(3.142*(B7^2)/4)</f>
        <v>1.26693295E-4</v>
      </c>
      <c r="M14" t="s">
        <v>180</v>
      </c>
    </row>
    <row r="15" spans="1:15" x14ac:dyDescent="0.25">
      <c r="A15" s="5" t="s">
        <v>166</v>
      </c>
      <c r="B15" s="5"/>
      <c r="K15" s="5" t="s">
        <v>179</v>
      </c>
      <c r="L15" s="5">
        <f>L13/L14</f>
        <v>1.6579353889786302E-2</v>
      </c>
      <c r="M15" s="5">
        <f>L13/L14</f>
        <v>1.6579353889786302E-2</v>
      </c>
      <c r="N15" s="5" t="s">
        <v>185</v>
      </c>
    </row>
    <row r="16" spans="1:15" x14ac:dyDescent="0.25">
      <c r="A16" t="s">
        <v>63</v>
      </c>
    </row>
    <row r="18" spans="1:20" x14ac:dyDescent="0.25">
      <c r="A18" t="s">
        <v>167</v>
      </c>
      <c r="B18">
        <f>(3.142*((B7^2)/4)*B8)</f>
        <v>5.7011982749999995E-6</v>
      </c>
      <c r="C18" t="s">
        <v>169</v>
      </c>
      <c r="K18" t="s">
        <v>233</v>
      </c>
      <c r="L18">
        <f>(1.75*B12*(1-G9))/(B9*(G9^3))</f>
        <v>3077075.6477669631</v>
      </c>
    </row>
    <row r="19" spans="1:20" x14ac:dyDescent="0.25">
      <c r="A19" t="s">
        <v>170</v>
      </c>
      <c r="B19">
        <f>0.05/1000</f>
        <v>5.0000000000000002E-5</v>
      </c>
      <c r="C19" t="s">
        <v>222</v>
      </c>
      <c r="D19" t="s">
        <v>274</v>
      </c>
      <c r="E19">
        <f>(45/30)*5</f>
        <v>7.5</v>
      </c>
      <c r="F19">
        <f>E19/1000</f>
        <v>7.4999999999999997E-3</v>
      </c>
      <c r="G19" t="s">
        <v>222</v>
      </c>
      <c r="K19" t="s">
        <v>234</v>
      </c>
      <c r="L19">
        <f>(150*(G8)*((1-G9)^2))/((B9^2)*((G9)^3))</f>
        <v>229188.56253040052</v>
      </c>
    </row>
    <row r="20" spans="1:20" x14ac:dyDescent="0.25">
      <c r="A20" s="5" t="s">
        <v>63</v>
      </c>
      <c r="B20" s="5">
        <f>B19/B18</f>
        <v>8.7700861447412137</v>
      </c>
      <c r="C20" s="5" t="s">
        <v>165</v>
      </c>
      <c r="D20" t="s">
        <v>275</v>
      </c>
      <c r="E20" t="s">
        <v>271</v>
      </c>
      <c r="F20" s="5">
        <f>(E19/1000)/B18</f>
        <v>1315.5129217111819</v>
      </c>
    </row>
    <row r="21" spans="1:20" x14ac:dyDescent="0.25">
      <c r="A21" t="s">
        <v>272</v>
      </c>
      <c r="K21" t="s">
        <v>236</v>
      </c>
      <c r="L21">
        <f>(L19+(L18*L15))</f>
        <v>280204.48864037241</v>
      </c>
      <c r="M21">
        <f>1/L21</f>
        <v>3.5688222014296384E-6</v>
      </c>
    </row>
    <row r="22" spans="1:20" x14ac:dyDescent="0.25">
      <c r="A22" t="s">
        <v>273</v>
      </c>
    </row>
    <row r="23" spans="1:20" x14ac:dyDescent="0.25">
      <c r="K23" t="s">
        <v>237</v>
      </c>
      <c r="L23">
        <f>-L21*L15*B8</f>
        <v>-209.0524220403903</v>
      </c>
    </row>
    <row r="24" spans="1:20" x14ac:dyDescent="0.25">
      <c r="K24" s="5" t="s">
        <v>238</v>
      </c>
      <c r="L24" s="5">
        <f>101325+(-1*L23)</f>
        <v>101534.05242204039</v>
      </c>
      <c r="M24" s="5" t="s">
        <v>264</v>
      </c>
    </row>
    <row r="27" spans="1:20" x14ac:dyDescent="0.25">
      <c r="N27" t="s">
        <v>81</v>
      </c>
      <c r="O27" t="s">
        <v>82</v>
      </c>
      <c r="P27" t="s">
        <v>160</v>
      </c>
      <c r="Q27" t="s">
        <v>161</v>
      </c>
      <c r="R27" s="3" t="s">
        <v>163</v>
      </c>
      <c r="S27" t="s">
        <v>162</v>
      </c>
    </row>
    <row r="28" spans="1:20" x14ac:dyDescent="0.25">
      <c r="M28" t="s">
        <v>146</v>
      </c>
      <c r="N28">
        <f>0.34908</f>
        <v>0.34908</v>
      </c>
      <c r="O28">
        <f>0.24902</f>
        <v>0.24901999999999999</v>
      </c>
      <c r="P28">
        <f>0.1541</f>
        <v>0.15409999999999999</v>
      </c>
      <c r="Q28">
        <v>723</v>
      </c>
      <c r="R28">
        <f>(N28*O28)^-(1-(E11/Q28)*P28)</f>
        <v>7.3977870423424514</v>
      </c>
      <c r="S28">
        <f>0.6*R28</f>
        <v>4.4386722254054707</v>
      </c>
    </row>
    <row r="29" spans="1:20" x14ac:dyDescent="0.25">
      <c r="M29" t="s">
        <v>105</v>
      </c>
      <c r="N29">
        <v>0.43532999999999999</v>
      </c>
      <c r="O29">
        <v>0.28771999999999998</v>
      </c>
      <c r="P29">
        <v>0.29239999999999999</v>
      </c>
      <c r="Q29">
        <v>154.58000000000001</v>
      </c>
      <c r="R29">
        <f>(N29*O29)^-(1-(E$11/Q29)*P29)</f>
        <v>0.2851100427702174</v>
      </c>
      <c r="S29">
        <f>R29*0.06</f>
        <v>1.7106602566213044E-2</v>
      </c>
    </row>
    <row r="30" spans="1:20" x14ac:dyDescent="0.25">
      <c r="M30" t="s">
        <v>159</v>
      </c>
      <c r="N30">
        <v>0.34710000000000002</v>
      </c>
      <c r="O30">
        <v>0.27400000000000002</v>
      </c>
      <c r="P30">
        <v>0.28571000000000002</v>
      </c>
      <c r="Q30">
        <v>647.13</v>
      </c>
      <c r="R30">
        <f>(N30*O30)^-(1-(E$11/Q30)*P30)</f>
        <v>4.3575281104847008</v>
      </c>
      <c r="S30">
        <f>0.61*R30</f>
        <v>2.6580921473956676</v>
      </c>
    </row>
    <row r="31" spans="1:20" x14ac:dyDescent="0.25">
      <c r="M31" t="s">
        <v>107</v>
      </c>
      <c r="N31">
        <v>0.31204999999999999</v>
      </c>
      <c r="O31">
        <v>0.28478999999999999</v>
      </c>
      <c r="P31">
        <v>0.29249999999999998</v>
      </c>
      <c r="Q31">
        <v>126.1</v>
      </c>
      <c r="R31">
        <f>(N31*O31)^-(1-(E$11/Q31)*P31)</f>
        <v>9.625634579692291E-2</v>
      </c>
      <c r="S31">
        <f>0.23*R31</f>
        <v>2.2138959533292271E-2</v>
      </c>
    </row>
    <row r="32" spans="1:20" x14ac:dyDescent="0.25">
      <c r="S32">
        <f>SUM(S28:S31)</f>
        <v>7.1360099349006436</v>
      </c>
      <c r="T32" t="s">
        <v>162</v>
      </c>
    </row>
    <row r="33" spans="11:17" x14ac:dyDescent="0.25">
      <c r="K33" s="5" t="s">
        <v>171</v>
      </c>
      <c r="Q33" t="s">
        <v>260</v>
      </c>
    </row>
    <row r="34" spans="11:17" x14ac:dyDescent="0.25">
      <c r="K34" t="s">
        <v>172</v>
      </c>
      <c r="L34">
        <f>(0.0019+0.0033)/2</f>
        <v>2.5999999999999999E-3</v>
      </c>
      <c r="M34" t="s">
        <v>173</v>
      </c>
      <c r="P34" t="s">
        <v>258</v>
      </c>
      <c r="Q34">
        <f>2.6*L34</f>
        <v>6.7599999999999995E-3</v>
      </c>
    </row>
    <row r="35" spans="11:17" x14ac:dyDescent="0.25">
      <c r="K35" t="s">
        <v>174</v>
      </c>
      <c r="L35">
        <f>2.5*L34</f>
        <v>6.4999999999999997E-3</v>
      </c>
      <c r="M35" t="s">
        <v>173</v>
      </c>
      <c r="P35" t="s">
        <v>105</v>
      </c>
      <c r="Q35">
        <f>0.125*L34</f>
        <v>3.2499999999999999E-4</v>
      </c>
    </row>
    <row r="36" spans="11:17" x14ac:dyDescent="0.25">
      <c r="K36" t="s">
        <v>174</v>
      </c>
      <c r="L36">
        <f>L35/69</f>
        <v>9.4202898550724634E-5</v>
      </c>
      <c r="M36" t="s">
        <v>175</v>
      </c>
      <c r="N36">
        <f>(L36/1000)/(3600)</f>
        <v>2.6167471819645733E-11</v>
      </c>
      <c r="O36" t="s">
        <v>177</v>
      </c>
      <c r="P36" t="s">
        <v>146</v>
      </c>
      <c r="Q36">
        <f>2.5*L34</f>
        <v>6.4999999999999997E-3</v>
      </c>
    </row>
    <row r="37" spans="11:17" x14ac:dyDescent="0.25">
      <c r="K37" t="s">
        <v>181</v>
      </c>
      <c r="L37">
        <f>(L34/12)/3600</f>
        <v>6.0185185185185187E-8</v>
      </c>
      <c r="M37" t="s">
        <v>183</v>
      </c>
      <c r="N37">
        <f>L37/1000</f>
        <v>6.0185185185185183E-11</v>
      </c>
      <c r="O37" t="s">
        <v>177</v>
      </c>
      <c r="P37" t="s">
        <v>259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opLeftCell="E1" workbookViewId="0">
      <selection activeCell="P16" sqref="P16"/>
    </sheetView>
  </sheetViews>
  <sheetFormatPr defaultRowHeight="15" x14ac:dyDescent="0.25"/>
  <cols>
    <col min="5" max="5" width="12" bestFit="1" customWidth="1"/>
    <col min="6" max="6" width="12.7109375" bestFit="1" customWidth="1"/>
    <col min="7" max="7" width="12" bestFit="1" customWidth="1"/>
    <col min="10" max="10" width="12" bestFit="1" customWidth="1"/>
    <col min="11" max="11" width="11" bestFit="1" customWidth="1"/>
    <col min="12" max="12" width="12" bestFit="1" customWidth="1"/>
  </cols>
  <sheetData>
    <row r="2" spans="1:17" x14ac:dyDescent="0.25">
      <c r="M2" t="s">
        <v>186</v>
      </c>
    </row>
    <row r="5" spans="1:17" x14ac:dyDescent="0.25">
      <c r="H5" t="s">
        <v>191</v>
      </c>
      <c r="I5">
        <v>773</v>
      </c>
      <c r="J5" t="s">
        <v>98</v>
      </c>
    </row>
    <row r="7" spans="1:17" x14ac:dyDescent="0.25">
      <c r="A7" t="s">
        <v>187</v>
      </c>
      <c r="B7" t="s">
        <v>188</v>
      </c>
      <c r="C7" t="s">
        <v>189</v>
      </c>
      <c r="G7" t="s">
        <v>193</v>
      </c>
      <c r="J7" t="s">
        <v>212</v>
      </c>
      <c r="K7" s="5" t="s">
        <v>215</v>
      </c>
    </row>
    <row r="8" spans="1:17" x14ac:dyDescent="0.25">
      <c r="D8" t="s">
        <v>81</v>
      </c>
      <c r="E8" t="s">
        <v>82</v>
      </c>
      <c r="F8" t="s">
        <v>83</v>
      </c>
      <c r="J8">
        <f>(G35^(1/6))/(I35^(2/3))*(D35^(1/2))</f>
        <v>145.55379616740186</v>
      </c>
    </row>
    <row r="9" spans="1:17" x14ac:dyDescent="0.25">
      <c r="A9" t="s">
        <v>146</v>
      </c>
      <c r="B9">
        <v>0.1</v>
      </c>
      <c r="C9">
        <f>69</f>
        <v>69</v>
      </c>
      <c r="D9">
        <v>-23.119</v>
      </c>
      <c r="E9">
        <f>0.28879</f>
        <v>0.28878999999999999</v>
      </c>
      <c r="F9">
        <f>-0.000034277</f>
        <v>-3.4276999999999997E-5</v>
      </c>
      <c r="G9">
        <f>D9+(E9*I5)+(F9*(I$5^2))</f>
        <v>179.63416846699999</v>
      </c>
      <c r="I9">
        <f>(B9*G9*(C9^0.5))+(B10*G10*(C10^0.5))+(B11*G11*(C11^0.5))+(B12*G12*(C12^0.5))/(B9*(C9^0.5))+(B10*(C10^0.5))+(B11*(C11^0.5))+(B12*(C12^0.5))</f>
        <v>1608.0661371657995</v>
      </c>
      <c r="J9">
        <f>(0.0001778*((4.58*C27)-1.67)^0.625)/I9</f>
        <v>3.1934877823737587E-7</v>
      </c>
    </row>
    <row r="10" spans="1:17" x14ac:dyDescent="0.25">
      <c r="A10" t="s">
        <v>105</v>
      </c>
      <c r="B10">
        <f>0.06</f>
        <v>0.06</v>
      </c>
      <c r="C10">
        <f>32</f>
        <v>32</v>
      </c>
      <c r="D10">
        <f>44.224</f>
        <v>44.223999999999997</v>
      </c>
      <c r="E10">
        <f>0.562</f>
        <v>0.56200000000000006</v>
      </c>
      <c r="F10">
        <f>-0.000113</f>
        <v>-1.13E-4</v>
      </c>
      <c r="G10">
        <f>D10+(E10*I$5)+(F10*(I$5^2))</f>
        <v>411.12922300000002</v>
      </c>
    </row>
    <row r="11" spans="1:17" x14ac:dyDescent="0.25">
      <c r="A11" t="s">
        <v>107</v>
      </c>
      <c r="B11">
        <f>0.23</f>
        <v>0.23</v>
      </c>
      <c r="C11">
        <v>28</v>
      </c>
      <c r="D11">
        <f>42.606</f>
        <v>42.606000000000002</v>
      </c>
      <c r="E11">
        <f>0.475</f>
        <v>0.47499999999999998</v>
      </c>
      <c r="F11">
        <f>-0.0000988</f>
        <v>-9.8800000000000003E-5</v>
      </c>
      <c r="G11">
        <f>D11+(E11*I$5)+(F11*(I$5^2))</f>
        <v>350.74513479999996</v>
      </c>
    </row>
    <row r="12" spans="1:17" x14ac:dyDescent="0.25">
      <c r="A12" t="s">
        <v>106</v>
      </c>
      <c r="B12">
        <f>0.61</f>
        <v>0.61</v>
      </c>
      <c r="C12">
        <f>18</f>
        <v>18</v>
      </c>
      <c r="D12">
        <f>-36.826</f>
        <v>-36.826000000000001</v>
      </c>
      <c r="E12">
        <f>0.429</f>
        <v>0.42899999999999999</v>
      </c>
      <c r="F12">
        <f>-0.0000162</f>
        <v>-1.6200000000000001E-5</v>
      </c>
      <c r="G12">
        <f>D12+(E12*I$5)+(F12*(I$5^2))</f>
        <v>285.11103020000002</v>
      </c>
    </row>
    <row r="13" spans="1:17" x14ac:dyDescent="0.25">
      <c r="G13">
        <f>(B9*(C9^0.5))+(B10*(C10^0.5))+(B11*(C11^0.5))+(B12*(C12^0.5))/(B9*(C9^0.5))+(B10*(C10^0.5))+(B11*(C11^0.5))+(B12*(C12^0.5))</f>
        <v>9.6471858241300996</v>
      </c>
      <c r="H13">
        <f>0.0001778*((4.58*F36)-1.67)^0.625</f>
        <v>4.1560208488146649E-4</v>
      </c>
      <c r="I13" s="5" t="s">
        <v>194</v>
      </c>
      <c r="M13" s="5"/>
      <c r="O13" t="s">
        <v>212</v>
      </c>
      <c r="P13">
        <f>(G23^(1/6))/(I23^(2/3))*(D23^(1/2))</f>
        <v>0.50215630597494088</v>
      </c>
    </row>
    <row r="14" spans="1:17" x14ac:dyDescent="0.25">
      <c r="H14">
        <f>0.009647185824</f>
        <v>9.6471858239999993E-3</v>
      </c>
      <c r="I14" s="5" t="s">
        <v>195</v>
      </c>
      <c r="K14">
        <f>((((0.1023+(0.023364*F27)+(0.058533*(F27^2))-(0.040758*(F27^3))+(0.093324*(F27^4))^4)-(10^-4))/(J9))+(0.1))</f>
        <v>320516.01159408211</v>
      </c>
      <c r="M14" s="5"/>
      <c r="O14" t="s">
        <v>214</v>
      </c>
      <c r="P14">
        <f>0.0001778*((4.58*C27)-1.67)^0.625</f>
        <v>5.1353395622879454E-4</v>
      </c>
    </row>
    <row r="16" spans="1:17" x14ac:dyDescent="0.25">
      <c r="O16" s="5" t="s">
        <v>215</v>
      </c>
      <c r="P16" s="5">
        <f>((((0.1023+(0.023364*F27)+(0.058533*(F27^2))-(0.040758*(F27^3))+(0.093324*(F27^4))^4)-(10^-4))/(P13))+(P14))</f>
        <v>0.20434720796433098</v>
      </c>
      <c r="Q16" s="5" t="s">
        <v>195</v>
      </c>
    </row>
    <row r="18" spans="1:13" x14ac:dyDescent="0.25">
      <c r="A18" t="s">
        <v>205</v>
      </c>
      <c r="B18" t="s">
        <v>12</v>
      </c>
      <c r="C18" t="s">
        <v>280</v>
      </c>
      <c r="D18" t="s">
        <v>199</v>
      </c>
      <c r="E18" t="s">
        <v>200</v>
      </c>
      <c r="F18" t="s">
        <v>206</v>
      </c>
      <c r="G18" t="s">
        <v>202</v>
      </c>
      <c r="H18" t="s">
        <v>203</v>
      </c>
    </row>
    <row r="19" spans="1:13" x14ac:dyDescent="0.25">
      <c r="A19" t="s">
        <v>146</v>
      </c>
      <c r="B19">
        <f>0.1</f>
        <v>0.1</v>
      </c>
      <c r="C19">
        <f>D35</f>
        <v>64.602530099999996</v>
      </c>
      <c r="D19">
        <f>B19*C19</f>
        <v>6.4602530099999997</v>
      </c>
      <c r="E19">
        <f>G35</f>
        <v>636.70672999999999</v>
      </c>
      <c r="F19">
        <f>H35</f>
        <v>6604.7032999999992</v>
      </c>
      <c r="G19">
        <f>B19*E19</f>
        <v>63.670673000000001</v>
      </c>
      <c r="H19">
        <f>F19*B19</f>
        <v>660.47032999999999</v>
      </c>
    </row>
    <row r="20" spans="1:13" x14ac:dyDescent="0.25">
      <c r="A20" t="s">
        <v>105</v>
      </c>
      <c r="B20">
        <f>0.06</f>
        <v>0.06</v>
      </c>
      <c r="C20">
        <f>32</f>
        <v>32</v>
      </c>
      <c r="D20">
        <f>B20*C20</f>
        <v>1.92</v>
      </c>
      <c r="E20">
        <f>-116.8+273</f>
        <v>156.19999999999999</v>
      </c>
      <c r="F20">
        <f>50.5*101.325</f>
        <v>5116.9125000000004</v>
      </c>
      <c r="G20">
        <f>B20*E20</f>
        <v>9.3719999999999981</v>
      </c>
      <c r="H20">
        <f>F20*B20</f>
        <v>307.01474999999999</v>
      </c>
    </row>
    <row r="21" spans="1:13" x14ac:dyDescent="0.25">
      <c r="A21" t="s">
        <v>107</v>
      </c>
      <c r="B21">
        <v>0.23</v>
      </c>
      <c r="C21">
        <f>28</f>
        <v>28</v>
      </c>
      <c r="D21">
        <f>B21*C21</f>
        <v>6.44</v>
      </c>
      <c r="E21">
        <f>-147+273</f>
        <v>126</v>
      </c>
      <c r="F21">
        <f>34*101.325</f>
        <v>3445.05</v>
      </c>
      <c r="G21">
        <f>B21*E21</f>
        <v>28.98</v>
      </c>
      <c r="H21">
        <f>F21*B21</f>
        <v>792.36150000000009</v>
      </c>
    </row>
    <row r="22" spans="1:13" x14ac:dyDescent="0.25">
      <c r="A22" t="s">
        <v>106</v>
      </c>
      <c r="B22">
        <v>0.61</v>
      </c>
      <c r="C22">
        <f>18</f>
        <v>18</v>
      </c>
      <c r="D22">
        <f>B22*C22</f>
        <v>10.98</v>
      </c>
      <c r="E22">
        <f>374+273</f>
        <v>647</v>
      </c>
      <c r="F22">
        <f>220.5*101.325</f>
        <v>22342.162500000002</v>
      </c>
      <c r="G22">
        <f>B22*E22</f>
        <v>394.67</v>
      </c>
      <c r="H22">
        <f>F22*B22</f>
        <v>13628.719125000001</v>
      </c>
    </row>
    <row r="23" spans="1:13" x14ac:dyDescent="0.25">
      <c r="D23">
        <f>SUM(D19:D22)</f>
        <v>25.800253010000002</v>
      </c>
      <c r="G23" s="5">
        <f>SUM(G19:G22)</f>
        <v>496.69267300000001</v>
      </c>
      <c r="H23" s="5">
        <f>(SUM(H19:H22))*1000</f>
        <v>15388565.705</v>
      </c>
      <c r="I23">
        <f>H23/101325</f>
        <v>151.87333535652604</v>
      </c>
    </row>
    <row r="24" spans="1:13" x14ac:dyDescent="0.25">
      <c r="G24" s="5" t="s">
        <v>210</v>
      </c>
      <c r="H24" s="5" t="s">
        <v>211</v>
      </c>
      <c r="I24" t="s">
        <v>122</v>
      </c>
    </row>
    <row r="26" spans="1:13" x14ac:dyDescent="0.25">
      <c r="A26" t="s">
        <v>213</v>
      </c>
    </row>
    <row r="27" spans="1:13" x14ac:dyDescent="0.25">
      <c r="B27" t="s">
        <v>208</v>
      </c>
      <c r="C27">
        <f>B37/G23</f>
        <v>1.5562943486383984</v>
      </c>
      <c r="E27" t="s">
        <v>209</v>
      </c>
      <c r="F27">
        <f>1/I23</f>
        <v>6.584434309370224E-3</v>
      </c>
    </row>
    <row r="31" spans="1:13" x14ac:dyDescent="0.25">
      <c r="B31" t="s">
        <v>12</v>
      </c>
      <c r="C31" t="s">
        <v>189</v>
      </c>
      <c r="D31" t="s">
        <v>199</v>
      </c>
      <c r="E31" t="s">
        <v>200</v>
      </c>
      <c r="F31" t="s">
        <v>201</v>
      </c>
      <c r="G31" t="s">
        <v>202</v>
      </c>
      <c r="H31" t="s">
        <v>203</v>
      </c>
      <c r="L31" t="s">
        <v>212</v>
      </c>
      <c r="M31" s="5" t="s">
        <v>215</v>
      </c>
    </row>
    <row r="32" spans="1:13" x14ac:dyDescent="0.25">
      <c r="A32" t="s">
        <v>7</v>
      </c>
      <c r="B32">
        <f>0.37249</f>
        <v>0.37248999999999999</v>
      </c>
      <c r="C32">
        <f>92.09</f>
        <v>92.09</v>
      </c>
      <c r="D32">
        <f>B32*C32</f>
        <v>34.302604100000003</v>
      </c>
      <c r="E32">
        <f>850</f>
        <v>850</v>
      </c>
      <c r="F32">
        <f>7500</f>
        <v>7500</v>
      </c>
      <c r="G32">
        <f>E32*B32</f>
        <v>316.61649999999997</v>
      </c>
      <c r="H32">
        <f>F32*B32</f>
        <v>2793.6749999999997</v>
      </c>
    </row>
    <row r="33" spans="1:12" x14ac:dyDescent="0.25">
      <c r="A33" t="s">
        <v>197</v>
      </c>
      <c r="B33">
        <f>0.26303</f>
        <v>0.26302999999999999</v>
      </c>
      <c r="C33">
        <f>32.04</f>
        <v>32.04</v>
      </c>
      <c r="D33">
        <f t="shared" ref="D33:D34" si="0">B33*C33</f>
        <v>8.427481199999999</v>
      </c>
      <c r="E33">
        <f>513</f>
        <v>513</v>
      </c>
      <c r="F33">
        <f>7954</f>
        <v>7954</v>
      </c>
      <c r="G33">
        <f t="shared" ref="G33:G34" si="1">E33*B33</f>
        <v>134.93438999999998</v>
      </c>
      <c r="H33">
        <f t="shared" ref="H33:H34" si="2">F33*B33</f>
        <v>2092.1406199999997</v>
      </c>
    </row>
    <row r="34" spans="1:12" x14ac:dyDescent="0.25">
      <c r="A34" t="s">
        <v>198</v>
      </c>
      <c r="B34">
        <f>0.36448</f>
        <v>0.36448000000000003</v>
      </c>
      <c r="C34">
        <f>60.01</f>
        <v>60.01</v>
      </c>
      <c r="D34">
        <f t="shared" si="0"/>
        <v>21.8724448</v>
      </c>
      <c r="E34">
        <f>508</f>
        <v>508</v>
      </c>
      <c r="F34">
        <f>4716</f>
        <v>4716</v>
      </c>
      <c r="G34">
        <f t="shared" si="1"/>
        <v>185.15584000000001</v>
      </c>
      <c r="H34">
        <f t="shared" si="2"/>
        <v>1718.88768</v>
      </c>
    </row>
    <row r="35" spans="1:12" x14ac:dyDescent="0.25">
      <c r="A35" t="s">
        <v>204</v>
      </c>
      <c r="C35" t="s">
        <v>108</v>
      </c>
      <c r="D35">
        <f>SUM(D32:D34)</f>
        <v>64.602530099999996</v>
      </c>
      <c r="G35">
        <f>SUM(G32:G34)</f>
        <v>636.70672999999999</v>
      </c>
      <c r="H35">
        <f>SUM(H32:H34)</f>
        <v>6604.7032999999992</v>
      </c>
      <c r="I35">
        <f>H35/101325</f>
        <v>6.5183353565260296E-2</v>
      </c>
      <c r="J35">
        <f>(0.0001778*((4.58*F36)-1.67)^0.625)/K35</f>
        <v>6.2106524558394839E-3</v>
      </c>
      <c r="K35">
        <f>((G35)^0.167)/((H35)^0.667)*((D35)^0.5)</f>
        <v>6.6917620626268035E-2</v>
      </c>
      <c r="L35">
        <f>((((0.1023+(0.023364*D36)+(0.058533*(D36^2))-(0.040758*(D36^3))+(0.093324*(D36^4))^4)-(10^-4))/(K35)))+(J35)</f>
        <v>1.06719967343908E+16</v>
      </c>
    </row>
    <row r="36" spans="1:12" x14ac:dyDescent="0.25">
      <c r="C36" t="s">
        <v>209</v>
      </c>
      <c r="D36">
        <f>1/I35</f>
        <v>15.341340162850313</v>
      </c>
      <c r="E36" t="s">
        <v>208</v>
      </c>
      <c r="F36">
        <f>B37/G35</f>
        <v>1.214059728880202</v>
      </c>
      <c r="G36" t="s">
        <v>210</v>
      </c>
      <c r="H36" t="s">
        <v>211</v>
      </c>
      <c r="I36" t="s">
        <v>122</v>
      </c>
      <c r="J36">
        <f>(B32*G9*(C9^0.5))+(B10*G10*(C10^0.5))+(B11*G11*(C11^0.5))+(B12*G12*(C12^0.5))/(B9*(C9^0.5))+(B10*(C10^0.5))+(B11*(C11^0.5))+(B12*(C12^0.5))</f>
        <v>2014.6630363105799</v>
      </c>
    </row>
    <row r="37" spans="1:12" x14ac:dyDescent="0.25">
      <c r="A37" t="s">
        <v>95</v>
      </c>
      <c r="B37">
        <f>500+273</f>
        <v>773</v>
      </c>
    </row>
    <row r="38" spans="1:12" x14ac:dyDescent="0.25">
      <c r="D38" t="s">
        <v>207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opLeftCell="A12" workbookViewId="0">
      <selection activeCell="J9" sqref="J9"/>
    </sheetView>
  </sheetViews>
  <sheetFormatPr defaultRowHeight="15" x14ac:dyDescent="0.25"/>
  <cols>
    <col min="5" max="5" width="12" bestFit="1" customWidth="1"/>
    <col min="6" max="6" width="12.7109375" bestFit="1" customWidth="1"/>
    <col min="7" max="7" width="12" bestFit="1" customWidth="1"/>
  </cols>
  <sheetData>
    <row r="2" spans="1:13" x14ac:dyDescent="0.25">
      <c r="M2" t="s">
        <v>186</v>
      </c>
    </row>
    <row r="5" spans="1:13" x14ac:dyDescent="0.25">
      <c r="J5" t="s">
        <v>191</v>
      </c>
      <c r="K5">
        <v>773</v>
      </c>
      <c r="L5" t="s">
        <v>98</v>
      </c>
    </row>
    <row r="7" spans="1:13" x14ac:dyDescent="0.25">
      <c r="A7" t="s">
        <v>187</v>
      </c>
      <c r="B7" t="s">
        <v>188</v>
      </c>
      <c r="C7" t="s">
        <v>189</v>
      </c>
      <c r="G7" t="s">
        <v>193</v>
      </c>
      <c r="H7" t="s">
        <v>190</v>
      </c>
      <c r="I7" t="s">
        <v>192</v>
      </c>
      <c r="J7" t="s">
        <v>115</v>
      </c>
    </row>
    <row r="8" spans="1:13" x14ac:dyDescent="0.25">
      <c r="D8" t="s">
        <v>81</v>
      </c>
      <c r="E8" t="s">
        <v>82</v>
      </c>
      <c r="F8" t="s">
        <v>83</v>
      </c>
    </row>
    <row r="9" spans="1:13" x14ac:dyDescent="0.25">
      <c r="A9" t="s">
        <v>146</v>
      </c>
      <c r="B9">
        <v>0.1</v>
      </c>
      <c r="C9">
        <f>D19</f>
        <v>64.602530099999996</v>
      </c>
      <c r="D9">
        <v>-23.119</v>
      </c>
      <c r="E9">
        <f>0.28879</f>
        <v>0.28878999999999999</v>
      </c>
      <c r="F9">
        <f>-0.000034277</f>
        <v>-3.4276999999999997E-5</v>
      </c>
      <c r="G9">
        <f>D9+(E9*K5)+(F9*(K$5^2))</f>
        <v>179.63416846699999</v>
      </c>
      <c r="I9">
        <f>(B9*G9*(C9^0.5))+(B10*G10*(C10^0.5))+(B11*G11*(C11^0.5))+(B12*G12*(C12^0.5))</f>
        <v>1448.6673592356738</v>
      </c>
      <c r="J9">
        <f>(B9*(C9^0.5))+(B10*(C10^0.5))+(B11*(C11^0.5))+(B12*(C12^0.5))</f>
        <v>4.9482246684624371</v>
      </c>
      <c r="K9">
        <f>I9/J9</f>
        <v>292.76507359675293</v>
      </c>
    </row>
    <row r="10" spans="1:13" x14ac:dyDescent="0.25">
      <c r="A10" t="s">
        <v>105</v>
      </c>
      <c r="B10">
        <f>0.06</f>
        <v>0.06</v>
      </c>
      <c r="C10">
        <f>32</f>
        <v>32</v>
      </c>
      <c r="D10">
        <f>44.224</f>
        <v>44.223999999999997</v>
      </c>
      <c r="E10">
        <f>0.562</f>
        <v>0.56200000000000006</v>
      </c>
      <c r="F10">
        <f>-0.000113</f>
        <v>-1.13E-4</v>
      </c>
      <c r="G10">
        <f>D10+(E10*K$5)+(F10*(K$5^2))</f>
        <v>411.12922300000002</v>
      </c>
      <c r="I10">
        <f>(B9*G9*(C9^0.5))+(B10*G10*(C10^0.5))+(B11*G11*(C11^0.5))+(B12*G12*(C12^0.5))</f>
        <v>1448.6673592356738</v>
      </c>
      <c r="J10">
        <f>(B10*(C10^0.5))+(B11*(C11^0.5))+(B12*(C12^0.5))+(B9*(C9^0.5))</f>
        <v>4.9482246684624362</v>
      </c>
      <c r="K10">
        <f t="shared" ref="K10:K12" si="0">I10/J10</f>
        <v>292.76507359675298</v>
      </c>
    </row>
    <row r="11" spans="1:13" x14ac:dyDescent="0.25">
      <c r="A11" t="s">
        <v>107</v>
      </c>
      <c r="B11">
        <f>0.23</f>
        <v>0.23</v>
      </c>
      <c r="C11">
        <v>28</v>
      </c>
      <c r="D11">
        <f>42.606</f>
        <v>42.606000000000002</v>
      </c>
      <c r="E11">
        <f>0.475</f>
        <v>0.47499999999999998</v>
      </c>
      <c r="F11">
        <f>-0.0000988</f>
        <v>-9.8800000000000003E-5</v>
      </c>
      <c r="G11">
        <f>D11+(E11*K$5)+(F11*(K$5^2))</f>
        <v>350.74513479999996</v>
      </c>
      <c r="I11">
        <f>(B11*G11*(C11^0.5))+(B9*G9*(C9^0.5))+(B10*G10*(C10^0.5))+(B12*G12*(C12^0.5))</f>
        <v>1448.6673592356738</v>
      </c>
      <c r="J11">
        <f>(B11*(C11^0.5))+(B12*(C12^0.5))+(B10*(C10^0.5))+(B9*(C9^0.5))</f>
        <v>4.9482246684624362</v>
      </c>
      <c r="K11">
        <f t="shared" si="0"/>
        <v>292.76507359675298</v>
      </c>
    </row>
    <row r="12" spans="1:13" x14ac:dyDescent="0.25">
      <c r="A12" t="s">
        <v>106</v>
      </c>
      <c r="B12">
        <f>0.61</f>
        <v>0.61</v>
      </c>
      <c r="C12">
        <f>18</f>
        <v>18</v>
      </c>
      <c r="D12">
        <f>-36.826</f>
        <v>-36.826000000000001</v>
      </c>
      <c r="E12">
        <f>0.429</f>
        <v>0.42899999999999999</v>
      </c>
      <c r="F12">
        <f>-0.0000162</f>
        <v>-1.6200000000000001E-5</v>
      </c>
      <c r="G12">
        <f>D12+(E12*K$5)+(F12*(K$5^2))</f>
        <v>285.11103020000002</v>
      </c>
      <c r="I12">
        <f>(B12*G12*(C12^0.5))+(B11*G11*(C11^0.5))+(B9*G9*(C9^0.5))+(B10*G10*(C10^0.5))</f>
        <v>1448.6673592356735</v>
      </c>
      <c r="J12">
        <f>(B12*(C12^0.5))+(B11*(C11^0.5))+(B9*(C9^0.5))+(B10*(C10^0.5))</f>
        <v>4.9482246684624362</v>
      </c>
      <c r="K12">
        <f t="shared" si="0"/>
        <v>292.76507359675293</v>
      </c>
    </row>
    <row r="13" spans="1:13" x14ac:dyDescent="0.25">
      <c r="C13" s="7">
        <f>(B9*C9)+(B10*C10)+(B11*C11)+(B12*C12)</f>
        <v>25.800253010000002</v>
      </c>
      <c r="K13" s="5">
        <f>AVERAGE(K9:K12)</f>
        <v>292.76507359675293</v>
      </c>
      <c r="L13" s="5" t="s">
        <v>194</v>
      </c>
    </row>
    <row r="14" spans="1:13" x14ac:dyDescent="0.25">
      <c r="K14" s="5">
        <f>K13*10^-3</f>
        <v>0.29276507359675291</v>
      </c>
      <c r="L14" s="5" t="s">
        <v>195</v>
      </c>
    </row>
    <row r="15" spans="1:13" x14ac:dyDescent="0.25">
      <c r="B15" t="s">
        <v>12</v>
      </c>
      <c r="C15" t="s">
        <v>189</v>
      </c>
      <c r="D15" t="s">
        <v>199</v>
      </c>
      <c r="E15" t="s">
        <v>200</v>
      </c>
      <c r="F15" t="s">
        <v>201</v>
      </c>
      <c r="G15" t="s">
        <v>202</v>
      </c>
      <c r="H15" t="s">
        <v>203</v>
      </c>
    </row>
    <row r="16" spans="1:13" x14ac:dyDescent="0.25">
      <c r="A16" t="s">
        <v>7</v>
      </c>
      <c r="B16">
        <f>0.37249</f>
        <v>0.37248999999999999</v>
      </c>
      <c r="C16">
        <f>92.09</f>
        <v>92.09</v>
      </c>
      <c r="D16">
        <f>B16*C16</f>
        <v>34.302604100000003</v>
      </c>
      <c r="E16">
        <f>850</f>
        <v>850</v>
      </c>
      <c r="F16">
        <f>7500</f>
        <v>7500</v>
      </c>
      <c r="G16">
        <f>E16*B16</f>
        <v>316.61649999999997</v>
      </c>
      <c r="H16">
        <f>F16*B16</f>
        <v>2793.6749999999997</v>
      </c>
      <c r="L16">
        <f>5/8</f>
        <v>0.625</v>
      </c>
    </row>
    <row r="17" spans="1:16" x14ac:dyDescent="0.25">
      <c r="A17" t="s">
        <v>197</v>
      </c>
      <c r="B17">
        <f>0.26303</f>
        <v>0.26302999999999999</v>
      </c>
      <c r="C17">
        <f>32.04</f>
        <v>32.04</v>
      </c>
      <c r="D17">
        <f t="shared" ref="D17:D18" si="1">B17*C17</f>
        <v>8.427481199999999</v>
      </c>
      <c r="E17">
        <f>513</f>
        <v>513</v>
      </c>
      <c r="F17">
        <f>7954</f>
        <v>7954</v>
      </c>
      <c r="G17">
        <f t="shared" ref="G17:G18" si="2">E17*B17</f>
        <v>134.93438999999998</v>
      </c>
      <c r="H17">
        <f t="shared" ref="H17:H18" si="3">F17*B17</f>
        <v>2092.1406199999997</v>
      </c>
    </row>
    <row r="18" spans="1:16" x14ac:dyDescent="0.25">
      <c r="A18" t="s">
        <v>198</v>
      </c>
      <c r="B18">
        <f>0.36448</f>
        <v>0.36448000000000003</v>
      </c>
      <c r="C18">
        <f>60.01</f>
        <v>60.01</v>
      </c>
      <c r="D18">
        <f t="shared" si="1"/>
        <v>21.8724448</v>
      </c>
      <c r="E18">
        <f>508</f>
        <v>508</v>
      </c>
      <c r="F18">
        <f>4716</f>
        <v>4716</v>
      </c>
      <c r="G18">
        <f t="shared" si="2"/>
        <v>185.15584000000001</v>
      </c>
      <c r="H18">
        <f t="shared" si="3"/>
        <v>1718.88768</v>
      </c>
    </row>
    <row r="19" spans="1:16" x14ac:dyDescent="0.25">
      <c r="A19" t="s">
        <v>204</v>
      </c>
      <c r="D19">
        <f>SUM(D16:D18)</f>
        <v>64.602530099999996</v>
      </c>
      <c r="G19">
        <f>SUM(G16:G18)</f>
        <v>636.70672999999999</v>
      </c>
      <c r="H19">
        <f>SUM(H16:H18)</f>
        <v>6604.7032999999992</v>
      </c>
    </row>
    <row r="20" spans="1:16" x14ac:dyDescent="0.25">
      <c r="A20" t="s">
        <v>108</v>
      </c>
      <c r="B20">
        <f>'Mol avg'!E6</f>
        <v>26.240000000000002</v>
      </c>
    </row>
    <row r="21" spans="1:16" x14ac:dyDescent="0.25">
      <c r="A21" t="s">
        <v>95</v>
      </c>
      <c r="B21">
        <f>500+273</f>
        <v>773</v>
      </c>
    </row>
    <row r="22" spans="1:16" x14ac:dyDescent="0.25">
      <c r="D22" t="s">
        <v>207</v>
      </c>
    </row>
    <row r="23" spans="1:16" x14ac:dyDescent="0.25">
      <c r="A23" t="s">
        <v>205</v>
      </c>
      <c r="B23" t="s">
        <v>12</v>
      </c>
      <c r="C23" t="s">
        <v>200</v>
      </c>
      <c r="D23" t="s">
        <v>206</v>
      </c>
      <c r="E23" t="s">
        <v>202</v>
      </c>
      <c r="F23" t="s">
        <v>203</v>
      </c>
      <c r="N23" t="s">
        <v>212</v>
      </c>
      <c r="O23">
        <f>(E28^(1/6))/(G28^(2/3))*(B20^(1/2))</f>
        <v>0.50641767350880706</v>
      </c>
    </row>
    <row r="24" spans="1:16" x14ac:dyDescent="0.25">
      <c r="A24" t="s">
        <v>146</v>
      </c>
      <c r="B24">
        <f>0.1</f>
        <v>0.1</v>
      </c>
      <c r="C24">
        <f>G19</f>
        <v>636.70672999999999</v>
      </c>
      <c r="D24">
        <f>H19</f>
        <v>6604.7032999999992</v>
      </c>
      <c r="E24">
        <f>B24*C24</f>
        <v>63.670673000000001</v>
      </c>
      <c r="F24">
        <f>D24*B24</f>
        <v>660.47032999999999</v>
      </c>
      <c r="N24" t="s">
        <v>214</v>
      </c>
      <c r="O24">
        <f>0.0001778*((4.58*B33)-1.67)^0.625</f>
        <v>5.1353395622879454E-4</v>
      </c>
    </row>
    <row r="25" spans="1:16" x14ac:dyDescent="0.25">
      <c r="A25" t="s">
        <v>105</v>
      </c>
      <c r="B25">
        <f>0.06</f>
        <v>0.06</v>
      </c>
      <c r="C25">
        <f>-116.8+273</f>
        <v>156.19999999999999</v>
      </c>
      <c r="D25">
        <f>50.5*101.325</f>
        <v>5116.9125000000004</v>
      </c>
      <c r="E25">
        <f t="shared" ref="E25:E27" si="4">B25*C25</f>
        <v>9.3719999999999981</v>
      </c>
      <c r="F25">
        <f t="shared" ref="F25:F27" si="5">D25*B25</f>
        <v>307.01474999999999</v>
      </c>
    </row>
    <row r="26" spans="1:16" x14ac:dyDescent="0.25">
      <c r="A26" t="s">
        <v>107</v>
      </c>
      <c r="B26">
        <v>0.23</v>
      </c>
      <c r="C26">
        <f>-147+273</f>
        <v>126</v>
      </c>
      <c r="D26">
        <f>34*101.325</f>
        <v>3445.05</v>
      </c>
      <c r="E26">
        <f t="shared" si="4"/>
        <v>28.98</v>
      </c>
      <c r="F26">
        <f t="shared" si="5"/>
        <v>792.36150000000009</v>
      </c>
      <c r="N26" s="5" t="s">
        <v>215</v>
      </c>
      <c r="O26" s="5">
        <f>((((0.1023+0.023364*E33+0.058533*(E33^2)-0.040758*(E33^2)+0.093324*(E33^4))^4)-(10^-4))/O23)+ O24</f>
        <v>5.3364758406074849E-4</v>
      </c>
      <c r="P26" s="5" t="s">
        <v>195</v>
      </c>
    </row>
    <row r="27" spans="1:16" x14ac:dyDescent="0.25">
      <c r="A27" t="s">
        <v>106</v>
      </c>
      <c r="B27">
        <v>0.61</v>
      </c>
      <c r="C27">
        <f>374+273</f>
        <v>647</v>
      </c>
      <c r="D27">
        <f>220.5*101.325</f>
        <v>22342.162500000002</v>
      </c>
      <c r="E27">
        <f t="shared" si="4"/>
        <v>394.67</v>
      </c>
      <c r="F27">
        <f t="shared" si="5"/>
        <v>13628.719125000001</v>
      </c>
    </row>
    <row r="28" spans="1:16" x14ac:dyDescent="0.25">
      <c r="E28" s="5">
        <f>SUM(E24:E27)</f>
        <v>496.69267300000001</v>
      </c>
      <c r="F28" s="5">
        <f>(SUM(F24:F27))*1000</f>
        <v>15388565.705</v>
      </c>
      <c r="G28">
        <f>F28/101325</f>
        <v>151.87333535652604</v>
      </c>
    </row>
    <row r="29" spans="1:16" x14ac:dyDescent="0.25">
      <c r="E29" s="5" t="s">
        <v>210</v>
      </c>
      <c r="F29" s="5" t="s">
        <v>211</v>
      </c>
      <c r="G29" t="s">
        <v>122</v>
      </c>
    </row>
    <row r="31" spans="1:16" x14ac:dyDescent="0.25">
      <c r="A31" t="s">
        <v>213</v>
      </c>
    </row>
    <row r="33" spans="1:5" x14ac:dyDescent="0.25">
      <c r="A33" t="s">
        <v>208</v>
      </c>
      <c r="B33">
        <f>B21/E28</f>
        <v>1.5562943486383984</v>
      </c>
      <c r="D33" t="s">
        <v>209</v>
      </c>
      <c r="E33">
        <f>1/G28</f>
        <v>6.584434309370224E-3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5" zoomScaleNormal="100" workbookViewId="0">
      <selection activeCell="A15" sqref="A15:B21"/>
    </sheetView>
  </sheetViews>
  <sheetFormatPr defaultRowHeight="15" x14ac:dyDescent="0.25"/>
  <cols>
    <col min="1" max="1" width="20.28515625" customWidth="1"/>
  </cols>
  <sheetData>
    <row r="1" spans="1:3" x14ac:dyDescent="0.25">
      <c r="A1" t="s">
        <v>339</v>
      </c>
    </row>
    <row r="2" spans="1:3" x14ac:dyDescent="0.25">
      <c r="A2" t="s">
        <v>204</v>
      </c>
      <c r="B2">
        <f>97.7 *10^15</f>
        <v>9.77E+16</v>
      </c>
    </row>
    <row r="3" spans="1:3" x14ac:dyDescent="0.25">
      <c r="B3" t="s">
        <v>345</v>
      </c>
      <c r="C3">
        <v>360</v>
      </c>
    </row>
    <row r="4" spans="1:3" x14ac:dyDescent="0.25">
      <c r="A4" t="s">
        <v>340</v>
      </c>
      <c r="B4">
        <f>37</f>
        <v>37</v>
      </c>
      <c r="C4">
        <f>(B4/B$9)*C3</f>
        <v>133.19999999999999</v>
      </c>
    </row>
    <row r="5" spans="1:3" x14ac:dyDescent="0.25">
      <c r="A5" t="s">
        <v>341</v>
      </c>
      <c r="B5">
        <f>29</f>
        <v>29</v>
      </c>
      <c r="C5">
        <f>(B5/B$9)*C$3</f>
        <v>104.39999999999999</v>
      </c>
    </row>
    <row r="6" spans="1:3" x14ac:dyDescent="0.25">
      <c r="A6" t="s">
        <v>342</v>
      </c>
      <c r="B6">
        <f>14</f>
        <v>14</v>
      </c>
      <c r="C6">
        <f t="shared" ref="C6:C8" si="0">(B6/B$9)*C$3</f>
        <v>50.400000000000006</v>
      </c>
    </row>
    <row r="7" spans="1:3" x14ac:dyDescent="0.25">
      <c r="A7" t="s">
        <v>343</v>
      </c>
      <c r="B7">
        <f>9</f>
        <v>9</v>
      </c>
      <c r="C7">
        <f t="shared" si="0"/>
        <v>32.4</v>
      </c>
    </row>
    <row r="8" spans="1:3" x14ac:dyDescent="0.25">
      <c r="A8" t="s">
        <v>344</v>
      </c>
      <c r="B8">
        <f>11</f>
        <v>11</v>
      </c>
      <c r="C8">
        <f t="shared" si="0"/>
        <v>39.6</v>
      </c>
    </row>
    <row r="9" spans="1:3" x14ac:dyDescent="0.25">
      <c r="B9">
        <f>SUM(B4:B8)</f>
        <v>100</v>
      </c>
      <c r="C9">
        <f>SUM(C4:C8)</f>
        <v>360</v>
      </c>
    </row>
    <row r="12" spans="1:3" x14ac:dyDescent="0.25">
      <c r="A12" t="s">
        <v>346</v>
      </c>
    </row>
    <row r="13" spans="1:3" x14ac:dyDescent="0.25">
      <c r="A13" t="s">
        <v>347</v>
      </c>
      <c r="B13">
        <f>11*10^15</f>
        <v>1.1E+16</v>
      </c>
    </row>
    <row r="14" spans="1:3" x14ac:dyDescent="0.25">
      <c r="B14" s="23">
        <v>1</v>
      </c>
    </row>
    <row r="15" spans="1:3" x14ac:dyDescent="0.25">
      <c r="A15" t="s">
        <v>348</v>
      </c>
      <c r="B15">
        <f>2</f>
        <v>2</v>
      </c>
    </row>
    <row r="16" spans="1:3" x14ac:dyDescent="0.25">
      <c r="A16" t="s">
        <v>349</v>
      </c>
      <c r="B16">
        <f>6</f>
        <v>6</v>
      </c>
    </row>
    <row r="17" spans="1:2" x14ac:dyDescent="0.25">
      <c r="A17" t="s">
        <v>354</v>
      </c>
      <c r="B17">
        <v>21</v>
      </c>
    </row>
    <row r="18" spans="1:2" x14ac:dyDescent="0.25">
      <c r="A18" t="s">
        <v>350</v>
      </c>
      <c r="B18">
        <f>4</f>
        <v>4</v>
      </c>
    </row>
    <row r="19" spans="1:2" x14ac:dyDescent="0.25">
      <c r="A19" t="s">
        <v>351</v>
      </c>
      <c r="B19">
        <f>22</f>
        <v>22</v>
      </c>
    </row>
    <row r="20" spans="1:2" x14ac:dyDescent="0.25">
      <c r="A20" t="s">
        <v>352</v>
      </c>
      <c r="B20">
        <f>19</f>
        <v>19</v>
      </c>
    </row>
    <row r="21" spans="1:2" x14ac:dyDescent="0.25">
      <c r="A21" t="s">
        <v>353</v>
      </c>
      <c r="B21">
        <v>25</v>
      </c>
    </row>
    <row r="22" spans="1:2" x14ac:dyDescent="0.25">
      <c r="B22">
        <f>SUM(B15:B21)</f>
        <v>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A4" workbookViewId="0">
      <selection activeCell="B19" sqref="B19"/>
    </sheetView>
  </sheetViews>
  <sheetFormatPr defaultRowHeight="15" x14ac:dyDescent="0.25"/>
  <cols>
    <col min="1" max="1" width="14.28515625" customWidth="1"/>
    <col min="2" max="2" width="12" bestFit="1" customWidth="1"/>
    <col min="5" max="5" width="10.85546875" customWidth="1"/>
    <col min="6" max="6" width="16.85546875" customWidth="1"/>
  </cols>
  <sheetData>
    <row r="2" spans="1:6" x14ac:dyDescent="0.25">
      <c r="A2" t="s">
        <v>0</v>
      </c>
      <c r="B2">
        <f>12.7/1000</f>
        <v>1.2699999999999999E-2</v>
      </c>
      <c r="C2" t="s">
        <v>44</v>
      </c>
      <c r="E2" t="s">
        <v>3</v>
      </c>
    </row>
    <row r="3" spans="1:6" x14ac:dyDescent="0.25">
      <c r="A3" t="s">
        <v>1</v>
      </c>
      <c r="B3">
        <f>45/1000</f>
        <v>4.4999999999999998E-2</v>
      </c>
      <c r="C3" t="s">
        <v>45</v>
      </c>
    </row>
    <row r="4" spans="1:6" x14ac:dyDescent="0.25">
      <c r="A4" t="s">
        <v>2</v>
      </c>
      <c r="B4">
        <f>0.8/1000</f>
        <v>8.0000000000000004E-4</v>
      </c>
      <c r="C4" t="s">
        <v>46</v>
      </c>
    </row>
    <row r="5" spans="1:6" x14ac:dyDescent="0.25">
      <c r="A5" t="s">
        <v>51</v>
      </c>
      <c r="B5">
        <f>575</f>
        <v>575</v>
      </c>
      <c r="C5" t="s">
        <v>47</v>
      </c>
    </row>
    <row r="6" spans="1:6" x14ac:dyDescent="0.25">
      <c r="A6" t="s">
        <v>4</v>
      </c>
      <c r="B6">
        <f>2.6</f>
        <v>2.6</v>
      </c>
      <c r="C6" t="s">
        <v>48</v>
      </c>
    </row>
    <row r="7" spans="1:6" x14ac:dyDescent="0.25">
      <c r="A7" t="s">
        <v>5</v>
      </c>
      <c r="B7">
        <f>0.125</f>
        <v>0.125</v>
      </c>
      <c r="C7" t="s">
        <v>49</v>
      </c>
    </row>
    <row r="8" spans="1:6" x14ac:dyDescent="0.25">
      <c r="A8" t="s">
        <v>6</v>
      </c>
      <c r="B8">
        <f>0.0019</f>
        <v>1.9E-3</v>
      </c>
      <c r="C8" t="s">
        <v>50</v>
      </c>
    </row>
    <row r="9" spans="1:6" x14ac:dyDescent="0.25">
      <c r="A9" t="s">
        <v>52</v>
      </c>
      <c r="B9">
        <f>848</f>
        <v>848</v>
      </c>
      <c r="C9" t="s">
        <v>53</v>
      </c>
    </row>
    <row r="10" spans="1:6" x14ac:dyDescent="0.25">
      <c r="A10" t="s">
        <v>54</v>
      </c>
      <c r="B10">
        <v>9.4799999999999995E-2</v>
      </c>
      <c r="C10" t="s">
        <v>58</v>
      </c>
    </row>
    <row r="11" spans="1:6" x14ac:dyDescent="0.25">
      <c r="A11" t="s">
        <v>55</v>
      </c>
      <c r="B11">
        <v>0.61</v>
      </c>
      <c r="C11" t="s">
        <v>59</v>
      </c>
    </row>
    <row r="12" spans="1:6" x14ac:dyDescent="0.25">
      <c r="A12" t="s">
        <v>56</v>
      </c>
      <c r="B12">
        <f>0.0587</f>
        <v>5.8700000000000002E-2</v>
      </c>
      <c r="C12" t="s">
        <v>60</v>
      </c>
    </row>
    <row r="13" spans="1:6" x14ac:dyDescent="0.25">
      <c r="A13" t="s">
        <v>57</v>
      </c>
      <c r="B13">
        <f>0.23</f>
        <v>0.23</v>
      </c>
      <c r="C13" t="s">
        <v>61</v>
      </c>
    </row>
    <row r="14" spans="1:6" x14ac:dyDescent="0.25">
      <c r="A14" t="s">
        <v>62</v>
      </c>
      <c r="B14">
        <f>'Mol avg'!B12</f>
        <v>377.09636260666485</v>
      </c>
      <c r="C14" t="s">
        <v>68</v>
      </c>
    </row>
    <row r="15" spans="1:6" x14ac:dyDescent="0.25">
      <c r="A15" t="s">
        <v>63</v>
      </c>
      <c r="B15">
        <f>'Mol avg'!B20</f>
        <v>8.7700861447412137</v>
      </c>
      <c r="C15" t="s">
        <v>69</v>
      </c>
    </row>
    <row r="16" spans="1:6" x14ac:dyDescent="0.25">
      <c r="A16" t="s">
        <v>223</v>
      </c>
      <c r="B16">
        <f>cp!J18</f>
        <v>53.006513497119471</v>
      </c>
      <c r="C16" t="s">
        <v>70</v>
      </c>
      <c r="F16" t="s">
        <v>40</v>
      </c>
    </row>
    <row r="17" spans="1:9" x14ac:dyDescent="0.25">
      <c r="A17" t="s">
        <v>64</v>
      </c>
      <c r="B17">
        <f>0.062</f>
        <v>6.2E-2</v>
      </c>
      <c r="C17" t="s">
        <v>71</v>
      </c>
      <c r="F17" t="s">
        <v>216</v>
      </c>
      <c r="G17" t="s">
        <v>217</v>
      </c>
      <c r="I17" t="s">
        <v>221</v>
      </c>
    </row>
    <row r="18" spans="1:9" x14ac:dyDescent="0.25">
      <c r="A18" t="s">
        <v>65</v>
      </c>
      <c r="B18">
        <f>'effec. diff.for species'!H40</f>
        <v>4.6113592887507749E-8</v>
      </c>
      <c r="C18" t="s">
        <v>72</v>
      </c>
      <c r="E18" t="s">
        <v>229</v>
      </c>
    </row>
    <row r="19" spans="1:9" x14ac:dyDescent="0.25">
      <c r="A19" t="s">
        <v>66</v>
      </c>
      <c r="B19">
        <f>'Heat Rxn'!T30</f>
        <v>-1617.7783759464667</v>
      </c>
      <c r="C19" t="s">
        <v>73</v>
      </c>
    </row>
    <row r="20" spans="1:9" x14ac:dyDescent="0.25">
      <c r="A20" t="s">
        <v>67</v>
      </c>
      <c r="B20">
        <f>'Mol avg'!E6</f>
        <v>26.240000000000002</v>
      </c>
      <c r="C20" t="s">
        <v>74</v>
      </c>
    </row>
    <row r="21" spans="1:9" x14ac:dyDescent="0.25">
      <c r="A21" t="s">
        <v>218</v>
      </c>
      <c r="B21">
        <f>28.391</f>
        <v>28.390999999999998</v>
      </c>
      <c r="C21" t="s">
        <v>219</v>
      </c>
      <c r="F21" t="s">
        <v>220</v>
      </c>
      <c r="G21" t="s">
        <v>217</v>
      </c>
      <c r="I21" t="s">
        <v>221</v>
      </c>
    </row>
    <row r="22" spans="1:9" x14ac:dyDescent="0.25">
      <c r="A22" t="s">
        <v>224</v>
      </c>
      <c r="B22">
        <f>502.42</f>
        <v>502.42</v>
      </c>
      <c r="C22" t="s">
        <v>225</v>
      </c>
      <c r="D22" t="s">
        <v>226</v>
      </c>
    </row>
    <row r="23" spans="1:9" x14ac:dyDescent="0.25">
      <c r="A23" t="s">
        <v>230</v>
      </c>
      <c r="B23">
        <f>102209.78</f>
        <v>102209.78</v>
      </c>
      <c r="C23" t="s">
        <v>231</v>
      </c>
      <c r="D23" t="s">
        <v>232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9" workbookViewId="0">
      <selection activeCell="H24" sqref="H24"/>
    </sheetView>
  </sheetViews>
  <sheetFormatPr defaultRowHeight="15" x14ac:dyDescent="0.25"/>
  <cols>
    <col min="2" max="2" width="12.5703125" bestFit="1" customWidth="1"/>
    <col min="7" max="7" width="11" bestFit="1" customWidth="1"/>
    <col min="16" max="16" width="10.140625" customWidth="1"/>
    <col min="17" max="17" width="12" bestFit="1" customWidth="1"/>
  </cols>
  <sheetData>
    <row r="1" spans="1:15" x14ac:dyDescent="0.25">
      <c r="B1" s="12" t="s">
        <v>268</v>
      </c>
      <c r="C1" s="12"/>
    </row>
    <row r="2" spans="1:15" x14ac:dyDescent="0.25">
      <c r="A2" t="s">
        <v>269</v>
      </c>
      <c r="E2" t="s">
        <v>235</v>
      </c>
      <c r="F2">
        <v>5.3364758406074849E-4</v>
      </c>
      <c r="J2" t="s">
        <v>278</v>
      </c>
    </row>
    <row r="3" spans="1:15" x14ac:dyDescent="0.25">
      <c r="F3" s="5" t="s">
        <v>65</v>
      </c>
      <c r="G3" s="5">
        <v>4.6113592887507749E-8</v>
      </c>
      <c r="H3" s="5" t="s">
        <v>155</v>
      </c>
    </row>
    <row r="4" spans="1:15" x14ac:dyDescent="0.25">
      <c r="F4" t="s">
        <v>65</v>
      </c>
      <c r="G4">
        <v>4.6113592887507749E-4</v>
      </c>
      <c r="H4" t="s">
        <v>154</v>
      </c>
    </row>
    <row r="5" spans="1:15" x14ac:dyDescent="0.25">
      <c r="F5" t="s">
        <v>79</v>
      </c>
      <c r="G5">
        <v>0.50876495752991502</v>
      </c>
    </row>
    <row r="6" spans="1:15" x14ac:dyDescent="0.25">
      <c r="F6" t="s">
        <v>143</v>
      </c>
      <c r="G6">
        <v>1.3735784230686866E-6</v>
      </c>
      <c r="H6" t="s">
        <v>148</v>
      </c>
    </row>
    <row r="7" spans="1:15" x14ac:dyDescent="0.25">
      <c r="A7" t="s">
        <v>279</v>
      </c>
      <c r="B7" t="s">
        <v>157</v>
      </c>
      <c r="D7" t="s">
        <v>281</v>
      </c>
      <c r="E7">
        <f>773</f>
        <v>773</v>
      </c>
      <c r="F7" t="s">
        <v>98</v>
      </c>
      <c r="J7" t="s">
        <v>279</v>
      </c>
      <c r="K7" t="s">
        <v>157</v>
      </c>
      <c r="M7" t="s">
        <v>281</v>
      </c>
      <c r="N7">
        <f>773</f>
        <v>773</v>
      </c>
      <c r="O7" t="s">
        <v>98</v>
      </c>
    </row>
    <row r="8" spans="1:15" x14ac:dyDescent="0.25">
      <c r="A8" t="s">
        <v>280</v>
      </c>
      <c r="B8">
        <f>'Mol avg'!H6</f>
        <v>2.6240000000000003E-2</v>
      </c>
      <c r="C8" t="s">
        <v>158</v>
      </c>
      <c r="F8" t="s">
        <v>287</v>
      </c>
      <c r="G8">
        <f>(G3*G5)/(K17)</f>
        <v>1.7177999875099529E-8</v>
      </c>
      <c r="J8" t="s">
        <v>280</v>
      </c>
      <c r="K8">
        <f>B8</f>
        <v>2.6240000000000003E-2</v>
      </c>
      <c r="L8" t="s">
        <v>158</v>
      </c>
    </row>
    <row r="9" spans="1:15" x14ac:dyDescent="0.25">
      <c r="A9" t="s">
        <v>279</v>
      </c>
      <c r="B9">
        <f>(101325*B8)/(8.314*E7)</f>
        <v>0.4137051517087561</v>
      </c>
      <c r="C9" t="s">
        <v>165</v>
      </c>
      <c r="F9" t="s">
        <v>76</v>
      </c>
      <c r="G9">
        <v>8.0000000000000004E-4</v>
      </c>
      <c r="H9" t="s">
        <v>75</v>
      </c>
      <c r="J9" t="s">
        <v>279</v>
      </c>
      <c r="K9">
        <f>(101534.05*K8)/(8.314*N7)</f>
        <v>0.41455869290751962</v>
      </c>
      <c r="L9" t="s">
        <v>165</v>
      </c>
    </row>
    <row r="11" spans="1:15" x14ac:dyDescent="0.25">
      <c r="A11" s="7" t="s">
        <v>265</v>
      </c>
      <c r="B11" s="7">
        <f>(B9*'Mol avg'!L15*'Mol avg'!B9)/(('Mol avg'!G8)*(1-G5))</f>
        <v>2.0931706201218526E-2</v>
      </c>
      <c r="J11" s="7" t="s">
        <v>265</v>
      </c>
      <c r="K11" s="7">
        <f>(K9*'Mol avg'!L15*'Mol avg'!B9)/(('Mol avg'!G8)*(1-G5))</f>
        <v>2.0974891724844135E-2</v>
      </c>
    </row>
    <row r="13" spans="1:15" x14ac:dyDescent="0.25">
      <c r="B13" s="13" t="s">
        <v>282</v>
      </c>
      <c r="C13" s="13"/>
      <c r="D13" s="13"/>
    </row>
    <row r="17" spans="1:18" x14ac:dyDescent="0.25">
      <c r="I17" t="s">
        <v>291</v>
      </c>
      <c r="J17" t="s">
        <v>285</v>
      </c>
      <c r="K17">
        <f>((1+G5)^2)/((G5*((1+G5)^2))+(4*(G5^2)*(1-G5)))</f>
        <v>1.365757381391804</v>
      </c>
      <c r="P17" t="s">
        <v>286</v>
      </c>
      <c r="Q17">
        <f>(G6*G5)/(K17)</f>
        <v>5.1167841199173449E-7</v>
      </c>
      <c r="R17" t="s">
        <v>229</v>
      </c>
    </row>
    <row r="18" spans="1:18" x14ac:dyDescent="0.25">
      <c r="A18" t="s">
        <v>283</v>
      </c>
      <c r="B18" t="s">
        <v>72</v>
      </c>
    </row>
    <row r="19" spans="1:18" x14ac:dyDescent="0.25">
      <c r="A19" s="14" t="s">
        <v>284</v>
      </c>
      <c r="B19" s="14">
        <f>(F2)/(B9*Q22)</f>
        <v>2520.979749208499</v>
      </c>
      <c r="G19" t="s">
        <v>294</v>
      </c>
      <c r="P19" s="5" t="s">
        <v>110</v>
      </c>
      <c r="Q19" s="5">
        <v>2105.9087893990786</v>
      </c>
      <c r="R19">
        <f>Q19/10000</f>
        <v>0.21059087893990786</v>
      </c>
    </row>
    <row r="20" spans="1:18" x14ac:dyDescent="0.25">
      <c r="P20" t="s">
        <v>288</v>
      </c>
      <c r="Q20">
        <f>(R19*G5)/(K17)</f>
        <v>7.8448237615135655E-2</v>
      </c>
    </row>
    <row r="21" spans="1:18" x14ac:dyDescent="0.25">
      <c r="P21" t="s">
        <v>290</v>
      </c>
      <c r="Q21">
        <f>(1/Q17)+(1/Q20)</f>
        <v>1954365.2791694812</v>
      </c>
    </row>
    <row r="22" spans="1:18" x14ac:dyDescent="0.25">
      <c r="B22" s="15" t="s">
        <v>292</v>
      </c>
      <c r="P22" s="7" t="s">
        <v>289</v>
      </c>
      <c r="Q22" s="7">
        <f>1/Q21</f>
        <v>5.1167507459248135E-7</v>
      </c>
      <c r="R22" s="7" t="s">
        <v>229</v>
      </c>
    </row>
    <row r="24" spans="1:18" x14ac:dyDescent="0.25">
      <c r="G24" s="7" t="s">
        <v>295</v>
      </c>
      <c r="H24" s="7">
        <f>(B27*K11*(B19^0.333)*(Q17)/(G9))</f>
        <v>6.517267510422229E-3</v>
      </c>
      <c r="I24" s="7" t="s">
        <v>229</v>
      </c>
    </row>
    <row r="27" spans="1:18" x14ac:dyDescent="0.25">
      <c r="A27" s="5" t="s">
        <v>293</v>
      </c>
      <c r="B27" s="17">
        <f>((0.765*(K11^-0.82))+(0.365*(B19^-0.398)))/G5</f>
        <v>35.78789189898243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5" workbookViewId="0">
      <selection activeCell="Q22" sqref="Q22"/>
    </sheetView>
  </sheetViews>
  <sheetFormatPr defaultRowHeight="15" x14ac:dyDescent="0.25"/>
  <cols>
    <col min="15" max="15" width="12.28515625" customWidth="1"/>
    <col min="16" max="16" width="12" bestFit="1" customWidth="1"/>
  </cols>
  <sheetData>
    <row r="1" spans="1:17" x14ac:dyDescent="0.25">
      <c r="O1" s="25" t="s">
        <v>393</v>
      </c>
      <c r="P1" s="25"/>
      <c r="Q1" s="25"/>
    </row>
    <row r="2" spans="1:17" x14ac:dyDescent="0.25">
      <c r="A2" t="s">
        <v>367</v>
      </c>
      <c r="C2" t="s">
        <v>376</v>
      </c>
    </row>
    <row r="3" spans="1:17" x14ac:dyDescent="0.25">
      <c r="O3" s="15" t="s">
        <v>395</v>
      </c>
      <c r="P3" s="15"/>
      <c r="Q3" s="15"/>
    </row>
    <row r="6" spans="1:17" x14ac:dyDescent="0.25">
      <c r="O6" s="7" t="s">
        <v>396</v>
      </c>
      <c r="P6" s="7">
        <f>(B24*B18*(B32^2))/(B7*B11)</f>
        <v>0.2431234802983076</v>
      </c>
    </row>
    <row r="7" spans="1:17" x14ac:dyDescent="0.25">
      <c r="A7" s="7" t="s">
        <v>289</v>
      </c>
      <c r="B7" s="7">
        <v>4.6113592887507749E-8</v>
      </c>
      <c r="C7" s="7" t="s">
        <v>229</v>
      </c>
      <c r="G7" s="7" t="s">
        <v>364</v>
      </c>
      <c r="H7" s="7">
        <f>(B7*B11*B8)/B9</f>
        <v>0.15187788373451769</v>
      </c>
    </row>
    <row r="8" spans="1:17" x14ac:dyDescent="0.25">
      <c r="A8" t="s">
        <v>359</v>
      </c>
      <c r="B8">
        <f>68.9223759464668*1000</f>
        <v>68922.375946466796</v>
      </c>
      <c r="C8" t="s">
        <v>196</v>
      </c>
    </row>
    <row r="9" spans="1:17" x14ac:dyDescent="0.25">
      <c r="A9" t="s">
        <v>360</v>
      </c>
      <c r="B9">
        <v>0.27631187864430889</v>
      </c>
      <c r="C9" t="s">
        <v>361</v>
      </c>
      <c r="O9" s="15" t="s">
        <v>394</v>
      </c>
    </row>
    <row r="10" spans="1:17" x14ac:dyDescent="0.25">
      <c r="A10" t="s">
        <v>95</v>
      </c>
      <c r="B10">
        <f>923</f>
        <v>923</v>
      </c>
      <c r="C10" t="s">
        <v>98</v>
      </c>
      <c r="D10" t="s">
        <v>362</v>
      </c>
    </row>
    <row r="11" spans="1:17" x14ac:dyDescent="0.25">
      <c r="A11" t="s">
        <v>363</v>
      </c>
      <c r="B11">
        <f>(101325)/(8.314*B10)</f>
        <v>13.203981014936234</v>
      </c>
      <c r="C11">
        <f>B11/1000</f>
        <v>1.3203981014936235E-2</v>
      </c>
      <c r="D11" t="s">
        <v>365</v>
      </c>
    </row>
    <row r="14" spans="1:17" x14ac:dyDescent="0.25">
      <c r="A14" s="15" t="s">
        <v>377</v>
      </c>
      <c r="B14" s="15"/>
      <c r="C14" s="15"/>
      <c r="O14" t="s">
        <v>390</v>
      </c>
      <c r="P14">
        <f>(E24*(B32*2))/(B11*B36*6)</f>
        <v>6.8935831533314734E-3</v>
      </c>
    </row>
    <row r="15" spans="1:17" x14ac:dyDescent="0.25">
      <c r="O15" t="s">
        <v>397</v>
      </c>
      <c r="P15">
        <f>(E24/P14)</f>
        <v>134.21336188815056</v>
      </c>
    </row>
    <row r="16" spans="1:17" x14ac:dyDescent="0.25">
      <c r="I16" s="7">
        <f>(B20*E24*B19)/B21</f>
        <v>0.60598794458507044</v>
      </c>
    </row>
    <row r="18" spans="1:16" x14ac:dyDescent="0.25">
      <c r="A18" t="s">
        <v>386</v>
      </c>
      <c r="B18">
        <f>8.771*1000</f>
        <v>8771</v>
      </c>
      <c r="C18" t="s">
        <v>387</v>
      </c>
      <c r="O18" s="15" t="s">
        <v>389</v>
      </c>
      <c r="P18" s="15"/>
    </row>
    <row r="19" spans="1:16" x14ac:dyDescent="0.25">
      <c r="A19" t="s">
        <v>359</v>
      </c>
      <c r="B19">
        <v>68922.375946466796</v>
      </c>
      <c r="C19" t="s">
        <v>196</v>
      </c>
    </row>
    <row r="20" spans="1:16" x14ac:dyDescent="0.25">
      <c r="A20" t="s">
        <v>378</v>
      </c>
      <c r="B20">
        <f>0.0004/3</f>
        <v>1.3333333333333334E-4</v>
      </c>
      <c r="C20" t="s">
        <v>75</v>
      </c>
      <c r="D20" t="s">
        <v>379</v>
      </c>
    </row>
    <row r="21" spans="1:16" x14ac:dyDescent="0.25">
      <c r="A21" t="s">
        <v>372</v>
      </c>
      <c r="B21">
        <v>14.030584580861539</v>
      </c>
      <c r="C21" t="s">
        <v>220</v>
      </c>
      <c r="D21" t="s">
        <v>380</v>
      </c>
    </row>
    <row r="22" spans="1:16" x14ac:dyDescent="0.25">
      <c r="A22" t="s">
        <v>381</v>
      </c>
      <c r="B22" t="s">
        <v>382</v>
      </c>
      <c r="O22" s="26">
        <f>(B24*B18*B32*3.5)/(B36*B11)</f>
        <v>7.2382623109980462E-2</v>
      </c>
    </row>
    <row r="23" spans="1:16" x14ac:dyDescent="0.25">
      <c r="A23" t="s">
        <v>383</v>
      </c>
      <c r="B23">
        <f>158</f>
        <v>158</v>
      </c>
      <c r="C23" t="s">
        <v>384</v>
      </c>
    </row>
    <row r="24" spans="1:16" x14ac:dyDescent="0.25">
      <c r="A24" t="s">
        <v>381</v>
      </c>
      <c r="B24">
        <f>(1/(B23*60))</f>
        <v>1.0548523206751055E-4</v>
      </c>
      <c r="C24" t="s">
        <v>385</v>
      </c>
      <c r="E24">
        <f>(B24*(B18))</f>
        <v>0.92521097046413503</v>
      </c>
      <c r="F24" t="s">
        <v>388</v>
      </c>
    </row>
    <row r="26" spans="1:16" x14ac:dyDescent="0.25">
      <c r="A26" s="15" t="s">
        <v>389</v>
      </c>
    </row>
    <row r="31" spans="1:16" x14ac:dyDescent="0.25">
      <c r="A31" t="s">
        <v>85</v>
      </c>
      <c r="B31">
        <f>93700</f>
        <v>93700</v>
      </c>
      <c r="H31" s="7" t="s">
        <v>390</v>
      </c>
      <c r="I31" s="7">
        <f>(E24*B18*B32*B19)/(B35*(B33^2)*B34)</f>
        <v>2.2561535750195683E-3</v>
      </c>
    </row>
    <row r="32" spans="1:16" x14ac:dyDescent="0.25">
      <c r="A32" t="s">
        <v>391</v>
      </c>
      <c r="B32">
        <f>0.0008/2</f>
        <v>4.0000000000000002E-4</v>
      </c>
    </row>
    <row r="33" spans="1:3" x14ac:dyDescent="0.25">
      <c r="A33" t="s">
        <v>95</v>
      </c>
      <c r="B33">
        <f>923</f>
        <v>923</v>
      </c>
    </row>
    <row r="34" spans="1:3" x14ac:dyDescent="0.25">
      <c r="A34" t="s">
        <v>392</v>
      </c>
      <c r="B34">
        <f>8.314</f>
        <v>8.3140000000000001</v>
      </c>
    </row>
    <row r="35" spans="1:3" x14ac:dyDescent="0.25">
      <c r="A35" t="s">
        <v>372</v>
      </c>
      <c r="B35">
        <f>14</f>
        <v>14</v>
      </c>
    </row>
    <row r="36" spans="1:3" x14ac:dyDescent="0.25">
      <c r="A36" t="s">
        <v>370</v>
      </c>
      <c r="B36">
        <v>1.3552817819245022E-3</v>
      </c>
      <c r="C36" t="s">
        <v>185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8" workbookViewId="0">
      <selection activeCell="I30" sqref="I30:K30"/>
    </sheetView>
  </sheetViews>
  <sheetFormatPr defaultRowHeight="15" x14ac:dyDescent="0.25"/>
  <cols>
    <col min="2" max="2" width="12.5703125" bestFit="1" customWidth="1"/>
    <col min="7" max="7" width="12" bestFit="1" customWidth="1"/>
    <col min="16" max="16" width="10.140625" customWidth="1"/>
    <col min="17" max="17" width="12" bestFit="1" customWidth="1"/>
  </cols>
  <sheetData>
    <row r="1" spans="1:17" x14ac:dyDescent="0.25">
      <c r="J1" s="12" t="s">
        <v>268</v>
      </c>
      <c r="K1" s="12"/>
    </row>
    <row r="2" spans="1:17" x14ac:dyDescent="0.25">
      <c r="O2" t="s">
        <v>299</v>
      </c>
    </row>
    <row r="5" spans="1:17" x14ac:dyDescent="0.25">
      <c r="A5" t="s">
        <v>269</v>
      </c>
      <c r="F5" t="s">
        <v>235</v>
      </c>
      <c r="G5" s="21">
        <v>5.3364758406074798E-5</v>
      </c>
      <c r="H5" t="s">
        <v>297</v>
      </c>
    </row>
    <row r="6" spans="1:17" x14ac:dyDescent="0.25">
      <c r="A6" t="s">
        <v>279</v>
      </c>
      <c r="B6" t="s">
        <v>157</v>
      </c>
      <c r="F6" t="s">
        <v>76</v>
      </c>
      <c r="G6">
        <f>0.8/1000</f>
        <v>8.0000000000000004E-4</v>
      </c>
      <c r="H6" t="s">
        <v>75</v>
      </c>
      <c r="O6" t="s">
        <v>300</v>
      </c>
    </row>
    <row r="7" spans="1:17" x14ac:dyDescent="0.25">
      <c r="A7" t="s">
        <v>280</v>
      </c>
      <c r="B7">
        <f>'Mol avg'!H6</f>
        <v>2.6240000000000003E-2</v>
      </c>
      <c r="C7" t="s">
        <v>158</v>
      </c>
      <c r="F7" t="s">
        <v>79</v>
      </c>
      <c r="G7">
        <v>0.50876495752991502</v>
      </c>
      <c r="J7" t="s">
        <v>278</v>
      </c>
      <c r="O7" s="19" t="s">
        <v>301</v>
      </c>
      <c r="P7" s="19">
        <f>0.91*1*(B13^0.49)*(B26^0.3333)</f>
        <v>1.9219405818358799</v>
      </c>
    </row>
    <row r="8" spans="1:17" x14ac:dyDescent="0.25">
      <c r="A8" t="s">
        <v>281</v>
      </c>
      <c r="B8">
        <f>773</f>
        <v>773</v>
      </c>
      <c r="C8" t="s">
        <v>34</v>
      </c>
      <c r="F8" s="5" t="s">
        <v>65</v>
      </c>
      <c r="G8" s="5">
        <v>4.6113592887507749E-8</v>
      </c>
      <c r="H8" s="5" t="s">
        <v>155</v>
      </c>
    </row>
    <row r="9" spans="1:17" x14ac:dyDescent="0.25">
      <c r="A9" s="5" t="s">
        <v>179</v>
      </c>
      <c r="B9" s="5">
        <v>1.6579353889786302E-2</v>
      </c>
      <c r="C9" s="5">
        <v>1.6579353889786302E-2</v>
      </c>
      <c r="D9" t="s">
        <v>185</v>
      </c>
      <c r="F9" t="s">
        <v>65</v>
      </c>
      <c r="G9">
        <v>4.6113592887507749E-4</v>
      </c>
      <c r="H9" t="s">
        <v>154</v>
      </c>
    </row>
    <row r="10" spans="1:17" x14ac:dyDescent="0.25">
      <c r="F10" t="s">
        <v>79</v>
      </c>
      <c r="G10">
        <v>0.50876495752991502</v>
      </c>
    </row>
    <row r="11" spans="1:17" x14ac:dyDescent="0.25">
      <c r="A11" t="s">
        <v>279</v>
      </c>
      <c r="B11">
        <f>(101325*B7)/(8.314*B8)</f>
        <v>0.4137051517087561</v>
      </c>
      <c r="C11" t="s">
        <v>165</v>
      </c>
      <c r="F11" t="s">
        <v>143</v>
      </c>
      <c r="G11">
        <v>1.3735784230686866E-6</v>
      </c>
      <c r="H11" t="s">
        <v>148</v>
      </c>
      <c r="P11" s="15" t="s">
        <v>373</v>
      </c>
    </row>
    <row r="12" spans="1:17" x14ac:dyDescent="0.25">
      <c r="F12" t="s">
        <v>98</v>
      </c>
      <c r="J12" t="s">
        <v>279</v>
      </c>
      <c r="K12" t="s">
        <v>157</v>
      </c>
      <c r="M12" t="s">
        <v>281</v>
      </c>
      <c r="N12">
        <f>773</f>
        <v>773</v>
      </c>
      <c r="O12" t="s">
        <v>98</v>
      </c>
    </row>
    <row r="13" spans="1:17" x14ac:dyDescent="0.25">
      <c r="A13" s="7" t="s">
        <v>296</v>
      </c>
      <c r="B13" s="7">
        <f>(B11*G6*B9)/(G5*(1-G7))</f>
        <v>0.20931706201218547</v>
      </c>
      <c r="F13" t="s">
        <v>287</v>
      </c>
      <c r="G13">
        <f>(G8*G10)/(K24)</f>
        <v>1.7177999875099529E-8</v>
      </c>
      <c r="J13" t="s">
        <v>280</v>
      </c>
      <c r="K13">
        <f>B7</f>
        <v>2.6240000000000003E-2</v>
      </c>
      <c r="L13" t="s">
        <v>158</v>
      </c>
    </row>
    <row r="14" spans="1:17" x14ac:dyDescent="0.25">
      <c r="F14" t="s">
        <v>76</v>
      </c>
      <c r="G14">
        <v>8.0000000000000004E-4</v>
      </c>
      <c r="H14" t="s">
        <v>75</v>
      </c>
      <c r="J14" t="s">
        <v>279</v>
      </c>
      <c r="K14">
        <f>(101534.05*K13)/(8.314*N12)</f>
        <v>0.41455869290751962</v>
      </c>
      <c r="L14" t="s">
        <v>165</v>
      </c>
      <c r="O14" t="s">
        <v>374</v>
      </c>
      <c r="P14" s="7">
        <v>5.0228965408540507E-2</v>
      </c>
      <c r="Q14" s="7" t="s">
        <v>216</v>
      </c>
    </row>
    <row r="15" spans="1:17" x14ac:dyDescent="0.25">
      <c r="A15" s="5"/>
      <c r="F15" t="s">
        <v>368</v>
      </c>
      <c r="G15">
        <f>12.7/1000</f>
        <v>1.2699999999999999E-2</v>
      </c>
      <c r="H15" t="s">
        <v>75</v>
      </c>
      <c r="O15" t="s">
        <v>375</v>
      </c>
      <c r="P15">
        <f>(H16*G5)/P14</f>
        <v>2.1461779248941379</v>
      </c>
    </row>
    <row r="16" spans="1:17" x14ac:dyDescent="0.25">
      <c r="F16" t="s">
        <v>227</v>
      </c>
      <c r="H16">
        <v>2020.0653009572966</v>
      </c>
      <c r="I16" t="s">
        <v>225</v>
      </c>
      <c r="J16" s="7" t="s">
        <v>265</v>
      </c>
      <c r="K16" s="7">
        <f>(K14*'Mol avg'!L15*'Mol avg'!B9)/('Mol avg'!G8)</f>
        <v>1.0303601827259243E-2</v>
      </c>
    </row>
    <row r="17" spans="1:18" x14ac:dyDescent="0.25">
      <c r="B17" s="10"/>
      <c r="C17" s="10"/>
    </row>
    <row r="19" spans="1:18" x14ac:dyDescent="0.25">
      <c r="P19" s="15" t="s">
        <v>298</v>
      </c>
    </row>
    <row r="20" spans="1:18" x14ac:dyDescent="0.25">
      <c r="B20" s="13" t="s">
        <v>282</v>
      </c>
      <c r="C20" s="13"/>
      <c r="D20" s="13"/>
      <c r="I20" s="15" t="s">
        <v>291</v>
      </c>
    </row>
    <row r="24" spans="1:18" x14ac:dyDescent="0.25">
      <c r="I24" s="18" t="s">
        <v>291</v>
      </c>
      <c r="J24" s="18" t="s">
        <v>285</v>
      </c>
      <c r="K24" s="18">
        <f>((1+G10)^2)/((G10*((1+G10)^2))+(4*(G10^2)*(1-G10)))</f>
        <v>1.365757381391804</v>
      </c>
      <c r="P24" t="s">
        <v>286</v>
      </c>
      <c r="Q24">
        <f>(G11*G10)/(K24)</f>
        <v>5.1167841199173449E-7</v>
      </c>
      <c r="R24" t="s">
        <v>229</v>
      </c>
    </row>
    <row r="25" spans="1:18" x14ac:dyDescent="0.25">
      <c r="A25" t="s">
        <v>283</v>
      </c>
      <c r="B25" t="s">
        <v>72</v>
      </c>
      <c r="K25">
        <v>8</v>
      </c>
    </row>
    <row r="26" spans="1:18" x14ac:dyDescent="0.25">
      <c r="A26" s="19" t="s">
        <v>284</v>
      </c>
      <c r="B26" s="19">
        <f>(G5)/(B11*G11)</f>
        <v>93.909636287136777</v>
      </c>
      <c r="I26" s="15" t="s">
        <v>294</v>
      </c>
      <c r="J26" s="15"/>
      <c r="K26" s="15"/>
      <c r="P26" s="5" t="s">
        <v>110</v>
      </c>
      <c r="Q26" s="5">
        <v>2105.9087893990786</v>
      </c>
      <c r="R26">
        <f>Q26/10000</f>
        <v>0.21059087893990786</v>
      </c>
    </row>
    <row r="27" spans="1:18" x14ac:dyDescent="0.25">
      <c r="A27" s="7"/>
      <c r="B27" s="7"/>
      <c r="P27" t="s">
        <v>288</v>
      </c>
      <c r="Q27">
        <f>(R26*G10)/(K25)</f>
        <v>1.3392657447506211E-2</v>
      </c>
    </row>
    <row r="28" spans="1:18" x14ac:dyDescent="0.25">
      <c r="P28" t="s">
        <v>290</v>
      </c>
      <c r="Q28">
        <f>(1/Q24)+(1/Q27)</f>
        <v>1954427.1996905261</v>
      </c>
    </row>
    <row r="29" spans="1:18" x14ac:dyDescent="0.25">
      <c r="B29" s="15" t="s">
        <v>292</v>
      </c>
      <c r="P29" s="7" t="s">
        <v>289</v>
      </c>
      <c r="Q29" s="7">
        <f>1/Q28</f>
        <v>5.1165886360891057E-7</v>
      </c>
      <c r="R29" s="7" t="s">
        <v>229</v>
      </c>
    </row>
    <row r="30" spans="1:18" x14ac:dyDescent="0.25">
      <c r="I30" t="s">
        <v>370</v>
      </c>
      <c r="J30">
        <f>(B33/(B26^(0.6667)))*B9</f>
        <v>1.3552817819245022E-3</v>
      </c>
      <c r="K30" t="s">
        <v>185</v>
      </c>
    </row>
    <row r="32" spans="1:18" x14ac:dyDescent="0.25">
      <c r="I32" s="7"/>
      <c r="J32" s="7"/>
      <c r="K32" s="7"/>
    </row>
    <row r="33" spans="1:13" x14ac:dyDescent="0.25">
      <c r="A33" t="s">
        <v>369</v>
      </c>
      <c r="B33">
        <f>(0.4548/G10)*(B13^-0.4069)</f>
        <v>1.6891486148486339</v>
      </c>
    </row>
    <row r="35" spans="1:13" x14ac:dyDescent="0.25">
      <c r="A35" t="s">
        <v>371</v>
      </c>
    </row>
    <row r="36" spans="1:13" x14ac:dyDescent="0.25">
      <c r="K36" s="7" t="s">
        <v>372</v>
      </c>
      <c r="L36" s="7">
        <f>(B33/(P15^0.67))*(H16*B9*B11)</f>
        <v>14.030584580861539</v>
      </c>
      <c r="M36" s="7" t="s">
        <v>220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H8" sqref="H8"/>
    </sheetView>
  </sheetViews>
  <sheetFormatPr defaultRowHeight="15" x14ac:dyDescent="0.25"/>
  <sheetData>
    <row r="2" spans="1:9" x14ac:dyDescent="0.25">
      <c r="G2" s="15" t="s">
        <v>398</v>
      </c>
    </row>
    <row r="7" spans="1:9" x14ac:dyDescent="0.25">
      <c r="G7" t="s">
        <v>399</v>
      </c>
      <c r="H7" t="s">
        <v>400</v>
      </c>
    </row>
    <row r="8" spans="1:9" x14ac:dyDescent="0.25">
      <c r="B8" t="s">
        <v>401</v>
      </c>
      <c r="C8" t="s">
        <v>402</v>
      </c>
      <c r="D8" t="s">
        <v>403</v>
      </c>
      <c r="G8" t="s">
        <v>399</v>
      </c>
      <c r="H8">
        <f>(SUM(D12:D14))-(SUM(D9:D11))</f>
        <v>-41.914999999999964</v>
      </c>
      <c r="I8" t="s">
        <v>42</v>
      </c>
    </row>
    <row r="9" spans="1:9" x14ac:dyDescent="0.25">
      <c r="A9" t="s">
        <v>146</v>
      </c>
      <c r="B9">
        <f>-582.8</f>
        <v>-582.79999999999995</v>
      </c>
      <c r="C9">
        <f>1</f>
        <v>1</v>
      </c>
      <c r="D9">
        <f>B9*C9</f>
        <v>-582.79999999999995</v>
      </c>
    </row>
    <row r="10" spans="1:9" x14ac:dyDescent="0.25">
      <c r="A10" t="s">
        <v>106</v>
      </c>
      <c r="B10">
        <f>-285.3</f>
        <v>-285.3</v>
      </c>
      <c r="C10">
        <f>0.7</f>
        <v>0.7</v>
      </c>
      <c r="D10">
        <f t="shared" ref="D10:D14" si="0">B10*C10</f>
        <v>-199.71</v>
      </c>
    </row>
    <row r="11" spans="1:9" x14ac:dyDescent="0.25">
      <c r="A11" t="s">
        <v>105</v>
      </c>
      <c r="B11">
        <f>0</f>
        <v>0</v>
      </c>
      <c r="C11">
        <f>0.65</f>
        <v>0.65</v>
      </c>
      <c r="D11">
        <f t="shared" si="0"/>
        <v>0</v>
      </c>
    </row>
    <row r="12" spans="1:9" x14ac:dyDescent="0.25">
      <c r="A12" t="s">
        <v>29</v>
      </c>
      <c r="B12">
        <f>-393.5</f>
        <v>-393.5</v>
      </c>
      <c r="C12">
        <f>2</f>
        <v>2</v>
      </c>
      <c r="D12">
        <f t="shared" si="0"/>
        <v>-787</v>
      </c>
    </row>
    <row r="13" spans="1:9" x14ac:dyDescent="0.25">
      <c r="A13" t="s">
        <v>16</v>
      </c>
      <c r="B13">
        <f>-74.85</f>
        <v>-74.849999999999994</v>
      </c>
      <c r="C13">
        <f>0.5</f>
        <v>0.5</v>
      </c>
      <c r="D13">
        <f t="shared" si="0"/>
        <v>-37.424999999999997</v>
      </c>
    </row>
    <row r="14" spans="1:9" x14ac:dyDescent="0.25">
      <c r="A14" t="s">
        <v>17</v>
      </c>
      <c r="B14">
        <f>0</f>
        <v>0</v>
      </c>
      <c r="C14">
        <f>3.2</f>
        <v>3.2</v>
      </c>
      <c r="D14">
        <f t="shared" si="0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41"/>
  <sheetViews>
    <sheetView topLeftCell="A20" workbookViewId="0">
      <selection activeCell="M23" sqref="M23"/>
    </sheetView>
  </sheetViews>
  <sheetFormatPr defaultRowHeight="15" x14ac:dyDescent="0.25"/>
  <cols>
    <col min="3" max="5" width="12.7109375" bestFit="1" customWidth="1"/>
    <col min="6" max="6" width="10.85546875" customWidth="1"/>
    <col min="7" max="7" width="11.28515625" customWidth="1"/>
    <col min="20" max="20" width="12" bestFit="1" customWidth="1"/>
  </cols>
  <sheetData>
    <row r="5" spans="1:27" x14ac:dyDescent="0.25">
      <c r="B5" t="s">
        <v>10</v>
      </c>
      <c r="C5" t="s">
        <v>12</v>
      </c>
      <c r="D5" t="s">
        <v>13</v>
      </c>
      <c r="E5" t="s">
        <v>41</v>
      </c>
      <c r="F5" t="s">
        <v>41</v>
      </c>
      <c r="H5" t="s">
        <v>15</v>
      </c>
      <c r="I5" t="s">
        <v>14</v>
      </c>
      <c r="J5" t="s">
        <v>19</v>
      </c>
      <c r="K5" t="s">
        <v>416</v>
      </c>
    </row>
    <row r="6" spans="1:27" x14ac:dyDescent="0.25">
      <c r="A6" t="s">
        <v>7</v>
      </c>
      <c r="B6">
        <f>0.0948</f>
        <v>9.4799999999999995E-2</v>
      </c>
      <c r="C6" s="1">
        <f>(B6/B10)*1</f>
        <v>9.5420231504781072E-2</v>
      </c>
      <c r="D6">
        <v>-1</v>
      </c>
      <c r="E6">
        <f>-582.8</f>
        <v>-582.79999999999995</v>
      </c>
      <c r="F6">
        <f>D6*E6</f>
        <v>582.79999999999995</v>
      </c>
      <c r="H6" t="s">
        <v>16</v>
      </c>
      <c r="I6">
        <v>0.5</v>
      </c>
      <c r="J6">
        <f>-74.85</f>
        <v>-74.849999999999994</v>
      </c>
      <c r="K6">
        <f>I6*J6</f>
        <v>-37.424999999999997</v>
      </c>
    </row>
    <row r="7" spans="1:27" x14ac:dyDescent="0.25">
      <c r="A7" t="s">
        <v>8</v>
      </c>
      <c r="B7">
        <f>0.61</f>
        <v>0.61</v>
      </c>
      <c r="C7" s="1">
        <f>(B7/B10)*1</f>
        <v>0.61399094111726227</v>
      </c>
      <c r="D7">
        <f>-0.7</f>
        <v>-0.7</v>
      </c>
      <c r="E7">
        <f>-241.83</f>
        <v>-241.83</v>
      </c>
      <c r="F7">
        <f t="shared" ref="F7:F9" si="0">D7*E7</f>
        <v>169.28100000000001</v>
      </c>
      <c r="H7" t="s">
        <v>17</v>
      </c>
      <c r="I7">
        <v>3.25</v>
      </c>
      <c r="J7">
        <v>0</v>
      </c>
      <c r="K7">
        <f t="shared" ref="K7:K8" si="1">I7*J7</f>
        <v>0</v>
      </c>
    </row>
    <row r="8" spans="1:27" x14ac:dyDescent="0.25">
      <c r="A8" t="s">
        <v>9</v>
      </c>
      <c r="B8">
        <v>5.8700000000000002E-2</v>
      </c>
      <c r="C8" s="1">
        <f>(B8/B10)*1</f>
        <v>5.9084046300956219E-2</v>
      </c>
      <c r="D8">
        <f>-0.625</f>
        <v>-0.625</v>
      </c>
      <c r="E8">
        <v>0</v>
      </c>
      <c r="F8">
        <f t="shared" si="0"/>
        <v>0</v>
      </c>
      <c r="H8" t="s">
        <v>18</v>
      </c>
      <c r="I8">
        <v>2</v>
      </c>
      <c r="J8">
        <f>-393.51</f>
        <v>-393.51</v>
      </c>
      <c r="K8">
        <f t="shared" si="1"/>
        <v>-787.02</v>
      </c>
    </row>
    <row r="9" spans="1:27" x14ac:dyDescent="0.25">
      <c r="A9" t="s">
        <v>11</v>
      </c>
      <c r="B9">
        <f>0.23</f>
        <v>0.23</v>
      </c>
      <c r="C9" s="1">
        <f>(B9/B10)*1</f>
        <v>0.23150478107700054</v>
      </c>
      <c r="D9">
        <v>0</v>
      </c>
      <c r="E9">
        <v>0</v>
      </c>
      <c r="F9">
        <f t="shared" si="0"/>
        <v>0</v>
      </c>
    </row>
    <row r="10" spans="1:27" x14ac:dyDescent="0.25">
      <c r="B10">
        <f>SUM(B6:B9)</f>
        <v>0.99349999999999994</v>
      </c>
      <c r="C10">
        <f>SUM(C6:C9)</f>
        <v>1</v>
      </c>
      <c r="F10">
        <f>SUM(F6:F9)</f>
        <v>752.0809999999999</v>
      </c>
      <c r="K10">
        <f>SUM(K6:K8)</f>
        <v>-824.44499999999994</v>
      </c>
    </row>
    <row r="11" spans="1:27" x14ac:dyDescent="0.25">
      <c r="D11" t="s">
        <v>19</v>
      </c>
      <c r="E11">
        <f>K10-(F10)</f>
        <v>-1576.5259999999998</v>
      </c>
      <c r="F11" t="s">
        <v>42</v>
      </c>
      <c r="G11">
        <f>K10+F10</f>
        <v>-72.364000000000033</v>
      </c>
      <c r="H11" t="s">
        <v>416</v>
      </c>
    </row>
    <row r="14" spans="1:27" x14ac:dyDescent="0.25">
      <c r="A14" t="s">
        <v>20</v>
      </c>
    </row>
    <row r="15" spans="1:27" x14ac:dyDescent="0.25">
      <c r="AA15" t="s">
        <v>43</v>
      </c>
    </row>
    <row r="19" spans="1:24" x14ac:dyDescent="0.25">
      <c r="C19" t="s">
        <v>21</v>
      </c>
      <c r="D19" t="s">
        <v>22</v>
      </c>
      <c r="E19" t="s">
        <v>23</v>
      </c>
      <c r="F19" t="s">
        <v>24</v>
      </c>
      <c r="G19" t="s">
        <v>25</v>
      </c>
      <c r="N19" t="s">
        <v>39</v>
      </c>
      <c r="U19" t="s">
        <v>39</v>
      </c>
    </row>
    <row r="20" spans="1:24" x14ac:dyDescent="0.25">
      <c r="A20" s="2" t="s">
        <v>26</v>
      </c>
      <c r="C20">
        <f>9.656</f>
        <v>9.6560000000000006</v>
      </c>
      <c r="D20">
        <f>0.42826</f>
        <v>0.42825999999999997</v>
      </c>
      <c r="E20">
        <f>-2.6797*10^-4</f>
        <v>-2.6797000000000002E-4</v>
      </c>
      <c r="F20">
        <f>3.1794*10^-8</f>
        <v>3.1794E-8</v>
      </c>
      <c r="G20">
        <f>0.000000000027745</f>
        <v>2.7745E-11</v>
      </c>
      <c r="I20">
        <f>C20*(575-25)</f>
        <v>5310.8</v>
      </c>
      <c r="J20">
        <f>1/2*D20*((575-25)^2)</f>
        <v>64774.324999999997</v>
      </c>
      <c r="K20">
        <f>1/3*E20*((575-25)^3)</f>
        <v>-14861.169583333332</v>
      </c>
      <c r="L20">
        <f>0.25*F20*((575-25)^4)</f>
        <v>727.33742812499997</v>
      </c>
      <c r="M20">
        <f>1/5*G20*((575-25)^5)</f>
        <v>279.27249968750004</v>
      </c>
      <c r="N20">
        <f>SUM(I20:M20)</f>
        <v>56230.565344479161</v>
      </c>
      <c r="Q20">
        <f>C20*298*((848/298)-1)</f>
        <v>5310.8</v>
      </c>
      <c r="R20">
        <f>((D20/2)*(298^2)*((848/298)^2-1))</f>
        <v>134966.139</v>
      </c>
      <c r="S20">
        <f>((E20/3)*(298^3)*((848/298)^3-1))</f>
        <v>-52105.569567333332</v>
      </c>
      <c r="T20">
        <f>((F20/298)*(((848/298)-1)/(848/298)))</f>
        <v>6.9198350639483349E-11</v>
      </c>
      <c r="U20">
        <f>SUM(Q20:T20)</f>
        <v>88171.369432666732</v>
      </c>
    </row>
    <row r="21" spans="1:24" x14ac:dyDescent="0.25">
      <c r="A21" s="2" t="s">
        <v>27</v>
      </c>
      <c r="C21">
        <f>33.933</f>
        <v>33.933</v>
      </c>
      <c r="D21">
        <f>-0.0084186</f>
        <v>-8.4186E-3</v>
      </c>
      <c r="E21">
        <f>0.000029906</f>
        <v>2.9906000000000001E-5</v>
      </c>
      <c r="F21">
        <v>-1.7824999999999999E-8</v>
      </c>
      <c r="G21">
        <v>3.6934000000000004E-12</v>
      </c>
      <c r="I21">
        <f t="shared" ref="I21:I23" si="2">C21*(575-25)</f>
        <v>18663.150000000001</v>
      </c>
      <c r="J21">
        <f t="shared" ref="J21:J23" si="3">1/2*D21*((575-25)^2)</f>
        <v>-1273.3132499999999</v>
      </c>
      <c r="K21">
        <f t="shared" ref="K21:K23" si="4">1/3*E21*((575-25)^3)</f>
        <v>1658.5369166666667</v>
      </c>
      <c r="L21">
        <f t="shared" ref="L21:L23" si="5">0.25*F21*((575-25)^4)</f>
        <v>-407.77472656250001</v>
      </c>
      <c r="M21">
        <f t="shared" ref="M21:M23" si="6">1/5*G21*((575-25)^5)</f>
        <v>37.176610212500009</v>
      </c>
      <c r="N21">
        <f t="shared" ref="N21:N23" si="7">SUM(I21:M21)</f>
        <v>18677.77555031667</v>
      </c>
      <c r="Q21">
        <f t="shared" ref="Q21:Q26" si="8">C21*298*((848/298)-1)</f>
        <v>18663.149999999998</v>
      </c>
      <c r="R21">
        <f t="shared" ref="R21:R26" si="9">((D21/2)*(298^2)*((848/298)^2-1))</f>
        <v>-2653.1217899999997</v>
      </c>
      <c r="S21">
        <f t="shared" ref="S21:S26" si="10">((E21/3)*(298^3)*((848/298)^3-1))</f>
        <v>5815.0881198666657</v>
      </c>
      <c r="T21">
        <f t="shared" ref="T21:T26" si="11">((F21/298)*(((848/298)-1)/(848/298)))</f>
        <v>-3.8795389071799418E-11</v>
      </c>
      <c r="U21">
        <f t="shared" ref="U21:U26" si="12">SUM(Q21:T21)</f>
        <v>21825.116329866625</v>
      </c>
    </row>
    <row r="22" spans="1:24" x14ac:dyDescent="0.25">
      <c r="A22" s="2" t="s">
        <v>9</v>
      </c>
      <c r="C22">
        <f>29.526</f>
        <v>29.526</v>
      </c>
      <c r="D22">
        <f>-0.0088999</f>
        <v>-8.8999000000000005E-3</v>
      </c>
      <c r="E22">
        <f>0.000038083</f>
        <v>3.8083000000000001E-5</v>
      </c>
      <c r="F22">
        <f>-0.000000032629</f>
        <v>-3.2629000000000001E-8</v>
      </c>
      <c r="G22">
        <f>0.0000000000088607</f>
        <v>8.8607000000000008E-12</v>
      </c>
      <c r="I22">
        <f t="shared" si="2"/>
        <v>16239.3</v>
      </c>
      <c r="J22">
        <f t="shared" si="3"/>
        <v>-1346.1098750000001</v>
      </c>
      <c r="K22">
        <f t="shared" si="4"/>
        <v>2112.0197083333333</v>
      </c>
      <c r="L22">
        <f t="shared" si="5"/>
        <v>-746.43935781250002</v>
      </c>
      <c r="M22">
        <f t="shared" si="6"/>
        <v>89.189037231250012</v>
      </c>
      <c r="N22">
        <f t="shared" si="7"/>
        <v>16347.959512752084</v>
      </c>
      <c r="Q22">
        <f t="shared" si="8"/>
        <v>16239.299999999997</v>
      </c>
      <c r="R22">
        <f t="shared" si="9"/>
        <v>-2804.8034849999999</v>
      </c>
      <c r="S22">
        <f t="shared" si="10"/>
        <v>7405.0692459333313</v>
      </c>
      <c r="T22">
        <f t="shared" si="11"/>
        <v>-7.1015694250981371E-11</v>
      </c>
      <c r="U22">
        <f t="shared" si="12"/>
        <v>20839.565760933256</v>
      </c>
    </row>
    <row r="23" spans="1:24" x14ac:dyDescent="0.25">
      <c r="A23" s="2" t="s">
        <v>11</v>
      </c>
      <c r="C23">
        <f>29.342</f>
        <v>29.341999999999999</v>
      </c>
      <c r="D23">
        <f>-0.0035395</f>
        <v>-3.5395000000000001E-3</v>
      </c>
      <c r="E23">
        <f>0.000010076</f>
        <v>1.0076E-5</v>
      </c>
      <c r="F23">
        <f>-0.0000000043116</f>
        <v>-4.3115999999999999E-9</v>
      </c>
      <c r="G23">
        <f>-0.00000000000025935</f>
        <v>-2.5935E-13</v>
      </c>
      <c r="I23">
        <f t="shared" si="2"/>
        <v>16138.099999999999</v>
      </c>
      <c r="J23">
        <f t="shared" si="3"/>
        <v>-535.34937500000001</v>
      </c>
      <c r="K23">
        <f t="shared" si="4"/>
        <v>558.79816666666659</v>
      </c>
      <c r="L23">
        <f t="shared" si="5"/>
        <v>-98.634586874999997</v>
      </c>
      <c r="M23">
        <f t="shared" si="6"/>
        <v>-2.6105360531250001</v>
      </c>
      <c r="N23">
        <f t="shared" si="7"/>
        <v>16060.303668738541</v>
      </c>
      <c r="Q23">
        <f t="shared" si="8"/>
        <v>16138.099999999999</v>
      </c>
      <c r="R23">
        <f t="shared" si="9"/>
        <v>-1115.4734249999999</v>
      </c>
      <c r="S23">
        <f t="shared" si="10"/>
        <v>1959.2331938666664</v>
      </c>
      <c r="T23">
        <f t="shared" si="11"/>
        <v>-9.3840224135747734E-12</v>
      </c>
      <c r="U23">
        <f t="shared" si="12"/>
        <v>16981.859768866652</v>
      </c>
    </row>
    <row r="24" spans="1:24" x14ac:dyDescent="0.25">
      <c r="A24" s="2" t="s">
        <v>28</v>
      </c>
      <c r="C24">
        <f>34.942</f>
        <v>34.942</v>
      </c>
      <c r="D24">
        <f>0.039957</f>
        <v>3.9956999999999999E-2</v>
      </c>
      <c r="E24">
        <f>0.00019184</f>
        <v>1.9184000000000001E-4</v>
      </c>
      <c r="F24">
        <f>-0.00000015303</f>
        <v>-1.5302999999999999E-7</v>
      </c>
      <c r="G24">
        <f>0.00000000003921</f>
        <v>3.921E-11</v>
      </c>
      <c r="I24">
        <f>C24*(575-25)</f>
        <v>19218.099999999999</v>
      </c>
      <c r="J24">
        <f>1/2*D24*((575-25)^2)</f>
        <v>6043.4962500000001</v>
      </c>
      <c r="K24">
        <f>1/3*E24*((575-25)^3)</f>
        <v>10639.126666666667</v>
      </c>
      <c r="L24">
        <f>0.25*F24*((575-25)^4)</f>
        <v>-3500.8003593749995</v>
      </c>
      <c r="M24">
        <f>1/5*G24*((575-25)^5)</f>
        <v>394.67560687499997</v>
      </c>
      <c r="N24">
        <f>SUM(I24:M24)</f>
        <v>32794.598164166666</v>
      </c>
      <c r="Q24">
        <f t="shared" si="8"/>
        <v>19218.099999999999</v>
      </c>
      <c r="R24">
        <f t="shared" si="9"/>
        <v>12592.448549999999</v>
      </c>
      <c r="S24">
        <f t="shared" si="10"/>
        <v>37302.431114666659</v>
      </c>
      <c r="T24">
        <f t="shared" si="11"/>
        <v>-3.3306358427250854E-10</v>
      </c>
      <c r="U24">
        <f t="shared" si="12"/>
        <v>69112.979664666331</v>
      </c>
    </row>
    <row r="25" spans="1:24" x14ac:dyDescent="0.25">
      <c r="A25" s="2" t="s">
        <v>29</v>
      </c>
      <c r="C25">
        <f>27.43</f>
        <v>27.43</v>
      </c>
      <c r="D25">
        <f>0.042315</f>
        <v>4.2314999999999998E-2</v>
      </c>
      <c r="E25">
        <f>-0.000019555</f>
        <v>-1.9555000000000002E-5</v>
      </c>
      <c r="F25">
        <f>0.0000000039968</f>
        <v>3.9968000000000001E-9</v>
      </c>
      <c r="G25">
        <f>0.00000000000029872</f>
        <v>2.9872000000000001E-13</v>
      </c>
      <c r="I25">
        <f>C25*(575-25)</f>
        <v>15086.5</v>
      </c>
      <c r="J25">
        <f>1/2*D25*((575-25)^2)</f>
        <v>6400.1437500000002</v>
      </c>
      <c r="K25">
        <f>1/3*E25*((575-25)^3)</f>
        <v>-1084.4877083333333</v>
      </c>
      <c r="L25">
        <f>0.25*F25*((575-25)^4)</f>
        <v>91.433045000000007</v>
      </c>
      <c r="M25">
        <f>1/5*G25*((575-25)^5)</f>
        <v>3.0068221700000004</v>
      </c>
      <c r="N25">
        <f>SUM(I25:M25)</f>
        <v>20496.595908836665</v>
      </c>
      <c r="Q25">
        <f t="shared" si="8"/>
        <v>15086.5</v>
      </c>
      <c r="R25">
        <f t="shared" si="9"/>
        <v>13335.572249999997</v>
      </c>
      <c r="S25">
        <f t="shared" si="10"/>
        <v>-3802.3824043333329</v>
      </c>
      <c r="T25">
        <f t="shared" si="11"/>
        <v>8.6988729897429396E-12</v>
      </c>
      <c r="U25">
        <f t="shared" si="12"/>
        <v>24619.689845666671</v>
      </c>
    </row>
    <row r="26" spans="1:24" x14ac:dyDescent="0.25">
      <c r="A26" s="2" t="s">
        <v>17</v>
      </c>
      <c r="C26">
        <f>25.399</f>
        <v>25.399000000000001</v>
      </c>
      <c r="D26">
        <f>0.020178</f>
        <v>2.0178000000000001E-2</v>
      </c>
      <c r="E26">
        <f>-0.000038549</f>
        <v>-3.8549E-5</v>
      </c>
      <c r="F26">
        <f>0.00000003188</f>
        <v>3.1879999999999998E-8</v>
      </c>
      <c r="G26">
        <f>-0.0000000000087585</f>
        <v>-8.7585000000000007E-12</v>
      </c>
      <c r="I26">
        <f>C26*(575-25)</f>
        <v>13969.45</v>
      </c>
      <c r="J26">
        <f>1/2*D26*((575-25)^2)</f>
        <v>3051.9225000000001</v>
      </c>
      <c r="K26">
        <f>1/3*E26*((575-25)^3)</f>
        <v>-2137.8632916666666</v>
      </c>
      <c r="L26">
        <f>0.25*F26*((575-25)^4)</f>
        <v>729.30481249999991</v>
      </c>
      <c r="M26">
        <f>1/5*G26*((575-25)^5)</f>
        <v>-88.160323968750021</v>
      </c>
      <c r="N26">
        <f>SUM(I26:M26)</f>
        <v>15524.653696864585</v>
      </c>
      <c r="Q26">
        <f t="shared" si="8"/>
        <v>13969.449999999999</v>
      </c>
      <c r="R26">
        <f t="shared" si="9"/>
        <v>6359.0967000000001</v>
      </c>
      <c r="S26">
        <f t="shared" si="10"/>
        <v>-7495.6808644666653</v>
      </c>
      <c r="T26">
        <f t="shared" si="11"/>
        <v>6.9385526149170554E-11</v>
      </c>
      <c r="U26">
        <f t="shared" si="12"/>
        <v>12832.865835533403</v>
      </c>
    </row>
    <row r="27" spans="1:24" x14ac:dyDescent="0.25">
      <c r="C27">
        <f>(C24+C25+C26)-(C20+C21+C22)</f>
        <v>14.656000000000006</v>
      </c>
      <c r="D27">
        <f>(D24+D25+D26)-(D20+D21+D22)</f>
        <v>-0.30849149999999997</v>
      </c>
      <c r="E27">
        <f>(E24+E25+E26)-(E20+E21+E22)</f>
        <v>3.3371699999999998E-4</v>
      </c>
      <c r="F27">
        <f>(F24+F25+F26)-(F20+F21+F22)</f>
        <v>-9.8493200000000005E-8</v>
      </c>
      <c r="G27">
        <f>(G24+G25+G26)-(G20+G21+G22)</f>
        <v>-9.5488800000000081E-12</v>
      </c>
      <c r="N27">
        <f>(N24+N25+N26)-(N20+N21+N22+N23)</f>
        <v>-38500.756306418552</v>
      </c>
      <c r="O27" t="s">
        <v>40</v>
      </c>
      <c r="U27">
        <f>(U24+U25+U26)-SUM(U20:U23)</f>
        <v>-41252.375946466869</v>
      </c>
      <c r="V27" t="s">
        <v>196</v>
      </c>
      <c r="W27">
        <f>U27/1000</f>
        <v>-41.25237594646687</v>
      </c>
      <c r="X27" t="s">
        <v>42</v>
      </c>
    </row>
    <row r="28" spans="1:24" x14ac:dyDescent="0.25">
      <c r="A28" t="s">
        <v>30</v>
      </c>
      <c r="C28">
        <f>C27*(100-25)</f>
        <v>1099.2000000000005</v>
      </c>
      <c r="D28">
        <f>1/2*D27*((100-25)^2)</f>
        <v>-867.6323437499999</v>
      </c>
      <c r="E28">
        <f>1/3*E27*((100-25)^3)</f>
        <v>46.928953124999992</v>
      </c>
      <c r="F28">
        <f>0.25*F27*((100-25)^4)</f>
        <v>-0.77909660156250005</v>
      </c>
      <c r="G28">
        <f>1/5*G27*((100-25)^5)</f>
        <v>-4.5319879687500042E-3</v>
      </c>
      <c r="T28">
        <f>U27+E11</f>
        <v>-42828.901946466867</v>
      </c>
      <c r="U28" t="s">
        <v>42</v>
      </c>
    </row>
    <row r="29" spans="1:24" x14ac:dyDescent="0.25">
      <c r="A29" t="s">
        <v>30</v>
      </c>
      <c r="C29">
        <f>C27*(575-100)</f>
        <v>6961.6000000000031</v>
      </c>
      <c r="D29">
        <f>1/2*D28*((575-100)^2)</f>
        <v>-97879773.77929686</v>
      </c>
      <c r="E29">
        <f>1/3*E28*((575-100)^3)</f>
        <v>1676487966.0644529</v>
      </c>
      <c r="F29">
        <f>0.25*F28*((575-100)^4)</f>
        <v>-9915297676.9752502</v>
      </c>
      <c r="G29">
        <f>1/5*G28*((575-100)^5)</f>
        <v>-21917286869.988117</v>
      </c>
    </row>
    <row r="30" spans="1:24" x14ac:dyDescent="0.25">
      <c r="A30" t="s">
        <v>30</v>
      </c>
      <c r="C30">
        <f>SUM(C28:G28)</f>
        <v>277.71298078546937</v>
      </c>
      <c r="F30" t="s">
        <v>417</v>
      </c>
      <c r="G30">
        <v>298</v>
      </c>
      <c r="H30" t="s">
        <v>418</v>
      </c>
      <c r="I30">
        <v>773</v>
      </c>
      <c r="S30" t="s">
        <v>66</v>
      </c>
      <c r="T30">
        <f>E11+W27</f>
        <v>-1617.7783759464667</v>
      </c>
      <c r="U30" t="s">
        <v>42</v>
      </c>
    </row>
    <row r="31" spans="1:24" x14ac:dyDescent="0.25">
      <c r="C31">
        <f>SUM(C29:G29)</f>
        <v>-30253969393.078213</v>
      </c>
      <c r="I31" t="s">
        <v>81</v>
      </c>
      <c r="J31" t="s">
        <v>82</v>
      </c>
      <c r="K31" t="s">
        <v>83</v>
      </c>
      <c r="L31" t="s">
        <v>84</v>
      </c>
      <c r="M31" t="s">
        <v>85</v>
      </c>
      <c r="N31" t="s">
        <v>204</v>
      </c>
    </row>
    <row r="32" spans="1:24" x14ac:dyDescent="0.25">
      <c r="A32" t="s">
        <v>31</v>
      </c>
      <c r="C32">
        <f>E11+C30+C31</f>
        <v>-30253970691.891232</v>
      </c>
      <c r="H32" t="s">
        <v>26</v>
      </c>
      <c r="I32">
        <f>C20*(I$30-G$30)</f>
        <v>4586.6000000000004</v>
      </c>
      <c r="J32">
        <f>(D20/2)*(I$30-G$30)^2</f>
        <v>48313.081249999996</v>
      </c>
      <c r="K32">
        <f>(E20/3)*(I$30-G$30)</f>
        <v>-4.2428583333333339E-2</v>
      </c>
      <c r="L32">
        <f>(F20/4)*(I$30-G$30)^4</f>
        <v>404.63143300781252</v>
      </c>
      <c r="M32">
        <f>(G20/5)*(I$30-G$30)^5</f>
        <v>134.17845069335937</v>
      </c>
      <c r="N32">
        <f>SUM(I32:M32)</f>
        <v>53438.448705117829</v>
      </c>
    </row>
    <row r="33" spans="8:15" x14ac:dyDescent="0.25">
      <c r="H33" t="s">
        <v>27</v>
      </c>
      <c r="I33">
        <f>C21*(I$30-G$30)</f>
        <v>16118.174999999999</v>
      </c>
      <c r="J33">
        <f>(D21/2)*(I$30-G$30)^2</f>
        <v>-949.72331250000002</v>
      </c>
      <c r="K33">
        <f>(E21/3)*(I$30-G$30)</f>
        <v>4.7351166666666665E-3</v>
      </c>
      <c r="L33">
        <f t="shared" ref="L33:L38" si="13">(F21/4)*(I$30-G$30)^4</f>
        <v>-226.85271728515625</v>
      </c>
      <c r="M33">
        <f t="shared" ref="M33:M38" si="14">(G21/5)*(I$30-G$30)^5</f>
        <v>17.861765716015626</v>
      </c>
      <c r="N33">
        <f t="shared" ref="N33:N38" si="15">SUM(I33:M33)</f>
        <v>14959.465471047526</v>
      </c>
    </row>
    <row r="34" spans="8:15" x14ac:dyDescent="0.25">
      <c r="H34" t="s">
        <v>9</v>
      </c>
      <c r="I34">
        <f>C22*(I$30-G$30)</f>
        <v>14024.85</v>
      </c>
      <c r="J34">
        <f>(D22/2)*(I$30-G$30)^2</f>
        <v>-1004.0199687500001</v>
      </c>
      <c r="K34">
        <f>(E22/3)*(I$30-G$30)</f>
        <v>6.0298083333333334E-3</v>
      </c>
      <c r="L34">
        <f t="shared" si="13"/>
        <v>-415.25819423828125</v>
      </c>
      <c r="M34">
        <f t="shared" si="14"/>
        <v>42.85150470566407</v>
      </c>
      <c r="N34">
        <f t="shared" si="15"/>
        <v>12648.429371525715</v>
      </c>
    </row>
    <row r="35" spans="8:15" x14ac:dyDescent="0.25">
      <c r="H35" t="s">
        <v>11</v>
      </c>
      <c r="I35">
        <f>C23*(I$30-G$30)</f>
        <v>13937.449999999999</v>
      </c>
      <c r="J35">
        <f>(D23/2)*(I$30-G$30)^2</f>
        <v>-399.29984375000004</v>
      </c>
      <c r="K35">
        <f>(E23/3)*(I$30-G$30)</f>
        <v>1.5953666666666667E-3</v>
      </c>
      <c r="L35">
        <f t="shared" si="13"/>
        <v>-54.872267929687496</v>
      </c>
      <c r="M35">
        <f t="shared" si="14"/>
        <v>-1.2542505383789062</v>
      </c>
      <c r="N35">
        <f t="shared" si="15"/>
        <v>13482.025233148597</v>
      </c>
    </row>
    <row r="36" spans="8:15" x14ac:dyDescent="0.25">
      <c r="H36" t="s">
        <v>28</v>
      </c>
      <c r="I36">
        <f>C24*(I$30-G$30)</f>
        <v>16597.45</v>
      </c>
      <c r="J36">
        <f>(D24/2)*(I$30-G$30)^2</f>
        <v>4507.6490624999997</v>
      </c>
      <c r="K36">
        <f>(E24/3)*(I$30-G$30)</f>
        <v>3.0374666666666668E-2</v>
      </c>
      <c r="L36">
        <f t="shared" si="13"/>
        <v>-1947.5608037109373</v>
      </c>
      <c r="M36">
        <f t="shared" si="14"/>
        <v>189.62469099609376</v>
      </c>
      <c r="N36">
        <f t="shared" si="15"/>
        <v>19347.193324451822</v>
      </c>
    </row>
    <row r="37" spans="8:15" x14ac:dyDescent="0.25">
      <c r="H37" t="s">
        <v>29</v>
      </c>
      <c r="I37">
        <f>C25*(I$30-G$30)</f>
        <v>13029.25</v>
      </c>
      <c r="J37">
        <f>(D25/2)*(I$30-G$30)^2</f>
        <v>4773.6609374999998</v>
      </c>
      <c r="K37">
        <f>(E25/3)*(I$30-G$30)</f>
        <v>-3.0962083333333336E-3</v>
      </c>
      <c r="L37">
        <f t="shared" si="13"/>
        <v>50.8659153125</v>
      </c>
      <c r="M37">
        <f t="shared" si="14"/>
        <v>1.4446490103125</v>
      </c>
      <c r="N37">
        <f t="shared" si="15"/>
        <v>17855.21840561448</v>
      </c>
    </row>
    <row r="38" spans="8:15" x14ac:dyDescent="0.25">
      <c r="H38" t="s">
        <v>17</v>
      </c>
      <c r="I38">
        <f>C26*(I$30-G$30)</f>
        <v>12064.525</v>
      </c>
      <c r="J38">
        <f>(D26/2)*(I$30-G$30)^2</f>
        <v>2276.3306250000001</v>
      </c>
      <c r="K38">
        <f>(E26/3)*(I$30-G$30)</f>
        <v>-6.1035916666666665E-3</v>
      </c>
      <c r="L38">
        <f t="shared" si="13"/>
        <v>405.72592578125</v>
      </c>
      <c r="M38">
        <f t="shared" si="14"/>
        <v>-42.357252131835942</v>
      </c>
      <c r="N38">
        <f t="shared" si="15"/>
        <v>14704.218195057747</v>
      </c>
    </row>
    <row r="39" spans="8:15" x14ac:dyDescent="0.25">
      <c r="N39">
        <f>SUM(N36:N38)-SUM(N32:N35)</f>
        <v>-42621.738855715608</v>
      </c>
      <c r="O39" t="s">
        <v>40</v>
      </c>
    </row>
    <row r="40" spans="8:15" x14ac:dyDescent="0.25">
      <c r="N40">
        <f>N39/1000</f>
        <v>-42.621738855715606</v>
      </c>
      <c r="O40" t="s">
        <v>416</v>
      </c>
    </row>
    <row r="41" spans="8:15" x14ac:dyDescent="0.25">
      <c r="K41" t="s">
        <v>31</v>
      </c>
      <c r="L41">
        <f>G11+N40</f>
        <v>-114.98573885571564</v>
      </c>
      <c r="M41" t="s">
        <v>416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tabSelected="1" topLeftCell="D1" workbookViewId="0">
      <selection activeCell="R2" sqref="R2:R22"/>
    </sheetView>
  </sheetViews>
  <sheetFormatPr defaultRowHeight="15" x14ac:dyDescent="0.25"/>
  <cols>
    <col min="17" max="17" width="12" bestFit="1" customWidth="1"/>
  </cols>
  <sheetData>
    <row r="1" spans="2:18" x14ac:dyDescent="0.25">
      <c r="B1" t="s">
        <v>419</v>
      </c>
      <c r="C1" t="s">
        <v>95</v>
      </c>
      <c r="D1" t="s">
        <v>420</v>
      </c>
      <c r="E1" t="s">
        <v>421</v>
      </c>
      <c r="F1" t="s">
        <v>422</v>
      </c>
      <c r="I1" t="s">
        <v>419</v>
      </c>
      <c r="J1" t="s">
        <v>95</v>
      </c>
      <c r="K1" t="s">
        <v>420</v>
      </c>
      <c r="L1" t="s">
        <v>421</v>
      </c>
      <c r="M1" t="s">
        <v>422</v>
      </c>
      <c r="O1" t="s">
        <v>423</v>
      </c>
      <c r="Q1" t="s">
        <v>424</v>
      </c>
    </row>
    <row r="2" spans="2:18" x14ac:dyDescent="0.25">
      <c r="B2">
        <v>32.073999999999998</v>
      </c>
      <c r="C2">
        <v>773</v>
      </c>
      <c r="D2">
        <v>9.4E-2</v>
      </c>
      <c r="E2">
        <v>0.61499999999999999</v>
      </c>
      <c r="F2">
        <v>5.8000000000000003E-2</v>
      </c>
      <c r="I2">
        <v>32.073999999999998</v>
      </c>
      <c r="J2">
        <v>773</v>
      </c>
      <c r="K2">
        <f>D2*101325</f>
        <v>9524.5499999999993</v>
      </c>
      <c r="L2">
        <f t="shared" ref="L2:M2" si="0">E2*101325</f>
        <v>62314.875</v>
      </c>
      <c r="M2">
        <f t="shared" si="0"/>
        <v>5876.85</v>
      </c>
      <c r="O2">
        <f>(213500000000)*EXP(-93540/(8.314*J2))*(D2^1.06)*(E2^0.56)*(F2^1.86)</f>
        <v>31.737066916110809</v>
      </c>
      <c r="P2">
        <f>O2/60</f>
        <v>0.52895111526851346</v>
      </c>
      <c r="Q2">
        <f>(213500000000/(101325^(1.06+0.56+1.86)))*EXP(-93540/(8.314*J2))*(K2^1.06)*(L2^0.56)*(M2^1.86)</f>
        <v>31.737066916110809</v>
      </c>
      <c r="R2">
        <f>Q2/60</f>
        <v>0.52895111526851346</v>
      </c>
    </row>
    <row r="3" spans="2:18" x14ac:dyDescent="0.25">
      <c r="B3">
        <v>79.709000000000003</v>
      </c>
      <c r="C3">
        <v>823</v>
      </c>
      <c r="D3">
        <v>9.5000000000000001E-2</v>
      </c>
      <c r="E3">
        <v>0.61199999999999999</v>
      </c>
      <c r="F3">
        <v>5.8999999999999997E-2</v>
      </c>
      <c r="I3">
        <v>79.709000000000003</v>
      </c>
      <c r="J3">
        <v>823</v>
      </c>
      <c r="K3">
        <f t="shared" ref="K3:K22" si="1">D3*101325</f>
        <v>9625.875</v>
      </c>
      <c r="L3">
        <f t="shared" ref="L3:L22" si="2">E3*101325</f>
        <v>62010.9</v>
      </c>
      <c r="M3">
        <f t="shared" ref="M3:M22" si="3">F3*101325</f>
        <v>5978.1749999999993</v>
      </c>
      <c r="O3">
        <f t="shared" ref="O3:O22" si="4">(213500000000)*EXP(-93540/(8.314*J3))*(D3^1.06)*(E3^0.56)*(F3^1.86)</f>
        <v>79.999117392567328</v>
      </c>
      <c r="P3">
        <f t="shared" ref="P3:P22" si="5">O3/60</f>
        <v>1.3333186232094554</v>
      </c>
      <c r="Q3">
        <f t="shared" ref="Q3:Q22" si="6">(213500000000/(101325^(1.06+0.56+1.86)))*EXP(-93540/(8.314*J3))*(K3^1.06)*(L3^0.56)*(M3^1.86)</f>
        <v>79.999117392567001</v>
      </c>
      <c r="R3">
        <f t="shared" ref="R3:R22" si="7">Q3/60</f>
        <v>1.33331862320945</v>
      </c>
    </row>
    <row r="4" spans="2:18" x14ac:dyDescent="0.25">
      <c r="B4">
        <v>79.709000000000003</v>
      </c>
      <c r="C4">
        <v>823</v>
      </c>
      <c r="D4">
        <v>9.5000000000000001E-2</v>
      </c>
      <c r="E4">
        <v>0.61199999999999999</v>
      </c>
      <c r="F4">
        <v>5.8999999999999997E-2</v>
      </c>
      <c r="I4">
        <v>79.709000000000003</v>
      </c>
      <c r="J4">
        <v>823</v>
      </c>
      <c r="K4">
        <f t="shared" si="1"/>
        <v>9625.875</v>
      </c>
      <c r="L4">
        <f t="shared" si="2"/>
        <v>62010.9</v>
      </c>
      <c r="M4">
        <f t="shared" si="3"/>
        <v>5978.1749999999993</v>
      </c>
      <c r="O4">
        <f t="shared" si="4"/>
        <v>79.999117392567328</v>
      </c>
      <c r="P4">
        <f t="shared" si="5"/>
        <v>1.3333186232094554</v>
      </c>
      <c r="Q4">
        <f t="shared" si="6"/>
        <v>79.999117392567001</v>
      </c>
      <c r="R4">
        <f t="shared" si="7"/>
        <v>1.33331862320945</v>
      </c>
    </row>
    <row r="5" spans="2:18" x14ac:dyDescent="0.25">
      <c r="B5">
        <v>79.709000000000003</v>
      </c>
      <c r="C5">
        <v>823</v>
      </c>
      <c r="D5">
        <v>9.5000000000000001E-2</v>
      </c>
      <c r="E5">
        <v>0.61199999999999999</v>
      </c>
      <c r="F5">
        <v>5.8999999999999997E-2</v>
      </c>
      <c r="I5">
        <v>79.709000000000003</v>
      </c>
      <c r="J5">
        <v>823</v>
      </c>
      <c r="K5">
        <f t="shared" si="1"/>
        <v>9625.875</v>
      </c>
      <c r="L5">
        <f t="shared" si="2"/>
        <v>62010.9</v>
      </c>
      <c r="M5">
        <f t="shared" si="3"/>
        <v>5978.1749999999993</v>
      </c>
      <c r="O5">
        <f t="shared" si="4"/>
        <v>79.999117392567328</v>
      </c>
      <c r="P5">
        <f t="shared" si="5"/>
        <v>1.3333186232094554</v>
      </c>
      <c r="Q5">
        <f t="shared" si="6"/>
        <v>79.999117392567001</v>
      </c>
      <c r="R5">
        <f t="shared" si="7"/>
        <v>1.33331862320945</v>
      </c>
    </row>
    <row r="6" spans="2:18" x14ac:dyDescent="0.25">
      <c r="B6">
        <v>79.709000000000003</v>
      </c>
      <c r="C6">
        <v>823</v>
      </c>
      <c r="D6">
        <v>9.5000000000000001E-2</v>
      </c>
      <c r="E6">
        <v>0.61199999999999999</v>
      </c>
      <c r="F6">
        <v>5.8999999999999997E-2</v>
      </c>
      <c r="I6">
        <v>79.709000000000003</v>
      </c>
      <c r="J6">
        <v>823</v>
      </c>
      <c r="K6">
        <f t="shared" si="1"/>
        <v>9625.875</v>
      </c>
      <c r="L6">
        <f t="shared" si="2"/>
        <v>62010.9</v>
      </c>
      <c r="M6">
        <f t="shared" si="3"/>
        <v>5978.1749999999993</v>
      </c>
      <c r="O6">
        <f t="shared" si="4"/>
        <v>79.999117392567328</v>
      </c>
      <c r="P6">
        <f t="shared" si="5"/>
        <v>1.3333186232094554</v>
      </c>
      <c r="Q6">
        <f t="shared" si="6"/>
        <v>79.999117392567001</v>
      </c>
      <c r="R6">
        <f t="shared" si="7"/>
        <v>1.33331862320945</v>
      </c>
    </row>
    <row r="7" spans="2:18" x14ac:dyDescent="0.25">
      <c r="B7">
        <v>174.63399999999999</v>
      </c>
      <c r="C7">
        <v>873</v>
      </c>
      <c r="D7">
        <v>9.5000000000000001E-2</v>
      </c>
      <c r="E7">
        <v>0.61199999999999999</v>
      </c>
      <c r="F7">
        <v>5.8999999999999997E-2</v>
      </c>
      <c r="I7">
        <v>174.63399999999999</v>
      </c>
      <c r="J7">
        <v>873</v>
      </c>
      <c r="K7">
        <f t="shared" si="1"/>
        <v>9625.875</v>
      </c>
      <c r="L7">
        <f t="shared" si="2"/>
        <v>62010.9</v>
      </c>
      <c r="M7">
        <f t="shared" si="3"/>
        <v>5978.1749999999993</v>
      </c>
      <c r="O7">
        <f t="shared" si="4"/>
        <v>175.03435421051449</v>
      </c>
      <c r="P7">
        <f t="shared" si="5"/>
        <v>2.9172392368419082</v>
      </c>
      <c r="Q7">
        <f t="shared" si="6"/>
        <v>175.03435421051384</v>
      </c>
      <c r="R7">
        <f t="shared" si="7"/>
        <v>2.9172392368418971</v>
      </c>
    </row>
    <row r="8" spans="2:18" x14ac:dyDescent="0.25">
      <c r="B8">
        <v>174.63399999999999</v>
      </c>
      <c r="C8">
        <v>873</v>
      </c>
      <c r="D8">
        <v>9.5000000000000001E-2</v>
      </c>
      <c r="E8">
        <v>0.61199999999999999</v>
      </c>
      <c r="F8">
        <v>5.8999999999999997E-2</v>
      </c>
      <c r="I8">
        <v>174.63399999999999</v>
      </c>
      <c r="J8">
        <v>873</v>
      </c>
      <c r="K8">
        <f t="shared" si="1"/>
        <v>9625.875</v>
      </c>
      <c r="L8">
        <f t="shared" si="2"/>
        <v>62010.9</v>
      </c>
      <c r="M8">
        <f t="shared" si="3"/>
        <v>5978.1749999999993</v>
      </c>
      <c r="O8">
        <f t="shared" si="4"/>
        <v>175.03435421051449</v>
      </c>
      <c r="P8">
        <f t="shared" si="5"/>
        <v>2.9172392368419082</v>
      </c>
      <c r="Q8">
        <f t="shared" si="6"/>
        <v>175.03435421051384</v>
      </c>
      <c r="R8">
        <f t="shared" si="7"/>
        <v>2.9172392368418971</v>
      </c>
    </row>
    <row r="9" spans="2:18" x14ac:dyDescent="0.25">
      <c r="B9">
        <v>174.63399999999999</v>
      </c>
      <c r="C9">
        <v>873</v>
      </c>
      <c r="D9">
        <v>9.5000000000000001E-2</v>
      </c>
      <c r="E9">
        <v>0.61199999999999999</v>
      </c>
      <c r="F9">
        <v>5.8999999999999997E-2</v>
      </c>
      <c r="I9">
        <v>174.63399999999999</v>
      </c>
      <c r="J9">
        <v>873</v>
      </c>
      <c r="K9">
        <f t="shared" si="1"/>
        <v>9625.875</v>
      </c>
      <c r="L9">
        <f t="shared" si="2"/>
        <v>62010.9</v>
      </c>
      <c r="M9">
        <f t="shared" si="3"/>
        <v>5978.1749999999993</v>
      </c>
      <c r="O9">
        <f t="shared" si="4"/>
        <v>175.03435421051449</v>
      </c>
      <c r="P9">
        <f t="shared" si="5"/>
        <v>2.9172392368419082</v>
      </c>
      <c r="Q9">
        <f t="shared" si="6"/>
        <v>175.03435421051384</v>
      </c>
      <c r="R9">
        <f t="shared" si="7"/>
        <v>2.9172392368418971</v>
      </c>
    </row>
    <row r="10" spans="2:18" x14ac:dyDescent="0.25">
      <c r="B10">
        <v>174.63399999999999</v>
      </c>
      <c r="C10">
        <v>873</v>
      </c>
      <c r="D10">
        <v>9.5000000000000001E-2</v>
      </c>
      <c r="E10">
        <v>0.61199999999999999</v>
      </c>
      <c r="F10">
        <v>5.8999999999999997E-2</v>
      </c>
      <c r="I10">
        <v>174.63399999999999</v>
      </c>
      <c r="J10">
        <v>873</v>
      </c>
      <c r="K10">
        <f t="shared" si="1"/>
        <v>9625.875</v>
      </c>
      <c r="L10">
        <f t="shared" si="2"/>
        <v>62010.9</v>
      </c>
      <c r="M10">
        <f t="shared" si="3"/>
        <v>5978.1749999999993</v>
      </c>
      <c r="O10">
        <f t="shared" si="4"/>
        <v>175.03435421051449</v>
      </c>
      <c r="P10">
        <f t="shared" si="5"/>
        <v>2.9172392368419082</v>
      </c>
      <c r="Q10">
        <f t="shared" si="6"/>
        <v>175.03435421051384</v>
      </c>
      <c r="R10">
        <f t="shared" si="7"/>
        <v>2.9172392368418971</v>
      </c>
    </row>
    <row r="11" spans="2:18" x14ac:dyDescent="0.25">
      <c r="B11">
        <v>351.43599999999998</v>
      </c>
      <c r="C11">
        <v>923</v>
      </c>
      <c r="D11">
        <v>9.5000000000000001E-2</v>
      </c>
      <c r="E11">
        <v>0.61199999999999999</v>
      </c>
      <c r="F11">
        <v>5.8999999999999997E-2</v>
      </c>
      <c r="I11">
        <v>351.43599999999998</v>
      </c>
      <c r="J11">
        <v>923</v>
      </c>
      <c r="K11">
        <f t="shared" si="1"/>
        <v>9625.875</v>
      </c>
      <c r="L11">
        <f t="shared" si="2"/>
        <v>62010.9</v>
      </c>
      <c r="M11">
        <f t="shared" si="3"/>
        <v>5978.1749999999993</v>
      </c>
      <c r="O11">
        <f t="shared" si="4"/>
        <v>351.82027730687412</v>
      </c>
      <c r="P11">
        <f t="shared" si="5"/>
        <v>5.8636712884479021</v>
      </c>
      <c r="Q11">
        <f t="shared" si="6"/>
        <v>351.82027730687275</v>
      </c>
      <c r="R11">
        <f t="shared" si="7"/>
        <v>5.863671288447879</v>
      </c>
    </row>
    <row r="12" spans="2:18" x14ac:dyDescent="0.25">
      <c r="B12">
        <v>351.43599999999998</v>
      </c>
      <c r="C12">
        <v>923</v>
      </c>
      <c r="D12">
        <v>9.5000000000000001E-2</v>
      </c>
      <c r="E12">
        <v>0.61199999999999999</v>
      </c>
      <c r="F12">
        <v>5.8999999999999997E-2</v>
      </c>
      <c r="I12">
        <v>351.43599999999998</v>
      </c>
      <c r="J12">
        <v>923</v>
      </c>
      <c r="K12">
        <f t="shared" si="1"/>
        <v>9625.875</v>
      </c>
      <c r="L12">
        <f t="shared" si="2"/>
        <v>62010.9</v>
      </c>
      <c r="M12">
        <f t="shared" si="3"/>
        <v>5978.1749999999993</v>
      </c>
      <c r="O12">
        <f t="shared" si="4"/>
        <v>351.82027730687412</v>
      </c>
      <c r="P12">
        <f t="shared" si="5"/>
        <v>5.8636712884479021</v>
      </c>
      <c r="Q12">
        <f t="shared" si="6"/>
        <v>351.82027730687275</v>
      </c>
      <c r="R12">
        <f t="shared" si="7"/>
        <v>5.863671288447879</v>
      </c>
    </row>
    <row r="13" spans="2:18" x14ac:dyDescent="0.25">
      <c r="B13">
        <v>351.43599999999998</v>
      </c>
      <c r="C13">
        <v>923</v>
      </c>
      <c r="D13">
        <v>9.5000000000000001E-2</v>
      </c>
      <c r="E13">
        <v>0.61199999999999999</v>
      </c>
      <c r="F13">
        <v>5.8999999999999997E-2</v>
      </c>
      <c r="I13">
        <v>351.43599999999998</v>
      </c>
      <c r="J13">
        <v>923</v>
      </c>
      <c r="K13">
        <f t="shared" si="1"/>
        <v>9625.875</v>
      </c>
      <c r="L13">
        <f t="shared" si="2"/>
        <v>62010.9</v>
      </c>
      <c r="M13">
        <f t="shared" si="3"/>
        <v>5978.1749999999993</v>
      </c>
      <c r="O13">
        <f t="shared" si="4"/>
        <v>351.82027730687412</v>
      </c>
      <c r="P13">
        <f t="shared" si="5"/>
        <v>5.8636712884479021</v>
      </c>
      <c r="Q13">
        <f t="shared" si="6"/>
        <v>351.82027730687275</v>
      </c>
      <c r="R13">
        <f t="shared" si="7"/>
        <v>5.863671288447879</v>
      </c>
    </row>
    <row r="14" spans="2:18" x14ac:dyDescent="0.25">
      <c r="B14">
        <v>153.09</v>
      </c>
      <c r="C14">
        <v>873</v>
      </c>
      <c r="D14">
        <v>0.161</v>
      </c>
      <c r="E14">
        <v>0.63900000000000001</v>
      </c>
      <c r="F14">
        <v>0.04</v>
      </c>
      <c r="I14">
        <v>153.09</v>
      </c>
      <c r="J14">
        <v>873</v>
      </c>
      <c r="K14">
        <f t="shared" si="1"/>
        <v>16313.325000000001</v>
      </c>
      <c r="L14">
        <f t="shared" si="2"/>
        <v>64746.675000000003</v>
      </c>
      <c r="M14">
        <f t="shared" si="3"/>
        <v>4053</v>
      </c>
      <c r="O14">
        <f t="shared" si="4"/>
        <v>152.23630342361099</v>
      </c>
      <c r="P14">
        <f t="shared" si="5"/>
        <v>2.5372717237268501</v>
      </c>
      <c r="Q14">
        <f t="shared" si="6"/>
        <v>152.23630342361091</v>
      </c>
      <c r="R14">
        <f t="shared" si="7"/>
        <v>2.5372717237268483</v>
      </c>
    </row>
    <row r="15" spans="2:18" x14ac:dyDescent="0.25">
      <c r="B15">
        <v>62.825000000000003</v>
      </c>
      <c r="C15">
        <v>873</v>
      </c>
      <c r="D15">
        <v>0.115</v>
      </c>
      <c r="E15">
        <v>0.74199999999999999</v>
      </c>
      <c r="F15">
        <v>2.9000000000000001E-2</v>
      </c>
      <c r="I15">
        <v>62.825000000000003</v>
      </c>
      <c r="J15">
        <v>873</v>
      </c>
      <c r="K15">
        <f t="shared" si="1"/>
        <v>11652.375</v>
      </c>
      <c r="L15">
        <f t="shared" si="2"/>
        <v>75183.149999999994</v>
      </c>
      <c r="M15">
        <f t="shared" si="3"/>
        <v>2938.4250000000002</v>
      </c>
      <c r="O15">
        <f t="shared" si="4"/>
        <v>63.708431182784629</v>
      </c>
      <c r="P15">
        <f t="shared" si="5"/>
        <v>1.0618071863797438</v>
      </c>
      <c r="Q15">
        <f t="shared" si="6"/>
        <v>63.708431182784416</v>
      </c>
      <c r="R15">
        <f t="shared" si="7"/>
        <v>1.0618071863797403</v>
      </c>
    </row>
    <row r="16" spans="2:18" x14ac:dyDescent="0.25">
      <c r="B16">
        <v>31.597999999999999</v>
      </c>
      <c r="C16">
        <v>873</v>
      </c>
      <c r="D16">
        <v>0.09</v>
      </c>
      <c r="E16">
        <v>0.79900000000000004</v>
      </c>
      <c r="F16">
        <v>2.1999999999999999E-2</v>
      </c>
      <c r="I16">
        <v>31.597999999999999</v>
      </c>
      <c r="J16">
        <v>873</v>
      </c>
      <c r="K16">
        <f t="shared" si="1"/>
        <v>9119.25</v>
      </c>
      <c r="L16">
        <f t="shared" si="2"/>
        <v>80958.675000000003</v>
      </c>
      <c r="M16">
        <f t="shared" si="3"/>
        <v>2229.15</v>
      </c>
      <c r="O16">
        <f t="shared" si="4"/>
        <v>30.633751119575862</v>
      </c>
      <c r="P16">
        <f t="shared" si="5"/>
        <v>0.51056251865959767</v>
      </c>
      <c r="Q16">
        <f t="shared" si="6"/>
        <v>30.633751119575852</v>
      </c>
      <c r="R16">
        <f t="shared" si="7"/>
        <v>0.51056251865959756</v>
      </c>
    </row>
    <row r="17" spans="2:18" x14ac:dyDescent="0.25">
      <c r="B17">
        <v>336.77199999999999</v>
      </c>
      <c r="C17">
        <v>873</v>
      </c>
      <c r="D17">
        <v>0.124</v>
      </c>
      <c r="E17">
        <v>0.49199999999999999</v>
      </c>
      <c r="F17">
        <v>7.6999999999999999E-2</v>
      </c>
      <c r="I17">
        <v>336.77199999999999</v>
      </c>
      <c r="J17">
        <v>873</v>
      </c>
      <c r="K17">
        <f t="shared" si="1"/>
        <v>12564.3</v>
      </c>
      <c r="L17">
        <f t="shared" si="2"/>
        <v>49851.9</v>
      </c>
      <c r="M17">
        <f t="shared" si="3"/>
        <v>7802.0249999999996</v>
      </c>
      <c r="O17">
        <f t="shared" si="4"/>
        <v>337.1094519608834</v>
      </c>
      <c r="P17">
        <f t="shared" si="5"/>
        <v>5.6184908660147235</v>
      </c>
      <c r="Q17">
        <f t="shared" si="6"/>
        <v>337.10945196088215</v>
      </c>
      <c r="R17">
        <f t="shared" si="7"/>
        <v>5.6184908660147022</v>
      </c>
    </row>
    <row r="18" spans="2:18" x14ac:dyDescent="0.25">
      <c r="B18">
        <v>174.95</v>
      </c>
      <c r="C18">
        <v>873</v>
      </c>
      <c r="D18">
        <v>9.5000000000000001E-2</v>
      </c>
      <c r="E18">
        <v>0.61099999999999999</v>
      </c>
      <c r="F18">
        <v>5.8999999999999997E-2</v>
      </c>
      <c r="I18">
        <v>174.95</v>
      </c>
      <c r="J18">
        <v>873</v>
      </c>
      <c r="K18">
        <f t="shared" si="1"/>
        <v>9625.875</v>
      </c>
      <c r="L18">
        <f t="shared" si="2"/>
        <v>61909.574999999997</v>
      </c>
      <c r="M18">
        <f t="shared" si="3"/>
        <v>5978.1749999999993</v>
      </c>
      <c r="O18">
        <f t="shared" si="4"/>
        <v>174.87413443650274</v>
      </c>
      <c r="P18">
        <f t="shared" si="5"/>
        <v>2.9145689072750458</v>
      </c>
      <c r="Q18">
        <f t="shared" si="6"/>
        <v>174.87413443650212</v>
      </c>
      <c r="R18">
        <f t="shared" si="7"/>
        <v>2.9145689072750351</v>
      </c>
    </row>
    <row r="19" spans="2:18" x14ac:dyDescent="0.25">
      <c r="B19">
        <v>101.01</v>
      </c>
      <c r="C19">
        <v>873</v>
      </c>
      <c r="D19">
        <v>7.6999999999999999E-2</v>
      </c>
      <c r="E19">
        <v>0.68500000000000005</v>
      </c>
      <c r="F19">
        <v>4.8000000000000001E-2</v>
      </c>
      <c r="I19">
        <v>101.01</v>
      </c>
      <c r="J19">
        <v>873</v>
      </c>
      <c r="K19">
        <f t="shared" si="1"/>
        <v>7802.0249999999996</v>
      </c>
      <c r="L19">
        <f t="shared" si="2"/>
        <v>69407.625</v>
      </c>
      <c r="M19">
        <f t="shared" si="3"/>
        <v>4863.6000000000004</v>
      </c>
      <c r="O19">
        <f t="shared" si="4"/>
        <v>101.65911559490665</v>
      </c>
      <c r="P19">
        <f t="shared" si="5"/>
        <v>1.6943185932484441</v>
      </c>
      <c r="Q19">
        <f t="shared" si="6"/>
        <v>101.65911559490654</v>
      </c>
      <c r="R19">
        <f t="shared" si="7"/>
        <v>1.6943185932484424</v>
      </c>
    </row>
    <row r="20" spans="2:18" x14ac:dyDescent="0.25">
      <c r="B20">
        <v>391.63799999999998</v>
      </c>
      <c r="C20">
        <v>873</v>
      </c>
      <c r="D20">
        <v>0.10100000000000001</v>
      </c>
      <c r="E20">
        <v>0.4</v>
      </c>
      <c r="F20">
        <v>0.1</v>
      </c>
      <c r="I20">
        <v>391.63799999999998</v>
      </c>
      <c r="J20">
        <v>873</v>
      </c>
      <c r="K20">
        <f t="shared" si="1"/>
        <v>10233.825000000001</v>
      </c>
      <c r="L20">
        <f t="shared" si="2"/>
        <v>40530</v>
      </c>
      <c r="M20">
        <f t="shared" si="3"/>
        <v>10132.5</v>
      </c>
      <c r="O20">
        <f t="shared" si="4"/>
        <v>392.73986659076002</v>
      </c>
      <c r="P20">
        <f t="shared" si="5"/>
        <v>6.5456644431793336</v>
      </c>
      <c r="Q20">
        <f t="shared" si="6"/>
        <v>392.7398665907595</v>
      </c>
      <c r="R20">
        <f t="shared" si="7"/>
        <v>6.5456644431793247</v>
      </c>
    </row>
    <row r="21" spans="2:18" x14ac:dyDescent="0.25">
      <c r="B21">
        <v>237.92599999999999</v>
      </c>
      <c r="C21">
        <v>873</v>
      </c>
      <c r="D21">
        <v>8.1000000000000003E-2</v>
      </c>
      <c r="E21">
        <v>0.52</v>
      </c>
      <c r="F21">
        <v>0.08</v>
      </c>
      <c r="I21">
        <v>237.92599999999999</v>
      </c>
      <c r="J21">
        <v>873</v>
      </c>
      <c r="K21">
        <f t="shared" si="1"/>
        <v>8207.3250000000007</v>
      </c>
      <c r="L21">
        <f t="shared" si="2"/>
        <v>52689</v>
      </c>
      <c r="M21">
        <f t="shared" si="3"/>
        <v>8106</v>
      </c>
      <c r="O21">
        <f t="shared" si="4"/>
        <v>237.72458896586355</v>
      </c>
      <c r="P21">
        <f t="shared" si="5"/>
        <v>3.9620764827643926</v>
      </c>
      <c r="Q21">
        <f t="shared" si="6"/>
        <v>237.72458896586303</v>
      </c>
      <c r="R21">
        <f t="shared" si="7"/>
        <v>3.9620764827643837</v>
      </c>
    </row>
    <row r="22" spans="2:18" x14ac:dyDescent="0.25">
      <c r="B22">
        <v>151.86099999999999</v>
      </c>
      <c r="C22">
        <v>873</v>
      </c>
      <c r="D22">
        <v>6.7000000000000004E-2</v>
      </c>
      <c r="E22">
        <v>0.6</v>
      </c>
      <c r="F22">
        <v>6.7000000000000004E-2</v>
      </c>
      <c r="I22">
        <v>151.86099999999999</v>
      </c>
      <c r="J22">
        <v>873</v>
      </c>
      <c r="K22">
        <f t="shared" si="1"/>
        <v>6788.7750000000005</v>
      </c>
      <c r="L22">
        <f t="shared" si="2"/>
        <v>60795</v>
      </c>
      <c r="M22">
        <f t="shared" si="3"/>
        <v>6788.7750000000005</v>
      </c>
      <c r="O22">
        <f t="shared" si="4"/>
        <v>151.45159834099812</v>
      </c>
      <c r="P22">
        <f t="shared" si="5"/>
        <v>2.5241933056833021</v>
      </c>
      <c r="Q22">
        <f t="shared" si="6"/>
        <v>151.45159834099812</v>
      </c>
      <c r="R22">
        <f t="shared" si="7"/>
        <v>2.5241933056833021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41"/>
  <sheetViews>
    <sheetView topLeftCell="A18" workbookViewId="0">
      <selection activeCell="M23" sqref="M23"/>
    </sheetView>
  </sheetViews>
  <sheetFormatPr defaultRowHeight="15" x14ac:dyDescent="0.25"/>
  <cols>
    <col min="3" max="5" width="12.7109375" bestFit="1" customWidth="1"/>
    <col min="6" max="6" width="10.85546875" customWidth="1"/>
    <col min="7" max="7" width="11.28515625" customWidth="1"/>
    <col min="20" max="20" width="12" bestFit="1" customWidth="1"/>
  </cols>
  <sheetData>
    <row r="5" spans="1:27" x14ac:dyDescent="0.25">
      <c r="B5" t="s">
        <v>10</v>
      </c>
      <c r="C5" t="s">
        <v>12</v>
      </c>
      <c r="D5" t="s">
        <v>13</v>
      </c>
      <c r="E5" t="s">
        <v>41</v>
      </c>
      <c r="F5" t="s">
        <v>41</v>
      </c>
      <c r="H5" t="s">
        <v>15</v>
      </c>
      <c r="I5" t="s">
        <v>14</v>
      </c>
      <c r="J5" t="s">
        <v>19</v>
      </c>
      <c r="K5" t="s">
        <v>416</v>
      </c>
    </row>
    <row r="6" spans="1:27" x14ac:dyDescent="0.25">
      <c r="A6" t="s">
        <v>7</v>
      </c>
      <c r="B6">
        <f>0.0948</f>
        <v>9.4799999999999995E-2</v>
      </c>
      <c r="C6" s="1">
        <f>(B6/B10)*1</f>
        <v>9.5420231504781072E-2</v>
      </c>
      <c r="D6">
        <v>-1</v>
      </c>
      <c r="E6">
        <f>-582.8</f>
        <v>-582.79999999999995</v>
      </c>
      <c r="F6">
        <f>D6*E6</f>
        <v>582.79999999999995</v>
      </c>
      <c r="H6" t="s">
        <v>16</v>
      </c>
      <c r="I6">
        <v>0.5</v>
      </c>
      <c r="J6">
        <f>-74.85</f>
        <v>-74.849999999999994</v>
      </c>
      <c r="K6">
        <f>I6*J6</f>
        <v>-37.424999999999997</v>
      </c>
    </row>
    <row r="7" spans="1:27" x14ac:dyDescent="0.25">
      <c r="A7" t="s">
        <v>8</v>
      </c>
      <c r="B7">
        <f>0.61</f>
        <v>0.61</v>
      </c>
      <c r="C7" s="1">
        <f>(B7/B10)*1</f>
        <v>0.61399094111726227</v>
      </c>
      <c r="D7">
        <f>-0.7</f>
        <v>-0.7</v>
      </c>
      <c r="E7">
        <f>-241.83</f>
        <v>-241.83</v>
      </c>
      <c r="F7">
        <f t="shared" ref="F7:F9" si="0">D7*E7</f>
        <v>169.28100000000001</v>
      </c>
      <c r="H7" t="s">
        <v>17</v>
      </c>
      <c r="I7">
        <v>3.25</v>
      </c>
      <c r="J7">
        <v>0</v>
      </c>
      <c r="K7">
        <f t="shared" ref="K7:K8" si="1">I7*J7</f>
        <v>0</v>
      </c>
    </row>
    <row r="8" spans="1:27" x14ac:dyDescent="0.25">
      <c r="A8" t="s">
        <v>9</v>
      </c>
      <c r="B8">
        <v>5.8700000000000002E-2</v>
      </c>
      <c r="C8" s="1">
        <f>(B8/B10)*1</f>
        <v>5.9084046300956219E-2</v>
      </c>
      <c r="D8">
        <f>-0.625</f>
        <v>-0.625</v>
      </c>
      <c r="E8">
        <v>0</v>
      </c>
      <c r="F8">
        <f t="shared" si="0"/>
        <v>0</v>
      </c>
      <c r="H8" t="s">
        <v>18</v>
      </c>
      <c r="I8">
        <v>2</v>
      </c>
      <c r="J8">
        <f>-393.51</f>
        <v>-393.51</v>
      </c>
      <c r="K8">
        <f t="shared" si="1"/>
        <v>-787.02</v>
      </c>
    </row>
    <row r="9" spans="1:27" x14ac:dyDescent="0.25">
      <c r="A9" t="s">
        <v>11</v>
      </c>
      <c r="B9">
        <f>0.23</f>
        <v>0.23</v>
      </c>
      <c r="C9" s="1">
        <f>(B9/B10)*1</f>
        <v>0.23150478107700054</v>
      </c>
      <c r="D9">
        <v>0</v>
      </c>
      <c r="E9">
        <v>0</v>
      </c>
      <c r="F9">
        <f t="shared" si="0"/>
        <v>0</v>
      </c>
    </row>
    <row r="10" spans="1:27" x14ac:dyDescent="0.25">
      <c r="B10">
        <f>SUM(B6:B9)</f>
        <v>0.99349999999999994</v>
      </c>
      <c r="C10">
        <f>SUM(C6:C9)</f>
        <v>1</v>
      </c>
      <c r="F10">
        <f>SUM(F6:F9)</f>
        <v>752.0809999999999</v>
      </c>
      <c r="K10">
        <f>SUM(K6:K8)</f>
        <v>-824.44499999999994</v>
      </c>
    </row>
    <row r="11" spans="1:27" x14ac:dyDescent="0.25">
      <c r="D11" t="s">
        <v>19</v>
      </c>
      <c r="E11">
        <f>K10-(F10)</f>
        <v>-1576.5259999999998</v>
      </c>
      <c r="F11" t="s">
        <v>42</v>
      </c>
      <c r="G11">
        <f>K10+F10</f>
        <v>-72.364000000000033</v>
      </c>
      <c r="H11" t="s">
        <v>416</v>
      </c>
    </row>
    <row r="14" spans="1:27" x14ac:dyDescent="0.25">
      <c r="A14" t="s">
        <v>20</v>
      </c>
    </row>
    <row r="15" spans="1:27" x14ac:dyDescent="0.25">
      <c r="AA15" t="s">
        <v>43</v>
      </c>
    </row>
    <row r="19" spans="1:24" x14ac:dyDescent="0.25">
      <c r="C19" t="s">
        <v>21</v>
      </c>
      <c r="D19" t="s">
        <v>22</v>
      </c>
      <c r="E19" t="s">
        <v>23</v>
      </c>
      <c r="F19" t="s">
        <v>24</v>
      </c>
      <c r="G19" t="s">
        <v>25</v>
      </c>
      <c r="N19" t="s">
        <v>39</v>
      </c>
      <c r="U19" t="s">
        <v>39</v>
      </c>
    </row>
    <row r="20" spans="1:24" x14ac:dyDescent="0.25">
      <c r="A20" s="2" t="s">
        <v>26</v>
      </c>
      <c r="C20">
        <f>9.656</f>
        <v>9.6560000000000006</v>
      </c>
      <c r="D20">
        <f>0.42826</f>
        <v>0.42825999999999997</v>
      </c>
      <c r="E20">
        <f>-2.6797*10^-4</f>
        <v>-2.6797000000000002E-4</v>
      </c>
      <c r="F20">
        <f>3.1794*10^-8</f>
        <v>3.1794E-8</v>
      </c>
      <c r="G20">
        <f>0.000000000027745</f>
        <v>2.7745E-11</v>
      </c>
      <c r="I20">
        <f>C20*(575-25)</f>
        <v>5310.8</v>
      </c>
      <c r="J20">
        <f>1/2*D20*((575-25)^2)</f>
        <v>64774.324999999997</v>
      </c>
      <c r="K20">
        <f>1/3*E20*((575-25)^3)</f>
        <v>-14861.169583333332</v>
      </c>
      <c r="L20">
        <f>0.25*F20*((575-25)^4)</f>
        <v>727.33742812499997</v>
      </c>
      <c r="M20">
        <f>1/5*G20*((575-25)^5)</f>
        <v>279.27249968750004</v>
      </c>
      <c r="N20">
        <f>SUM(I20:M20)</f>
        <v>56230.565344479161</v>
      </c>
      <c r="Q20">
        <f>C20*298*((848/298)-1)</f>
        <v>5310.8</v>
      </c>
      <c r="R20">
        <f>((D20/2)*(298^2)*((848/298)^2-1))</f>
        <v>134966.139</v>
      </c>
      <c r="S20">
        <f>((E20/3)*(298^3)*((848/298)^3-1))</f>
        <v>-52105.569567333332</v>
      </c>
      <c r="T20">
        <f>((F20/298)*(((848/298)-1)/(848/298)))</f>
        <v>6.9198350639483349E-11</v>
      </c>
      <c r="U20">
        <f>SUM(Q20:T20)</f>
        <v>88171.369432666732</v>
      </c>
    </row>
    <row r="21" spans="1:24" x14ac:dyDescent="0.25">
      <c r="A21" s="2" t="s">
        <v>27</v>
      </c>
      <c r="C21">
        <f>33.933</f>
        <v>33.933</v>
      </c>
      <c r="D21">
        <f>-0.0084186</f>
        <v>-8.4186E-3</v>
      </c>
      <c r="E21">
        <f>0.000029906</f>
        <v>2.9906000000000001E-5</v>
      </c>
      <c r="F21">
        <v>-1.7824999999999999E-8</v>
      </c>
      <c r="G21">
        <v>3.6934000000000004E-12</v>
      </c>
      <c r="I21">
        <f t="shared" ref="I21:I22" si="2">C21*(575-25)</f>
        <v>18663.150000000001</v>
      </c>
      <c r="J21">
        <f t="shared" ref="J21:J22" si="3">1/2*D21*((575-25)^2)</f>
        <v>-1273.3132499999999</v>
      </c>
      <c r="K21">
        <f t="shared" ref="K21:K22" si="4">1/3*E21*((575-25)^3)</f>
        <v>1658.5369166666667</v>
      </c>
      <c r="L21">
        <f t="shared" ref="L21:L22" si="5">0.25*F21*((575-25)^4)</f>
        <v>-407.77472656250001</v>
      </c>
      <c r="M21">
        <f t="shared" ref="M21:M22" si="6">1/5*G21*((575-25)^5)</f>
        <v>37.176610212500009</v>
      </c>
      <c r="N21">
        <f t="shared" ref="N21:N22" si="7">SUM(I21:M21)</f>
        <v>18677.77555031667</v>
      </c>
      <c r="Q21">
        <f t="shared" ref="Q21:Q26" si="8">C21*298*((848/298)-1)</f>
        <v>18663.149999999998</v>
      </c>
      <c r="R21">
        <f t="shared" ref="R21:R26" si="9">((D21/2)*(298^2)*((848/298)^2-1))</f>
        <v>-2653.1217899999997</v>
      </c>
      <c r="S21">
        <f t="shared" ref="S21:S26" si="10">((E21/3)*(298^3)*((848/298)^3-1))</f>
        <v>5815.0881198666657</v>
      </c>
      <c r="T21">
        <f t="shared" ref="T21:T26" si="11">((F21/298)*(((848/298)-1)/(848/298)))</f>
        <v>-3.8795389071799418E-11</v>
      </c>
      <c r="U21">
        <f t="shared" ref="U21:U26" si="12">SUM(Q21:T21)</f>
        <v>21825.116329866625</v>
      </c>
    </row>
    <row r="22" spans="1:24" x14ac:dyDescent="0.25">
      <c r="A22" s="2" t="s">
        <v>9</v>
      </c>
      <c r="C22">
        <f>29.526</f>
        <v>29.526</v>
      </c>
      <c r="D22">
        <f>-0.0088999</f>
        <v>-8.8999000000000005E-3</v>
      </c>
      <c r="E22">
        <f>0.000038083</f>
        <v>3.8083000000000001E-5</v>
      </c>
      <c r="F22">
        <f>-0.000000032629</f>
        <v>-3.2629000000000001E-8</v>
      </c>
      <c r="G22">
        <f>0.0000000000088607</f>
        <v>8.8607000000000008E-12</v>
      </c>
      <c r="I22">
        <f t="shared" si="2"/>
        <v>16239.3</v>
      </c>
      <c r="J22">
        <f t="shared" si="3"/>
        <v>-1346.1098750000001</v>
      </c>
      <c r="K22">
        <f t="shared" si="4"/>
        <v>2112.0197083333333</v>
      </c>
      <c r="L22">
        <f t="shared" si="5"/>
        <v>-746.43935781250002</v>
      </c>
      <c r="M22">
        <f t="shared" si="6"/>
        <v>89.189037231250012</v>
      </c>
      <c r="N22">
        <f t="shared" si="7"/>
        <v>16347.959512752084</v>
      </c>
      <c r="Q22">
        <f t="shared" si="8"/>
        <v>16239.299999999997</v>
      </c>
      <c r="R22">
        <f t="shared" si="9"/>
        <v>-2804.8034849999999</v>
      </c>
      <c r="S22">
        <f t="shared" si="10"/>
        <v>7405.0692459333313</v>
      </c>
      <c r="T22">
        <f t="shared" si="11"/>
        <v>-7.1015694250981371E-11</v>
      </c>
      <c r="U22">
        <f t="shared" si="12"/>
        <v>20839.565760933256</v>
      </c>
    </row>
    <row r="23" spans="1:24" x14ac:dyDescent="0.25">
      <c r="A23" s="2" t="s">
        <v>11</v>
      </c>
      <c r="C23">
        <f>29.342</f>
        <v>29.341999999999999</v>
      </c>
      <c r="D23">
        <f>-0.0035395</f>
        <v>-3.5395000000000001E-3</v>
      </c>
      <c r="E23">
        <f>0.000010076</f>
        <v>1.0076E-5</v>
      </c>
      <c r="F23">
        <f>-0.0000000043116</f>
        <v>-4.3115999999999999E-9</v>
      </c>
      <c r="G23">
        <f>-0.00000000000025935</f>
        <v>-2.5935E-13</v>
      </c>
      <c r="I23">
        <f t="shared" ref="I23" si="13">C23*(575-25)</f>
        <v>16138.099999999999</v>
      </c>
      <c r="J23">
        <f t="shared" ref="J23" si="14">1/2*D23*((575-25)^2)</f>
        <v>-535.34937500000001</v>
      </c>
      <c r="K23">
        <f t="shared" ref="K23" si="15">1/3*E23*((575-25)^3)</f>
        <v>558.79816666666659</v>
      </c>
      <c r="L23">
        <f t="shared" ref="L23" si="16">0.25*F23*((575-25)^4)</f>
        <v>-98.634586874999997</v>
      </c>
      <c r="M23">
        <f t="shared" ref="M23" si="17">1/5*G23*((575-25)^5)</f>
        <v>-2.6105360531250001</v>
      </c>
      <c r="N23">
        <f t="shared" ref="N23" si="18">SUM(I23:M23)</f>
        <v>16060.303668738541</v>
      </c>
      <c r="Q23">
        <f t="shared" si="8"/>
        <v>16138.099999999999</v>
      </c>
      <c r="R23">
        <f t="shared" si="9"/>
        <v>-1115.4734249999999</v>
      </c>
      <c r="S23">
        <f t="shared" si="10"/>
        <v>1959.2331938666664</v>
      </c>
      <c r="T23">
        <f t="shared" si="11"/>
        <v>-9.3840224135747734E-12</v>
      </c>
      <c r="U23">
        <f t="shared" si="12"/>
        <v>16981.859768866652</v>
      </c>
    </row>
    <row r="24" spans="1:24" x14ac:dyDescent="0.25">
      <c r="A24" s="2" t="s">
        <v>28</v>
      </c>
      <c r="C24">
        <f>34.942</f>
        <v>34.942</v>
      </c>
      <c r="D24">
        <f>0.039957</f>
        <v>3.9956999999999999E-2</v>
      </c>
      <c r="E24">
        <f>0.00019184</f>
        <v>1.9184000000000001E-4</v>
      </c>
      <c r="F24">
        <f>-0.00000015303</f>
        <v>-1.5302999999999999E-7</v>
      </c>
      <c r="G24">
        <f>0.00000000003921</f>
        <v>3.921E-11</v>
      </c>
      <c r="I24">
        <f>C24*(575-25)</f>
        <v>19218.099999999999</v>
      </c>
      <c r="J24">
        <f>1/2*D24*((575-25)^2)</f>
        <v>6043.4962500000001</v>
      </c>
      <c r="K24">
        <f>1/3*E24*((575-25)^3)</f>
        <v>10639.126666666667</v>
      </c>
      <c r="L24">
        <f>0.25*F24*((575-25)^4)</f>
        <v>-3500.8003593749995</v>
      </c>
      <c r="M24">
        <f>1/5*G24*((575-25)^5)</f>
        <v>394.67560687499997</v>
      </c>
      <c r="N24">
        <f>SUM(I24:M24)</f>
        <v>32794.598164166666</v>
      </c>
      <c r="Q24">
        <f t="shared" si="8"/>
        <v>19218.099999999999</v>
      </c>
      <c r="R24">
        <f t="shared" si="9"/>
        <v>12592.448549999999</v>
      </c>
      <c r="S24">
        <f t="shared" si="10"/>
        <v>37302.431114666659</v>
      </c>
      <c r="T24">
        <f t="shared" si="11"/>
        <v>-3.3306358427250854E-10</v>
      </c>
      <c r="U24">
        <f t="shared" si="12"/>
        <v>69112.979664666331</v>
      </c>
    </row>
    <row r="25" spans="1:24" x14ac:dyDescent="0.25">
      <c r="A25" s="2" t="s">
        <v>29</v>
      </c>
      <c r="C25">
        <f>27.43</f>
        <v>27.43</v>
      </c>
      <c r="D25">
        <f>0.042315</f>
        <v>4.2314999999999998E-2</v>
      </c>
      <c r="E25">
        <f>-0.000019555</f>
        <v>-1.9555000000000002E-5</v>
      </c>
      <c r="F25">
        <f>0.0000000039968</f>
        <v>3.9968000000000001E-9</v>
      </c>
      <c r="G25">
        <f>0.00000000000029872</f>
        <v>2.9872000000000001E-13</v>
      </c>
      <c r="I25">
        <f>C25*(575-25)</f>
        <v>15086.5</v>
      </c>
      <c r="J25">
        <f>1/2*D25*((575-25)^2)</f>
        <v>6400.1437500000002</v>
      </c>
      <c r="K25">
        <f>1/3*E25*((575-25)^3)</f>
        <v>-1084.4877083333333</v>
      </c>
      <c r="L25">
        <f>0.25*F25*((575-25)^4)</f>
        <v>91.433045000000007</v>
      </c>
      <c r="M25">
        <f>1/5*G25*((575-25)^5)</f>
        <v>3.0068221700000004</v>
      </c>
      <c r="N25">
        <f>SUM(I25:M25)</f>
        <v>20496.595908836665</v>
      </c>
      <c r="Q25">
        <f t="shared" si="8"/>
        <v>15086.5</v>
      </c>
      <c r="R25">
        <f t="shared" si="9"/>
        <v>13335.572249999997</v>
      </c>
      <c r="S25">
        <f t="shared" si="10"/>
        <v>-3802.3824043333329</v>
      </c>
      <c r="T25">
        <f t="shared" si="11"/>
        <v>8.6988729897429396E-12</v>
      </c>
      <c r="U25">
        <f t="shared" si="12"/>
        <v>24619.689845666671</v>
      </c>
    </row>
    <row r="26" spans="1:24" x14ac:dyDescent="0.25">
      <c r="A26" s="2" t="s">
        <v>17</v>
      </c>
      <c r="C26">
        <f>25.399</f>
        <v>25.399000000000001</v>
      </c>
      <c r="D26">
        <f>0.020178</f>
        <v>2.0178000000000001E-2</v>
      </c>
      <c r="E26">
        <f>-0.000038549</f>
        <v>-3.8549E-5</v>
      </c>
      <c r="F26">
        <f>0.00000003188</f>
        <v>3.1879999999999998E-8</v>
      </c>
      <c r="G26">
        <f>-0.0000000000087585</f>
        <v>-8.7585000000000007E-12</v>
      </c>
      <c r="I26">
        <f>C26*(575-25)</f>
        <v>13969.45</v>
      </c>
      <c r="J26">
        <f>1/2*D26*((575-25)^2)</f>
        <v>3051.9225000000001</v>
      </c>
      <c r="K26">
        <f>1/3*E26*((575-25)^3)</f>
        <v>-2137.8632916666666</v>
      </c>
      <c r="L26">
        <f>0.25*F26*((575-25)^4)</f>
        <v>729.30481249999991</v>
      </c>
      <c r="M26">
        <f>1/5*G26*((575-25)^5)</f>
        <v>-88.160323968750021</v>
      </c>
      <c r="N26">
        <f>SUM(I26:M26)</f>
        <v>15524.653696864585</v>
      </c>
      <c r="Q26">
        <f t="shared" si="8"/>
        <v>13969.449999999999</v>
      </c>
      <c r="R26">
        <f t="shared" si="9"/>
        <v>6359.0967000000001</v>
      </c>
      <c r="S26">
        <f t="shared" si="10"/>
        <v>-7495.6808644666653</v>
      </c>
      <c r="T26">
        <f t="shared" si="11"/>
        <v>6.9385526149170554E-11</v>
      </c>
      <c r="U26">
        <f t="shared" si="12"/>
        <v>12832.865835533403</v>
      </c>
    </row>
    <row r="27" spans="1:24" x14ac:dyDescent="0.25">
      <c r="C27">
        <f>(C24+C25+C26)-(C20+C21+C22)</f>
        <v>14.656000000000006</v>
      </c>
      <c r="D27">
        <f>(D24+D25+D26)-(D20+D21+D22)</f>
        <v>-0.30849149999999997</v>
      </c>
      <c r="E27">
        <f>(E24+E25+E26)-(E20+E21+E22)</f>
        <v>3.3371699999999998E-4</v>
      </c>
      <c r="F27">
        <f>(F24+F25+F26)-(F20+F21+F22)</f>
        <v>-9.8493200000000005E-8</v>
      </c>
      <c r="G27">
        <f>(G24+G25+G26)-(G20+G21+G22)</f>
        <v>-9.5488800000000081E-12</v>
      </c>
      <c r="N27">
        <f>(N24+N25+N26)-(N20+N21+N22+N23)</f>
        <v>-38500.756306418552</v>
      </c>
      <c r="O27" t="s">
        <v>40</v>
      </c>
      <c r="U27">
        <f>(U24+U25+U26)-SUM(U20:U23)</f>
        <v>-41252.375946466869</v>
      </c>
      <c r="V27" t="s">
        <v>196</v>
      </c>
      <c r="W27">
        <f>U27/1000</f>
        <v>-41.25237594646687</v>
      </c>
      <c r="X27" t="s">
        <v>42</v>
      </c>
    </row>
    <row r="28" spans="1:24" x14ac:dyDescent="0.25">
      <c r="A28" t="s">
        <v>30</v>
      </c>
      <c r="C28">
        <f>C27*(100-25)</f>
        <v>1099.2000000000005</v>
      </c>
      <c r="D28">
        <f>1/2*D27*((100-25)^2)</f>
        <v>-867.6323437499999</v>
      </c>
      <c r="E28">
        <f>1/3*E27*((100-25)^3)</f>
        <v>46.928953124999992</v>
      </c>
      <c r="F28">
        <f>0.25*F27*((100-25)^4)</f>
        <v>-0.77909660156250005</v>
      </c>
      <c r="G28">
        <f>1/5*G27*((100-25)^5)</f>
        <v>-4.5319879687500042E-3</v>
      </c>
      <c r="T28">
        <f>U27+E11</f>
        <v>-42828.901946466867</v>
      </c>
      <c r="U28" t="s">
        <v>42</v>
      </c>
    </row>
    <row r="29" spans="1:24" x14ac:dyDescent="0.25">
      <c r="A29" t="s">
        <v>30</v>
      </c>
      <c r="C29">
        <f>C27*(575-100)</f>
        <v>6961.6000000000031</v>
      </c>
      <c r="D29">
        <f>1/2*D28*((575-100)^2)</f>
        <v>-97879773.77929686</v>
      </c>
      <c r="E29">
        <f>1/3*E28*((575-100)^3)</f>
        <v>1676487966.0644529</v>
      </c>
      <c r="F29">
        <f>0.25*F28*((575-100)^4)</f>
        <v>-9915297676.9752502</v>
      </c>
      <c r="G29">
        <f>1/5*G28*((575-100)^5)</f>
        <v>-21917286869.988117</v>
      </c>
    </row>
    <row r="30" spans="1:24" x14ac:dyDescent="0.25">
      <c r="A30" t="s">
        <v>30</v>
      </c>
      <c r="C30">
        <f>SUM(C28:G28)</f>
        <v>277.71298078546937</v>
      </c>
      <c r="F30" t="s">
        <v>417</v>
      </c>
      <c r="G30">
        <v>298</v>
      </c>
      <c r="H30" t="s">
        <v>418</v>
      </c>
      <c r="I30">
        <v>773</v>
      </c>
      <c r="S30" t="s">
        <v>66</v>
      </c>
      <c r="T30">
        <f>E11+W27</f>
        <v>-1617.7783759464667</v>
      </c>
      <c r="U30" t="s">
        <v>42</v>
      </c>
    </row>
    <row r="31" spans="1:24" x14ac:dyDescent="0.25">
      <c r="C31">
        <f>SUM(C29:G29)</f>
        <v>-30253969393.078213</v>
      </c>
      <c r="I31" t="s">
        <v>81</v>
      </c>
      <c r="J31" t="s">
        <v>82</v>
      </c>
      <c r="K31" t="s">
        <v>83</v>
      </c>
      <c r="L31" t="s">
        <v>84</v>
      </c>
      <c r="M31" t="s">
        <v>85</v>
      </c>
      <c r="N31" t="s">
        <v>204</v>
      </c>
    </row>
    <row r="32" spans="1:24" x14ac:dyDescent="0.25">
      <c r="A32" t="s">
        <v>31</v>
      </c>
      <c r="C32">
        <f>E11+C30+C31</f>
        <v>-30253970691.891232</v>
      </c>
      <c r="H32" t="s">
        <v>26</v>
      </c>
      <c r="I32">
        <f>C20*(I$30-G$30)</f>
        <v>4586.6000000000004</v>
      </c>
      <c r="J32">
        <f>(D20/2)*(I$30-G$30)^2</f>
        <v>48313.081249999996</v>
      </c>
      <c r="K32">
        <f>(E20/3)*(I$30-G$30)</f>
        <v>-4.2428583333333339E-2</v>
      </c>
      <c r="L32">
        <f>(F20/4)*(I$30-G$30)^4</f>
        <v>404.63143300781252</v>
      </c>
      <c r="M32">
        <f>(G20/5)*(I$30-G$30)^5</f>
        <v>134.17845069335937</v>
      </c>
      <c r="N32">
        <f>SUM(I32:M32)</f>
        <v>53438.448705117829</v>
      </c>
    </row>
    <row r="33" spans="8:15" x14ac:dyDescent="0.25">
      <c r="H33" t="s">
        <v>27</v>
      </c>
      <c r="I33">
        <f>C21*(I$30-G$30)</f>
        <v>16118.174999999999</v>
      </c>
      <c r="J33">
        <f>(D21/2)*(I$30-G$30)^2</f>
        <v>-949.72331250000002</v>
      </c>
      <c r="K33">
        <f>(E21/3)*(I$30-G$30)</f>
        <v>4.7351166666666665E-3</v>
      </c>
      <c r="L33">
        <f t="shared" ref="L33:L38" si="19">(F21/4)*(I$30-G$30)^4</f>
        <v>-226.85271728515625</v>
      </c>
      <c r="M33">
        <f t="shared" ref="M33:M38" si="20">(G21/5)*(I$30-G$30)^5</f>
        <v>17.861765716015626</v>
      </c>
      <c r="N33">
        <f t="shared" ref="N33:N38" si="21">SUM(I33:M33)</f>
        <v>14959.465471047526</v>
      </c>
    </row>
    <row r="34" spans="8:15" x14ac:dyDescent="0.25">
      <c r="H34" t="s">
        <v>9</v>
      </c>
      <c r="I34">
        <f>C22*(I$30-G$30)</f>
        <v>14024.85</v>
      </c>
      <c r="J34">
        <f>(D22/2)*(I$30-G$30)^2</f>
        <v>-1004.0199687500001</v>
      </c>
      <c r="K34">
        <f>(E22/3)*(I$30-G$30)</f>
        <v>6.0298083333333334E-3</v>
      </c>
      <c r="L34">
        <f t="shared" si="19"/>
        <v>-415.25819423828125</v>
      </c>
      <c r="M34">
        <f t="shared" si="20"/>
        <v>42.85150470566407</v>
      </c>
      <c r="N34">
        <f t="shared" si="21"/>
        <v>12648.429371525715</v>
      </c>
    </row>
    <row r="35" spans="8:15" x14ac:dyDescent="0.25">
      <c r="H35" t="s">
        <v>11</v>
      </c>
      <c r="I35">
        <f>C23*(I$30-G$30)</f>
        <v>13937.449999999999</v>
      </c>
      <c r="J35">
        <f>(D23/2)*(I$30-G$30)^2</f>
        <v>-399.29984375000004</v>
      </c>
      <c r="K35">
        <f>(E23/3)*(I$30-G$30)</f>
        <v>1.5953666666666667E-3</v>
      </c>
      <c r="L35">
        <f t="shared" si="19"/>
        <v>-54.872267929687496</v>
      </c>
      <c r="M35">
        <f t="shared" si="20"/>
        <v>-1.2542505383789062</v>
      </c>
      <c r="N35">
        <f t="shared" si="21"/>
        <v>13482.025233148597</v>
      </c>
    </row>
    <row r="36" spans="8:15" x14ac:dyDescent="0.25">
      <c r="H36" t="s">
        <v>28</v>
      </c>
      <c r="I36">
        <f>C24*(I$30-G$30)</f>
        <v>16597.45</v>
      </c>
      <c r="J36">
        <f>(D24/2)*(I$30-G$30)^2</f>
        <v>4507.6490624999997</v>
      </c>
      <c r="K36">
        <f>(E24/3)*(I$30-G$30)</f>
        <v>3.0374666666666668E-2</v>
      </c>
      <c r="L36">
        <f t="shared" si="19"/>
        <v>-1947.5608037109373</v>
      </c>
      <c r="M36">
        <f t="shared" si="20"/>
        <v>189.62469099609376</v>
      </c>
      <c r="N36">
        <f t="shared" si="21"/>
        <v>19347.193324451822</v>
      </c>
    </row>
    <row r="37" spans="8:15" x14ac:dyDescent="0.25">
      <c r="H37" t="s">
        <v>29</v>
      </c>
      <c r="I37">
        <f>C25*(I$30-G$30)</f>
        <v>13029.25</v>
      </c>
      <c r="J37">
        <f>(D25/2)*(I$30-G$30)^2</f>
        <v>4773.6609374999998</v>
      </c>
      <c r="K37">
        <f>(E25/3)*(I$30-G$30)</f>
        <v>-3.0962083333333336E-3</v>
      </c>
      <c r="L37">
        <f t="shared" si="19"/>
        <v>50.8659153125</v>
      </c>
      <c r="M37">
        <f t="shared" si="20"/>
        <v>1.4446490103125</v>
      </c>
      <c r="N37">
        <f t="shared" si="21"/>
        <v>17855.21840561448</v>
      </c>
    </row>
    <row r="38" spans="8:15" x14ac:dyDescent="0.25">
      <c r="H38" t="s">
        <v>17</v>
      </c>
      <c r="I38">
        <f>C26*(I$30-G$30)</f>
        <v>12064.525</v>
      </c>
      <c r="J38">
        <f>(D26/2)*(I$30-G$30)^2</f>
        <v>2276.3306250000001</v>
      </c>
      <c r="K38">
        <f>(E26/3)*(I$30-G$30)</f>
        <v>-6.1035916666666665E-3</v>
      </c>
      <c r="L38">
        <f t="shared" si="19"/>
        <v>405.72592578125</v>
      </c>
      <c r="M38">
        <f t="shared" si="20"/>
        <v>-42.357252131835942</v>
      </c>
      <c r="N38">
        <f t="shared" si="21"/>
        <v>14704.218195057747</v>
      </c>
    </row>
    <row r="39" spans="8:15" x14ac:dyDescent="0.25">
      <c r="N39">
        <f>SUM(N36:N38)-SUM(N32:N35)</f>
        <v>-42621.738855715608</v>
      </c>
      <c r="O39" t="s">
        <v>40</v>
      </c>
    </row>
    <row r="40" spans="8:15" x14ac:dyDescent="0.25">
      <c r="N40">
        <f>N39/1000</f>
        <v>-42.621738855715606</v>
      </c>
      <c r="O40" t="s">
        <v>416</v>
      </c>
    </row>
    <row r="41" spans="8:15" x14ac:dyDescent="0.25">
      <c r="K41" t="s">
        <v>31</v>
      </c>
      <c r="L41">
        <f>G11+N40</f>
        <v>-114.98573885571564</v>
      </c>
      <c r="M41" t="s">
        <v>416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13"/>
  <sheetViews>
    <sheetView workbookViewId="0">
      <selection activeCell="C13" sqref="C13"/>
    </sheetView>
  </sheetViews>
  <sheetFormatPr defaultRowHeight="15" x14ac:dyDescent="0.25"/>
  <sheetData>
    <row r="10" spans="1:3" x14ac:dyDescent="0.25">
      <c r="A10" t="s">
        <v>24</v>
      </c>
      <c r="B10">
        <f>12.7/1000</f>
        <v>1.2699999999999999E-2</v>
      </c>
      <c r="C10" t="s">
        <v>75</v>
      </c>
    </row>
    <row r="11" spans="1:3" x14ac:dyDescent="0.25">
      <c r="A11" t="s">
        <v>76</v>
      </c>
      <c r="B11">
        <f>0.8/1000</f>
        <v>8.0000000000000004E-4</v>
      </c>
      <c r="C11" t="s">
        <v>75</v>
      </c>
    </row>
    <row r="12" spans="1:3" x14ac:dyDescent="0.25">
      <c r="A12" t="s">
        <v>77</v>
      </c>
      <c r="B12">
        <f>B10/B11</f>
        <v>15.874999999999998</v>
      </c>
    </row>
    <row r="13" spans="1:3" x14ac:dyDescent="0.25">
      <c r="A13" s="4" t="s">
        <v>78</v>
      </c>
      <c r="B13" s="5">
        <f>0.38+0.073*(1+(((B12-2)^2)/(B12^2)))</f>
        <v>0.50876495752991502</v>
      </c>
      <c r="C13" s="5" t="s">
        <v>79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6" workbookViewId="0">
      <selection activeCell="Q17" sqref="Q17"/>
    </sheetView>
  </sheetViews>
  <sheetFormatPr defaultRowHeight="15" x14ac:dyDescent="0.25"/>
  <cols>
    <col min="10" max="10" width="7" customWidth="1"/>
    <col min="14" max="14" width="11" bestFit="1" customWidth="1"/>
    <col min="17" max="17" width="12" bestFit="1" customWidth="1"/>
  </cols>
  <sheetData>
    <row r="1" spans="1:21" x14ac:dyDescent="0.25">
      <c r="A1" t="s">
        <v>302</v>
      </c>
    </row>
    <row r="2" spans="1:21" x14ac:dyDescent="0.25">
      <c r="G2" s="20" t="s">
        <v>303</v>
      </c>
      <c r="P2" t="s">
        <v>333</v>
      </c>
    </row>
    <row r="3" spans="1:21" x14ac:dyDescent="0.25">
      <c r="I3" t="s">
        <v>313</v>
      </c>
    </row>
    <row r="5" spans="1:21" x14ac:dyDescent="0.25">
      <c r="A5" t="s">
        <v>312</v>
      </c>
    </row>
    <row r="11" spans="1:21" x14ac:dyDescent="0.25">
      <c r="P11" t="s">
        <v>79</v>
      </c>
      <c r="Q11">
        <f>porosity!B13</f>
        <v>0.50876495752991502</v>
      </c>
      <c r="T11" s="22" t="s">
        <v>337</v>
      </c>
    </row>
    <row r="12" spans="1:21" x14ac:dyDescent="0.25">
      <c r="A12" t="s">
        <v>314</v>
      </c>
      <c r="D12" t="s">
        <v>318</v>
      </c>
      <c r="Q12">
        <f>67.33</f>
        <v>67.33</v>
      </c>
      <c r="R12" t="s">
        <v>334</v>
      </c>
    </row>
    <row r="13" spans="1:21" x14ac:dyDescent="0.25">
      <c r="A13" t="s">
        <v>315</v>
      </c>
      <c r="B13">
        <f>((1+((L$16/L17)^0.5)*((M17/M$16)^0.25))^2)/((SQRT(8))*(1+((M$16/M17)^0.25)))</f>
        <v>0.46692563923915381</v>
      </c>
      <c r="K13" t="s">
        <v>311</v>
      </c>
      <c r="Q13">
        <f>Q11+((1-Q11)/((0.139*Q11)-0.0339+(0.667*(L21/Q12))))</f>
        <v>13.672987017448747</v>
      </c>
      <c r="T13" t="s">
        <v>209</v>
      </c>
      <c r="U13">
        <f>(Q15*Q16)/L21</f>
        <v>21.461779248941376</v>
      </c>
    </row>
    <row r="14" spans="1:21" x14ac:dyDescent="0.25">
      <c r="A14" t="s">
        <v>316</v>
      </c>
      <c r="B14">
        <f>((1+((L18/L$16)^0.5)*((M18/M$16)^0.25))^2)/((SQRT(8))*(1+((M$16/M18)^0.25)))</f>
        <v>0.55030111035554163</v>
      </c>
      <c r="P14" t="s">
        <v>336</v>
      </c>
      <c r="Q14" s="7">
        <v>2.0931706201218501</v>
      </c>
      <c r="R14" s="7">
        <v>1.0303601827259243E-2</v>
      </c>
    </row>
    <row r="15" spans="1:21" x14ac:dyDescent="0.25">
      <c r="A15" t="s">
        <v>317</v>
      </c>
      <c r="B15">
        <f>((1+((L19/L$16)^0.5)*((M19/M$16)^0.25))^2)/((SQRT(8))*(1+((M$16/M19)^0.25)))</f>
        <v>0.40976833108217336</v>
      </c>
      <c r="I15" t="s">
        <v>239</v>
      </c>
      <c r="J15" t="s">
        <v>12</v>
      </c>
      <c r="K15" t="s">
        <v>98</v>
      </c>
      <c r="L15" t="s">
        <v>37</v>
      </c>
      <c r="M15" t="s">
        <v>280</v>
      </c>
      <c r="N15" t="s">
        <v>331</v>
      </c>
      <c r="P15" t="s">
        <v>338</v>
      </c>
      <c r="Q15">
        <v>2020.0653009572966</v>
      </c>
      <c r="R15" t="s">
        <v>225</v>
      </c>
    </row>
    <row r="16" spans="1:21" x14ac:dyDescent="0.25">
      <c r="H16">
        <v>1</v>
      </c>
      <c r="I16" t="s">
        <v>146</v>
      </c>
      <c r="J16">
        <v>0.1</v>
      </c>
      <c r="K16">
        <v>0.27200000000000002</v>
      </c>
      <c r="L16">
        <f>0.0000149</f>
        <v>1.49E-5</v>
      </c>
      <c r="M16">
        <f>69</f>
        <v>69</v>
      </c>
      <c r="N16">
        <f>((J16*K16)/(1+(B13*(J17/J16))+(B14*(J18/J16))+(B15*(J19/J16))))</f>
        <v>5.3910121347749288E-3</v>
      </c>
      <c r="P16" s="5" t="s">
        <v>215</v>
      </c>
      <c r="Q16" s="5">
        <v>5.3364758406074795E-4</v>
      </c>
      <c r="R16" s="5" t="s">
        <v>195</v>
      </c>
    </row>
    <row r="17" spans="1:17" x14ac:dyDescent="0.25">
      <c r="A17" t="s">
        <v>319</v>
      </c>
      <c r="H17">
        <v>2</v>
      </c>
      <c r="I17" t="s">
        <v>105</v>
      </c>
      <c r="J17">
        <v>0.06</v>
      </c>
      <c r="K17">
        <v>4.7699999999999999E-2</v>
      </c>
      <c r="L17" s="21">
        <f>0.00002018</f>
        <v>2.018E-5</v>
      </c>
      <c r="M17">
        <f>32</f>
        <v>32</v>
      </c>
      <c r="N17">
        <f>((J17*K17)/(1+(B18*(J16/J17))+(B19*(J18/J17))+(B20*(J19/J17))))</f>
        <v>2.2306522397483956E-4</v>
      </c>
      <c r="Q17">
        <f>(Q13/L21)+(0.75*Q14*U13)</f>
        <v>305.90556658805485</v>
      </c>
    </row>
    <row r="18" spans="1:17" x14ac:dyDescent="0.25">
      <c r="A18" t="s">
        <v>320</v>
      </c>
      <c r="B18">
        <f>((1+((L$17/L16)^0.5)*((M16/M$17)^0.25))^2)/((SQRT(8))*(1+((M$17/M16)^0.25)))</f>
        <v>1.1252705420630906</v>
      </c>
      <c r="H18">
        <v>3</v>
      </c>
      <c r="I18" t="s">
        <v>107</v>
      </c>
      <c r="J18">
        <v>0.23</v>
      </c>
      <c r="K18">
        <v>5.4140000000000001E-2</v>
      </c>
      <c r="L18" s="21">
        <v>1.7810000000000001E-5</v>
      </c>
      <c r="M18">
        <f>28</f>
        <v>28</v>
      </c>
      <c r="N18">
        <f>((J18*K18)/(1+(B23*(J16/J18))+(B24*(J17/J18))+(B25*(J19/J18))))</f>
        <v>3.5371562523714233E-3</v>
      </c>
    </row>
    <row r="19" spans="1:17" x14ac:dyDescent="0.25">
      <c r="A19" t="s">
        <v>321</v>
      </c>
      <c r="B19">
        <f>((1+((L$17/L18)^0.5)*((M18/M$17)^0.25))^2)/((SQRT(8))*(1+((M$17/M18)^0.25)))</f>
        <v>0.71597519987045555</v>
      </c>
      <c r="H19">
        <v>4</v>
      </c>
      <c r="I19" t="s">
        <v>106</v>
      </c>
      <c r="J19">
        <v>0.61</v>
      </c>
      <c r="K19">
        <v>0.1022</v>
      </c>
      <c r="L19" s="21">
        <v>1.2999999999999999E-5</v>
      </c>
      <c r="M19">
        <f>18</f>
        <v>18</v>
      </c>
      <c r="N19">
        <f>((J19*K19)/(1+(B28*(J16/J19))+(B29*(J17/J19))+(B30*(J18/J19))))</f>
        <v>4.1077731797419317E-2</v>
      </c>
    </row>
    <row r="20" spans="1:17" x14ac:dyDescent="0.25">
      <c r="A20" t="s">
        <v>322</v>
      </c>
      <c r="B20">
        <f>((1+((L$17/L19)^0.5)*((M19/M$17)^0.25))^2)/((SQRT(8))*(1+((M$17/M19)^0.25)))</f>
        <v>0.70921038161438599</v>
      </c>
      <c r="J20">
        <f>SUM(J16:J19)</f>
        <v>1</v>
      </c>
      <c r="N20" s="7">
        <f>SUM(N16:N19)</f>
        <v>5.0228965408540507E-2</v>
      </c>
      <c r="O20" s="7" t="s">
        <v>216</v>
      </c>
    </row>
    <row r="21" spans="1:17" x14ac:dyDescent="0.25">
      <c r="I21" t="s">
        <v>332</v>
      </c>
      <c r="L21" s="7">
        <f>N20</f>
        <v>5.0228965408540507E-2</v>
      </c>
      <c r="M21" s="7" t="s">
        <v>216</v>
      </c>
    </row>
    <row r="22" spans="1:17" x14ac:dyDescent="0.25">
      <c r="A22" t="s">
        <v>323</v>
      </c>
    </row>
    <row r="23" spans="1:17" x14ac:dyDescent="0.25">
      <c r="A23" t="s">
        <v>324</v>
      </c>
      <c r="B23">
        <f>((1+((L$18/L16)^0.5)*((M16/M$18)^0.25))^2)/((SQRT(8))*(1+((M$18/M16)^0.25)))</f>
        <v>1.1042332790433103</v>
      </c>
    </row>
    <row r="24" spans="1:17" x14ac:dyDescent="0.25">
      <c r="A24" t="s">
        <v>325</v>
      </c>
      <c r="B24">
        <f>((1+((L$18/L17)^0.5)*((M17/M$18)^0.25))^2)/((SQRT(8))*(1+((M$18/M17)^0.25)))</f>
        <v>0.69844899561514451</v>
      </c>
    </row>
    <row r="25" spans="1:17" x14ac:dyDescent="0.25">
      <c r="A25" t="s">
        <v>326</v>
      </c>
      <c r="B25">
        <f>((1+((L$18/L19)^0.5)*((M19/M$18)^0.25))^2)/((SQRT(8))*(1+((M$18/M19)^0.25)))</f>
        <v>0.70059248465046375</v>
      </c>
      <c r="I25" t="s">
        <v>335</v>
      </c>
      <c r="K25">
        <f>L21*(5.5+(0.05*Q14))</f>
        <v>0.28151619948058648</v>
      </c>
    </row>
    <row r="26" spans="1:17" x14ac:dyDescent="0.25">
      <c r="I26" t="s">
        <v>404</v>
      </c>
      <c r="K26">
        <f>((L21*Q11)/8)+L21</f>
        <v>5.342330759014647E-2</v>
      </c>
    </row>
    <row r="27" spans="1:17" x14ac:dyDescent="0.25">
      <c r="A27" t="s">
        <v>327</v>
      </c>
    </row>
    <row r="28" spans="1:17" x14ac:dyDescent="0.25">
      <c r="A28" t="s">
        <v>328</v>
      </c>
      <c r="B28">
        <f>((1+((L$19/L16)^0.5)*((M16/M$19)^0.25))^2)/((SQRT(8))*(1+((M$19/M16)^0.25)))</f>
        <v>1.0974032329990366</v>
      </c>
    </row>
    <row r="29" spans="1:17" x14ac:dyDescent="0.25">
      <c r="A29" t="s">
        <v>329</v>
      </c>
      <c r="B29">
        <f>((1+((L$19/L17)^0.5)*((M17/M$19)^0.25))^2)/((SQRT(8))*(1+((M$19/M17)^0.25)))</f>
        <v>0.70340488425277259</v>
      </c>
    </row>
    <row r="30" spans="1:17" x14ac:dyDescent="0.25">
      <c r="A30" t="s">
        <v>330</v>
      </c>
      <c r="B30">
        <f>((1+((L$19/L18)^0.5)*((M18/M$19)^0.25))^2)/((SQRT(8))*(1+((M$19/M18)^0.25)))</f>
        <v>0.71229361573482108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2" workbookViewId="0">
      <selection activeCell="J16" sqref="J16"/>
    </sheetView>
  </sheetViews>
  <sheetFormatPr defaultRowHeight="15" x14ac:dyDescent="0.25"/>
  <cols>
    <col min="10" max="10" width="7" customWidth="1"/>
    <col min="11" max="11" width="10" customWidth="1"/>
    <col min="12" max="12" width="12" bestFit="1" customWidth="1"/>
  </cols>
  <sheetData>
    <row r="1" spans="1:16" x14ac:dyDescent="0.25">
      <c r="A1" t="s">
        <v>302</v>
      </c>
    </row>
    <row r="2" spans="1:16" x14ac:dyDescent="0.25">
      <c r="G2" s="20" t="s">
        <v>303</v>
      </c>
    </row>
    <row r="3" spans="1:16" x14ac:dyDescent="0.25">
      <c r="K3" s="3" t="s">
        <v>304</v>
      </c>
      <c r="M3" t="s">
        <v>305</v>
      </c>
    </row>
    <row r="4" spans="1:16" x14ac:dyDescent="0.25">
      <c r="K4" s="3" t="s">
        <v>304</v>
      </c>
      <c r="M4">
        <f>5.5+(0.05*'Re and Sc (2)'!B13)</f>
        <v>5.5104658531006097</v>
      </c>
    </row>
    <row r="6" spans="1:16" x14ac:dyDescent="0.25">
      <c r="K6" t="s">
        <v>309</v>
      </c>
    </row>
    <row r="10" spans="1:16" x14ac:dyDescent="0.25">
      <c r="K10" t="s">
        <v>109</v>
      </c>
      <c r="L10">
        <v>26.240000000000002</v>
      </c>
      <c r="M10" t="s">
        <v>270</v>
      </c>
      <c r="O10">
        <f>L10/1000</f>
        <v>2.6240000000000003E-2</v>
      </c>
      <c r="P10" t="s">
        <v>158</v>
      </c>
    </row>
    <row r="11" spans="1:16" x14ac:dyDescent="0.25">
      <c r="K11" t="s">
        <v>62</v>
      </c>
      <c r="L11">
        <v>377.09636260666485</v>
      </c>
      <c r="M11" t="s">
        <v>165</v>
      </c>
      <c r="N11">
        <f>L11*1000</f>
        <v>377096.36260666483</v>
      </c>
      <c r="O11" t="s">
        <v>307</v>
      </c>
    </row>
    <row r="12" spans="1:16" x14ac:dyDescent="0.25">
      <c r="K12" t="s">
        <v>306</v>
      </c>
      <c r="L12">
        <f>O10/L11</f>
        <v>6.9584336000000002E-5</v>
      </c>
      <c r="M12" t="s">
        <v>308</v>
      </c>
    </row>
    <row r="16" spans="1:16" x14ac:dyDescent="0.25">
      <c r="K16" t="s">
        <v>310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G11" workbookViewId="0">
      <selection activeCell="N13" sqref="N13"/>
    </sheetView>
  </sheetViews>
  <sheetFormatPr defaultRowHeight="15" x14ac:dyDescent="0.25"/>
  <cols>
    <col min="1" max="1" width="12.7109375" customWidth="1"/>
    <col min="2" max="3" width="12" bestFit="1" customWidth="1"/>
    <col min="5" max="5" width="7.42578125" customWidth="1"/>
    <col min="6" max="6" width="11.42578125" customWidth="1"/>
    <col min="8" max="8" width="12" bestFit="1" customWidth="1"/>
    <col min="11" max="11" width="12" bestFit="1" customWidth="1"/>
    <col min="15" max="16" width="12" bestFit="1" customWidth="1"/>
    <col min="19" max="19" width="12" bestFit="1" customWidth="1"/>
    <col min="23" max="23" width="12" bestFit="1" customWidth="1"/>
    <col min="28" max="28" width="12" bestFit="1" customWidth="1"/>
  </cols>
  <sheetData>
    <row r="1" spans="1:32" x14ac:dyDescent="0.25">
      <c r="A1" t="s">
        <v>405</v>
      </c>
      <c r="O1" t="s">
        <v>76</v>
      </c>
      <c r="P1">
        <f>0.8/1000</f>
        <v>8.0000000000000004E-4</v>
      </c>
      <c r="Q1" t="s">
        <v>252</v>
      </c>
    </row>
    <row r="2" spans="1:32" x14ac:dyDescent="0.25">
      <c r="O2" t="s">
        <v>253</v>
      </c>
      <c r="P2">
        <f>'Mol avg'!L15</f>
        <v>1.6579353889786302E-2</v>
      </c>
      <c r="Q2" t="s">
        <v>185</v>
      </c>
    </row>
    <row r="3" spans="1:32" x14ac:dyDescent="0.25">
      <c r="H3" t="s">
        <v>97</v>
      </c>
    </row>
    <row r="6" spans="1:32" x14ac:dyDescent="0.25">
      <c r="A6" t="s">
        <v>95</v>
      </c>
      <c r="B6">
        <f>773</f>
        <v>773</v>
      </c>
      <c r="C6" t="s">
        <v>98</v>
      </c>
      <c r="O6" t="s">
        <v>406</v>
      </c>
    </row>
    <row r="7" spans="1:32" x14ac:dyDescent="0.25">
      <c r="A7" t="s">
        <v>76</v>
      </c>
      <c r="B7">
        <f>0.8/10</f>
        <v>0.08</v>
      </c>
      <c r="C7" t="s">
        <v>111</v>
      </c>
      <c r="D7">
        <f>0.08/1000</f>
        <v>8.0000000000000007E-5</v>
      </c>
      <c r="E7" t="s">
        <v>75</v>
      </c>
      <c r="G7" t="s">
        <v>113</v>
      </c>
      <c r="H7">
        <f>(D7/3)</f>
        <v>2.666666666666667E-5</v>
      </c>
      <c r="M7">
        <f>48.5*(B7/1000)*((B6/B8)^2)</f>
        <v>3.3671545606223976</v>
      </c>
      <c r="R7">
        <f>(2.5*12)+7+(2*16)</f>
        <v>69</v>
      </c>
    </row>
    <row r="8" spans="1:32" x14ac:dyDescent="0.25">
      <c r="A8" t="s">
        <v>99</v>
      </c>
      <c r="B8">
        <f>'Mol avg'!E6</f>
        <v>26.240000000000002</v>
      </c>
      <c r="C8" t="s">
        <v>112</v>
      </c>
      <c r="D8">
        <f>B8/1000</f>
        <v>2.6240000000000003E-2</v>
      </c>
      <c r="G8" t="s">
        <v>114</v>
      </c>
      <c r="H8">
        <f>8*8.314*500</f>
        <v>33256</v>
      </c>
      <c r="J8" t="s">
        <v>107</v>
      </c>
      <c r="K8">
        <f>0.23</f>
        <v>0.23</v>
      </c>
    </row>
    <row r="9" spans="1:32" x14ac:dyDescent="0.25">
      <c r="A9" t="s">
        <v>153</v>
      </c>
      <c r="B9">
        <f>B6/B8</f>
        <v>29.458841463414632</v>
      </c>
      <c r="C9">
        <f>SQRT(B9)</f>
        <v>5.4275999726780375</v>
      </c>
      <c r="D9">
        <f>B6/D8</f>
        <v>29458.841463414632</v>
      </c>
      <c r="E9">
        <f>SQRT(D9)</f>
        <v>171.63578141930265</v>
      </c>
      <c r="G9" t="s">
        <v>115</v>
      </c>
      <c r="H9">
        <f>3.142*(B8)</f>
        <v>82.446080000000009</v>
      </c>
      <c r="J9" t="s">
        <v>146</v>
      </c>
      <c r="K9">
        <v>0.1</v>
      </c>
      <c r="L9" s="6">
        <f>(0.1/(0.1+0.61))*1</f>
        <v>0.14084507042253522</v>
      </c>
      <c r="M9">
        <f>(0.1/(0.1+0.06))*1</f>
        <v>0.625</v>
      </c>
    </row>
    <row r="10" spans="1:32" x14ac:dyDescent="0.25">
      <c r="A10" s="5" t="s">
        <v>110</v>
      </c>
      <c r="B10" s="5">
        <f>4850*B7*C9</f>
        <v>2105.9087893990786</v>
      </c>
      <c r="C10">
        <f>4850*B7*E9</f>
        <v>66594.683190689422</v>
      </c>
      <c r="G10" t="s">
        <v>116</v>
      </c>
      <c r="H10">
        <f>SQRT(H8/H9)</f>
        <v>20.083990165653269</v>
      </c>
      <c r="J10" t="s">
        <v>106</v>
      </c>
      <c r="K10">
        <v>0.61</v>
      </c>
      <c r="L10" s="6">
        <f>(0.61/(0.1+0.61))*1</f>
        <v>0.85915492957746487</v>
      </c>
    </row>
    <row r="11" spans="1:32" x14ac:dyDescent="0.25">
      <c r="G11" t="s">
        <v>110</v>
      </c>
      <c r="H11">
        <f>H7*H10</f>
        <v>5.355730710840872E-4</v>
      </c>
      <c r="J11" t="s">
        <v>105</v>
      </c>
      <c r="K11">
        <v>0.06</v>
      </c>
      <c r="M11">
        <f>(0.06/(0.1+0.06))*1</f>
        <v>0.375</v>
      </c>
    </row>
    <row r="13" spans="1:32" x14ac:dyDescent="0.25">
      <c r="A13" s="7" t="s">
        <v>407</v>
      </c>
      <c r="B13" s="7"/>
      <c r="C13" s="7"/>
      <c r="D13" s="29" t="s">
        <v>414</v>
      </c>
      <c r="E13" s="29"/>
      <c r="F13" s="29"/>
      <c r="H13" s="16" t="s">
        <v>413</v>
      </c>
      <c r="I13" s="16"/>
      <c r="K13" s="28" t="s">
        <v>415</v>
      </c>
      <c r="L13" s="28"/>
      <c r="U13" s="7" t="s">
        <v>129</v>
      </c>
      <c r="V13" s="7"/>
      <c r="W13" s="7"/>
      <c r="Y13" s="5" t="s">
        <v>240</v>
      </c>
      <c r="Z13" s="5"/>
      <c r="AA13" s="5"/>
      <c r="AC13" s="5" t="s">
        <v>245</v>
      </c>
      <c r="AD13" s="5"/>
      <c r="AE13" s="5"/>
      <c r="AF13" s="10"/>
    </row>
    <row r="14" spans="1:32" x14ac:dyDescent="0.25">
      <c r="A14" t="s">
        <v>411</v>
      </c>
      <c r="B14">
        <f>773</f>
        <v>773</v>
      </c>
      <c r="D14" t="s">
        <v>118</v>
      </c>
      <c r="H14" t="s">
        <v>411</v>
      </c>
      <c r="I14">
        <v>773</v>
      </c>
      <c r="K14" t="s">
        <v>411</v>
      </c>
      <c r="L14">
        <v>773</v>
      </c>
      <c r="U14" s="7" t="s">
        <v>118</v>
      </c>
      <c r="V14" s="7"/>
      <c r="W14" s="7"/>
      <c r="Y14" s="5" t="s">
        <v>118</v>
      </c>
      <c r="Z14" s="5"/>
      <c r="AA14" s="5"/>
      <c r="AC14" s="5" t="s">
        <v>118</v>
      </c>
      <c r="AD14" s="5"/>
      <c r="AE14" s="5"/>
      <c r="AF14" s="10"/>
    </row>
    <row r="15" spans="1:32" x14ac:dyDescent="0.25">
      <c r="A15" t="s">
        <v>412</v>
      </c>
      <c r="B15">
        <f>1</f>
        <v>1</v>
      </c>
      <c r="H15" t="s">
        <v>412</v>
      </c>
      <c r="I15">
        <v>1</v>
      </c>
      <c r="K15" t="s">
        <v>412</v>
      </c>
      <c r="L15">
        <v>1</v>
      </c>
    </row>
    <row r="16" spans="1:32" x14ac:dyDescent="0.25">
      <c r="U16" t="s">
        <v>119</v>
      </c>
      <c r="V16">
        <f>(32+18)/(32*18)</f>
        <v>8.6805555555555552E-2</v>
      </c>
      <c r="W16" t="s">
        <v>112</v>
      </c>
      <c r="Y16" t="s">
        <v>119</v>
      </c>
      <c r="Z16">
        <f>(2+18)/(2*18)</f>
        <v>0.55555555555555558</v>
      </c>
      <c r="AA16" t="s">
        <v>112</v>
      </c>
      <c r="AC16" t="s">
        <v>119</v>
      </c>
      <c r="AD16">
        <f>(69+18)/(69*18)</f>
        <v>7.0048309178743967E-2</v>
      </c>
      <c r="AE16" t="s">
        <v>112</v>
      </c>
    </row>
    <row r="17" spans="1:32" x14ac:dyDescent="0.25">
      <c r="A17" t="s">
        <v>119</v>
      </c>
      <c r="B17">
        <f>(1/28)+(1/32)</f>
        <v>6.6964285714285712E-2</v>
      </c>
      <c r="D17" t="s">
        <v>119</v>
      </c>
      <c r="E17">
        <f>(1/28)+(1/69)</f>
        <v>5.020703933747412E-2</v>
      </c>
      <c r="F17" t="s">
        <v>112</v>
      </c>
      <c r="H17" t="s">
        <v>119</v>
      </c>
      <c r="I17">
        <f>(1/28)+(1/18)</f>
        <v>9.1269841269841265E-2</v>
      </c>
      <c r="J17" t="s">
        <v>112</v>
      </c>
      <c r="K17" t="s">
        <v>119</v>
      </c>
      <c r="L17">
        <f>(1/28)+(1/44)</f>
        <v>5.844155844155844E-2</v>
      </c>
      <c r="M17" t="s">
        <v>112</v>
      </c>
      <c r="U17" t="s">
        <v>120</v>
      </c>
      <c r="V17">
        <f>(500)^1.5</f>
        <v>11180.339887498953</v>
      </c>
      <c r="W17" t="s">
        <v>98</v>
      </c>
      <c r="Y17" t="s">
        <v>120</v>
      </c>
      <c r="Z17">
        <f>(500)^1.5</f>
        <v>11180.339887498953</v>
      </c>
      <c r="AA17" t="s">
        <v>98</v>
      </c>
      <c r="AC17" t="s">
        <v>120</v>
      </c>
      <c r="AD17">
        <f>(500)^1.5</f>
        <v>11180.339887498953</v>
      </c>
      <c r="AE17" t="s">
        <v>98</v>
      </c>
    </row>
    <row r="18" spans="1:32" x14ac:dyDescent="0.25">
      <c r="A18" s="3" t="s">
        <v>126</v>
      </c>
      <c r="B18">
        <f>3.798</f>
        <v>3.798</v>
      </c>
      <c r="C18" t="s">
        <v>107</v>
      </c>
      <c r="D18" t="s">
        <v>126</v>
      </c>
      <c r="E18">
        <v>3.798</v>
      </c>
      <c r="F18" t="s">
        <v>107</v>
      </c>
      <c r="H18" t="s">
        <v>126</v>
      </c>
      <c r="I18">
        <v>3.798</v>
      </c>
      <c r="J18" t="s">
        <v>107</v>
      </c>
      <c r="K18" t="s">
        <v>126</v>
      </c>
      <c r="L18">
        <v>3.798</v>
      </c>
      <c r="M18" t="s">
        <v>107</v>
      </c>
      <c r="U18" t="s">
        <v>121</v>
      </c>
      <c r="V18">
        <f>1</f>
        <v>1</v>
      </c>
      <c r="W18" t="s">
        <v>122</v>
      </c>
      <c r="Y18" t="s">
        <v>121</v>
      </c>
      <c r="Z18">
        <f>1</f>
        <v>1</v>
      </c>
      <c r="AA18" t="s">
        <v>122</v>
      </c>
      <c r="AC18" t="s">
        <v>121</v>
      </c>
      <c r="AD18">
        <f>1</f>
        <v>1</v>
      </c>
      <c r="AE18" t="s">
        <v>122</v>
      </c>
    </row>
    <row r="19" spans="1:32" x14ac:dyDescent="0.25">
      <c r="A19" s="3" t="s">
        <v>127</v>
      </c>
      <c r="B19">
        <v>3.4670000000000001</v>
      </c>
      <c r="C19" t="s">
        <v>105</v>
      </c>
      <c r="D19" s="3" t="s">
        <v>127</v>
      </c>
      <c r="E19">
        <v>6.3</v>
      </c>
      <c r="F19" t="s">
        <v>146</v>
      </c>
      <c r="H19" t="s">
        <v>127</v>
      </c>
      <c r="I19">
        <f>2.641</f>
        <v>2.641</v>
      </c>
      <c r="J19" t="s">
        <v>106</v>
      </c>
      <c r="K19" t="s">
        <v>127</v>
      </c>
      <c r="L19">
        <f>3.941</f>
        <v>3.9409999999999998</v>
      </c>
      <c r="M19" t="s">
        <v>29</v>
      </c>
    </row>
    <row r="20" spans="1:32" x14ac:dyDescent="0.25">
      <c r="A20" s="3" t="s">
        <v>128</v>
      </c>
      <c r="B20">
        <f>(B18+B19)/2</f>
        <v>3.6325000000000003</v>
      </c>
      <c r="D20" s="3" t="s">
        <v>128</v>
      </c>
      <c r="E20">
        <f>(E18+E19)/2</f>
        <v>5.0489999999999995</v>
      </c>
      <c r="H20" t="s">
        <v>128</v>
      </c>
      <c r="I20">
        <f>(I18+I19)/2</f>
        <v>3.2195</v>
      </c>
      <c r="K20" t="s">
        <v>128</v>
      </c>
      <c r="L20">
        <f>(L18+L19)/2</f>
        <v>3.8694999999999999</v>
      </c>
      <c r="U20" t="s">
        <v>125</v>
      </c>
      <c r="V20">
        <f>(((82.057)*(B35)/1))</f>
        <v>7385.13</v>
      </c>
      <c r="W20" t="s">
        <v>141</v>
      </c>
      <c r="Y20" t="s">
        <v>123</v>
      </c>
      <c r="Z20">
        <f>(((82.057)*(Z26)/1))</f>
        <v>1649.3456999999996</v>
      </c>
      <c r="AA20" t="s">
        <v>141</v>
      </c>
      <c r="AC20" t="s">
        <v>123</v>
      </c>
      <c r="AD20">
        <f>(((82.057)*(AD26)/1))</f>
        <v>9149.3554999999997</v>
      </c>
      <c r="AE20" t="s">
        <v>141</v>
      </c>
    </row>
    <row r="21" spans="1:32" x14ac:dyDescent="0.25">
      <c r="A21" s="3" t="s">
        <v>408</v>
      </c>
      <c r="B21">
        <f>0.7404</f>
        <v>0.74039999999999995</v>
      </c>
      <c r="D21" t="s">
        <v>408</v>
      </c>
      <c r="E21">
        <v>0.74039999999999995</v>
      </c>
      <c r="H21" t="s">
        <v>408</v>
      </c>
      <c r="I21">
        <v>0.74039999999999995</v>
      </c>
      <c r="K21" t="s">
        <v>408</v>
      </c>
      <c r="L21">
        <v>0.74039999999999995</v>
      </c>
      <c r="U21" t="s">
        <v>123</v>
      </c>
      <c r="V21">
        <f>(((82.057)*(100+273)/1))</f>
        <v>30607.261000000002</v>
      </c>
      <c r="W21" t="s">
        <v>141</v>
      </c>
      <c r="Y21" t="s">
        <v>125</v>
      </c>
      <c r="Z21">
        <f>(((82.057)*(Z25)/1))</f>
        <v>30607.261000000002</v>
      </c>
      <c r="AA21" t="s">
        <v>141</v>
      </c>
      <c r="AC21" t="s">
        <v>125</v>
      </c>
      <c r="AD21">
        <f>(((82.057)*(AD25)/1))</f>
        <v>30607.261000000002</v>
      </c>
      <c r="AE21" t="s">
        <v>141</v>
      </c>
    </row>
    <row r="22" spans="1:32" x14ac:dyDescent="0.25">
      <c r="A22" t="s">
        <v>409</v>
      </c>
      <c r="B22">
        <f>0.7854</f>
        <v>0.78539999999999999</v>
      </c>
      <c r="D22" t="s">
        <v>409</v>
      </c>
      <c r="E22">
        <v>1.0840000000000001</v>
      </c>
      <c r="H22" t="s">
        <v>409</v>
      </c>
      <c r="I22">
        <f>(1.157+1.439)/2</f>
        <v>1.298</v>
      </c>
      <c r="K22" t="s">
        <v>409</v>
      </c>
      <c r="L22">
        <v>0.88360000000000005</v>
      </c>
      <c r="U22" s="3" t="s">
        <v>126</v>
      </c>
      <c r="V22">
        <f>1.18*V21^0.333333</f>
        <v>36.910959459479464</v>
      </c>
      <c r="Y22" t="s">
        <v>126</v>
      </c>
      <c r="Z22">
        <f>1.18*Z20^0.333333</f>
        <v>13.941778086493395</v>
      </c>
      <c r="AC22" t="s">
        <v>126</v>
      </c>
      <c r="AD22">
        <f>1.18*AD20^0.333333</f>
        <v>24.679945009012599</v>
      </c>
    </row>
    <row r="23" spans="1:32" x14ac:dyDescent="0.25">
      <c r="A23" t="s">
        <v>410</v>
      </c>
      <c r="B23">
        <f>(B21+B22)/2</f>
        <v>0.76289999999999991</v>
      </c>
      <c r="D23" t="s">
        <v>410</v>
      </c>
      <c r="E23">
        <f>(E21+E22)/2</f>
        <v>0.91220000000000001</v>
      </c>
      <c r="H23" t="s">
        <v>410</v>
      </c>
      <c r="I23">
        <f>(I21+I22)/2</f>
        <v>1.0192000000000001</v>
      </c>
      <c r="K23" t="s">
        <v>410</v>
      </c>
      <c r="L23">
        <f>(L21+L22)/2</f>
        <v>0.81200000000000006</v>
      </c>
      <c r="U23" s="3" t="s">
        <v>127</v>
      </c>
      <c r="V23">
        <f>1.18*V20^0.333333</f>
        <v>22.979122096566876</v>
      </c>
      <c r="Y23" t="s">
        <v>127</v>
      </c>
      <c r="Z23">
        <f>1.18*Z21^0.333333</f>
        <v>36.910959459479464</v>
      </c>
      <c r="AC23" t="s">
        <v>127</v>
      </c>
      <c r="AD23">
        <f>1.18*AD21^0.333333</f>
        <v>36.910959459479464</v>
      </c>
    </row>
    <row r="24" spans="1:32" x14ac:dyDescent="0.25">
      <c r="U24" s="3" t="s">
        <v>128</v>
      </c>
      <c r="V24">
        <f>(V22+V23)/2</f>
        <v>29.94504077802317</v>
      </c>
      <c r="Y24" t="s">
        <v>128</v>
      </c>
      <c r="Z24">
        <f>(Z22+Z23)/2</f>
        <v>25.426368772986429</v>
      </c>
      <c r="AC24" t="s">
        <v>128</v>
      </c>
      <c r="AD24">
        <f>(AD22+AD23)/2</f>
        <v>30.795452234246032</v>
      </c>
    </row>
    <row r="25" spans="1:32" x14ac:dyDescent="0.25">
      <c r="A25" t="s">
        <v>143</v>
      </c>
      <c r="B25">
        <f>(0.001858*(B14^1.5)*(B17^0.5))/(B15*(B20^2)*B23)</f>
        <v>1.0264970605175043</v>
      </c>
      <c r="C25" t="s">
        <v>154</v>
      </c>
      <c r="D25" t="s">
        <v>143</v>
      </c>
      <c r="E25">
        <f>(0.001858*(B$14^1.5)*(E17^0.5))/(B$15*(E20^2)*E23)</f>
        <v>0.38476578637404701</v>
      </c>
      <c r="F25" t="s">
        <v>154</v>
      </c>
      <c r="H25" t="s">
        <v>143</v>
      </c>
      <c r="I25">
        <f>(0.001858*(B14^1.5)*(I17^0.5))/(B15*(I20^2)*I23)</f>
        <v>1.1419374720017432</v>
      </c>
      <c r="J25" t="s">
        <v>154</v>
      </c>
      <c r="K25" t="s">
        <v>143</v>
      </c>
      <c r="L25">
        <f>(0.001858*(L14^1.5)*(L17^0.5))/(L15*(L20^2)*L23)</f>
        <v>0.79398100683458284</v>
      </c>
      <c r="M25" t="s">
        <v>154</v>
      </c>
      <c r="U25" t="s">
        <v>130</v>
      </c>
      <c r="V25">
        <f>100+273</f>
        <v>373</v>
      </c>
      <c r="Y25" t="s">
        <v>241</v>
      </c>
      <c r="Z25">
        <f>100+273</f>
        <v>373</v>
      </c>
      <c r="AA25" t="s">
        <v>27</v>
      </c>
      <c r="AC25" t="s">
        <v>241</v>
      </c>
      <c r="AD25">
        <f>100+273</f>
        <v>373</v>
      </c>
      <c r="AE25" t="s">
        <v>27</v>
      </c>
    </row>
    <row r="26" spans="1:32" x14ac:dyDescent="0.25">
      <c r="B26">
        <f>B25/10000</f>
        <v>1.0264970605175043E-4</v>
      </c>
      <c r="C26" t="s">
        <v>229</v>
      </c>
      <c r="E26" s="27">
        <f>E25/10000</f>
        <v>3.8476578637404704E-5</v>
      </c>
      <c r="F26" t="s">
        <v>229</v>
      </c>
      <c r="I26">
        <f>I25/10000</f>
        <v>1.1419374720017433E-4</v>
      </c>
      <c r="J26" t="s">
        <v>229</v>
      </c>
      <c r="L26">
        <f>L25/10000</f>
        <v>7.9398100683458289E-5</v>
      </c>
      <c r="M26" t="s">
        <v>229</v>
      </c>
      <c r="U26" t="s">
        <v>131</v>
      </c>
      <c r="V26">
        <v>90</v>
      </c>
      <c r="Y26" t="s">
        <v>242</v>
      </c>
      <c r="Z26">
        <f>-252.9+273</f>
        <v>20.099999999999994</v>
      </c>
      <c r="AA26" t="s">
        <v>17</v>
      </c>
      <c r="AC26" t="s">
        <v>242</v>
      </c>
      <c r="AD26">
        <f>-161.5+273</f>
        <v>111.5</v>
      </c>
      <c r="AE26" t="s">
        <v>16</v>
      </c>
    </row>
    <row r="27" spans="1:32" x14ac:dyDescent="0.25">
      <c r="U27" t="s">
        <v>132</v>
      </c>
      <c r="V27">
        <f>1.84</f>
        <v>1.84</v>
      </c>
      <c r="Y27" t="s">
        <v>132</v>
      </c>
      <c r="Z27">
        <f>0</f>
        <v>0</v>
      </c>
      <c r="AC27" t="s">
        <v>132</v>
      </c>
      <c r="AD27">
        <f>0</f>
        <v>0</v>
      </c>
      <c r="AE27" t="s">
        <v>16</v>
      </c>
    </row>
    <row r="28" spans="1:32" x14ac:dyDescent="0.25">
      <c r="I28">
        <f>773/809.1</f>
        <v>0.9553825237918675</v>
      </c>
      <c r="L28">
        <f>773/195.2</f>
        <v>3.9600409836065578</v>
      </c>
      <c r="U28" t="s">
        <v>133</v>
      </c>
      <c r="V28">
        <v>0</v>
      </c>
      <c r="Y28" t="s">
        <v>133</v>
      </c>
      <c r="Z28">
        <f>V27</f>
        <v>1.84</v>
      </c>
      <c r="AC28" t="s">
        <v>133</v>
      </c>
      <c r="AD28" t="e">
        <f>#REF!</f>
        <v>#REF!</v>
      </c>
      <c r="AE28" t="s">
        <v>106</v>
      </c>
      <c r="AF28" t="s">
        <v>246</v>
      </c>
    </row>
    <row r="29" spans="1:32" x14ac:dyDescent="0.25">
      <c r="U29" t="s">
        <v>135</v>
      </c>
      <c r="V29">
        <v>0</v>
      </c>
      <c r="Y29" t="s">
        <v>136</v>
      </c>
      <c r="Z29">
        <f>((1.94*10^3)*((Z27^2)/(Z20*Z26)))</f>
        <v>0</v>
      </c>
      <c r="AC29" t="s">
        <v>136</v>
      </c>
      <c r="AD29">
        <f>((1.94*10^3)*((AD27^2)/(AD20*AD26)))</f>
        <v>0</v>
      </c>
    </row>
    <row r="30" spans="1:32" x14ac:dyDescent="0.25">
      <c r="A30" t="s">
        <v>125</v>
      </c>
      <c r="B30">
        <f>(((82.057)*(-183+273)/1))</f>
        <v>7385.13</v>
      </c>
      <c r="C30" t="s">
        <v>124</v>
      </c>
      <c r="D30" t="s">
        <v>120</v>
      </c>
      <c r="E30">
        <f>(500)^1.5</f>
        <v>11180.339887498953</v>
      </c>
      <c r="F30" t="s">
        <v>98</v>
      </c>
      <c r="U30" t="s">
        <v>136</v>
      </c>
      <c r="V30">
        <f>((1.94*10^3)*((V27^2)/(V21*V25)))</f>
        <v>5.7531285371276077E-4</v>
      </c>
      <c r="Y30" t="s">
        <v>135</v>
      </c>
      <c r="Z30">
        <f>((1.94*10^3)*((Z28^2)/(Z21*Z25)))</f>
        <v>5.7531285371276077E-4</v>
      </c>
      <c r="AC30" t="s">
        <v>135</v>
      </c>
      <c r="AD30" t="e">
        <f>((1.94*10^3)*((AD28^2)/(AD21*AD25)))</f>
        <v>#REF!</v>
      </c>
    </row>
    <row r="31" spans="1:32" x14ac:dyDescent="0.25">
      <c r="A31" s="3" t="s">
        <v>126</v>
      </c>
      <c r="B31">
        <f>1.18*E33^0.333333</f>
        <v>42.340416818020877</v>
      </c>
      <c r="D31" t="s">
        <v>121</v>
      </c>
      <c r="E31">
        <f>1</f>
        <v>1</v>
      </c>
      <c r="F31" t="s">
        <v>122</v>
      </c>
      <c r="U31" s="3" t="s">
        <v>138</v>
      </c>
      <c r="V31">
        <f>1.18*(1+(1.3*(V29^2)))*V26*(1.38*10^-16)</f>
        <v>1.4655599999999995E-14</v>
      </c>
      <c r="Y31" t="s">
        <v>138</v>
      </c>
      <c r="Z31">
        <f>1.18*(1+(1.3*(Z28^2)))*Z25*(1.38*10^-16)</f>
        <v>3.2807007432959998E-13</v>
      </c>
      <c r="AA31" t="s">
        <v>27</v>
      </c>
      <c r="AC31" t="s">
        <v>138</v>
      </c>
      <c r="AD31" t="e">
        <f>1.18*(1+(1.3*(AD28^2)))*AD25*(1.38*10^-16)</f>
        <v>#REF!</v>
      </c>
      <c r="AE31" t="s">
        <v>27</v>
      </c>
    </row>
    <row r="32" spans="1:32" x14ac:dyDescent="0.25">
      <c r="A32" s="3" t="s">
        <v>127</v>
      </c>
      <c r="B32">
        <f>1.18*B30^0.333333</f>
        <v>22.979122096566876</v>
      </c>
      <c r="D32" t="s">
        <v>95</v>
      </c>
      <c r="E32">
        <f>773</f>
        <v>773</v>
      </c>
      <c r="F32" t="s">
        <v>98</v>
      </c>
      <c r="U32" s="3" t="s">
        <v>137</v>
      </c>
      <c r="V32">
        <f>1.18*(1+(1.3*(V30^2)))*V25*(1.38*10^-16)</f>
        <v>6.0739346134935459E-14</v>
      </c>
      <c r="Y32" t="s">
        <v>137</v>
      </c>
      <c r="Z32">
        <f>1.18*(1+(1.3*(Z27^2)))*Z26*(1.38*10^-16)</f>
        <v>3.2730839999999984E-15</v>
      </c>
      <c r="AA32" t="s">
        <v>17</v>
      </c>
      <c r="AC32" t="s">
        <v>137</v>
      </c>
      <c r="AD32">
        <f>1.18*(1+(1.3*(AD27^2)))*AD26*(1.38*10^-16)</f>
        <v>1.8156659999999997E-14</v>
      </c>
      <c r="AE32" t="s">
        <v>16</v>
      </c>
    </row>
    <row r="33" spans="1:31" x14ac:dyDescent="0.25">
      <c r="A33" s="3" t="s">
        <v>128</v>
      </c>
      <c r="B33">
        <f>(B31+B32)/2</f>
        <v>32.659769457293876</v>
      </c>
      <c r="D33" t="s">
        <v>123</v>
      </c>
      <c r="E33">
        <f>(((82.057)*563)/1)</f>
        <v>46198.091</v>
      </c>
      <c r="F33" t="s">
        <v>141</v>
      </c>
      <c r="U33" s="3" t="s">
        <v>139</v>
      </c>
      <c r="V33">
        <f>(V31*V32)^0.5</f>
        <v>2.983574301429679E-14</v>
      </c>
      <c r="Y33" t="s">
        <v>139</v>
      </c>
      <c r="Z33">
        <f>(Z31*Z32)^0.5</f>
        <v>3.2768901586214691E-14</v>
      </c>
      <c r="AC33" t="s">
        <v>139</v>
      </c>
      <c r="AD33" t="e">
        <f>(AD31*AD32)^0.5</f>
        <v>#REF!</v>
      </c>
    </row>
    <row r="34" spans="1:31" x14ac:dyDescent="0.25">
      <c r="A34" s="3" t="s">
        <v>130</v>
      </c>
      <c r="B34">
        <f>563</f>
        <v>563</v>
      </c>
      <c r="C34" t="s">
        <v>98</v>
      </c>
      <c r="U34" s="3" t="s">
        <v>140</v>
      </c>
      <c r="V34">
        <f>((1.38*10^-16)*E32)/(V33)</f>
        <v>3.5753760162394337</v>
      </c>
      <c r="Y34" t="s">
        <v>140</v>
      </c>
      <c r="Z34">
        <f>((1.38*10^-16)*$E32)/(Z33)</f>
        <v>3.2553425606696527</v>
      </c>
      <c r="AC34" t="s">
        <v>140</v>
      </c>
      <c r="AD34" t="e">
        <f>((1.38*10^-16)*$E32)/(AD33)</f>
        <v>#REF!</v>
      </c>
    </row>
    <row r="35" spans="1:31" x14ac:dyDescent="0.25">
      <c r="A35" s="3" t="s">
        <v>131</v>
      </c>
      <c r="B35">
        <f>-183+273</f>
        <v>90</v>
      </c>
      <c r="C35" t="s">
        <v>98</v>
      </c>
      <c r="U35" s="3" t="s">
        <v>142</v>
      </c>
      <c r="V35">
        <f>(44.54*(V34^-4.909)+1.911*(V34^-1.575))^0.1</f>
        <v>0.89839572272847501</v>
      </c>
      <c r="Y35" t="s">
        <v>142</v>
      </c>
      <c r="Z35">
        <f>(44.54*(Z34^-4.909)+1.911*(Z34^-1.575))^0.1</f>
        <v>0.91980004749667144</v>
      </c>
      <c r="AC35" t="s">
        <v>142</v>
      </c>
      <c r="AD35" t="e">
        <f>(44.54*(AD34^-4.909)+1.911*(AD34^-1.575))^0.1</f>
        <v>#REF!</v>
      </c>
    </row>
    <row r="36" spans="1:31" x14ac:dyDescent="0.25">
      <c r="A36" s="3" t="s">
        <v>132</v>
      </c>
      <c r="B36">
        <f>2.67</f>
        <v>2.67</v>
      </c>
      <c r="C36" t="s">
        <v>134</v>
      </c>
      <c r="U36" s="8" t="s">
        <v>143</v>
      </c>
      <c r="V36" s="7">
        <f>(0.001858*(E32^1.5)*(V16^0.5))/(1*(V24^2)*V35)</f>
        <v>1.4603979604705166E-2</v>
      </c>
      <c r="W36" s="7" t="s">
        <v>144</v>
      </c>
      <c r="Y36" s="5" t="s">
        <v>143</v>
      </c>
      <c r="Z36" s="5">
        <f>(0.001858*(E32^1.5)*(Z16^0.5))/(1*(Z24^2)*Z35)</f>
        <v>5.0051441205644857E-2</v>
      </c>
      <c r="AA36" s="5" t="s">
        <v>144</v>
      </c>
      <c r="AC36" s="5" t="s">
        <v>143</v>
      </c>
      <c r="AD36" s="5" t="e">
        <f>(0.001858*(E32^1.5)*(AD16^0.5))/(AD18*(AD24^2)*AD35)</f>
        <v>#REF!</v>
      </c>
      <c r="AE36" s="5" t="s">
        <v>144</v>
      </c>
    </row>
    <row r="37" spans="1:31" x14ac:dyDescent="0.25">
      <c r="A37" s="3" t="s">
        <v>133</v>
      </c>
      <c r="B37">
        <v>0</v>
      </c>
      <c r="C37" t="s">
        <v>134</v>
      </c>
      <c r="U37" s="8" t="s">
        <v>143</v>
      </c>
      <c r="V37" s="7">
        <f>V36/10^4</f>
        <v>1.4603979604705167E-6</v>
      </c>
      <c r="W37" s="7" t="s">
        <v>145</v>
      </c>
      <c r="Y37" s="5" t="s">
        <v>143</v>
      </c>
      <c r="Z37" s="5">
        <f>Z36/10^4</f>
        <v>5.0051441205644853E-6</v>
      </c>
      <c r="AA37" s="5" t="s">
        <v>145</v>
      </c>
      <c r="AC37" s="5" t="s">
        <v>143</v>
      </c>
      <c r="AD37" s="5" t="e">
        <f>AD36/10^4</f>
        <v>#REF!</v>
      </c>
      <c r="AE37" s="5" t="s">
        <v>145</v>
      </c>
    </row>
    <row r="38" spans="1:31" x14ac:dyDescent="0.25">
      <c r="A38" s="3" t="s">
        <v>135</v>
      </c>
      <c r="B38">
        <f>1.94*10^3*(0^2)/(B30*B35)</f>
        <v>0</v>
      </c>
    </row>
    <row r="39" spans="1:31" ht="19.5" x14ac:dyDescent="0.35">
      <c r="A39" s="3" t="s">
        <v>136</v>
      </c>
      <c r="B39">
        <f>((1.94*10^3)*((B36^2)/(E33*B34)))</f>
        <v>5.3173081308123548E-4</v>
      </c>
      <c r="D39" t="s">
        <v>147</v>
      </c>
      <c r="E39" t="s">
        <v>143</v>
      </c>
      <c r="F39">
        <f>(B46*L9)+(V37*L10)</f>
        <v>1.3792440091630148E-6</v>
      </c>
      <c r="G39" t="s">
        <v>148</v>
      </c>
      <c r="J39" s="5" t="s">
        <v>65</v>
      </c>
      <c r="K39" s="5">
        <f>(porosity!B13*F42)/8</f>
        <v>4.8311446788794538E-4</v>
      </c>
      <c r="L39" s="5" t="s">
        <v>154</v>
      </c>
      <c r="S39" s="9" t="s">
        <v>247</v>
      </c>
    </row>
    <row r="40" spans="1:31" x14ac:dyDescent="0.25">
      <c r="A40" s="3" t="s">
        <v>138</v>
      </c>
      <c r="B40">
        <f>1.18*(1+1.3*(B38^2))*B35*(1.38*10^-16)</f>
        <v>1.4655599999999995E-14</v>
      </c>
      <c r="D40" t="s">
        <v>147</v>
      </c>
      <c r="E40" t="s">
        <v>143</v>
      </c>
      <c r="F40">
        <f>(B45*L10)+(V36*L11)</f>
        <v>7.5966900390735705E-3</v>
      </c>
      <c r="G40" t="s">
        <v>149</v>
      </c>
      <c r="H40" t="e">
        <f>(V36*M11)+(#REF!*M9)</f>
        <v>#REF!</v>
      </c>
      <c r="J40" s="5" t="s">
        <v>65</v>
      </c>
      <c r="K40" s="5">
        <f>K39/10000</f>
        <v>4.831144678879454E-8</v>
      </c>
      <c r="L40" s="5" t="s">
        <v>155</v>
      </c>
      <c r="M40" t="s">
        <v>366</v>
      </c>
      <c r="S40" t="s">
        <v>248</v>
      </c>
    </row>
    <row r="41" spans="1:31" x14ac:dyDescent="0.25">
      <c r="A41" s="3" t="s">
        <v>137</v>
      </c>
      <c r="B41">
        <f>1.18*(1+1.3*(B39^2))*B34*(1.38*10^-16)</f>
        <v>9.1678953697407995E-14</v>
      </c>
      <c r="E41" t="s">
        <v>150</v>
      </c>
      <c r="F41">
        <f>(1/F40)+(1/B10)</f>
        <v>131.63675260909363</v>
      </c>
      <c r="H41" t="e">
        <f>(1/H40)+(1/C10)</f>
        <v>#REF!</v>
      </c>
    </row>
    <row r="42" spans="1:31" x14ac:dyDescent="0.25">
      <c r="A42" s="3" t="s">
        <v>139</v>
      </c>
      <c r="B42">
        <f>(B41*B40)^0.5</f>
        <v>3.665528711942838E-14</v>
      </c>
      <c r="E42" t="s">
        <v>151</v>
      </c>
      <c r="F42">
        <f>(1/F41)</f>
        <v>7.5966626354691674E-3</v>
      </c>
      <c r="G42" t="s">
        <v>152</v>
      </c>
      <c r="H42">
        <f>(1/F41)</f>
        <v>7.5966626354691674E-3</v>
      </c>
      <c r="J42" t="s">
        <v>355</v>
      </c>
      <c r="K42" t="e">
        <f>(V36+Z36+#REF!+AD36+#REF!)/5</f>
        <v>#REF!</v>
      </c>
      <c r="L42" t="s">
        <v>154</v>
      </c>
      <c r="M42" s="5" t="s">
        <v>250</v>
      </c>
      <c r="N42" s="5"/>
      <c r="O42" s="5"/>
      <c r="P42" s="5"/>
      <c r="Q42" s="5"/>
      <c r="R42" s="5"/>
      <c r="S42" s="5"/>
    </row>
    <row r="43" spans="1:31" x14ac:dyDescent="0.25">
      <c r="A43" s="3" t="s">
        <v>140</v>
      </c>
      <c r="B43">
        <f>((1.38*10^-16)*E32)/(B42)</f>
        <v>2.9101940915764812</v>
      </c>
      <c r="J43" s="24" t="s">
        <v>355</v>
      </c>
      <c r="K43" s="24" t="e">
        <f>K42/10000</f>
        <v>#REF!</v>
      </c>
      <c r="L43" s="24" t="s">
        <v>229</v>
      </c>
    </row>
    <row r="44" spans="1:31" x14ac:dyDescent="0.25">
      <c r="A44" s="3" t="s">
        <v>142</v>
      </c>
      <c r="B44">
        <f>(44.54*(B43^-4.909)+1.911*(B43^-1.575))^0.1</f>
        <v>0.94867642159597465</v>
      </c>
      <c r="D44" t="s">
        <v>358</v>
      </c>
      <c r="E44">
        <f>porosity!B13</f>
        <v>0.50876495752991502</v>
      </c>
      <c r="J44" s="16" t="s">
        <v>110</v>
      </c>
      <c r="K44" s="16">
        <v>2105.9087893990786</v>
      </c>
    </row>
    <row r="45" spans="1:31" x14ac:dyDescent="0.25">
      <c r="A45" s="3" t="s">
        <v>143</v>
      </c>
      <c r="B45">
        <f>(0.001858*(E32^1.5)*(E17^0.5))/(1*(B33^2)*B44)</f>
        <v>8.8420490618725152E-3</v>
      </c>
      <c r="C45" t="s">
        <v>144</v>
      </c>
      <c r="J45" s="24" t="s">
        <v>110</v>
      </c>
      <c r="K45" s="24">
        <v>6.6592217516110806E-4</v>
      </c>
      <c r="M45" s="7" t="s">
        <v>251</v>
      </c>
      <c r="N45" s="7">
        <f>(0.73*V37)+((0.5*P2*P1)/(1+(9.49*V37)/(P1*P2)))</f>
        <v>4.3091349956423609E-6</v>
      </c>
      <c r="O45" s="7" t="s">
        <v>145</v>
      </c>
      <c r="Q45" s="5" t="s">
        <v>254</v>
      </c>
      <c r="R45" s="5">
        <f>(0.73*Z37)+((0.5*P1*P2)/(1+(9.49*Z37)/(P1*P2)))</f>
        <v>5.1013631976316115E-6</v>
      </c>
      <c r="S45" s="5" t="s">
        <v>145</v>
      </c>
      <c r="U45" s="7" t="s">
        <v>255</v>
      </c>
      <c r="V45" s="7" t="e">
        <f>(0.73*#REF!)+((0.5*P1*P2)/(1+(9.49*#REF!)/(P1*P2)))</f>
        <v>#REF!</v>
      </c>
      <c r="W45" s="7" t="s">
        <v>145</v>
      </c>
      <c r="Y45" s="5" t="s">
        <v>256</v>
      </c>
      <c r="Z45" s="5" t="e">
        <f>(0.73*AD37)+((0.5*P1*P2)/(1+(9.49*AD37)/(P1*P2)))</f>
        <v>#REF!</v>
      </c>
      <c r="AA45" s="5" t="s">
        <v>145</v>
      </c>
    </row>
    <row r="46" spans="1:31" x14ac:dyDescent="0.25">
      <c r="A46" s="3" t="s">
        <v>143</v>
      </c>
      <c r="B46">
        <f>B45/(10^4)</f>
        <v>8.8420490618725151E-7</v>
      </c>
      <c r="C46" t="s">
        <v>145</v>
      </c>
      <c r="J46" t="s">
        <v>95</v>
      </c>
      <c r="K46">
        <f>8</f>
        <v>8</v>
      </c>
    </row>
    <row r="47" spans="1:31" x14ac:dyDescent="0.25">
      <c r="J47" t="s">
        <v>356</v>
      </c>
      <c r="K47" t="e">
        <f>(1/K43)+(1/K44)</f>
        <v>#REF!</v>
      </c>
    </row>
    <row r="48" spans="1:31" x14ac:dyDescent="0.25">
      <c r="J48" t="s">
        <v>357</v>
      </c>
      <c r="K48" t="e">
        <f>1/K47</f>
        <v>#REF!</v>
      </c>
    </row>
    <row r="49" spans="10:11" x14ac:dyDescent="0.25">
      <c r="J49" s="7" t="s">
        <v>65</v>
      </c>
      <c r="K49" s="7" t="e">
        <f>(K48*E44)/K46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Sheet2</vt:lpstr>
      <vt:lpstr>Some parameters</vt:lpstr>
      <vt:lpstr>Heat Rxn (2)</vt:lpstr>
      <vt:lpstr>Sheet3</vt:lpstr>
      <vt:lpstr>Heat Rxn</vt:lpstr>
      <vt:lpstr>porosity</vt:lpstr>
      <vt:lpstr>thermal cond. (2)</vt:lpstr>
      <vt:lpstr>thermal cond.</vt:lpstr>
      <vt:lpstr>effec. diff.for species (2)</vt:lpstr>
      <vt:lpstr>effec. diff.for species</vt:lpstr>
      <vt:lpstr>cp</vt:lpstr>
      <vt:lpstr>effec. diff. </vt:lpstr>
      <vt:lpstr>Mol avg_model p. (3)</vt:lpstr>
      <vt:lpstr>Mol avg (2)</vt:lpstr>
      <vt:lpstr>Mol avg</vt:lpstr>
      <vt:lpstr>viscosity (2)</vt:lpstr>
      <vt:lpstr>viscosity</vt:lpstr>
      <vt:lpstr>Sheet5</vt:lpstr>
      <vt:lpstr>h</vt:lpstr>
      <vt:lpstr>Re and Sc</vt:lpstr>
      <vt:lpstr>Pr-wz Crit.</vt:lpstr>
      <vt:lpstr>Re and Sc (2)</vt:lpstr>
      <vt:lpstr>Hf @298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2018-03-14T21:57:58Z</dcterms:created>
  <dcterms:modified xsi:type="dcterms:W3CDTF">2018-07-14T21:43:44Z</dcterms:modified>
</cp:coreProperties>
</file>