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96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R37" i="1" l="1"/>
  <c r="S37" i="1" s="1"/>
  <c r="R36" i="1"/>
  <c r="S36" i="1" s="1"/>
  <c r="R35" i="1"/>
  <c r="S35" i="1" s="1"/>
  <c r="R34" i="1"/>
  <c r="S34" i="1" s="1"/>
  <c r="S38" i="1"/>
  <c r="R33" i="1"/>
  <c r="S33" i="1" s="1"/>
  <c r="P32" i="1"/>
  <c r="P33" i="1"/>
  <c r="P34" i="1"/>
  <c r="P35" i="1"/>
  <c r="P36" i="1"/>
  <c r="P37" i="1"/>
  <c r="P38" i="1"/>
  <c r="P31" i="1"/>
  <c r="S25" i="1"/>
  <c r="N72" i="1" l="1"/>
  <c r="J72" i="1"/>
  <c r="J73" i="1" s="1"/>
  <c r="J74" i="1" s="1"/>
  <c r="J75" i="1" s="1"/>
  <c r="J76" i="1" s="1"/>
  <c r="J77" i="1" s="1"/>
  <c r="J78" i="1" s="1"/>
  <c r="J79" i="1" s="1"/>
  <c r="J80" i="1" s="1"/>
  <c r="J81" i="1" s="1"/>
  <c r="V81" i="1" s="1"/>
  <c r="V79" i="1" l="1"/>
  <c r="V75" i="1"/>
  <c r="V77" i="1"/>
  <c r="V73" i="1"/>
  <c r="V80" i="1"/>
  <c r="V76" i="1"/>
  <c r="V72" i="1"/>
  <c r="V78" i="1"/>
  <c r="V74" i="1"/>
  <c r="S29" i="1"/>
  <c r="S28" i="1"/>
  <c r="S23" i="1"/>
  <c r="S27" i="1"/>
  <c r="S26" i="1"/>
  <c r="S24" i="1"/>
  <c r="V2" i="1" l="1"/>
  <c r="U3" i="1"/>
  <c r="L2" i="1"/>
  <c r="L3" i="1" l="1"/>
  <c r="U4" i="1"/>
  <c r="V3" i="1"/>
  <c r="W3" i="1" s="1"/>
  <c r="U5" i="1" l="1"/>
  <c r="V4" i="1"/>
  <c r="W4" i="1" s="1"/>
  <c r="L4" i="1"/>
  <c r="L5" i="1" l="1"/>
  <c r="U6" i="1"/>
  <c r="V5" i="1"/>
  <c r="W5" i="1" l="1"/>
  <c r="Y5" i="1" s="1"/>
  <c r="U7" i="1"/>
  <c r="L6" i="1"/>
  <c r="V6" i="1"/>
  <c r="W6" i="1" l="1"/>
  <c r="U8" i="1"/>
  <c r="V7" i="1"/>
  <c r="L7" i="1"/>
  <c r="W7" i="1" l="1"/>
  <c r="L8" i="1"/>
  <c r="V8" i="1"/>
  <c r="U9" i="1"/>
  <c r="W8" i="1" l="1"/>
  <c r="U10" i="1"/>
  <c r="L9" i="1"/>
  <c r="V9" i="1"/>
  <c r="W9" i="1" l="1"/>
  <c r="Y9" i="1" s="1"/>
  <c r="V10" i="1"/>
  <c r="U11" i="1"/>
  <c r="L10" i="1"/>
  <c r="W10" i="1" l="1"/>
  <c r="U12" i="1"/>
  <c r="L11" i="1"/>
  <c r="V11" i="1"/>
  <c r="P23" i="1"/>
  <c r="W11" i="1" l="1"/>
  <c r="Q23" i="1"/>
  <c r="R23" i="1" s="1"/>
  <c r="L12" i="1"/>
  <c r="V12" i="1"/>
  <c r="U13" i="1"/>
  <c r="W12" i="1" l="1"/>
  <c r="U14" i="1"/>
  <c r="L13" i="1"/>
  <c r="V13" i="1"/>
  <c r="W13" i="1" l="1"/>
  <c r="U15" i="1"/>
  <c r="V14" i="1"/>
  <c r="L14" i="1"/>
  <c r="W14" i="1" l="1"/>
  <c r="Y14" i="1" s="1"/>
  <c r="U16" i="1"/>
  <c r="L15" i="1"/>
  <c r="V15" i="1"/>
  <c r="W15" i="1" l="1"/>
  <c r="U17" i="1"/>
  <c r="L16" i="1"/>
  <c r="V16" i="1"/>
  <c r="W16" i="1" l="1"/>
  <c r="U18" i="1"/>
  <c r="L17" i="1"/>
  <c r="V17" i="1"/>
  <c r="W17" i="1" l="1"/>
  <c r="U19" i="1"/>
  <c r="V18" i="1"/>
  <c r="W18" i="1" s="1"/>
  <c r="L18" i="1"/>
  <c r="U20" i="1" l="1"/>
  <c r="L19" i="1"/>
  <c r="V19" i="1"/>
  <c r="W19" i="1" s="1"/>
  <c r="Y19" i="1" l="1"/>
  <c r="V20" i="1"/>
  <c r="W20" i="1" s="1"/>
  <c r="U21" i="1"/>
  <c r="P24" i="1" s="1"/>
  <c r="O24" i="1" l="1"/>
  <c r="U22" i="1"/>
  <c r="V21" i="1"/>
  <c r="Q24" i="1" s="1"/>
  <c r="R24" i="1" s="1"/>
  <c r="W21" i="1" l="1"/>
  <c r="U23" i="1"/>
  <c r="L22" i="1"/>
  <c r="V22" i="1"/>
  <c r="W22" i="1" l="1"/>
  <c r="U24" i="1"/>
  <c r="L23" i="1"/>
  <c r="V23" i="1"/>
  <c r="W23" i="1" l="1"/>
  <c r="U25" i="1"/>
  <c r="V24" i="1"/>
  <c r="L24" i="1"/>
  <c r="W24" i="1" l="1"/>
  <c r="U26" i="1"/>
  <c r="L25" i="1"/>
  <c r="V25" i="1"/>
  <c r="W25" i="1" l="1"/>
  <c r="Y25" i="1" s="1"/>
  <c r="U27" i="1"/>
  <c r="V26" i="1"/>
  <c r="L26" i="1"/>
  <c r="W26" i="1" l="1"/>
  <c r="U28" i="1"/>
  <c r="V27" i="1"/>
  <c r="L27" i="1"/>
  <c r="W27" i="1" l="1"/>
  <c r="U29" i="1"/>
  <c r="L28" i="1"/>
  <c r="V28" i="1"/>
  <c r="W28" i="1" l="1"/>
  <c r="U30" i="1"/>
  <c r="V29" i="1"/>
  <c r="L29" i="1"/>
  <c r="W29" i="1" l="1"/>
  <c r="U31" i="1"/>
  <c r="O25" i="1" s="1"/>
  <c r="V30" i="1"/>
  <c r="L30" i="1"/>
  <c r="P25" i="1" l="1"/>
  <c r="W30" i="1"/>
  <c r="Y30" i="1" s="1"/>
  <c r="U32" i="1"/>
  <c r="V31" i="1"/>
  <c r="L31" i="1"/>
  <c r="W31" i="1" l="1"/>
  <c r="Q25" i="1"/>
  <c r="R25" i="1" s="1"/>
  <c r="U33" i="1"/>
  <c r="V32" i="1"/>
  <c r="L32" i="1"/>
  <c r="W32" i="1" l="1"/>
  <c r="U34" i="1"/>
  <c r="V33" i="1"/>
  <c r="L33" i="1"/>
  <c r="W33" i="1" l="1"/>
  <c r="U35" i="1"/>
  <c r="L34" i="1"/>
  <c r="V34" i="1"/>
  <c r="W34" i="1" l="1"/>
  <c r="U36" i="1"/>
  <c r="L35" i="1"/>
  <c r="V35" i="1"/>
  <c r="W35" i="1" l="1"/>
  <c r="Y35" i="1" s="1"/>
  <c r="U37" i="1"/>
  <c r="V36" i="1"/>
  <c r="L36" i="1"/>
  <c r="W36" i="1" l="1"/>
  <c r="U38" i="1"/>
  <c r="L37" i="1"/>
  <c r="V37" i="1"/>
  <c r="W37" i="1" l="1"/>
  <c r="U39" i="1"/>
  <c r="L38" i="1"/>
  <c r="V38" i="1"/>
  <c r="W38" i="1" l="1"/>
  <c r="U40" i="1"/>
  <c r="L39" i="1"/>
  <c r="V39" i="1"/>
  <c r="W39" i="1" l="1"/>
  <c r="U41" i="1"/>
  <c r="O26" i="1" s="1"/>
  <c r="L40" i="1"/>
  <c r="V40" i="1"/>
  <c r="W40" i="1" l="1"/>
  <c r="Y40" i="1" s="1"/>
  <c r="P26" i="1"/>
  <c r="U42" i="1"/>
  <c r="L41" i="1"/>
  <c r="V41" i="1"/>
  <c r="W41" i="1" l="1"/>
  <c r="Q26" i="1"/>
  <c r="R26" i="1" s="1"/>
  <c r="U43" i="1"/>
  <c r="V42" i="1"/>
  <c r="L42" i="1"/>
  <c r="W42" i="1" l="1"/>
  <c r="U44" i="1"/>
  <c r="L43" i="1"/>
  <c r="V43" i="1"/>
  <c r="W43" i="1" l="1"/>
  <c r="U45" i="1"/>
  <c r="L44" i="1"/>
  <c r="V44" i="1"/>
  <c r="W44" i="1" l="1"/>
  <c r="Y44" i="1" s="1"/>
  <c r="U46" i="1"/>
  <c r="L45" i="1"/>
  <c r="V45" i="1"/>
  <c r="W45" i="1" l="1"/>
  <c r="U47" i="1"/>
  <c r="L46" i="1"/>
  <c r="V46" i="1"/>
  <c r="W46" i="1" l="1"/>
  <c r="U48" i="1"/>
  <c r="L47" i="1"/>
  <c r="V47" i="1"/>
  <c r="W47" i="1" l="1"/>
  <c r="U49" i="1"/>
  <c r="V48" i="1"/>
  <c r="L48" i="1"/>
  <c r="W48" i="1" l="1"/>
  <c r="U50" i="1"/>
  <c r="L49" i="1"/>
  <c r="V49" i="1"/>
  <c r="W49" i="1" l="1"/>
  <c r="Y49" i="1" s="1"/>
  <c r="U51" i="1"/>
  <c r="P27" i="1" s="1"/>
  <c r="L50" i="1"/>
  <c r="V50" i="1"/>
  <c r="W50" i="1" l="1"/>
  <c r="O27" i="1"/>
  <c r="U52" i="1"/>
  <c r="L51" i="1"/>
  <c r="V51" i="1"/>
  <c r="W51" i="1" l="1"/>
  <c r="Q27" i="1"/>
  <c r="R27" i="1" s="1"/>
  <c r="U53" i="1"/>
  <c r="V52" i="1"/>
  <c r="L52" i="1"/>
  <c r="W52" i="1" l="1"/>
  <c r="U54" i="1"/>
  <c r="V53" i="1"/>
  <c r="L53" i="1"/>
  <c r="W53" i="1" l="1"/>
  <c r="U55" i="1"/>
  <c r="L54" i="1"/>
  <c r="V54" i="1"/>
  <c r="W54" i="1" l="1"/>
  <c r="Y54" i="1" s="1"/>
  <c r="U56" i="1"/>
  <c r="L55" i="1"/>
  <c r="V55" i="1"/>
  <c r="W55" i="1" l="1"/>
  <c r="U57" i="1"/>
  <c r="L56" i="1"/>
  <c r="V56" i="1"/>
  <c r="W56" i="1" l="1"/>
  <c r="U58" i="1"/>
  <c r="L57" i="1"/>
  <c r="V57" i="1"/>
  <c r="W57" i="1" l="1"/>
  <c r="U59" i="1"/>
  <c r="L58" i="1"/>
  <c r="V58" i="1"/>
  <c r="W58" i="1" l="1"/>
  <c r="Y58" i="1" s="1"/>
  <c r="U60" i="1"/>
  <c r="L59" i="1"/>
  <c r="V59" i="1"/>
  <c r="W59" i="1" l="1"/>
  <c r="U61" i="1"/>
  <c r="P28" i="1" s="1"/>
  <c r="L60" i="1"/>
  <c r="V60" i="1"/>
  <c r="W60" i="1" l="1"/>
  <c r="O28" i="1"/>
  <c r="U62" i="1"/>
  <c r="L61" i="1"/>
  <c r="V61" i="1"/>
  <c r="W61" i="1" l="1"/>
  <c r="Q28" i="1"/>
  <c r="R28" i="1" s="1"/>
  <c r="U63" i="1"/>
  <c r="V62" i="1"/>
  <c r="L62" i="1"/>
  <c r="W62" i="1" l="1"/>
  <c r="Y62" i="1" s="1"/>
  <c r="U64" i="1"/>
  <c r="L63" i="1"/>
  <c r="V63" i="1"/>
  <c r="W63" i="1" l="1"/>
  <c r="U65" i="1"/>
  <c r="L64" i="1"/>
  <c r="V64" i="1"/>
  <c r="W64" i="1" l="1"/>
  <c r="U66" i="1"/>
  <c r="L65" i="1"/>
  <c r="V65" i="1"/>
  <c r="W65" i="1" l="1"/>
  <c r="U67" i="1"/>
  <c r="L66" i="1"/>
  <c r="V66" i="1"/>
  <c r="W66" i="1" l="1"/>
  <c r="Y66" i="1" s="1"/>
  <c r="U68" i="1"/>
  <c r="L67" i="1"/>
  <c r="V67" i="1"/>
  <c r="W67" i="1" l="1"/>
  <c r="U69" i="1"/>
  <c r="L68" i="1"/>
  <c r="V68" i="1"/>
  <c r="W68" i="1" l="1"/>
  <c r="U70" i="1"/>
  <c r="L69" i="1"/>
  <c r="V69" i="1"/>
  <c r="U71" i="1" l="1"/>
  <c r="L71" i="1" s="1"/>
  <c r="V70" i="1"/>
  <c r="W69" i="1"/>
  <c r="L70" i="1"/>
  <c r="W70" i="1" l="1"/>
  <c r="Y70" i="1" s="1"/>
  <c r="O29" i="1"/>
  <c r="P29" i="1"/>
  <c r="V71" i="1"/>
  <c r="W71" i="1" l="1"/>
  <c r="W72" i="1" s="1"/>
  <c r="Q29" i="1"/>
  <c r="R29" i="1" s="1"/>
  <c r="O72" i="1" l="1"/>
  <c r="O73" i="1"/>
  <c r="W73" i="1"/>
  <c r="W74" i="1" l="1"/>
  <c r="O74" i="1"/>
  <c r="W75" i="1" l="1"/>
  <c r="O75" i="1"/>
  <c r="W76" i="1" l="1"/>
  <c r="O76" i="1"/>
  <c r="W77" i="1" l="1"/>
  <c r="O77" i="1"/>
  <c r="W78" i="1" l="1"/>
  <c r="O78" i="1"/>
  <c r="W79" i="1" l="1"/>
  <c r="O79" i="1"/>
  <c r="W80" i="1" l="1"/>
  <c r="O80" i="1"/>
  <c r="W81" i="1" l="1"/>
  <c r="O81" i="1"/>
</calcChain>
</file>

<file path=xl/sharedStrings.xml><?xml version="1.0" encoding="utf-8"?>
<sst xmlns="http://schemas.openxmlformats.org/spreadsheetml/2006/main" count="200" uniqueCount="148">
  <si>
    <t>HP</t>
    <phoneticPr fontId="1" type="noConversion"/>
  </si>
  <si>
    <t>가격</t>
    <phoneticPr fontId="1" type="noConversion"/>
  </si>
  <si>
    <t>돈</t>
    <phoneticPr fontId="1" type="noConversion"/>
  </si>
  <si>
    <t>동</t>
    <phoneticPr fontId="1" type="noConversion"/>
  </si>
  <si>
    <t>은</t>
    <phoneticPr fontId="1" type="noConversion"/>
  </si>
  <si>
    <t>금</t>
    <phoneticPr fontId="1" type="noConversion"/>
  </si>
  <si>
    <t>자수정</t>
    <phoneticPr fontId="1" type="noConversion"/>
  </si>
  <si>
    <t>토파즈</t>
    <phoneticPr fontId="1" type="noConversion"/>
  </si>
  <si>
    <t>사파이어</t>
    <phoneticPr fontId="1" type="noConversion"/>
  </si>
  <si>
    <t>루비</t>
    <phoneticPr fontId="1" type="noConversion"/>
  </si>
  <si>
    <t>다이아몬드</t>
    <phoneticPr fontId="1" type="noConversion"/>
  </si>
  <si>
    <t>데미지</t>
    <phoneticPr fontId="1" type="noConversion"/>
  </si>
  <si>
    <t>흙돌멩이2</t>
    <phoneticPr fontId="1" type="noConversion"/>
  </si>
  <si>
    <t>흙돌멩이3</t>
  </si>
  <si>
    <t>흙돌멩이4</t>
  </si>
  <si>
    <t>흙돌멩이5</t>
  </si>
  <si>
    <t>흙돌멩이6</t>
  </si>
  <si>
    <t>흙돌멩이7</t>
  </si>
  <si>
    <t>흙돌멩이8</t>
  </si>
  <si>
    <t>은 흙돌멩이1</t>
    <phoneticPr fontId="1" type="noConversion"/>
  </si>
  <si>
    <t>은 흙돌멩이2</t>
  </si>
  <si>
    <t>은 흙돌멩이3</t>
  </si>
  <si>
    <t>은 흙돌멩이4</t>
  </si>
  <si>
    <t>은 흙돌멩이5</t>
  </si>
  <si>
    <t>은 흙돌멩이6</t>
  </si>
  <si>
    <t>은 흙돌멩이7</t>
  </si>
  <si>
    <t>은 흙돌멩이8</t>
  </si>
  <si>
    <t>은 흙돌멩이9</t>
  </si>
  <si>
    <t>은 흙돌멩이10</t>
  </si>
  <si>
    <t>금 흙돌멩이1</t>
    <phoneticPr fontId="1" type="noConversion"/>
  </si>
  <si>
    <t>금 흙돌멩이2</t>
  </si>
  <si>
    <t>금 흙돌멩이3</t>
  </si>
  <si>
    <t>금 흙돌멩이4</t>
  </si>
  <si>
    <t>금 흙돌멩이5</t>
  </si>
  <si>
    <t>금 흙돌멩이6</t>
  </si>
  <si>
    <t>금 흙돌멩이7</t>
  </si>
  <si>
    <t>금 흙돌멩이8</t>
  </si>
  <si>
    <t>금 흙돌멩이9</t>
  </si>
  <si>
    <t>금 흙돌멩이10</t>
  </si>
  <si>
    <t>자수정 돌멩이1</t>
    <phoneticPr fontId="1" type="noConversion"/>
  </si>
  <si>
    <t>자수정 돌멩이2</t>
  </si>
  <si>
    <t>자수정 돌멩이3</t>
  </si>
  <si>
    <t>자수정 돌멩이4</t>
  </si>
  <si>
    <t>자수정 돌멩이5</t>
  </si>
  <si>
    <t>자수정 돌멩이6</t>
  </si>
  <si>
    <t>자수정 돌멩이7</t>
  </si>
  <si>
    <t>자수정 돌멩이8</t>
  </si>
  <si>
    <t>자수정 돌멩이9</t>
  </si>
  <si>
    <t>자수정 돌멩이10</t>
  </si>
  <si>
    <t>토파즈 돌멩이1</t>
    <phoneticPr fontId="1" type="noConversion"/>
  </si>
  <si>
    <t>토파즈 돌멩이2</t>
  </si>
  <si>
    <t>토파즈 돌멩이3</t>
  </si>
  <si>
    <t>토파즈 돌멩이4</t>
  </si>
  <si>
    <t>토파즈 돌멩이5</t>
  </si>
  <si>
    <t>토파즈 돌멩이6</t>
  </si>
  <si>
    <t>토파즈 돌멩이7</t>
  </si>
  <si>
    <t>토파즈 돌멩이8</t>
  </si>
  <si>
    <t>토파즈 돌멩이9</t>
  </si>
  <si>
    <t>토파즈 돌멩이10</t>
  </si>
  <si>
    <t>사피이어 돌멩이1</t>
    <phoneticPr fontId="1" type="noConversion"/>
  </si>
  <si>
    <t>사피이어 돌멩이2</t>
  </si>
  <si>
    <t>사피이어 돌멩이3</t>
  </si>
  <si>
    <t>사피이어 돌멩이4</t>
  </si>
  <si>
    <t>사피이어 돌멩이5</t>
  </si>
  <si>
    <t>사피이어 돌멩이6</t>
  </si>
  <si>
    <t>사피이어 돌멩이7</t>
  </si>
  <si>
    <t>사피이어 돌멩이8</t>
  </si>
  <si>
    <t>사피이어 돌멩이9</t>
  </si>
  <si>
    <t>사피이어 돌멩이10</t>
  </si>
  <si>
    <t>루비 돌멩이1</t>
    <phoneticPr fontId="1" type="noConversion"/>
  </si>
  <si>
    <t>루비 돌멩이2</t>
  </si>
  <si>
    <t>루비 돌멩이3</t>
  </si>
  <si>
    <t>루비 돌멩이4</t>
  </si>
  <si>
    <t>루비 돌멩이5</t>
  </si>
  <si>
    <t>루비 돌멩이6</t>
  </si>
  <si>
    <t>루비 돌멩이7</t>
  </si>
  <si>
    <t>루비 돌멩이8</t>
  </si>
  <si>
    <t>루비 돌멩이9</t>
  </si>
  <si>
    <t>루비 돌멩이10</t>
  </si>
  <si>
    <t>1~3</t>
    <phoneticPr fontId="1" type="noConversion"/>
  </si>
  <si>
    <t>1~5</t>
    <phoneticPr fontId="1" type="noConversion"/>
  </si>
  <si>
    <t>흙돌멩이9</t>
  </si>
  <si>
    <t>1~4</t>
    <phoneticPr fontId="1" type="noConversion"/>
  </si>
  <si>
    <t>1~2</t>
    <phoneticPr fontId="1" type="noConversion"/>
  </si>
  <si>
    <t>동전개수</t>
    <phoneticPr fontId="1" type="noConversion"/>
  </si>
  <si>
    <t>마이너스</t>
    <phoneticPr fontId="1" type="noConversion"/>
  </si>
  <si>
    <t>15B</t>
    <phoneticPr fontId="1" type="noConversion"/>
  </si>
  <si>
    <t>평균 돈</t>
    <phoneticPr fontId="1" type="noConversion"/>
  </si>
  <si>
    <t>모이는 돈</t>
    <phoneticPr fontId="1" type="noConversion"/>
  </si>
  <si>
    <t>타격횟수</t>
    <phoneticPr fontId="1" type="noConversion"/>
  </si>
  <si>
    <t>무기이름</t>
    <phoneticPr fontId="1" type="noConversion"/>
  </si>
  <si>
    <t>20M</t>
    <phoneticPr fontId="1" type="noConversion"/>
  </si>
  <si>
    <t>동돌멩이10</t>
    <phoneticPr fontId="1" type="noConversion"/>
  </si>
  <si>
    <t>흙돌멩이1</t>
    <phoneticPr fontId="1" type="noConversion"/>
  </si>
  <si>
    <t>10K</t>
    <phoneticPr fontId="1" type="noConversion"/>
  </si>
  <si>
    <t>150K</t>
    <phoneticPr fontId="1" type="noConversion"/>
  </si>
  <si>
    <t>1M</t>
    <phoneticPr fontId="1" type="noConversion"/>
  </si>
  <si>
    <t>70M</t>
    <phoneticPr fontId="1" type="noConversion"/>
  </si>
  <si>
    <t>150M</t>
    <phoneticPr fontId="1" type="noConversion"/>
  </si>
  <si>
    <t>350M</t>
    <phoneticPr fontId="1" type="noConversion"/>
  </si>
  <si>
    <t>600M</t>
    <phoneticPr fontId="1" type="noConversion"/>
  </si>
  <si>
    <t>1B</t>
    <phoneticPr fontId="1" type="noConversion"/>
  </si>
  <si>
    <t>2B</t>
    <phoneticPr fontId="1" type="noConversion"/>
  </si>
  <si>
    <t>3.5B</t>
    <phoneticPr fontId="1" type="noConversion"/>
  </si>
  <si>
    <t>6B</t>
    <phoneticPr fontId="1" type="noConversion"/>
  </si>
  <si>
    <t>10B</t>
    <phoneticPr fontId="1" type="noConversion"/>
  </si>
  <si>
    <t>전단계 보석</t>
    <phoneticPr fontId="1" type="noConversion"/>
  </si>
  <si>
    <t>현단계 보석</t>
    <phoneticPr fontId="1" type="noConversion"/>
  </si>
  <si>
    <t>평균 드랍갯수</t>
    <phoneticPr fontId="1" type="noConversion"/>
  </si>
  <si>
    <t>현 단계 평균 돈</t>
    <phoneticPr fontId="1" type="noConversion"/>
  </si>
  <si>
    <t>평균 돈 / 보석드랍</t>
    <phoneticPr fontId="1" type="noConversion"/>
  </si>
  <si>
    <t>보석가격*개수</t>
    <phoneticPr fontId="1" type="noConversion"/>
  </si>
  <si>
    <t>나뭇가지</t>
    <phoneticPr fontId="1" type="noConversion"/>
  </si>
  <si>
    <t>돌</t>
    <phoneticPr fontId="1" type="noConversion"/>
  </si>
  <si>
    <t>송곳</t>
    <phoneticPr fontId="1" type="noConversion"/>
  </si>
  <si>
    <t>망치</t>
    <phoneticPr fontId="1" type="noConversion"/>
  </si>
  <si>
    <t>칼</t>
    <phoneticPr fontId="1" type="noConversion"/>
  </si>
  <si>
    <t>곡괭이</t>
    <phoneticPr fontId="1" type="noConversion"/>
  </si>
  <si>
    <t>호미</t>
    <phoneticPr fontId="1" type="noConversion"/>
  </si>
  <si>
    <t>빠루</t>
    <phoneticPr fontId="1" type="noConversion"/>
  </si>
  <si>
    <t>…..</t>
    <phoneticPr fontId="1" type="noConversion"/>
  </si>
  <si>
    <t>N 돌멩이1</t>
    <phoneticPr fontId="1" type="noConversion"/>
  </si>
  <si>
    <t>N 돌멩이2</t>
  </si>
  <si>
    <t>N 돌멩이3</t>
  </si>
  <si>
    <t>N 돌멩이4</t>
  </si>
  <si>
    <t>N 돌멩이5</t>
  </si>
  <si>
    <t>N 돌멩이6</t>
  </si>
  <si>
    <t>N 돌멩이7</t>
  </si>
  <si>
    <t>N 돌멩이8</t>
  </si>
  <si>
    <t>N 돌멩이9</t>
  </si>
  <si>
    <t>N 돌멩이10</t>
  </si>
  <si>
    <t>삽</t>
    <phoneticPr fontId="1" type="noConversion"/>
  </si>
  <si>
    <t>6M</t>
    <phoneticPr fontId="1" type="noConversion"/>
  </si>
  <si>
    <t>드릴</t>
    <phoneticPr fontId="1" type="noConversion"/>
  </si>
  <si>
    <t>굴착기</t>
    <phoneticPr fontId="1" type="noConversion"/>
  </si>
  <si>
    <t>RPG-7</t>
    <phoneticPr fontId="1" type="noConversion"/>
  </si>
  <si>
    <t>다이너마이트</t>
    <phoneticPr fontId="1" type="noConversion"/>
  </si>
  <si>
    <t>레이저</t>
    <phoneticPr fontId="1" type="noConversion"/>
  </si>
  <si>
    <t>화염방사기</t>
    <phoneticPr fontId="1" type="noConversion"/>
  </si>
  <si>
    <t>플라즈마절단기</t>
    <phoneticPr fontId="1" type="noConversion"/>
  </si>
  <si>
    <t>흙</t>
    <phoneticPr fontId="1" type="noConversion"/>
  </si>
  <si>
    <t>은</t>
    <phoneticPr fontId="1" type="noConversion"/>
  </si>
  <si>
    <t>금</t>
    <phoneticPr fontId="1" type="noConversion"/>
  </si>
  <si>
    <t>자수정</t>
    <phoneticPr fontId="1" type="noConversion"/>
  </si>
  <si>
    <t>토파즈</t>
    <phoneticPr fontId="1" type="noConversion"/>
  </si>
  <si>
    <t>사파이어</t>
    <phoneticPr fontId="1" type="noConversion"/>
  </si>
  <si>
    <t>루비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</si>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</sst>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9" fontId="0" fillId="0" borderId="0" xfId="0" applyNumberFormat="1">
      <alignment vertical="center"/>
    </xf>
    <xf numFmtId="0" fontId="2" fillId="0" borderId="0" xfId="0" applyFont="1" applyAlignment="1">
      <alignment horizontal="right" vertical="center"/>
    </xf>
    <xf numFmtId="0" fontId="0" fillId="0" borderId="1" xfId="0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9" fontId="5" fillId="2" borderId="0" xfId="0" applyNumberFormat="1" applyFont="1" applyFill="1">
      <alignment vertical="center"/>
    </xf>
    <xf numFmtId="9" fontId="0" fillId="3" borderId="0" xfId="0" applyNumberFormat="1" applyFill="1">
      <alignment vertical="center"/>
    </xf>
    <xf numFmtId="0" fontId="2" fillId="0" borderId="3" xfId="0" applyFont="1" applyBorder="1" applyAlignment="1">
      <alignment horizontal="right" vertical="center"/>
    </xf>
    <xf numFmtId="9" fontId="0" fillId="3" borderId="3" xfId="0" applyNumberFormat="1" applyFill="1" applyBorder="1">
      <alignment vertical="center"/>
    </xf>
    <xf numFmtId="9" fontId="0" fillId="0" borderId="3" xfId="0" applyNumberFormat="1" applyBorder="1">
      <alignment vertical="center"/>
    </xf>
    <xf numFmtId="9" fontId="5" fillId="2" borderId="3" xfId="0" applyNumberFormat="1" applyFont="1" applyFill="1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2" xfId="0" applyFill="1" applyBorder="1">
      <alignment vertical="center"/>
    </xf>
    <xf numFmtId="9" fontId="0" fillId="3" borderId="0" xfId="0" applyNumberFormat="1" applyFill="1" applyBorder="1">
      <alignment vertical="center"/>
    </xf>
    <xf numFmtId="9" fontId="0" fillId="0" borderId="0" xfId="0" applyNumberFormat="1" applyBorder="1">
      <alignment vertical="center"/>
    </xf>
    <xf numFmtId="9" fontId="5" fillId="2" borderId="0" xfId="0" applyNumberFormat="1" applyFont="1" applyFill="1" applyBorder="1">
      <alignment vertical="center"/>
    </xf>
    <xf numFmtId="9" fontId="6" fillId="3" borderId="3" xfId="0" applyNumberFormat="1" applyFont="1" applyFill="1" applyBorder="1">
      <alignment vertical="center"/>
    </xf>
    <xf numFmtId="9" fontId="6" fillId="0" borderId="3" xfId="0" applyNumberFormat="1" applyFont="1" applyBorder="1">
      <alignment vertical="center"/>
    </xf>
    <xf numFmtId="0" fontId="6" fillId="0" borderId="3" xfId="0" applyFont="1" applyBorder="1" applyAlignment="1">
      <alignment horizontal="right"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4" xfId="0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3" fillId="0" borderId="0" xfId="0" applyFont="1" applyFill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abSelected="1" topLeftCell="P1" zoomScaleNormal="100" workbookViewId="0">
      <selection activeCell="X17" sqref="X17"/>
    </sheetView>
  </sheetViews>
  <sheetFormatPr defaultRowHeight="16.5" x14ac:dyDescent="0.3"/>
  <cols>
    <col min="1" max="1" width="20.375" style="2" customWidth="1"/>
    <col min="6" max="6" width="9" customWidth="1"/>
    <col min="9" max="9" width="5" style="34" customWidth="1"/>
    <col min="10" max="11" width="9" style="7"/>
    <col min="12" max="12" width="19.5" customWidth="1"/>
    <col min="13" max="13" width="14.125" style="37" customWidth="1"/>
    <col min="14" max="14" width="16.5" style="37" customWidth="1"/>
    <col min="15" max="15" width="22.875" style="7" customWidth="1"/>
    <col min="16" max="16" width="13.875" style="29" customWidth="1"/>
    <col min="17" max="17" width="14.25" customWidth="1"/>
    <col min="18" max="18" width="13.125" customWidth="1"/>
    <col min="19" max="19" width="15.25" customWidth="1"/>
    <col min="20" max="20" width="3.625" style="28" customWidth="1"/>
    <col min="21" max="21" width="9" style="7"/>
    <col min="22" max="22" width="12.625" customWidth="1"/>
    <col min="23" max="23" width="15" customWidth="1"/>
    <col min="24" max="24" width="12.75" bestFit="1" customWidth="1"/>
    <col min="25" max="25" width="13.625" bestFit="1" customWidth="1"/>
    <col min="26" max="26" width="14.625" customWidth="1"/>
  </cols>
  <sheetData>
    <row r="1" spans="1:25" s="3" customFormat="1" x14ac:dyDescent="0.3">
      <c r="A1" s="2"/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12" t="s">
        <v>10</v>
      </c>
      <c r="J1" s="4" t="s">
        <v>2</v>
      </c>
      <c r="K1" s="3" t="s">
        <v>84</v>
      </c>
      <c r="L1" s="5" t="s">
        <v>0</v>
      </c>
      <c r="M1" s="6"/>
      <c r="N1" s="6"/>
      <c r="O1" s="10" t="s">
        <v>11</v>
      </c>
      <c r="P1" s="10" t="s">
        <v>1</v>
      </c>
      <c r="Q1" s="6" t="s">
        <v>90</v>
      </c>
      <c r="R1" s="6"/>
      <c r="S1" s="6"/>
      <c r="T1" s="32"/>
      <c r="U1" s="3" t="s">
        <v>89</v>
      </c>
      <c r="V1" s="3" t="s">
        <v>87</v>
      </c>
      <c r="W1" s="3" t="s">
        <v>88</v>
      </c>
      <c r="X1" s="3" t="s">
        <v>85</v>
      </c>
    </row>
    <row r="2" spans="1:25" x14ac:dyDescent="0.3">
      <c r="A2" s="2" t="s">
        <v>93</v>
      </c>
      <c r="B2" s="14">
        <v>0.1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13">
        <v>0</v>
      </c>
      <c r="J2" s="7">
        <v>100</v>
      </c>
      <c r="K2" s="7">
        <v>1</v>
      </c>
      <c r="L2" s="1">
        <f>1*U2</f>
        <v>10</v>
      </c>
      <c r="O2" s="7">
        <v>1</v>
      </c>
      <c r="P2" s="29">
        <v>0</v>
      </c>
      <c r="Q2" s="6" t="s">
        <v>112</v>
      </c>
      <c r="R2" s="6"/>
      <c r="S2" s="6"/>
      <c r="T2" s="33"/>
      <c r="U2" s="7">
        <v>10</v>
      </c>
      <c r="V2">
        <f>((J2 * U2 + (J2 * 1 * U2))/2)</f>
        <v>1000</v>
      </c>
      <c r="W2">
        <v>1000</v>
      </c>
    </row>
    <row r="3" spans="1:25" x14ac:dyDescent="0.3">
      <c r="A3" s="2" t="s">
        <v>12</v>
      </c>
      <c r="B3" s="14">
        <v>0.1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13">
        <v>0</v>
      </c>
      <c r="J3" s="7">
        <v>100</v>
      </c>
      <c r="K3" s="7">
        <v>1</v>
      </c>
      <c r="L3" s="1">
        <f t="shared" ref="L3:L5" si="0">1*U3</f>
        <v>15</v>
      </c>
      <c r="O3" s="7">
        <v>10</v>
      </c>
      <c r="P3" s="29" t="s">
        <v>94</v>
      </c>
      <c r="Q3" s="6" t="s">
        <v>113</v>
      </c>
      <c r="R3" s="6"/>
      <c r="S3" s="6"/>
      <c r="T3" s="33"/>
      <c r="U3" s="7">
        <f>U2+5</f>
        <v>15</v>
      </c>
      <c r="V3">
        <f>((J3 * U3 + (J3 * 1 * U3))/2)</f>
        <v>1500</v>
      </c>
      <c r="W3">
        <f>V3+W2-X2</f>
        <v>2500</v>
      </c>
    </row>
    <row r="4" spans="1:25" x14ac:dyDescent="0.3">
      <c r="A4" s="2" t="s">
        <v>13</v>
      </c>
      <c r="B4" s="14">
        <v>0.2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13">
        <v>0</v>
      </c>
      <c r="J4" s="7">
        <v>200</v>
      </c>
      <c r="K4" s="7" t="s">
        <v>83</v>
      </c>
      <c r="L4" s="1">
        <f t="shared" si="0"/>
        <v>20</v>
      </c>
      <c r="O4" s="7">
        <v>150</v>
      </c>
      <c r="P4" s="29" t="s">
        <v>95</v>
      </c>
      <c r="Q4" s="6" t="s">
        <v>114</v>
      </c>
      <c r="R4" s="6"/>
      <c r="S4" s="6"/>
      <c r="T4" s="33"/>
      <c r="U4" s="7">
        <f t="shared" ref="U4:U5" si="1">U3+5</f>
        <v>20</v>
      </c>
      <c r="V4">
        <f>((J4 * U4 + (J4 * 2 * U4))/2)</f>
        <v>6000</v>
      </c>
      <c r="W4">
        <f t="shared" ref="W4:W25" si="2">V4+W3-X3</f>
        <v>8500</v>
      </c>
    </row>
    <row r="5" spans="1:25" x14ac:dyDescent="0.3">
      <c r="A5" s="2" t="s">
        <v>14</v>
      </c>
      <c r="B5" s="14">
        <v>0.2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13">
        <v>0</v>
      </c>
      <c r="J5" s="8">
        <v>200</v>
      </c>
      <c r="K5" s="7" t="s">
        <v>83</v>
      </c>
      <c r="L5" s="27">
        <f t="shared" si="0"/>
        <v>25</v>
      </c>
      <c r="N5" s="38">
        <v>10</v>
      </c>
      <c r="O5" s="7">
        <v>500</v>
      </c>
      <c r="P5" s="29" t="s">
        <v>96</v>
      </c>
      <c r="Q5" s="6" t="s">
        <v>116</v>
      </c>
      <c r="S5" s="6"/>
      <c r="T5" s="33"/>
      <c r="U5" s="7">
        <f t="shared" si="1"/>
        <v>25</v>
      </c>
      <c r="V5">
        <f>((J5 * U5 + (J5 * 2 * U5))/2)</f>
        <v>7500</v>
      </c>
      <c r="W5">
        <f t="shared" si="2"/>
        <v>16000</v>
      </c>
      <c r="X5">
        <v>10000</v>
      </c>
      <c r="Y5">
        <f>W5-X5</f>
        <v>6000</v>
      </c>
    </row>
    <row r="6" spans="1:25" x14ac:dyDescent="0.3">
      <c r="A6" s="2" t="s">
        <v>15</v>
      </c>
      <c r="B6" s="14">
        <v>0.3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13">
        <v>0</v>
      </c>
      <c r="J6" s="8">
        <v>300</v>
      </c>
      <c r="K6" s="7" t="s">
        <v>79</v>
      </c>
      <c r="L6" s="1">
        <f>10*U6</f>
        <v>350</v>
      </c>
      <c r="O6" s="7">
        <v>1200</v>
      </c>
      <c r="P6" s="29" t="s">
        <v>132</v>
      </c>
      <c r="Q6" s="6" t="s">
        <v>118</v>
      </c>
      <c r="R6" s="6"/>
      <c r="S6" s="6"/>
      <c r="T6" s="33"/>
      <c r="U6" s="7">
        <f>U5+10</f>
        <v>35</v>
      </c>
      <c r="V6">
        <f>((J6 * U6 + (J6 * 3 * U6))/2)</f>
        <v>21000</v>
      </c>
      <c r="W6">
        <f t="shared" si="2"/>
        <v>27000</v>
      </c>
    </row>
    <row r="7" spans="1:25" x14ac:dyDescent="0.3">
      <c r="A7" s="2" t="s">
        <v>16</v>
      </c>
      <c r="B7" s="14">
        <v>0.3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13">
        <v>0</v>
      </c>
      <c r="J7" s="8">
        <v>300</v>
      </c>
      <c r="K7" s="7" t="s">
        <v>79</v>
      </c>
      <c r="L7" s="1">
        <f t="shared" ref="L7:L9" si="3">10*U7</f>
        <v>450</v>
      </c>
      <c r="O7" s="7">
        <v>3000</v>
      </c>
      <c r="P7" s="29" t="s">
        <v>91</v>
      </c>
      <c r="Q7" s="40" t="s">
        <v>131</v>
      </c>
      <c r="R7" s="6"/>
      <c r="S7" s="6"/>
      <c r="T7" s="33"/>
      <c r="U7" s="7">
        <f t="shared" ref="U7:U9" si="4">U6+10</f>
        <v>45</v>
      </c>
      <c r="V7">
        <f>((J7 * U7 + (J7 * 3 * U7))/2)</f>
        <v>27000</v>
      </c>
      <c r="W7">
        <f t="shared" si="2"/>
        <v>54000</v>
      </c>
    </row>
    <row r="8" spans="1:25" x14ac:dyDescent="0.3">
      <c r="A8" s="2" t="s">
        <v>17</v>
      </c>
      <c r="B8" s="14">
        <v>0.4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13">
        <v>0</v>
      </c>
      <c r="J8" s="8">
        <v>400</v>
      </c>
      <c r="K8" s="7" t="s">
        <v>82</v>
      </c>
      <c r="L8" s="1">
        <f t="shared" si="3"/>
        <v>550</v>
      </c>
      <c r="O8" s="7">
        <v>10000</v>
      </c>
      <c r="P8" s="29" t="s">
        <v>97</v>
      </c>
      <c r="Q8" s="6" t="s">
        <v>115</v>
      </c>
      <c r="S8" s="6"/>
      <c r="T8" s="33"/>
      <c r="U8" s="7">
        <f t="shared" si="4"/>
        <v>55</v>
      </c>
      <c r="V8">
        <f>((J8 * U8 + (J8 * 4 * U8))/2)</f>
        <v>55000</v>
      </c>
      <c r="W8">
        <f t="shared" si="2"/>
        <v>109000</v>
      </c>
    </row>
    <row r="9" spans="1:25" x14ac:dyDescent="0.3">
      <c r="A9" s="2" t="s">
        <v>18</v>
      </c>
      <c r="B9" s="14">
        <v>0.4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13">
        <v>0</v>
      </c>
      <c r="J9" s="8">
        <v>400</v>
      </c>
      <c r="K9" s="7" t="s">
        <v>82</v>
      </c>
      <c r="L9" s="27">
        <f t="shared" si="3"/>
        <v>650</v>
      </c>
      <c r="N9" s="38">
        <v>150</v>
      </c>
      <c r="O9" s="7">
        <v>20000</v>
      </c>
      <c r="P9" s="30" t="s">
        <v>98</v>
      </c>
      <c r="Q9" s="6" t="s">
        <v>119</v>
      </c>
      <c r="S9" s="6"/>
      <c r="T9" s="33"/>
      <c r="U9" s="7">
        <f t="shared" si="4"/>
        <v>65</v>
      </c>
      <c r="V9">
        <f>((J9 * U9 + (J9 * 4 * U9))/2)</f>
        <v>65000</v>
      </c>
      <c r="W9">
        <f t="shared" si="2"/>
        <v>174000</v>
      </c>
      <c r="X9">
        <v>150000</v>
      </c>
      <c r="Y9">
        <f>W9-X9</f>
        <v>24000</v>
      </c>
    </row>
    <row r="10" spans="1:25" x14ac:dyDescent="0.3">
      <c r="A10" s="2" t="s">
        <v>81</v>
      </c>
      <c r="B10" s="14">
        <v>0.5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13">
        <v>0</v>
      </c>
      <c r="J10" s="8">
        <v>500</v>
      </c>
      <c r="K10" s="7" t="s">
        <v>80</v>
      </c>
      <c r="L10" s="11">
        <f>150*U10</f>
        <v>12000</v>
      </c>
      <c r="O10" s="7">
        <v>50000</v>
      </c>
      <c r="P10" s="30" t="s">
        <v>99</v>
      </c>
      <c r="Q10" s="6" t="s">
        <v>117</v>
      </c>
      <c r="T10" s="33"/>
      <c r="U10" s="7">
        <f>U9+15</f>
        <v>80</v>
      </c>
      <c r="V10">
        <f>((J10 * U10 + (J10 * 5 * U10))/2)</f>
        <v>120000</v>
      </c>
      <c r="W10">
        <f t="shared" si="2"/>
        <v>144000</v>
      </c>
      <c r="Y10" s="28"/>
    </row>
    <row r="11" spans="1:25" ht="17.25" thickBot="1" x14ac:dyDescent="0.35">
      <c r="A11" s="15" t="s">
        <v>92</v>
      </c>
      <c r="B11" s="24">
        <v>0.5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18">
        <v>0</v>
      </c>
      <c r="J11" s="26">
        <v>500</v>
      </c>
      <c r="K11" s="26" t="s">
        <v>80</v>
      </c>
      <c r="L11" s="20">
        <f t="shared" ref="L11:L14" si="5">150*U11</f>
        <v>14250</v>
      </c>
      <c r="O11" s="7">
        <v>120000</v>
      </c>
      <c r="P11" s="29" t="s">
        <v>100</v>
      </c>
      <c r="Q11" s="6" t="s">
        <v>133</v>
      </c>
      <c r="R11">
        <v>948984</v>
      </c>
      <c r="T11" s="33"/>
      <c r="U11" s="7">
        <f t="shared" ref="U11:U14" si="6">U10+15</f>
        <v>95</v>
      </c>
      <c r="V11">
        <f>((J11 * U11 + (J11 * 5 * U11))/2)</f>
        <v>142500</v>
      </c>
      <c r="W11">
        <f t="shared" si="2"/>
        <v>286500</v>
      </c>
    </row>
    <row r="12" spans="1:25" x14ac:dyDescent="0.3">
      <c r="A12" s="2" t="s">
        <v>19</v>
      </c>
      <c r="B12" s="21">
        <v>0.5</v>
      </c>
      <c r="C12" s="21">
        <v>0.1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3">
        <v>0</v>
      </c>
      <c r="J12" s="8">
        <v>1500</v>
      </c>
      <c r="K12" s="8">
        <v>1</v>
      </c>
      <c r="L12" s="11">
        <f t="shared" si="5"/>
        <v>16500</v>
      </c>
      <c r="O12" s="7">
        <v>380000</v>
      </c>
      <c r="P12" s="29" t="s">
        <v>101</v>
      </c>
      <c r="Q12" s="6" t="s">
        <v>134</v>
      </c>
      <c r="R12" s="6"/>
      <c r="T12" s="33"/>
      <c r="U12" s="7">
        <f t="shared" si="6"/>
        <v>110</v>
      </c>
      <c r="V12">
        <f>((J12 * U12 + (J12 * 1 * U12))/2)</f>
        <v>165000</v>
      </c>
      <c r="W12">
        <f t="shared" si="2"/>
        <v>451500</v>
      </c>
    </row>
    <row r="13" spans="1:25" x14ac:dyDescent="0.3">
      <c r="A13" s="2" t="s">
        <v>20</v>
      </c>
      <c r="B13" s="14">
        <v>0.5</v>
      </c>
      <c r="C13" s="14">
        <v>0.1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13">
        <v>0</v>
      </c>
      <c r="J13" s="8">
        <v>2000</v>
      </c>
      <c r="K13" s="7">
        <v>1</v>
      </c>
      <c r="L13" s="11">
        <f t="shared" si="5"/>
        <v>18750</v>
      </c>
      <c r="O13" s="7">
        <v>700000</v>
      </c>
      <c r="P13" s="29" t="s">
        <v>102</v>
      </c>
      <c r="Q13" s="6" t="s">
        <v>138</v>
      </c>
      <c r="T13" s="33"/>
      <c r="U13" s="7">
        <f t="shared" si="6"/>
        <v>125</v>
      </c>
      <c r="V13">
        <f>((J13 * U13 + (J13 * 1 * U13))/2)</f>
        <v>250000</v>
      </c>
      <c r="W13">
        <f t="shared" si="2"/>
        <v>701500</v>
      </c>
    </row>
    <row r="14" spans="1:25" x14ac:dyDescent="0.3">
      <c r="A14" s="2" t="s">
        <v>21</v>
      </c>
      <c r="B14" s="14">
        <v>0.5</v>
      </c>
      <c r="C14" s="14">
        <v>0.2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13">
        <v>0</v>
      </c>
      <c r="J14" s="8">
        <v>2500</v>
      </c>
      <c r="K14" s="7" t="s">
        <v>83</v>
      </c>
      <c r="L14" s="27">
        <f t="shared" si="5"/>
        <v>21000</v>
      </c>
      <c r="N14" s="38">
        <v>500</v>
      </c>
      <c r="O14" s="7">
        <v>1100000</v>
      </c>
      <c r="P14" s="29" t="s">
        <v>103</v>
      </c>
      <c r="Q14" s="6" t="s">
        <v>135</v>
      </c>
      <c r="S14" s="6"/>
      <c r="T14" s="33"/>
      <c r="U14" s="7">
        <f t="shared" si="6"/>
        <v>140</v>
      </c>
      <c r="V14">
        <f>((J14 * U14 + (J14 * 2 * U14))/2)</f>
        <v>525000</v>
      </c>
      <c r="W14">
        <f t="shared" si="2"/>
        <v>1226500</v>
      </c>
      <c r="X14">
        <v>1000000</v>
      </c>
      <c r="Y14">
        <f>W14-X14</f>
        <v>226500</v>
      </c>
    </row>
    <row r="15" spans="1:25" x14ac:dyDescent="0.3">
      <c r="A15" s="2" t="s">
        <v>22</v>
      </c>
      <c r="B15" s="14">
        <v>0.5</v>
      </c>
      <c r="C15" s="14">
        <v>0.2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13">
        <v>0</v>
      </c>
      <c r="J15" s="8">
        <v>3000</v>
      </c>
      <c r="K15" s="7" t="s">
        <v>83</v>
      </c>
      <c r="L15" s="1">
        <f>500*U15</f>
        <v>80000</v>
      </c>
      <c r="O15" s="7">
        <v>4000000</v>
      </c>
      <c r="P15" s="29" t="s">
        <v>104</v>
      </c>
      <c r="Q15" s="6" t="s">
        <v>136</v>
      </c>
      <c r="R15" s="6"/>
      <c r="S15" s="6"/>
      <c r="T15" s="33"/>
      <c r="U15" s="7">
        <f>U14+20</f>
        <v>160</v>
      </c>
      <c r="V15">
        <f>((J15 * U15 + (J15 * 2 * U15))/2)</f>
        <v>720000</v>
      </c>
      <c r="W15">
        <f t="shared" si="2"/>
        <v>946500</v>
      </c>
    </row>
    <row r="16" spans="1:25" x14ac:dyDescent="0.3">
      <c r="A16" s="2" t="s">
        <v>23</v>
      </c>
      <c r="B16" s="14">
        <v>0.5</v>
      </c>
      <c r="C16" s="14">
        <v>0.3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13">
        <v>0</v>
      </c>
      <c r="J16" s="8">
        <v>3500</v>
      </c>
      <c r="K16" s="7" t="s">
        <v>79</v>
      </c>
      <c r="L16" s="1">
        <f t="shared" ref="L16:L19" si="7">500*U16</f>
        <v>90000</v>
      </c>
      <c r="O16" s="7">
        <v>9700000</v>
      </c>
      <c r="P16" s="29" t="s">
        <v>105</v>
      </c>
      <c r="Q16" s="6" t="s">
        <v>137</v>
      </c>
      <c r="R16" s="6"/>
      <c r="S16" s="6"/>
      <c r="T16" s="33"/>
      <c r="U16" s="7">
        <f t="shared" ref="U16:U19" si="8">U15+20</f>
        <v>180</v>
      </c>
      <c r="V16">
        <f>((J16 * U16 + (J16 * 3 * U16))/2)</f>
        <v>1260000</v>
      </c>
      <c r="W16">
        <f t="shared" si="2"/>
        <v>2206500</v>
      </c>
    </row>
    <row r="17" spans="1:26" x14ac:dyDescent="0.3">
      <c r="A17" s="2" t="s">
        <v>24</v>
      </c>
      <c r="B17" s="14">
        <v>0.1</v>
      </c>
      <c r="C17" s="14">
        <v>0.3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13">
        <v>0</v>
      </c>
      <c r="J17" s="8">
        <v>4000</v>
      </c>
      <c r="K17" s="7" t="s">
        <v>79</v>
      </c>
      <c r="L17" s="1">
        <f t="shared" si="7"/>
        <v>100000</v>
      </c>
      <c r="O17" s="7">
        <v>13400000</v>
      </c>
      <c r="P17" s="29" t="s">
        <v>86</v>
      </c>
      <c r="Q17" s="6" t="s">
        <v>139</v>
      </c>
      <c r="R17" s="6"/>
      <c r="S17" s="6"/>
      <c r="T17" s="33"/>
      <c r="U17" s="7">
        <f t="shared" si="8"/>
        <v>200</v>
      </c>
      <c r="V17">
        <f>((J17 * U17 + (J17 * 3 * U17))/2)</f>
        <v>1600000</v>
      </c>
      <c r="W17">
        <f t="shared" si="2"/>
        <v>3806500</v>
      </c>
    </row>
    <row r="18" spans="1:26" x14ac:dyDescent="0.3">
      <c r="A18" s="2" t="s">
        <v>25</v>
      </c>
      <c r="B18" s="14">
        <v>0.1</v>
      </c>
      <c r="C18" s="14">
        <v>0.4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13">
        <v>0</v>
      </c>
      <c r="J18" s="8">
        <v>4500</v>
      </c>
      <c r="K18" s="7" t="s">
        <v>82</v>
      </c>
      <c r="L18" s="1">
        <f t="shared" si="7"/>
        <v>110000</v>
      </c>
      <c r="Q18" s="6" t="s">
        <v>120</v>
      </c>
      <c r="T18" s="33"/>
      <c r="U18" s="7">
        <f t="shared" si="8"/>
        <v>220</v>
      </c>
      <c r="V18">
        <f>((J18 * U18 + (J18 * 4 * U18))/2)</f>
        <v>2475000</v>
      </c>
      <c r="W18">
        <f t="shared" si="2"/>
        <v>6281500</v>
      </c>
    </row>
    <row r="19" spans="1:26" x14ac:dyDescent="0.3">
      <c r="A19" s="2" t="s">
        <v>26</v>
      </c>
      <c r="B19" s="14">
        <v>0.1</v>
      </c>
      <c r="C19" s="14">
        <v>0.4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13">
        <v>0</v>
      </c>
      <c r="J19" s="8">
        <v>5000</v>
      </c>
      <c r="K19" s="7" t="s">
        <v>82</v>
      </c>
      <c r="L19" s="27">
        <f t="shared" si="7"/>
        <v>120000</v>
      </c>
      <c r="N19" s="38">
        <v>1200</v>
      </c>
      <c r="T19" s="33"/>
      <c r="U19" s="7">
        <f t="shared" si="8"/>
        <v>240</v>
      </c>
      <c r="V19">
        <f>((J19 * U19 + (J19 * 4 * U19))/2)</f>
        <v>3000000</v>
      </c>
      <c r="W19">
        <f t="shared" si="2"/>
        <v>9281500</v>
      </c>
      <c r="X19">
        <v>7000000</v>
      </c>
      <c r="Y19">
        <f>W19-X19</f>
        <v>2281500</v>
      </c>
    </row>
    <row r="20" spans="1:26" x14ac:dyDescent="0.3">
      <c r="A20" s="2" t="s">
        <v>27</v>
      </c>
      <c r="B20" s="14">
        <v>0.1</v>
      </c>
      <c r="C20" s="14">
        <v>0.5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13">
        <v>0</v>
      </c>
      <c r="J20" s="8">
        <v>5500</v>
      </c>
      <c r="K20" s="7" t="s">
        <v>80</v>
      </c>
      <c r="L20" s="11">
        <v>180000</v>
      </c>
      <c r="T20" s="33"/>
      <c r="U20" s="7">
        <f>U19+25</f>
        <v>265</v>
      </c>
      <c r="V20">
        <f>((J20 * U20 + (J20 * 5 * U20))/2)</f>
        <v>4372500</v>
      </c>
      <c r="W20">
        <f t="shared" si="2"/>
        <v>6654000</v>
      </c>
    </row>
    <row r="21" spans="1:26" ht="17.25" thickBot="1" x14ac:dyDescent="0.35">
      <c r="A21" s="15" t="s">
        <v>28</v>
      </c>
      <c r="B21" s="16">
        <v>0.1</v>
      </c>
      <c r="C21" s="16">
        <v>0.5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8">
        <v>0</v>
      </c>
      <c r="J21" s="19">
        <v>6000</v>
      </c>
      <c r="K21" s="19" t="s">
        <v>80</v>
      </c>
      <c r="L21" s="20">
        <v>200000</v>
      </c>
      <c r="N21" s="39"/>
      <c r="O21" s="41" t="s">
        <v>108</v>
      </c>
      <c r="P21" s="42"/>
      <c r="Q21" s="6"/>
      <c r="R21" s="6"/>
      <c r="S21" s="6"/>
      <c r="T21" s="33"/>
      <c r="U21" s="7">
        <f t="shared" ref="U21:U25" si="9">U20+25</f>
        <v>290</v>
      </c>
      <c r="V21">
        <f>((J21 * U21 + (J21 * 5 * U21))/2)</f>
        <v>5220000</v>
      </c>
      <c r="W21">
        <f t="shared" si="2"/>
        <v>11874000</v>
      </c>
    </row>
    <row r="22" spans="1:26" x14ac:dyDescent="0.3">
      <c r="A22" s="2" t="s">
        <v>29</v>
      </c>
      <c r="B22" s="9">
        <v>0</v>
      </c>
      <c r="C22" s="14">
        <v>0.5</v>
      </c>
      <c r="D22" s="14">
        <v>0.1</v>
      </c>
      <c r="E22" s="9">
        <v>0</v>
      </c>
      <c r="F22" s="9">
        <v>0</v>
      </c>
      <c r="G22" s="9">
        <v>0</v>
      </c>
      <c r="H22" s="9">
        <v>0</v>
      </c>
      <c r="I22" s="13">
        <v>0</v>
      </c>
      <c r="J22" s="8">
        <v>9000</v>
      </c>
      <c r="K22" s="7">
        <v>1</v>
      </c>
      <c r="L22" s="11">
        <f>U22*1200</f>
        <v>378000</v>
      </c>
      <c r="M22" s="37">
        <v>1500</v>
      </c>
      <c r="N22" s="36"/>
      <c r="O22" s="35" t="s">
        <v>106</v>
      </c>
      <c r="P22" s="35" t="s">
        <v>107</v>
      </c>
      <c r="Q22" s="36" t="s">
        <v>109</v>
      </c>
      <c r="R22" s="36" t="s">
        <v>110</v>
      </c>
      <c r="S22" s="36" t="s">
        <v>111</v>
      </c>
      <c r="T22" s="33"/>
      <c r="U22" s="7">
        <f t="shared" si="9"/>
        <v>315</v>
      </c>
      <c r="V22">
        <f>((J22 * U22 + (J22 * 1 * U22))/2)</f>
        <v>2835000</v>
      </c>
      <c r="W22">
        <f t="shared" si="2"/>
        <v>14709000</v>
      </c>
    </row>
    <row r="23" spans="1:26" x14ac:dyDescent="0.3">
      <c r="A23" s="2" t="s">
        <v>30</v>
      </c>
      <c r="B23" s="9">
        <v>0</v>
      </c>
      <c r="C23" s="14">
        <v>0.5</v>
      </c>
      <c r="D23" s="14">
        <v>0.1</v>
      </c>
      <c r="E23" s="9">
        <v>0</v>
      </c>
      <c r="F23" s="9">
        <v>0</v>
      </c>
      <c r="G23" s="9">
        <v>0</v>
      </c>
      <c r="H23" s="9">
        <v>0</v>
      </c>
      <c r="I23" s="13">
        <v>0</v>
      </c>
      <c r="J23" s="7">
        <v>10000</v>
      </c>
      <c r="K23" s="7">
        <v>1</v>
      </c>
      <c r="L23" s="11">
        <f>U23*1200</f>
        <v>408000</v>
      </c>
      <c r="M23" s="37">
        <v>2000</v>
      </c>
      <c r="P23">
        <f>U2*B2+U3*B3+U4*B4+U5*B5+U6*B6+U7*B7+U8*B8+U9*B9+U10*B10+U11*B11</f>
        <v>171</v>
      </c>
      <c r="Q23" s="6">
        <f>SUM(V2:V11)</f>
        <v>446500</v>
      </c>
      <c r="R23" s="6">
        <f>Q23/P23</f>
        <v>2611.1111111111113</v>
      </c>
      <c r="S23" s="6">
        <f>1500*171</f>
        <v>256500</v>
      </c>
      <c r="T23" s="33"/>
      <c r="U23" s="7">
        <f t="shared" si="9"/>
        <v>340</v>
      </c>
      <c r="V23">
        <f>((J23 * U23 + (J23 * 1 * U23))/2)</f>
        <v>3400000</v>
      </c>
      <c r="W23">
        <f t="shared" si="2"/>
        <v>18109000</v>
      </c>
      <c r="Z23">
        <v>16000000</v>
      </c>
    </row>
    <row r="24" spans="1:26" x14ac:dyDescent="0.3">
      <c r="A24" s="2" t="s">
        <v>31</v>
      </c>
      <c r="B24" s="9">
        <v>0</v>
      </c>
      <c r="C24" s="14">
        <v>0.5</v>
      </c>
      <c r="D24" s="14">
        <v>0.2</v>
      </c>
      <c r="E24" s="9">
        <v>0</v>
      </c>
      <c r="F24" s="9">
        <v>0</v>
      </c>
      <c r="G24" s="9">
        <v>0</v>
      </c>
      <c r="H24" s="9">
        <v>0</v>
      </c>
      <c r="I24" s="13">
        <v>0</v>
      </c>
      <c r="J24" s="7">
        <v>11000</v>
      </c>
      <c r="K24" s="7" t="s">
        <v>83</v>
      </c>
      <c r="L24" s="11">
        <f>U24*1200</f>
        <v>438000</v>
      </c>
      <c r="M24" s="37">
        <v>2500</v>
      </c>
      <c r="O24">
        <f>U12*B12+U13*B13+U14*B14+U15*B15+U16*B16+U17*B17+U18*B18+U19*B19+U20*B20+U21*B21</f>
        <v>479</v>
      </c>
      <c r="P24" s="29">
        <f>U12*C12+U13*C13+U14*C14+U15*C15+U16*C16+U17*C17+U18*C18+U19*C19+U20*C20+U21*C21</f>
        <v>659</v>
      </c>
      <c r="Q24" s="6">
        <f>SUM(V12:V21)</f>
        <v>19587500</v>
      </c>
      <c r="R24" s="6">
        <f>(Q24-(O24*1500))/P24</f>
        <v>28632.776934749621</v>
      </c>
      <c r="S24" s="6">
        <f>18000*659+1500*479</f>
        <v>12580500</v>
      </c>
      <c r="T24" s="33"/>
      <c r="U24" s="7">
        <f t="shared" si="9"/>
        <v>365</v>
      </c>
      <c r="V24">
        <f>((J24 * U24 + (J24 * 2 * U24))/2)</f>
        <v>6022500</v>
      </c>
      <c r="W24">
        <f>V24+W23-Z23</f>
        <v>8131500</v>
      </c>
      <c r="Z24">
        <v>17000000</v>
      </c>
    </row>
    <row r="25" spans="1:26" x14ac:dyDescent="0.3">
      <c r="A25" s="2" t="s">
        <v>32</v>
      </c>
      <c r="B25" s="9">
        <v>0</v>
      </c>
      <c r="C25" s="14">
        <v>0.5</v>
      </c>
      <c r="D25" s="14">
        <v>0.2</v>
      </c>
      <c r="E25" s="9">
        <v>0</v>
      </c>
      <c r="F25" s="9">
        <v>0</v>
      </c>
      <c r="G25" s="9">
        <v>0</v>
      </c>
      <c r="H25" s="9">
        <v>0</v>
      </c>
      <c r="I25" s="13">
        <v>0</v>
      </c>
      <c r="J25" s="7">
        <v>12000</v>
      </c>
      <c r="K25" s="7" t="s">
        <v>83</v>
      </c>
      <c r="L25" s="27">
        <f>U25*1200</f>
        <v>468000</v>
      </c>
      <c r="M25" s="37">
        <v>3000</v>
      </c>
      <c r="N25" s="37">
        <v>3000</v>
      </c>
      <c r="O25" s="7">
        <f>U22*C22+U23*C23+U24*C24+U25*C25+U26*C26+U27*C27+U28*C28+U29*C29+U30*C30+U31*C31</f>
        <v>1170.5</v>
      </c>
      <c r="P25" s="29">
        <f>U22*D22+U23*D23+U24*D24+U25*D25+U26*D26+U27*D27+U28*D28+U29*D29+U30*D30+U31*D31</f>
        <v>1431</v>
      </c>
      <c r="Q25" s="6">
        <f>SUM(V22:V31)</f>
        <v>139787500</v>
      </c>
      <c r="R25" s="6">
        <f>(Q25-(O25*18000))/P25</f>
        <v>82961.914744933616</v>
      </c>
      <c r="S25" s="6">
        <f>70000*1431+18000*1170</f>
        <v>121230000</v>
      </c>
      <c r="T25" s="33"/>
      <c r="U25" s="7">
        <f t="shared" si="9"/>
        <v>390</v>
      </c>
      <c r="V25">
        <f>((J25 * U25 + (J25 * 2 * U25))/2)</f>
        <v>7020000</v>
      </c>
      <c r="W25">
        <f>V25+W24-Z24</f>
        <v>-1848500</v>
      </c>
      <c r="X25">
        <v>28000000</v>
      </c>
      <c r="Y25">
        <f>W25-X25</f>
        <v>-29848500</v>
      </c>
      <c r="Z25">
        <v>18000000</v>
      </c>
    </row>
    <row r="26" spans="1:26" x14ac:dyDescent="0.3">
      <c r="A26" s="2" t="s">
        <v>33</v>
      </c>
      <c r="B26" s="9">
        <v>0</v>
      </c>
      <c r="C26" s="14">
        <v>0.5</v>
      </c>
      <c r="D26" s="14">
        <v>0.3</v>
      </c>
      <c r="E26" s="9">
        <v>0</v>
      </c>
      <c r="F26" s="9">
        <v>0</v>
      </c>
      <c r="G26" s="9">
        <v>0</v>
      </c>
      <c r="H26" s="9">
        <v>0</v>
      </c>
      <c r="I26" s="13">
        <v>0</v>
      </c>
      <c r="J26" s="7">
        <v>13000</v>
      </c>
      <c r="K26" s="7" t="s">
        <v>79</v>
      </c>
      <c r="L26" s="11">
        <f>3000*U26</f>
        <v>1260000</v>
      </c>
      <c r="M26" s="37">
        <v>3500</v>
      </c>
      <c r="O26" s="7">
        <f>U32*D32+U33*D33+U34*D34+U35*D35+U36*D36+U37*D37+U38*D38+U39*D39+U40*D40+U41*D41</f>
        <v>2140.5</v>
      </c>
      <c r="P26" s="29">
        <f>U32*E32+U33*E33+U34*E34+U35*E35+U36*E36+U37*E37+U38*E38+U39*E39+U40*E40+U41*E41</f>
        <v>2491</v>
      </c>
      <c r="Q26" s="6">
        <f>SUM(U32:V41)</f>
        <v>696547785</v>
      </c>
      <c r="R26" s="6">
        <f>(Q26-(O26*70000))/P26</f>
        <v>219475.22480931354</v>
      </c>
      <c r="S26" s="6">
        <f>150000*2491+70000*2140</f>
        <v>523450000</v>
      </c>
      <c r="T26" s="33"/>
      <c r="U26" s="7">
        <f>U25+30</f>
        <v>420</v>
      </c>
      <c r="V26">
        <f>((J26 * U26 + (J26 * 3 * U26))/2)</f>
        <v>10920000</v>
      </c>
      <c r="W26">
        <f t="shared" ref="W26:W71" si="10">V26+W25-X25</f>
        <v>-18928500</v>
      </c>
      <c r="X26">
        <v>19000000</v>
      </c>
      <c r="Z26">
        <v>19000000</v>
      </c>
    </row>
    <row r="27" spans="1:26" x14ac:dyDescent="0.3">
      <c r="A27" s="2" t="s">
        <v>34</v>
      </c>
      <c r="B27" s="9">
        <v>0</v>
      </c>
      <c r="C27" s="14">
        <v>0.1</v>
      </c>
      <c r="D27" s="14">
        <v>0.3</v>
      </c>
      <c r="E27" s="9">
        <v>0</v>
      </c>
      <c r="F27" s="9">
        <v>0</v>
      </c>
      <c r="G27" s="9">
        <v>0</v>
      </c>
      <c r="H27" s="9">
        <v>0</v>
      </c>
      <c r="I27" s="13">
        <v>0</v>
      </c>
      <c r="J27" s="7">
        <v>14000</v>
      </c>
      <c r="K27" s="7" t="s">
        <v>79</v>
      </c>
      <c r="L27" s="11">
        <f>3000*U27</f>
        <v>1350000</v>
      </c>
      <c r="M27" s="37">
        <v>4000</v>
      </c>
      <c r="N27" s="38"/>
      <c r="O27" s="29">
        <f>U42*E42+U43*E43+U44*E44+U45*E45+U46*E46+U47*E47+U48*E48+U49*E49+U50*E50+U51*E51</f>
        <v>3432.5</v>
      </c>
      <c r="P27" s="29">
        <f>U42*F42+U43*F43+U44*F44+U45*F45+U46*F46+U47*F47+U48*F48+U49*F49+U50*F50+U51*F51</f>
        <v>3936.5</v>
      </c>
      <c r="Q27" s="6">
        <f>SUM(V42:V51)</f>
        <v>2388750000</v>
      </c>
      <c r="R27" s="6">
        <f>(Q27-(O27*150000))/P27</f>
        <v>476025.65730979294</v>
      </c>
      <c r="S27" s="6">
        <f>150000*3432+350000*3936</f>
        <v>1892400000</v>
      </c>
      <c r="T27" s="33"/>
      <c r="U27" s="7">
        <f t="shared" ref="U27:U30" si="11">U26+30</f>
        <v>450</v>
      </c>
      <c r="V27">
        <f>((J27 * U27 + (J27 * 3 * U27))/2)</f>
        <v>12600000</v>
      </c>
      <c r="W27">
        <f t="shared" si="10"/>
        <v>-25328500</v>
      </c>
      <c r="X27">
        <v>20000000</v>
      </c>
      <c r="Z27">
        <v>20000000</v>
      </c>
    </row>
    <row r="28" spans="1:26" x14ac:dyDescent="0.3">
      <c r="A28" s="2" t="s">
        <v>35</v>
      </c>
      <c r="B28" s="9">
        <v>0</v>
      </c>
      <c r="C28" s="14">
        <v>0.1</v>
      </c>
      <c r="D28" s="14">
        <v>0.4</v>
      </c>
      <c r="E28" s="9">
        <v>0</v>
      </c>
      <c r="F28" s="9">
        <v>0</v>
      </c>
      <c r="G28" s="9">
        <v>0</v>
      </c>
      <c r="H28" s="9">
        <v>0</v>
      </c>
      <c r="I28" s="13">
        <v>0</v>
      </c>
      <c r="J28" s="7">
        <v>15000</v>
      </c>
      <c r="K28" s="7" t="s">
        <v>82</v>
      </c>
      <c r="L28" s="11">
        <f>3000*U28</f>
        <v>1440000</v>
      </c>
      <c r="M28" s="37">
        <v>4500</v>
      </c>
      <c r="O28" s="7">
        <f>U52*F52+U53*F53+U54*F54+U55*F55+U56*F56+U57*F57+U58*F58+U59*F59+U60*F60+U61*F61</f>
        <v>6015</v>
      </c>
      <c r="P28" s="29">
        <f>U52*G52+U53*G53+U54*G54+U55*G55+U56*G56+U57*G57+U58*G58+U59*G59+U60*G60+U61*G61</f>
        <v>7420</v>
      </c>
      <c r="Q28" s="6">
        <f>SUM(V52:V61)</f>
        <v>9560250000</v>
      </c>
      <c r="R28" s="6">
        <f>(Q28-(O28*350000))/P28</f>
        <v>1004716.9811320754</v>
      </c>
      <c r="S28" s="6">
        <f>350000*6015+900000*7420</f>
        <v>8783250000</v>
      </c>
      <c r="T28" s="33"/>
      <c r="U28" s="7">
        <f t="shared" si="11"/>
        <v>480</v>
      </c>
      <c r="V28">
        <f>((J28 * U28 + (J28 * 4 * U28))/2)</f>
        <v>18000000</v>
      </c>
      <c r="W28">
        <f t="shared" si="10"/>
        <v>-27328500</v>
      </c>
      <c r="X28">
        <v>21000000</v>
      </c>
      <c r="Z28">
        <v>21000000</v>
      </c>
    </row>
    <row r="29" spans="1:26" x14ac:dyDescent="0.3">
      <c r="A29" s="2" t="s">
        <v>36</v>
      </c>
      <c r="B29" s="9">
        <v>0</v>
      </c>
      <c r="C29" s="14">
        <v>0.1</v>
      </c>
      <c r="D29" s="14">
        <v>0.4</v>
      </c>
      <c r="E29" s="9">
        <v>0</v>
      </c>
      <c r="F29" s="9">
        <v>0</v>
      </c>
      <c r="G29" s="9">
        <v>0</v>
      </c>
      <c r="H29" s="9">
        <v>0</v>
      </c>
      <c r="I29" s="13">
        <v>0</v>
      </c>
      <c r="J29" s="7">
        <v>16000</v>
      </c>
      <c r="K29" s="7" t="s">
        <v>82</v>
      </c>
      <c r="L29" s="11">
        <f>3000*U29</f>
        <v>1530000</v>
      </c>
      <c r="M29" s="37">
        <v>5000</v>
      </c>
      <c r="O29" s="7">
        <f>U62*G62+U63*G63+U64*G64+U65*G65+U66*G66+U67*G67+U68*G68+U69*G69+U70*G70+U71*G71</f>
        <v>11935</v>
      </c>
      <c r="P29" s="29">
        <f>U62*H62+U63*H63+U64*H64+U65*H65+U66*H66+U67*H67+U68*H68+U69*H69+U70*H70+U71*H71</f>
        <v>14450</v>
      </c>
      <c r="Q29" s="6">
        <f>SUM(V62:V71)</f>
        <v>36706125000</v>
      </c>
      <c r="R29" s="6">
        <f>(Q29-(O29*900000))/P29</f>
        <v>1796859.8615916956</v>
      </c>
      <c r="S29" s="6">
        <f>900000*11965+1500000*14600</f>
        <v>32668500000</v>
      </c>
      <c r="T29" s="33"/>
      <c r="U29" s="7">
        <f t="shared" si="11"/>
        <v>510</v>
      </c>
      <c r="V29">
        <f>((J29 * U29 + (J29 * 4 * U29))/2)</f>
        <v>20400000</v>
      </c>
      <c r="W29">
        <f t="shared" si="10"/>
        <v>-27928500</v>
      </c>
      <c r="X29">
        <v>23000000</v>
      </c>
      <c r="Z29">
        <v>22000000</v>
      </c>
    </row>
    <row r="30" spans="1:26" x14ac:dyDescent="0.3">
      <c r="A30" s="2" t="s">
        <v>37</v>
      </c>
      <c r="B30" s="9">
        <v>0</v>
      </c>
      <c r="C30" s="14">
        <v>0.1</v>
      </c>
      <c r="D30" s="14">
        <v>0.5</v>
      </c>
      <c r="E30" s="9">
        <v>0</v>
      </c>
      <c r="F30" s="9">
        <v>0</v>
      </c>
      <c r="G30" s="9">
        <v>0</v>
      </c>
      <c r="H30" s="9">
        <v>0</v>
      </c>
      <c r="I30" s="13">
        <v>0</v>
      </c>
      <c r="J30" s="7">
        <v>17000</v>
      </c>
      <c r="K30" s="7" t="s">
        <v>80</v>
      </c>
      <c r="L30" s="27">
        <f>3000*U30</f>
        <v>1620000</v>
      </c>
      <c r="M30" s="37">
        <v>5500</v>
      </c>
      <c r="N30" s="37">
        <v>10000</v>
      </c>
      <c r="Q30" s="6"/>
      <c r="R30" s="6"/>
      <c r="S30" s="6"/>
      <c r="T30" s="33"/>
      <c r="U30" s="7">
        <f t="shared" si="11"/>
        <v>540</v>
      </c>
      <c r="V30">
        <f t="shared" ref="V30:V61" si="12">((J30 * U30 + (J30 * 5 * U30))/2)</f>
        <v>27540000</v>
      </c>
      <c r="W30">
        <f t="shared" si="10"/>
        <v>-23388500</v>
      </c>
      <c r="X30">
        <v>83000000</v>
      </c>
      <c r="Y30">
        <f>W30-X30</f>
        <v>-106388500</v>
      </c>
      <c r="Z30">
        <v>23000000</v>
      </c>
    </row>
    <row r="31" spans="1:26" ht="17.25" thickBot="1" x14ac:dyDescent="0.35">
      <c r="A31" s="15" t="s">
        <v>38</v>
      </c>
      <c r="B31" s="17">
        <v>0</v>
      </c>
      <c r="C31" s="16">
        <v>0.1</v>
      </c>
      <c r="D31" s="16">
        <v>0.5</v>
      </c>
      <c r="E31" s="17">
        <v>0</v>
      </c>
      <c r="F31" s="17">
        <v>0</v>
      </c>
      <c r="G31" s="17">
        <v>0</v>
      </c>
      <c r="H31" s="17">
        <v>0</v>
      </c>
      <c r="I31" s="18">
        <v>0</v>
      </c>
      <c r="J31" s="7">
        <v>18000</v>
      </c>
      <c r="K31" s="19" t="s">
        <v>80</v>
      </c>
      <c r="L31" s="11">
        <f>10000*U31</f>
        <v>5750000</v>
      </c>
      <c r="M31" s="37">
        <v>6000</v>
      </c>
      <c r="O31" s="7" t="s">
        <v>140</v>
      </c>
      <c r="P31" s="29">
        <f>Q23+S23</f>
        <v>703000</v>
      </c>
      <c r="Q31" s="6"/>
      <c r="R31" s="6"/>
      <c r="S31" s="6"/>
      <c r="T31" s="33"/>
      <c r="U31" s="7">
        <f>U30+35</f>
        <v>575</v>
      </c>
      <c r="V31">
        <f t="shared" si="12"/>
        <v>31050000</v>
      </c>
      <c r="W31">
        <f t="shared" si="10"/>
        <v>-75338500</v>
      </c>
      <c r="X31">
        <v>24000000</v>
      </c>
      <c r="Z31">
        <v>24000000</v>
      </c>
    </row>
    <row r="32" spans="1:26" x14ac:dyDescent="0.3">
      <c r="A32" s="2" t="s">
        <v>39</v>
      </c>
      <c r="B32" s="9">
        <v>0</v>
      </c>
      <c r="C32" s="9">
        <v>0</v>
      </c>
      <c r="D32" s="14">
        <v>0.5</v>
      </c>
      <c r="E32" s="14">
        <v>0.1</v>
      </c>
      <c r="F32" s="9">
        <v>0</v>
      </c>
      <c r="G32" s="9">
        <v>0</v>
      </c>
      <c r="H32" s="9">
        <v>0</v>
      </c>
      <c r="I32" s="13"/>
      <c r="J32" s="7">
        <v>20000</v>
      </c>
      <c r="K32" s="7">
        <v>1</v>
      </c>
      <c r="L32" s="31">
        <f>10000*U32</f>
        <v>6100000</v>
      </c>
      <c r="M32" s="37">
        <v>10000</v>
      </c>
      <c r="O32" s="7" t="s">
        <v>141</v>
      </c>
      <c r="P32" s="29">
        <f t="shared" ref="P32:Q38" si="13">Q24+S24</f>
        <v>32168000</v>
      </c>
      <c r="T32" s="33"/>
      <c r="U32" s="7">
        <f t="shared" ref="U32:U35" si="14">U31+35</f>
        <v>610</v>
      </c>
      <c r="V32">
        <f t="shared" si="12"/>
        <v>36600000</v>
      </c>
      <c r="W32">
        <f t="shared" si="10"/>
        <v>-62738500</v>
      </c>
    </row>
    <row r="33" spans="1:26" x14ac:dyDescent="0.3">
      <c r="A33" s="2" t="s">
        <v>40</v>
      </c>
      <c r="B33" s="9">
        <v>0</v>
      </c>
      <c r="C33" s="9">
        <v>0</v>
      </c>
      <c r="D33" s="14">
        <v>0.5</v>
      </c>
      <c r="E33" s="14">
        <v>0.1</v>
      </c>
      <c r="F33" s="9">
        <v>0</v>
      </c>
      <c r="G33" s="9">
        <v>0</v>
      </c>
      <c r="H33" s="9">
        <v>0</v>
      </c>
      <c r="I33" s="13"/>
      <c r="J33" s="7">
        <v>22000</v>
      </c>
      <c r="K33" s="7">
        <v>1</v>
      </c>
      <c r="L33" s="11">
        <f>10000*U33</f>
        <v>6450000</v>
      </c>
      <c r="M33" s="37">
        <v>15000</v>
      </c>
      <c r="O33" s="7" t="s">
        <v>142</v>
      </c>
      <c r="P33" s="29">
        <f t="shared" si="13"/>
        <v>261017500</v>
      </c>
      <c r="Q33">
        <v>261017500</v>
      </c>
      <c r="R33">
        <f>SUM(Z23:Z31)</f>
        <v>180000000</v>
      </c>
      <c r="S33">
        <f>Q33-R33</f>
        <v>81017500</v>
      </c>
      <c r="T33" s="33"/>
      <c r="U33" s="7">
        <f t="shared" si="14"/>
        <v>645</v>
      </c>
      <c r="V33">
        <f t="shared" si="12"/>
        <v>42570000</v>
      </c>
      <c r="W33">
        <f t="shared" si="10"/>
        <v>-20168500</v>
      </c>
      <c r="Z33">
        <v>50000000</v>
      </c>
    </row>
    <row r="34" spans="1:26" x14ac:dyDescent="0.3">
      <c r="A34" s="2" t="s">
        <v>41</v>
      </c>
      <c r="B34" s="9">
        <v>0</v>
      </c>
      <c r="C34" s="9">
        <v>0</v>
      </c>
      <c r="D34" s="14">
        <v>0.5</v>
      </c>
      <c r="E34" s="14">
        <v>0.2</v>
      </c>
      <c r="F34" s="9">
        <v>0</v>
      </c>
      <c r="G34" s="9">
        <v>0</v>
      </c>
      <c r="H34" s="9">
        <v>0</v>
      </c>
      <c r="I34" s="13"/>
      <c r="J34" s="7">
        <v>24000</v>
      </c>
      <c r="K34" s="7" t="s">
        <v>83</v>
      </c>
      <c r="L34" s="11">
        <f>10000*U34</f>
        <v>6800000</v>
      </c>
      <c r="M34" s="37">
        <v>20000</v>
      </c>
      <c r="O34" s="7" t="s">
        <v>143</v>
      </c>
      <c r="P34" s="29">
        <f t="shared" si="13"/>
        <v>1219997785</v>
      </c>
      <c r="Q34">
        <v>1219997785</v>
      </c>
      <c r="R34">
        <f>SUM(Z33:Z41)</f>
        <v>990000000</v>
      </c>
      <c r="S34">
        <f t="shared" ref="S34:S38" si="15">Q34-R34</f>
        <v>229997785</v>
      </c>
      <c r="T34" s="33"/>
      <c r="U34" s="7">
        <f t="shared" si="14"/>
        <v>680</v>
      </c>
      <c r="V34">
        <f t="shared" si="12"/>
        <v>48960000</v>
      </c>
      <c r="W34">
        <f t="shared" si="10"/>
        <v>28791500</v>
      </c>
      <c r="Z34">
        <v>65000000</v>
      </c>
    </row>
    <row r="35" spans="1:26" x14ac:dyDescent="0.3">
      <c r="A35" s="2" t="s">
        <v>42</v>
      </c>
      <c r="B35" s="9">
        <v>0</v>
      </c>
      <c r="C35" s="9">
        <v>0</v>
      </c>
      <c r="D35" s="14">
        <v>0.5</v>
      </c>
      <c r="E35" s="14">
        <v>0.2</v>
      </c>
      <c r="F35" s="9">
        <v>0</v>
      </c>
      <c r="G35" s="9">
        <v>0</v>
      </c>
      <c r="H35" s="9">
        <v>0</v>
      </c>
      <c r="I35" s="13"/>
      <c r="J35" s="7">
        <v>26000</v>
      </c>
      <c r="K35" s="7" t="s">
        <v>83</v>
      </c>
      <c r="L35" s="27">
        <f>10000*U35</f>
        <v>7150000</v>
      </c>
      <c r="M35" s="37">
        <v>25000</v>
      </c>
      <c r="N35" s="38">
        <v>20000</v>
      </c>
      <c r="O35" s="7" t="s">
        <v>144</v>
      </c>
      <c r="P35" s="29">
        <f t="shared" si="13"/>
        <v>4281150000</v>
      </c>
      <c r="Q35">
        <v>4281150000</v>
      </c>
      <c r="R35">
        <f>SUM(Z43:Z51)</f>
        <v>3600000000</v>
      </c>
      <c r="S35">
        <f t="shared" si="15"/>
        <v>681150000</v>
      </c>
      <c r="T35" s="33"/>
      <c r="U35" s="7">
        <f t="shared" si="14"/>
        <v>715</v>
      </c>
      <c r="V35">
        <f t="shared" si="12"/>
        <v>55770000</v>
      </c>
      <c r="W35">
        <f t="shared" si="10"/>
        <v>84561500</v>
      </c>
      <c r="X35">
        <v>150000000</v>
      </c>
      <c r="Y35">
        <f>W35-X35</f>
        <v>-65438500</v>
      </c>
      <c r="Z35">
        <v>80000000</v>
      </c>
    </row>
    <row r="36" spans="1:26" x14ac:dyDescent="0.3">
      <c r="A36" s="2" t="s">
        <v>43</v>
      </c>
      <c r="B36" s="9">
        <v>0</v>
      </c>
      <c r="C36" s="9">
        <v>0</v>
      </c>
      <c r="D36" s="14">
        <v>0.5</v>
      </c>
      <c r="E36" s="14">
        <v>0.3</v>
      </c>
      <c r="F36" s="9">
        <v>0</v>
      </c>
      <c r="G36" s="9">
        <v>0</v>
      </c>
      <c r="H36" s="9">
        <v>0</v>
      </c>
      <c r="I36" s="13"/>
      <c r="J36" s="7">
        <v>28000</v>
      </c>
      <c r="K36" s="7" t="s">
        <v>79</v>
      </c>
      <c r="L36" s="11">
        <f>U36*20000</f>
        <v>15100000</v>
      </c>
      <c r="M36" s="37">
        <v>30000</v>
      </c>
      <c r="O36" s="7" t="s">
        <v>145</v>
      </c>
      <c r="P36" s="29">
        <f t="shared" si="13"/>
        <v>18343500000</v>
      </c>
      <c r="Q36">
        <v>18343500000</v>
      </c>
      <c r="R36">
        <f>SUM(Z53:Z61)</f>
        <v>16200000000</v>
      </c>
      <c r="S36">
        <f t="shared" si="15"/>
        <v>2143500000</v>
      </c>
      <c r="T36" s="33"/>
      <c r="U36" s="7">
        <f>U35+40</f>
        <v>755</v>
      </c>
      <c r="V36">
        <f t="shared" si="12"/>
        <v>63420000</v>
      </c>
      <c r="W36">
        <f>(W35-X35)+V36</f>
        <v>-2018500</v>
      </c>
      <c r="Z36">
        <v>95000000</v>
      </c>
    </row>
    <row r="37" spans="1:26" x14ac:dyDescent="0.3">
      <c r="A37" s="2" t="s">
        <v>44</v>
      </c>
      <c r="B37" s="9">
        <v>0</v>
      </c>
      <c r="C37" s="9">
        <v>0</v>
      </c>
      <c r="D37" s="14">
        <v>0.1</v>
      </c>
      <c r="E37" s="14">
        <v>0.3</v>
      </c>
      <c r="F37" s="9">
        <v>0</v>
      </c>
      <c r="G37" s="9">
        <v>0</v>
      </c>
      <c r="H37" s="9">
        <v>0</v>
      </c>
      <c r="I37" s="13"/>
      <c r="J37" s="7">
        <v>30000</v>
      </c>
      <c r="K37" s="7" t="s">
        <v>79</v>
      </c>
      <c r="L37" s="11">
        <f t="shared" ref="L37:L40" si="16">U37*20000</f>
        <v>15900000</v>
      </c>
      <c r="M37" s="37">
        <v>35000</v>
      </c>
      <c r="O37" s="7" t="s">
        <v>146</v>
      </c>
      <c r="P37" s="29">
        <f t="shared" si="13"/>
        <v>69374625000</v>
      </c>
      <c r="Q37">
        <v>69374625000</v>
      </c>
      <c r="R37">
        <f>SUM(Z63:Z71)</f>
        <v>70200000000</v>
      </c>
      <c r="S37">
        <f t="shared" si="15"/>
        <v>-825375000</v>
      </c>
      <c r="T37" s="33"/>
      <c r="U37" s="7">
        <f t="shared" ref="U37:U40" si="17">U36+40</f>
        <v>795</v>
      </c>
      <c r="V37">
        <f t="shared" si="12"/>
        <v>71550000</v>
      </c>
      <c r="W37">
        <f t="shared" si="10"/>
        <v>69531500</v>
      </c>
      <c r="Z37">
        <v>110000000</v>
      </c>
    </row>
    <row r="38" spans="1:26" x14ac:dyDescent="0.3">
      <c r="A38" s="2" t="s">
        <v>45</v>
      </c>
      <c r="B38" s="9">
        <v>0</v>
      </c>
      <c r="C38" s="9">
        <v>0</v>
      </c>
      <c r="D38" s="14">
        <v>0.1</v>
      </c>
      <c r="E38" s="14">
        <v>0.4</v>
      </c>
      <c r="F38" s="9">
        <v>0</v>
      </c>
      <c r="G38" s="9">
        <v>0</v>
      </c>
      <c r="H38" s="9">
        <v>0</v>
      </c>
      <c r="I38" s="13"/>
      <c r="J38" s="7">
        <v>32000</v>
      </c>
      <c r="K38" s="7" t="s">
        <v>82</v>
      </c>
      <c r="L38" s="11">
        <f t="shared" si="16"/>
        <v>16700000</v>
      </c>
      <c r="M38" s="37">
        <v>40000</v>
      </c>
      <c r="O38" s="7" t="s">
        <v>147</v>
      </c>
      <c r="P38" s="29">
        <f t="shared" si="13"/>
        <v>0</v>
      </c>
      <c r="S38">
        <f t="shared" si="15"/>
        <v>0</v>
      </c>
      <c r="T38" s="33"/>
      <c r="U38" s="7">
        <f t="shared" si="17"/>
        <v>835</v>
      </c>
      <c r="V38">
        <f t="shared" si="12"/>
        <v>80160000</v>
      </c>
      <c r="W38">
        <f t="shared" si="10"/>
        <v>149691500</v>
      </c>
      <c r="Z38">
        <v>125000000</v>
      </c>
    </row>
    <row r="39" spans="1:26" x14ac:dyDescent="0.3">
      <c r="A39" s="2" t="s">
        <v>46</v>
      </c>
      <c r="B39" s="9">
        <v>0</v>
      </c>
      <c r="C39" s="9">
        <v>0</v>
      </c>
      <c r="D39" s="14">
        <v>0.1</v>
      </c>
      <c r="E39" s="14">
        <v>0.4</v>
      </c>
      <c r="F39" s="9">
        <v>0</v>
      </c>
      <c r="G39" s="9">
        <v>0</v>
      </c>
      <c r="H39" s="9">
        <v>0</v>
      </c>
      <c r="I39" s="13"/>
      <c r="J39" s="7">
        <v>34000</v>
      </c>
      <c r="K39" s="7" t="s">
        <v>82</v>
      </c>
      <c r="L39" s="11">
        <f t="shared" si="16"/>
        <v>17500000</v>
      </c>
      <c r="M39" s="37">
        <v>45000</v>
      </c>
      <c r="T39" s="33"/>
      <c r="U39" s="7">
        <f t="shared" si="17"/>
        <v>875</v>
      </c>
      <c r="V39">
        <f t="shared" si="12"/>
        <v>89250000</v>
      </c>
      <c r="W39">
        <f t="shared" si="10"/>
        <v>238941500</v>
      </c>
      <c r="Z39">
        <v>140000000</v>
      </c>
    </row>
    <row r="40" spans="1:26" x14ac:dyDescent="0.3">
      <c r="A40" s="2" t="s">
        <v>47</v>
      </c>
      <c r="B40" s="9">
        <v>0</v>
      </c>
      <c r="C40" s="9">
        <v>0</v>
      </c>
      <c r="D40" s="14">
        <v>0.1</v>
      </c>
      <c r="E40" s="14">
        <v>0.5</v>
      </c>
      <c r="F40" s="9">
        <v>0</v>
      </c>
      <c r="G40" s="9">
        <v>0</v>
      </c>
      <c r="H40" s="9">
        <v>0</v>
      </c>
      <c r="I40" s="13"/>
      <c r="J40" s="7">
        <v>36000</v>
      </c>
      <c r="K40" s="7" t="s">
        <v>80</v>
      </c>
      <c r="L40" s="27">
        <f t="shared" si="16"/>
        <v>18300000</v>
      </c>
      <c r="M40" s="37">
        <v>50000</v>
      </c>
      <c r="N40" s="38">
        <v>50000</v>
      </c>
      <c r="T40" s="33"/>
      <c r="U40" s="7">
        <f t="shared" si="17"/>
        <v>915</v>
      </c>
      <c r="V40">
        <f t="shared" si="12"/>
        <v>98820000</v>
      </c>
      <c r="W40">
        <f t="shared" si="10"/>
        <v>337761500</v>
      </c>
      <c r="X40">
        <v>350000000</v>
      </c>
      <c r="Y40">
        <f>W40-X40</f>
        <v>-12238500</v>
      </c>
      <c r="Z40">
        <v>155000000</v>
      </c>
    </row>
    <row r="41" spans="1:26" ht="17.25" thickBot="1" x14ac:dyDescent="0.35">
      <c r="A41" s="15" t="s">
        <v>48</v>
      </c>
      <c r="B41" s="17">
        <v>0</v>
      </c>
      <c r="C41" s="17">
        <v>0</v>
      </c>
      <c r="D41" s="16">
        <v>0.1</v>
      </c>
      <c r="E41" s="16">
        <v>0.5</v>
      </c>
      <c r="F41" s="17">
        <v>0</v>
      </c>
      <c r="G41" s="17">
        <v>0</v>
      </c>
      <c r="H41" s="17">
        <v>0</v>
      </c>
      <c r="I41" s="18"/>
      <c r="J41" s="7">
        <v>38000</v>
      </c>
      <c r="K41" s="19" t="s">
        <v>80</v>
      </c>
      <c r="L41" s="20">
        <f>50000*U41</f>
        <v>48000000</v>
      </c>
      <c r="M41" s="37">
        <v>55000</v>
      </c>
      <c r="T41" s="33"/>
      <c r="U41" s="7">
        <f>U40+45</f>
        <v>960</v>
      </c>
      <c r="V41">
        <f t="shared" si="12"/>
        <v>109440000</v>
      </c>
      <c r="W41">
        <f t="shared" si="10"/>
        <v>97201500</v>
      </c>
      <c r="Z41">
        <v>170000000</v>
      </c>
    </row>
    <row r="42" spans="1:26" x14ac:dyDescent="0.3">
      <c r="A42" s="2" t="s">
        <v>49</v>
      </c>
      <c r="B42" s="9">
        <v>0</v>
      </c>
      <c r="C42" s="9">
        <v>0</v>
      </c>
      <c r="D42" s="9">
        <v>0</v>
      </c>
      <c r="E42" s="14">
        <v>0.5</v>
      </c>
      <c r="F42" s="14">
        <v>0.1</v>
      </c>
      <c r="G42" s="9">
        <v>0</v>
      </c>
      <c r="H42" s="9">
        <v>0</v>
      </c>
      <c r="I42" s="13"/>
      <c r="J42" s="7">
        <v>40000</v>
      </c>
      <c r="K42" s="7">
        <v>1</v>
      </c>
      <c r="L42" s="11">
        <f t="shared" ref="L42:L44" si="18">50000*U42</f>
        <v>50250000</v>
      </c>
      <c r="M42" s="37">
        <v>70000</v>
      </c>
      <c r="T42" s="33"/>
      <c r="U42" s="7">
        <f t="shared" ref="U42:U44" si="19">U41+45</f>
        <v>1005</v>
      </c>
      <c r="V42">
        <f t="shared" si="12"/>
        <v>120600000</v>
      </c>
      <c r="W42">
        <f t="shared" si="10"/>
        <v>217801500</v>
      </c>
    </row>
    <row r="43" spans="1:26" x14ac:dyDescent="0.3">
      <c r="A43" s="2" t="s">
        <v>50</v>
      </c>
      <c r="B43" s="9">
        <v>0</v>
      </c>
      <c r="C43" s="9">
        <v>0</v>
      </c>
      <c r="D43" s="9">
        <v>0</v>
      </c>
      <c r="E43" s="14">
        <v>0.5</v>
      </c>
      <c r="F43" s="14">
        <v>0.1</v>
      </c>
      <c r="G43" s="9">
        <v>0</v>
      </c>
      <c r="H43" s="9">
        <v>0</v>
      </c>
      <c r="I43" s="13"/>
      <c r="J43" s="7">
        <v>45000</v>
      </c>
      <c r="K43" s="7">
        <v>1</v>
      </c>
      <c r="L43" s="11">
        <f t="shared" si="18"/>
        <v>52500000</v>
      </c>
      <c r="T43" s="33"/>
      <c r="U43" s="7">
        <f t="shared" si="19"/>
        <v>1050</v>
      </c>
      <c r="V43">
        <f t="shared" si="12"/>
        <v>141750000</v>
      </c>
      <c r="W43">
        <f t="shared" si="10"/>
        <v>359551500</v>
      </c>
      <c r="Z43">
        <v>200000000</v>
      </c>
    </row>
    <row r="44" spans="1:26" x14ac:dyDescent="0.3">
      <c r="A44" s="2" t="s">
        <v>51</v>
      </c>
      <c r="B44" s="9">
        <v>0</v>
      </c>
      <c r="C44" s="9">
        <v>0</v>
      </c>
      <c r="D44" s="9">
        <v>0</v>
      </c>
      <c r="E44" s="14">
        <v>0.5</v>
      </c>
      <c r="F44" s="14">
        <v>0.2</v>
      </c>
      <c r="G44" s="9">
        <v>0</v>
      </c>
      <c r="H44" s="9">
        <v>0</v>
      </c>
      <c r="I44" s="13"/>
      <c r="J44" s="7">
        <v>50000</v>
      </c>
      <c r="K44" s="7" t="s">
        <v>83</v>
      </c>
      <c r="L44" s="27">
        <f t="shared" si="18"/>
        <v>54750000</v>
      </c>
      <c r="N44" s="38">
        <v>120000</v>
      </c>
      <c r="T44" s="33"/>
      <c r="U44" s="7">
        <f t="shared" si="19"/>
        <v>1095</v>
      </c>
      <c r="V44">
        <f t="shared" si="12"/>
        <v>164250000</v>
      </c>
      <c r="W44">
        <f t="shared" si="10"/>
        <v>523801500</v>
      </c>
      <c r="X44">
        <v>600000000</v>
      </c>
      <c r="Y44">
        <f>W44-X44</f>
        <v>-76198500</v>
      </c>
      <c r="Z44">
        <v>250000000</v>
      </c>
    </row>
    <row r="45" spans="1:26" x14ac:dyDescent="0.3">
      <c r="A45" s="2" t="s">
        <v>52</v>
      </c>
      <c r="B45" s="9">
        <v>0</v>
      </c>
      <c r="C45" s="9">
        <v>0</v>
      </c>
      <c r="D45" s="9">
        <v>0</v>
      </c>
      <c r="E45" s="14">
        <v>0.5</v>
      </c>
      <c r="F45" s="14">
        <v>0.2</v>
      </c>
      <c r="G45" s="9">
        <v>0</v>
      </c>
      <c r="H45" s="9">
        <v>0</v>
      </c>
      <c r="I45" s="13"/>
      <c r="J45" s="7">
        <v>55000</v>
      </c>
      <c r="K45" s="7" t="s">
        <v>83</v>
      </c>
      <c r="L45" s="11">
        <f>120000*U45</f>
        <v>137400000</v>
      </c>
      <c r="T45" s="33"/>
      <c r="U45" s="7">
        <f>U44+50</f>
        <v>1145</v>
      </c>
      <c r="V45">
        <f t="shared" si="12"/>
        <v>188925000</v>
      </c>
      <c r="W45">
        <f t="shared" si="10"/>
        <v>112726500</v>
      </c>
      <c r="Z45">
        <v>300000000</v>
      </c>
    </row>
    <row r="46" spans="1:26" x14ac:dyDescent="0.3">
      <c r="A46" s="2" t="s">
        <v>53</v>
      </c>
      <c r="B46" s="9">
        <v>0</v>
      </c>
      <c r="C46" s="9">
        <v>0</v>
      </c>
      <c r="D46" s="9">
        <v>0</v>
      </c>
      <c r="E46" s="14">
        <v>0.5</v>
      </c>
      <c r="F46" s="14">
        <v>0.3</v>
      </c>
      <c r="G46" s="9">
        <v>0</v>
      </c>
      <c r="H46" s="9">
        <v>0</v>
      </c>
      <c r="I46" s="13"/>
      <c r="J46" s="7">
        <v>60000</v>
      </c>
      <c r="K46" s="7" t="s">
        <v>79</v>
      </c>
      <c r="L46" s="11">
        <f t="shared" ref="L46:L49" si="20">120000*U46</f>
        <v>143400000</v>
      </c>
      <c r="T46" s="33"/>
      <c r="U46" s="7">
        <f t="shared" ref="U46:U49" si="21">U45+50</f>
        <v>1195</v>
      </c>
      <c r="V46">
        <f t="shared" si="12"/>
        <v>215100000</v>
      </c>
      <c r="W46">
        <f t="shared" si="10"/>
        <v>327826500</v>
      </c>
      <c r="Z46">
        <v>350000000</v>
      </c>
    </row>
    <row r="47" spans="1:26" x14ac:dyDescent="0.3">
      <c r="A47" s="2" t="s">
        <v>54</v>
      </c>
      <c r="B47" s="9">
        <v>0</v>
      </c>
      <c r="C47" s="9">
        <v>0</v>
      </c>
      <c r="D47" s="9">
        <v>0</v>
      </c>
      <c r="E47" s="14">
        <v>0.1</v>
      </c>
      <c r="F47" s="14">
        <v>0.3</v>
      </c>
      <c r="G47" s="9">
        <v>0</v>
      </c>
      <c r="H47" s="9">
        <v>0</v>
      </c>
      <c r="I47" s="13"/>
      <c r="J47" s="7">
        <v>65000</v>
      </c>
      <c r="K47" s="7" t="s">
        <v>79</v>
      </c>
      <c r="L47" s="11">
        <f t="shared" si="20"/>
        <v>149400000</v>
      </c>
      <c r="T47" s="33"/>
      <c r="U47" s="7">
        <f t="shared" si="21"/>
        <v>1245</v>
      </c>
      <c r="V47">
        <f t="shared" si="12"/>
        <v>242775000</v>
      </c>
      <c r="W47">
        <f t="shared" si="10"/>
        <v>570601500</v>
      </c>
      <c r="Z47">
        <v>400000000</v>
      </c>
    </row>
    <row r="48" spans="1:26" x14ac:dyDescent="0.3">
      <c r="A48" s="2" t="s">
        <v>55</v>
      </c>
      <c r="B48" s="9">
        <v>0</v>
      </c>
      <c r="C48" s="9">
        <v>0</v>
      </c>
      <c r="D48" s="9">
        <v>0</v>
      </c>
      <c r="E48" s="14">
        <v>0.1</v>
      </c>
      <c r="F48" s="14">
        <v>0.4</v>
      </c>
      <c r="G48" s="9">
        <v>0</v>
      </c>
      <c r="H48" s="9">
        <v>0</v>
      </c>
      <c r="I48" s="13"/>
      <c r="J48" s="7">
        <v>70000</v>
      </c>
      <c r="K48" s="7" t="s">
        <v>82</v>
      </c>
      <c r="L48" s="11">
        <f t="shared" si="20"/>
        <v>155400000</v>
      </c>
      <c r="T48" s="33"/>
      <c r="U48" s="7">
        <f t="shared" si="21"/>
        <v>1295</v>
      </c>
      <c r="V48">
        <f t="shared" si="12"/>
        <v>271950000</v>
      </c>
      <c r="W48">
        <f t="shared" si="10"/>
        <v>842551500</v>
      </c>
      <c r="Z48">
        <v>450000000</v>
      </c>
    </row>
    <row r="49" spans="1:26" x14ac:dyDescent="0.3">
      <c r="A49" s="2" t="s">
        <v>56</v>
      </c>
      <c r="B49" s="9">
        <v>0</v>
      </c>
      <c r="C49" s="9">
        <v>0</v>
      </c>
      <c r="D49" s="9">
        <v>0</v>
      </c>
      <c r="E49" s="14">
        <v>0.1</v>
      </c>
      <c r="F49" s="14">
        <v>0.4</v>
      </c>
      <c r="G49" s="9">
        <v>0</v>
      </c>
      <c r="H49" s="9">
        <v>0</v>
      </c>
      <c r="I49" s="13"/>
      <c r="J49" s="7">
        <v>75000</v>
      </c>
      <c r="K49" s="7" t="s">
        <v>82</v>
      </c>
      <c r="L49" s="27">
        <f t="shared" si="20"/>
        <v>161400000</v>
      </c>
      <c r="N49" s="38">
        <v>380000</v>
      </c>
      <c r="T49" s="33"/>
      <c r="U49" s="7">
        <f t="shared" si="21"/>
        <v>1345</v>
      </c>
      <c r="V49">
        <f t="shared" si="12"/>
        <v>302625000</v>
      </c>
      <c r="W49">
        <f t="shared" si="10"/>
        <v>1145176500</v>
      </c>
      <c r="X49">
        <v>1000000000</v>
      </c>
      <c r="Y49">
        <f>W49-X49</f>
        <v>145176500</v>
      </c>
      <c r="Z49">
        <v>500000000</v>
      </c>
    </row>
    <row r="50" spans="1:26" x14ac:dyDescent="0.3">
      <c r="A50" s="2" t="s">
        <v>57</v>
      </c>
      <c r="B50" s="9">
        <v>0</v>
      </c>
      <c r="C50" s="9">
        <v>0</v>
      </c>
      <c r="D50" s="9">
        <v>0</v>
      </c>
      <c r="E50" s="14">
        <v>0.1</v>
      </c>
      <c r="F50" s="14">
        <v>0.5</v>
      </c>
      <c r="G50" s="9">
        <v>0</v>
      </c>
      <c r="H50" s="9">
        <v>0</v>
      </c>
      <c r="I50" s="13"/>
      <c r="J50" s="7">
        <v>80000</v>
      </c>
      <c r="K50" s="7" t="s">
        <v>80</v>
      </c>
      <c r="L50" s="11">
        <f>380000*U50</f>
        <v>549100000</v>
      </c>
      <c r="T50" s="33"/>
      <c r="U50" s="7">
        <f>U49+100</f>
        <v>1445</v>
      </c>
      <c r="V50">
        <f t="shared" si="12"/>
        <v>346800000</v>
      </c>
      <c r="W50">
        <f t="shared" si="10"/>
        <v>491976500</v>
      </c>
      <c r="Z50">
        <v>550000000</v>
      </c>
    </row>
    <row r="51" spans="1:26" ht="17.25" thickBot="1" x14ac:dyDescent="0.35">
      <c r="A51" s="15" t="s">
        <v>58</v>
      </c>
      <c r="B51" s="17">
        <v>0</v>
      </c>
      <c r="C51" s="17">
        <v>0</v>
      </c>
      <c r="D51" s="17">
        <v>0</v>
      </c>
      <c r="E51" s="16">
        <v>0.1</v>
      </c>
      <c r="F51" s="16">
        <v>0.5</v>
      </c>
      <c r="G51" s="17">
        <v>0</v>
      </c>
      <c r="H51" s="17">
        <v>0</v>
      </c>
      <c r="I51" s="18"/>
      <c r="J51" s="7">
        <v>85000</v>
      </c>
      <c r="K51" s="19" t="s">
        <v>80</v>
      </c>
      <c r="L51" s="20">
        <f t="shared" ref="L51:L54" si="22">380000*U51</f>
        <v>587100000</v>
      </c>
      <c r="T51" s="33"/>
      <c r="U51" s="7">
        <f t="shared" ref="U51:U54" si="23">U50+100</f>
        <v>1545</v>
      </c>
      <c r="V51">
        <f t="shared" si="12"/>
        <v>393975000</v>
      </c>
      <c r="W51">
        <f t="shared" si="10"/>
        <v>885951500</v>
      </c>
      <c r="Z51">
        <v>600000000</v>
      </c>
    </row>
    <row r="52" spans="1:26" x14ac:dyDescent="0.3">
      <c r="A52" s="2" t="s">
        <v>59</v>
      </c>
      <c r="B52" s="9">
        <v>0</v>
      </c>
      <c r="C52" s="9">
        <v>0</v>
      </c>
      <c r="D52" s="9">
        <v>0</v>
      </c>
      <c r="E52" s="9">
        <v>0</v>
      </c>
      <c r="F52" s="14">
        <v>0.5</v>
      </c>
      <c r="G52" s="14">
        <v>0.1</v>
      </c>
      <c r="H52" s="9">
        <v>0</v>
      </c>
      <c r="I52" s="13"/>
      <c r="J52" s="7">
        <v>90000</v>
      </c>
      <c r="K52" s="7">
        <v>1</v>
      </c>
      <c r="L52" s="11">
        <f t="shared" si="22"/>
        <v>625100000</v>
      </c>
      <c r="M52" s="37">
        <v>1000000</v>
      </c>
      <c r="T52" s="33"/>
      <c r="U52" s="7">
        <f t="shared" si="23"/>
        <v>1645</v>
      </c>
      <c r="V52">
        <f t="shared" si="12"/>
        <v>444150000</v>
      </c>
      <c r="W52">
        <f t="shared" si="10"/>
        <v>1330101500</v>
      </c>
    </row>
    <row r="53" spans="1:26" x14ac:dyDescent="0.3">
      <c r="A53" s="2" t="s">
        <v>60</v>
      </c>
      <c r="B53" s="9">
        <v>0</v>
      </c>
      <c r="C53" s="9">
        <v>0</v>
      </c>
      <c r="D53" s="9">
        <v>0</v>
      </c>
      <c r="E53" s="9">
        <v>0</v>
      </c>
      <c r="F53" s="14">
        <v>0.5</v>
      </c>
      <c r="G53" s="14">
        <v>0.1</v>
      </c>
      <c r="H53" s="9">
        <v>0</v>
      </c>
      <c r="I53" s="13"/>
      <c r="J53" s="7">
        <v>100000</v>
      </c>
      <c r="K53" s="7">
        <v>1</v>
      </c>
      <c r="L53" s="11">
        <f t="shared" si="22"/>
        <v>663100000</v>
      </c>
      <c r="T53" s="33"/>
      <c r="U53" s="7">
        <f t="shared" si="23"/>
        <v>1745</v>
      </c>
      <c r="V53">
        <f t="shared" si="12"/>
        <v>523500000</v>
      </c>
      <c r="W53">
        <f t="shared" si="10"/>
        <v>1853601500</v>
      </c>
      <c r="Z53">
        <v>1000000000</v>
      </c>
    </row>
    <row r="54" spans="1:26" x14ac:dyDescent="0.3">
      <c r="A54" s="2" t="s">
        <v>61</v>
      </c>
      <c r="B54" s="9">
        <v>0</v>
      </c>
      <c r="C54" s="9">
        <v>0</v>
      </c>
      <c r="D54" s="9">
        <v>0</v>
      </c>
      <c r="E54" s="9">
        <v>0</v>
      </c>
      <c r="F54" s="14">
        <v>0.5</v>
      </c>
      <c r="G54" s="14">
        <v>0.2</v>
      </c>
      <c r="H54" s="9">
        <v>0</v>
      </c>
      <c r="I54" s="13"/>
      <c r="J54" s="7">
        <v>110000</v>
      </c>
      <c r="K54" s="7" t="s">
        <v>83</v>
      </c>
      <c r="L54" s="27">
        <f t="shared" si="22"/>
        <v>701100000</v>
      </c>
      <c r="N54" s="38">
        <v>700000</v>
      </c>
      <c r="T54" s="33"/>
      <c r="U54" s="7">
        <f t="shared" si="23"/>
        <v>1845</v>
      </c>
      <c r="V54">
        <f t="shared" si="12"/>
        <v>608850000</v>
      </c>
      <c r="W54">
        <f t="shared" si="10"/>
        <v>2462451500</v>
      </c>
      <c r="X54">
        <v>2000000000</v>
      </c>
      <c r="Y54">
        <f>W54-X54</f>
        <v>462451500</v>
      </c>
      <c r="Z54">
        <v>1200000000</v>
      </c>
    </row>
    <row r="55" spans="1:26" x14ac:dyDescent="0.3">
      <c r="A55" s="2" t="s">
        <v>62</v>
      </c>
      <c r="B55" s="9">
        <v>0</v>
      </c>
      <c r="C55" s="9">
        <v>0</v>
      </c>
      <c r="D55" s="9">
        <v>0</v>
      </c>
      <c r="E55" s="9">
        <v>0</v>
      </c>
      <c r="F55" s="14">
        <v>0.5</v>
      </c>
      <c r="G55" s="14">
        <v>0.2</v>
      </c>
      <c r="H55" s="9">
        <v>0</v>
      </c>
      <c r="I55" s="13"/>
      <c r="J55" s="7">
        <v>120000</v>
      </c>
      <c r="K55" s="7" t="s">
        <v>83</v>
      </c>
      <c r="L55" s="11">
        <f>700000*U55</f>
        <v>1396500000</v>
      </c>
      <c r="T55" s="33"/>
      <c r="U55" s="7">
        <f>U54+150</f>
        <v>1995</v>
      </c>
      <c r="V55">
        <f t="shared" si="12"/>
        <v>718200000</v>
      </c>
      <c r="W55">
        <f t="shared" si="10"/>
        <v>1180651500</v>
      </c>
      <c r="Z55">
        <v>1400000000</v>
      </c>
    </row>
    <row r="56" spans="1:26" x14ac:dyDescent="0.3">
      <c r="A56" s="2" t="s">
        <v>63</v>
      </c>
      <c r="B56" s="9">
        <v>0</v>
      </c>
      <c r="C56" s="9">
        <v>0</v>
      </c>
      <c r="D56" s="9">
        <v>0</v>
      </c>
      <c r="E56" s="9">
        <v>0</v>
      </c>
      <c r="F56" s="14">
        <v>0.5</v>
      </c>
      <c r="G56" s="14">
        <v>0.3</v>
      </c>
      <c r="H56" s="9">
        <v>0</v>
      </c>
      <c r="I56" s="13"/>
      <c r="J56" s="7">
        <v>130000</v>
      </c>
      <c r="K56" s="7" t="s">
        <v>79</v>
      </c>
      <c r="L56" s="11">
        <f t="shared" ref="L56:L58" si="24">700000*U56</f>
        <v>1501500000</v>
      </c>
      <c r="T56" s="33"/>
      <c r="U56" s="7">
        <f t="shared" ref="U56:U58" si="25">U55+150</f>
        <v>2145</v>
      </c>
      <c r="V56">
        <f t="shared" si="12"/>
        <v>836550000</v>
      </c>
      <c r="W56">
        <f t="shared" si="10"/>
        <v>2017201500</v>
      </c>
      <c r="Z56">
        <v>1600000000</v>
      </c>
    </row>
    <row r="57" spans="1:26" x14ac:dyDescent="0.3">
      <c r="A57" s="2" t="s">
        <v>64</v>
      </c>
      <c r="B57" s="9">
        <v>0</v>
      </c>
      <c r="C57" s="9">
        <v>0</v>
      </c>
      <c r="D57" s="9">
        <v>0</v>
      </c>
      <c r="E57" s="9">
        <v>0</v>
      </c>
      <c r="F57" s="14">
        <v>0.1</v>
      </c>
      <c r="G57" s="14">
        <v>0.3</v>
      </c>
      <c r="H57" s="9">
        <v>0</v>
      </c>
      <c r="I57" s="13"/>
      <c r="J57" s="7">
        <v>140000</v>
      </c>
      <c r="K57" s="7" t="s">
        <v>79</v>
      </c>
      <c r="L57" s="11">
        <f t="shared" si="24"/>
        <v>1606500000</v>
      </c>
      <c r="T57" s="33"/>
      <c r="U57" s="7">
        <f t="shared" si="25"/>
        <v>2295</v>
      </c>
      <c r="V57">
        <f t="shared" si="12"/>
        <v>963900000</v>
      </c>
      <c r="W57">
        <f t="shared" si="10"/>
        <v>2981101500</v>
      </c>
      <c r="Z57">
        <v>1800000000</v>
      </c>
    </row>
    <row r="58" spans="1:26" x14ac:dyDescent="0.3">
      <c r="A58" s="2" t="s">
        <v>65</v>
      </c>
      <c r="B58" s="9">
        <v>0</v>
      </c>
      <c r="C58" s="9">
        <v>0</v>
      </c>
      <c r="D58" s="9">
        <v>0</v>
      </c>
      <c r="E58" s="9">
        <v>0</v>
      </c>
      <c r="F58" s="14">
        <v>0.1</v>
      </c>
      <c r="G58" s="14">
        <v>0.4</v>
      </c>
      <c r="H58" s="9">
        <v>0</v>
      </c>
      <c r="I58" s="13"/>
      <c r="J58" s="7">
        <v>150000</v>
      </c>
      <c r="K58" s="7" t="s">
        <v>82</v>
      </c>
      <c r="L58" s="27">
        <f t="shared" si="24"/>
        <v>1711500000</v>
      </c>
      <c r="N58" s="38">
        <v>1100000</v>
      </c>
      <c r="T58" s="33"/>
      <c r="U58" s="7">
        <f t="shared" si="25"/>
        <v>2445</v>
      </c>
      <c r="V58">
        <f t="shared" si="12"/>
        <v>1100250000</v>
      </c>
      <c r="W58">
        <f t="shared" si="10"/>
        <v>4081351500</v>
      </c>
      <c r="X58">
        <v>3500000000</v>
      </c>
      <c r="Y58">
        <f>W58-X58</f>
        <v>581351500</v>
      </c>
      <c r="Z58">
        <v>2000000000</v>
      </c>
    </row>
    <row r="59" spans="1:26" x14ac:dyDescent="0.3">
      <c r="A59" s="2" t="s">
        <v>66</v>
      </c>
      <c r="B59" s="9">
        <v>0</v>
      </c>
      <c r="C59" s="9">
        <v>0</v>
      </c>
      <c r="D59" s="9">
        <v>0</v>
      </c>
      <c r="E59" s="9">
        <v>0</v>
      </c>
      <c r="F59" s="14">
        <v>0.1</v>
      </c>
      <c r="G59" s="14">
        <v>0.4</v>
      </c>
      <c r="H59" s="9">
        <v>0</v>
      </c>
      <c r="I59" s="13"/>
      <c r="J59" s="7">
        <v>160000</v>
      </c>
      <c r="K59" s="7" t="s">
        <v>82</v>
      </c>
      <c r="L59" s="11">
        <f>1100000*U59</f>
        <v>2909500000</v>
      </c>
      <c r="T59" s="33"/>
      <c r="U59" s="7">
        <f>U58+200</f>
        <v>2645</v>
      </c>
      <c r="V59">
        <f t="shared" si="12"/>
        <v>1269600000</v>
      </c>
      <c r="W59">
        <f t="shared" si="10"/>
        <v>1850951500</v>
      </c>
      <c r="Z59">
        <v>2200000000</v>
      </c>
    </row>
    <row r="60" spans="1:26" x14ac:dyDescent="0.3">
      <c r="A60" s="2" t="s">
        <v>67</v>
      </c>
      <c r="B60" s="9">
        <v>0</v>
      </c>
      <c r="C60" s="9">
        <v>0</v>
      </c>
      <c r="D60" s="9">
        <v>0</v>
      </c>
      <c r="E60" s="9">
        <v>0</v>
      </c>
      <c r="F60" s="14">
        <v>0.1</v>
      </c>
      <c r="G60" s="14">
        <v>0.5</v>
      </c>
      <c r="H60" s="9">
        <v>0</v>
      </c>
      <c r="I60" s="13"/>
      <c r="J60" s="7">
        <v>170000</v>
      </c>
      <c r="K60" s="7" t="s">
        <v>80</v>
      </c>
      <c r="L60" s="11">
        <f t="shared" ref="L60:L62" si="26">1100000*U60</f>
        <v>3129500000</v>
      </c>
      <c r="T60" s="33"/>
      <c r="U60" s="7">
        <f t="shared" ref="U60:U62" si="27">U59+200</f>
        <v>2845</v>
      </c>
      <c r="V60">
        <f t="shared" si="12"/>
        <v>1450950000</v>
      </c>
      <c r="W60">
        <f t="shared" si="10"/>
        <v>3301901500</v>
      </c>
      <c r="Z60">
        <v>2400000000</v>
      </c>
    </row>
    <row r="61" spans="1:26" ht="17.25" thickBot="1" x14ac:dyDescent="0.35">
      <c r="A61" s="15" t="s">
        <v>68</v>
      </c>
      <c r="B61" s="17">
        <v>0</v>
      </c>
      <c r="C61" s="17">
        <v>0</v>
      </c>
      <c r="D61" s="17">
        <v>0</v>
      </c>
      <c r="E61" s="17">
        <v>0</v>
      </c>
      <c r="F61" s="16">
        <v>0.1</v>
      </c>
      <c r="G61" s="16">
        <v>0.5</v>
      </c>
      <c r="H61" s="17">
        <v>0</v>
      </c>
      <c r="I61" s="18"/>
      <c r="J61" s="7">
        <v>180000</v>
      </c>
      <c r="K61" s="19" t="s">
        <v>80</v>
      </c>
      <c r="L61" s="11">
        <f t="shared" si="26"/>
        <v>3349500000</v>
      </c>
      <c r="T61" s="33"/>
      <c r="U61" s="7">
        <f t="shared" si="27"/>
        <v>3045</v>
      </c>
      <c r="V61">
        <f t="shared" si="12"/>
        <v>1644300000</v>
      </c>
      <c r="W61">
        <f t="shared" si="10"/>
        <v>4946201500</v>
      </c>
      <c r="Z61">
        <v>2600000000</v>
      </c>
    </row>
    <row r="62" spans="1:26" x14ac:dyDescent="0.3">
      <c r="A62" s="2" t="s">
        <v>69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14">
        <v>0.5</v>
      </c>
      <c r="H62" s="14">
        <v>0.1</v>
      </c>
      <c r="I62" s="13"/>
      <c r="J62" s="7">
        <v>200000</v>
      </c>
      <c r="K62" s="7">
        <v>1</v>
      </c>
      <c r="L62" s="27">
        <f t="shared" si="26"/>
        <v>3569500000</v>
      </c>
      <c r="M62" s="37">
        <v>4100000</v>
      </c>
      <c r="N62" s="38">
        <v>4000000</v>
      </c>
      <c r="T62" s="33"/>
      <c r="U62" s="7">
        <f t="shared" si="27"/>
        <v>3245</v>
      </c>
      <c r="V62">
        <f t="shared" ref="V62:V93" si="28">((J62 * U62 + (J62 * 5 * U62))/2)</f>
        <v>1947000000</v>
      </c>
      <c r="W62">
        <f t="shared" si="10"/>
        <v>6893201500</v>
      </c>
      <c r="X62">
        <v>6000000000</v>
      </c>
      <c r="Y62">
        <f>W62-X62</f>
        <v>893201500</v>
      </c>
    </row>
    <row r="63" spans="1:26" x14ac:dyDescent="0.3">
      <c r="A63" s="2" t="s">
        <v>70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14">
        <v>0.5</v>
      </c>
      <c r="H63" s="14">
        <v>0.1</v>
      </c>
      <c r="I63" s="13"/>
      <c r="J63" s="7">
        <v>215000</v>
      </c>
      <c r="K63" s="7">
        <v>1</v>
      </c>
      <c r="L63" s="11">
        <f>4000000*U63</f>
        <v>13980000000</v>
      </c>
      <c r="T63" s="33"/>
      <c r="U63" s="7">
        <f>U62+250</f>
        <v>3495</v>
      </c>
      <c r="V63">
        <f t="shared" si="28"/>
        <v>2254275000</v>
      </c>
      <c r="W63">
        <f t="shared" si="10"/>
        <v>3147476500</v>
      </c>
      <c r="Z63">
        <v>7000000000</v>
      </c>
    </row>
    <row r="64" spans="1:26" x14ac:dyDescent="0.3">
      <c r="A64" s="2" t="s">
        <v>71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14">
        <v>0.5</v>
      </c>
      <c r="H64" s="14">
        <v>0.2</v>
      </c>
      <c r="I64" s="13"/>
      <c r="J64" s="7">
        <v>230000</v>
      </c>
      <c r="K64" s="7" t="s">
        <v>83</v>
      </c>
      <c r="L64" s="11">
        <f t="shared" ref="L64:L66" si="29">4000000*U64</f>
        <v>14980000000</v>
      </c>
      <c r="T64" s="33"/>
      <c r="U64" s="7">
        <f t="shared" ref="U64:U66" si="30">U63+250</f>
        <v>3745</v>
      </c>
      <c r="V64">
        <f t="shared" si="28"/>
        <v>2584050000</v>
      </c>
      <c r="W64">
        <f t="shared" si="10"/>
        <v>5731526500</v>
      </c>
      <c r="Z64">
        <v>7200000000</v>
      </c>
    </row>
    <row r="65" spans="1:26" x14ac:dyDescent="0.3">
      <c r="A65" s="2" t="s">
        <v>72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14">
        <v>0.5</v>
      </c>
      <c r="H65" s="14">
        <v>0.2</v>
      </c>
      <c r="I65" s="13"/>
      <c r="J65" s="7">
        <v>245000</v>
      </c>
      <c r="K65" s="7" t="s">
        <v>83</v>
      </c>
      <c r="L65" s="11">
        <f t="shared" si="29"/>
        <v>15980000000</v>
      </c>
      <c r="T65" s="33"/>
      <c r="U65" s="7">
        <f t="shared" si="30"/>
        <v>3995</v>
      </c>
      <c r="V65">
        <f t="shared" si="28"/>
        <v>2936325000</v>
      </c>
      <c r="W65">
        <f t="shared" si="10"/>
        <v>8667851500</v>
      </c>
      <c r="Z65">
        <v>7400000000</v>
      </c>
    </row>
    <row r="66" spans="1:26" x14ac:dyDescent="0.3">
      <c r="A66" s="2" t="s">
        <v>73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14">
        <v>0.5</v>
      </c>
      <c r="H66" s="14">
        <v>0.3</v>
      </c>
      <c r="I66" s="13"/>
      <c r="J66" s="7">
        <v>260000</v>
      </c>
      <c r="K66" s="7" t="s">
        <v>79</v>
      </c>
      <c r="L66" s="27">
        <f t="shared" si="29"/>
        <v>16980000000</v>
      </c>
      <c r="N66" s="38">
        <v>9700000</v>
      </c>
      <c r="T66" s="33"/>
      <c r="U66" s="7">
        <f t="shared" si="30"/>
        <v>4245</v>
      </c>
      <c r="V66">
        <f t="shared" si="28"/>
        <v>3311100000</v>
      </c>
      <c r="W66">
        <f t="shared" si="10"/>
        <v>11978951500</v>
      </c>
      <c r="X66">
        <v>10000000000</v>
      </c>
      <c r="Y66">
        <f>W66-X66</f>
        <v>1978951500</v>
      </c>
      <c r="Z66">
        <v>7600000000</v>
      </c>
    </row>
    <row r="67" spans="1:26" x14ac:dyDescent="0.3">
      <c r="A67" s="2" t="s">
        <v>74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14">
        <v>0.1</v>
      </c>
      <c r="H67" s="14">
        <v>0.3</v>
      </c>
      <c r="I67" s="13"/>
      <c r="J67" s="7">
        <v>275000</v>
      </c>
      <c r="K67" s="7" t="s">
        <v>79</v>
      </c>
      <c r="L67" s="11">
        <f>9700000*U67</f>
        <v>44086500000</v>
      </c>
      <c r="T67" s="33"/>
      <c r="U67" s="7">
        <f>U66+300</f>
        <v>4545</v>
      </c>
      <c r="V67">
        <f t="shared" si="28"/>
        <v>3749625000</v>
      </c>
      <c r="W67">
        <f t="shared" si="10"/>
        <v>5728576500</v>
      </c>
      <c r="Z67">
        <v>7800000000</v>
      </c>
    </row>
    <row r="68" spans="1:26" x14ac:dyDescent="0.3">
      <c r="A68" s="2" t="s">
        <v>75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14">
        <v>0.1</v>
      </c>
      <c r="H68" s="14">
        <v>0.4</v>
      </c>
      <c r="I68" s="13"/>
      <c r="J68" s="7">
        <v>290000</v>
      </c>
      <c r="K68" s="7" t="s">
        <v>82</v>
      </c>
      <c r="L68" s="11">
        <f t="shared" ref="L68:L70" si="31">9700000*U68</f>
        <v>46996500000</v>
      </c>
      <c r="T68" s="33"/>
      <c r="U68" s="7">
        <f t="shared" ref="U68:U70" si="32">U67+300</f>
        <v>4845</v>
      </c>
      <c r="V68">
        <f t="shared" si="28"/>
        <v>4215150000</v>
      </c>
      <c r="W68">
        <f t="shared" si="10"/>
        <v>9943726500</v>
      </c>
      <c r="Z68">
        <v>8000000000</v>
      </c>
    </row>
    <row r="69" spans="1:26" x14ac:dyDescent="0.3">
      <c r="A69" s="2" t="s">
        <v>76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14">
        <v>0.1</v>
      </c>
      <c r="H69" s="14">
        <v>0.4</v>
      </c>
      <c r="I69" s="13"/>
      <c r="J69" s="7">
        <v>305000</v>
      </c>
      <c r="K69" s="7" t="s">
        <v>82</v>
      </c>
      <c r="L69" s="11">
        <f t="shared" si="31"/>
        <v>49906500000</v>
      </c>
      <c r="O69" s="7">
        <v>82800000000</v>
      </c>
      <c r="T69" s="33"/>
      <c r="U69" s="7">
        <f t="shared" si="32"/>
        <v>5145</v>
      </c>
      <c r="V69">
        <f t="shared" si="28"/>
        <v>4707675000</v>
      </c>
      <c r="W69">
        <f t="shared" si="10"/>
        <v>14651401500</v>
      </c>
      <c r="Z69">
        <v>8200000000</v>
      </c>
    </row>
    <row r="70" spans="1:26" x14ac:dyDescent="0.3">
      <c r="A70" s="2" t="s">
        <v>77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14">
        <v>0.1</v>
      </c>
      <c r="H70" s="14">
        <v>0.5</v>
      </c>
      <c r="I70" s="13"/>
      <c r="J70" s="7">
        <v>320000</v>
      </c>
      <c r="K70" s="7" t="s">
        <v>80</v>
      </c>
      <c r="L70" s="27">
        <f t="shared" si="31"/>
        <v>52816500000</v>
      </c>
      <c r="N70" s="38">
        <v>13400000</v>
      </c>
      <c r="T70" s="33"/>
      <c r="U70" s="7">
        <f t="shared" si="32"/>
        <v>5445</v>
      </c>
      <c r="V70">
        <f t="shared" si="28"/>
        <v>5227200000</v>
      </c>
      <c r="W70">
        <f t="shared" si="10"/>
        <v>19878601500</v>
      </c>
      <c r="X70">
        <v>15000000000</v>
      </c>
      <c r="Y70">
        <f>W70-X70</f>
        <v>4878601500</v>
      </c>
      <c r="Z70">
        <v>8400000000</v>
      </c>
    </row>
    <row r="71" spans="1:26" ht="17.25" thickBot="1" x14ac:dyDescent="0.35">
      <c r="A71" s="15" t="s">
        <v>78</v>
      </c>
      <c r="B71" s="17">
        <v>0</v>
      </c>
      <c r="C71" s="17">
        <v>0</v>
      </c>
      <c r="D71" s="17">
        <v>0</v>
      </c>
      <c r="E71" s="17">
        <v>0</v>
      </c>
      <c r="F71" s="17">
        <v>0</v>
      </c>
      <c r="G71" s="16">
        <v>0.1</v>
      </c>
      <c r="H71" s="16">
        <v>0.5</v>
      </c>
      <c r="I71" s="18"/>
      <c r="J71" s="7">
        <v>335000</v>
      </c>
      <c r="K71" s="19" t="s">
        <v>80</v>
      </c>
      <c r="L71" s="11">
        <f>13400000*U71</f>
        <v>76983000000</v>
      </c>
      <c r="T71" s="33"/>
      <c r="U71" s="7">
        <f>U70+300</f>
        <v>5745</v>
      </c>
      <c r="V71">
        <f t="shared" si="28"/>
        <v>5773725000</v>
      </c>
      <c r="W71">
        <f t="shared" si="10"/>
        <v>10652326500</v>
      </c>
      <c r="Z71">
        <v>8600000000</v>
      </c>
    </row>
    <row r="72" spans="1:26" x14ac:dyDescent="0.3">
      <c r="A72" s="2" t="s">
        <v>121</v>
      </c>
      <c r="B72" s="9">
        <v>0.05</v>
      </c>
      <c r="C72" s="9">
        <v>0.05</v>
      </c>
      <c r="D72" s="9">
        <v>0.05</v>
      </c>
      <c r="E72" s="9">
        <v>0.05</v>
      </c>
      <c r="F72" s="9">
        <v>0.1</v>
      </c>
      <c r="G72" s="9">
        <v>0.1</v>
      </c>
      <c r="H72" s="9">
        <v>0.1</v>
      </c>
      <c r="I72" s="13">
        <v>0.93</v>
      </c>
      <c r="J72" s="7">
        <f>J71+20000</f>
        <v>355000</v>
      </c>
      <c r="L72" s="11">
        <v>76983000000</v>
      </c>
      <c r="M72" s="38">
        <v>21000000</v>
      </c>
      <c r="N72" s="37">
        <f>L72/M72</f>
        <v>3665.8571428571427</v>
      </c>
      <c r="O72">
        <f>$V72+$W71-$X71</f>
        <v>16770751500</v>
      </c>
      <c r="P72" s="29">
        <v>60</v>
      </c>
      <c r="T72" s="33"/>
      <c r="U72" s="7">
        <v>5745</v>
      </c>
      <c r="V72">
        <f t="shared" si="28"/>
        <v>6118425000</v>
      </c>
      <c r="W72">
        <f>$V72+$W71-$X71</f>
        <v>16770751500</v>
      </c>
    </row>
    <row r="73" spans="1:26" x14ac:dyDescent="0.3">
      <c r="A73" s="2" t="s">
        <v>122</v>
      </c>
      <c r="B73" s="9">
        <v>0.05</v>
      </c>
      <c r="C73" s="9">
        <v>0.05</v>
      </c>
      <c r="D73" s="9">
        <v>0.05</v>
      </c>
      <c r="E73" s="9">
        <v>0.05</v>
      </c>
      <c r="F73" s="9">
        <v>0.1</v>
      </c>
      <c r="G73" s="9">
        <v>0.1</v>
      </c>
      <c r="H73" s="9">
        <v>0.1</v>
      </c>
      <c r="I73" s="13">
        <v>0.93</v>
      </c>
      <c r="J73" s="7">
        <f t="shared" ref="J73:J81" si="33">J72+20000</f>
        <v>375000</v>
      </c>
      <c r="L73" s="11">
        <v>76983000000</v>
      </c>
      <c r="M73" s="37">
        <v>23000000</v>
      </c>
      <c r="O73">
        <f t="shared" ref="O73:O81" si="34">$V73+$W72-$X72</f>
        <v>23233876500</v>
      </c>
      <c r="P73" s="29">
        <v>55</v>
      </c>
      <c r="T73" s="33"/>
      <c r="U73" s="7">
        <v>5745</v>
      </c>
      <c r="V73">
        <f t="shared" si="28"/>
        <v>6463125000</v>
      </c>
      <c r="W73">
        <f t="shared" ref="W73:W81" si="35">$V73+$W72-$X72</f>
        <v>23233876500</v>
      </c>
      <c r="Z73">
        <v>10000000000</v>
      </c>
    </row>
    <row r="74" spans="1:26" x14ac:dyDescent="0.3">
      <c r="A74" s="2" t="s">
        <v>123</v>
      </c>
      <c r="B74" s="9">
        <v>0.05</v>
      </c>
      <c r="C74" s="9">
        <v>0.05</v>
      </c>
      <c r="D74" s="9">
        <v>0.05</v>
      </c>
      <c r="E74" s="9">
        <v>0.05</v>
      </c>
      <c r="F74" s="9">
        <v>0.1</v>
      </c>
      <c r="G74" s="9">
        <v>0.1</v>
      </c>
      <c r="H74" s="9">
        <v>0.1</v>
      </c>
      <c r="I74" s="13">
        <v>0.93</v>
      </c>
      <c r="J74" s="7">
        <f t="shared" si="33"/>
        <v>395000</v>
      </c>
      <c r="L74" s="11">
        <v>76983000000</v>
      </c>
      <c r="M74" s="38">
        <v>25000000</v>
      </c>
      <c r="O74">
        <f t="shared" si="34"/>
        <v>30041701500</v>
      </c>
      <c r="P74" s="29">
        <v>50</v>
      </c>
      <c r="T74" s="33"/>
      <c r="U74" s="7">
        <v>5745</v>
      </c>
      <c r="V74">
        <f t="shared" si="28"/>
        <v>6807825000</v>
      </c>
      <c r="W74">
        <f t="shared" si="35"/>
        <v>30041701500</v>
      </c>
      <c r="Z74">
        <v>11000000000</v>
      </c>
    </row>
    <row r="75" spans="1:26" x14ac:dyDescent="0.3">
      <c r="A75" s="2" t="s">
        <v>124</v>
      </c>
      <c r="B75" s="9">
        <v>0.05</v>
      </c>
      <c r="C75" s="9">
        <v>0.05</v>
      </c>
      <c r="D75" s="9">
        <v>0.05</v>
      </c>
      <c r="E75" s="9">
        <v>0.05</v>
      </c>
      <c r="F75" s="9">
        <v>0.1</v>
      </c>
      <c r="G75" s="9">
        <v>0.1</v>
      </c>
      <c r="H75" s="9">
        <v>0.1</v>
      </c>
      <c r="I75" s="13">
        <v>0.93</v>
      </c>
      <c r="J75" s="7">
        <f t="shared" si="33"/>
        <v>415000</v>
      </c>
      <c r="L75" s="11">
        <v>76983000000</v>
      </c>
      <c r="M75" s="37">
        <v>27000000</v>
      </c>
      <c r="O75">
        <f t="shared" si="34"/>
        <v>37194226500</v>
      </c>
      <c r="P75" s="29">
        <v>45</v>
      </c>
      <c r="T75" s="33"/>
      <c r="U75" s="7">
        <v>5745</v>
      </c>
      <c r="V75">
        <f t="shared" si="28"/>
        <v>7152525000</v>
      </c>
      <c r="W75">
        <f t="shared" si="35"/>
        <v>37194226500</v>
      </c>
      <c r="Z75">
        <v>12000000000</v>
      </c>
    </row>
    <row r="76" spans="1:26" x14ac:dyDescent="0.3">
      <c r="A76" s="2" t="s">
        <v>125</v>
      </c>
      <c r="B76" s="9">
        <v>0.05</v>
      </c>
      <c r="C76" s="9">
        <v>0.05</v>
      </c>
      <c r="D76" s="9">
        <v>0.05</v>
      </c>
      <c r="E76" s="9">
        <v>0.05</v>
      </c>
      <c r="F76" s="9">
        <v>0.1</v>
      </c>
      <c r="G76" s="9">
        <v>0.1</v>
      </c>
      <c r="H76" s="9">
        <v>0.1</v>
      </c>
      <c r="I76" s="13">
        <v>0.93</v>
      </c>
      <c r="J76" s="7">
        <f t="shared" si="33"/>
        <v>435000</v>
      </c>
      <c r="L76" s="11">
        <v>76983000000</v>
      </c>
      <c r="M76" s="38">
        <v>29000000</v>
      </c>
      <c r="O76">
        <f t="shared" si="34"/>
        <v>44691451500</v>
      </c>
      <c r="P76" s="29">
        <v>40</v>
      </c>
      <c r="T76" s="33"/>
      <c r="U76" s="7">
        <v>5745</v>
      </c>
      <c r="V76">
        <f t="shared" si="28"/>
        <v>7497225000</v>
      </c>
      <c r="W76">
        <f t="shared" si="35"/>
        <v>44691451500</v>
      </c>
      <c r="Z76">
        <v>13000000000</v>
      </c>
    </row>
    <row r="77" spans="1:26" x14ac:dyDescent="0.3">
      <c r="A77" s="2" t="s">
        <v>126</v>
      </c>
      <c r="B77" s="9">
        <v>0.05</v>
      </c>
      <c r="C77" s="9">
        <v>0.05</v>
      </c>
      <c r="D77" s="9">
        <v>0.05</v>
      </c>
      <c r="E77" s="9">
        <v>0.05</v>
      </c>
      <c r="F77" s="9">
        <v>0.1</v>
      </c>
      <c r="G77" s="9">
        <v>0.1</v>
      </c>
      <c r="H77" s="9">
        <v>0.1</v>
      </c>
      <c r="I77" s="13">
        <v>0.93</v>
      </c>
      <c r="J77" s="7">
        <f t="shared" si="33"/>
        <v>455000</v>
      </c>
      <c r="L77" s="11">
        <v>76983000000</v>
      </c>
      <c r="M77" s="37">
        <v>31000000</v>
      </c>
      <c r="O77">
        <f t="shared" si="34"/>
        <v>52533376500</v>
      </c>
      <c r="P77" s="29">
        <v>35</v>
      </c>
      <c r="T77" s="33"/>
      <c r="U77" s="7">
        <v>5745</v>
      </c>
      <c r="V77">
        <f t="shared" si="28"/>
        <v>7841925000</v>
      </c>
      <c r="W77">
        <f t="shared" si="35"/>
        <v>52533376500</v>
      </c>
      <c r="Z77">
        <v>14000000000</v>
      </c>
    </row>
    <row r="78" spans="1:26" x14ac:dyDescent="0.3">
      <c r="A78" s="2" t="s">
        <v>127</v>
      </c>
      <c r="B78" s="9">
        <v>0.05</v>
      </c>
      <c r="C78" s="9">
        <v>0.05</v>
      </c>
      <c r="D78" s="9">
        <v>0.05</v>
      </c>
      <c r="E78" s="9">
        <v>0.05</v>
      </c>
      <c r="F78" s="9">
        <v>0.1</v>
      </c>
      <c r="G78" s="9">
        <v>0.1</v>
      </c>
      <c r="H78" s="9">
        <v>0.1</v>
      </c>
      <c r="I78" s="13">
        <v>0.93</v>
      </c>
      <c r="J78" s="7">
        <f t="shared" si="33"/>
        <v>475000</v>
      </c>
      <c r="L78" s="11">
        <v>76983000000</v>
      </c>
      <c r="M78" s="38">
        <v>33000000</v>
      </c>
      <c r="O78">
        <f t="shared" si="34"/>
        <v>60720001500</v>
      </c>
      <c r="P78" s="29">
        <v>30</v>
      </c>
      <c r="T78" s="33"/>
      <c r="U78" s="7">
        <v>5745</v>
      </c>
      <c r="V78">
        <f t="shared" si="28"/>
        <v>8186625000</v>
      </c>
      <c r="W78">
        <f t="shared" si="35"/>
        <v>60720001500</v>
      </c>
      <c r="Z78">
        <v>15000000000</v>
      </c>
    </row>
    <row r="79" spans="1:26" x14ac:dyDescent="0.3">
      <c r="A79" s="2" t="s">
        <v>128</v>
      </c>
      <c r="B79" s="9">
        <v>0.05</v>
      </c>
      <c r="C79" s="9">
        <v>0.05</v>
      </c>
      <c r="D79" s="9">
        <v>0.05</v>
      </c>
      <c r="E79" s="9">
        <v>0.05</v>
      </c>
      <c r="F79" s="9">
        <v>0.1</v>
      </c>
      <c r="G79" s="9">
        <v>0.1</v>
      </c>
      <c r="H79" s="9">
        <v>0.1</v>
      </c>
      <c r="I79" s="13">
        <v>0.93</v>
      </c>
      <c r="J79" s="7">
        <f t="shared" si="33"/>
        <v>495000</v>
      </c>
      <c r="L79" s="11">
        <v>76983000000</v>
      </c>
      <c r="M79" s="37">
        <v>35000000</v>
      </c>
      <c r="O79">
        <f t="shared" si="34"/>
        <v>69251326500</v>
      </c>
      <c r="P79" s="29">
        <v>25</v>
      </c>
      <c r="T79" s="33"/>
      <c r="U79" s="7">
        <v>5745</v>
      </c>
      <c r="V79">
        <f t="shared" si="28"/>
        <v>8531325000</v>
      </c>
      <c r="W79">
        <f t="shared" si="35"/>
        <v>69251326500</v>
      </c>
      <c r="Z79">
        <v>16000000000</v>
      </c>
    </row>
    <row r="80" spans="1:26" x14ac:dyDescent="0.3">
      <c r="A80" s="2" t="s">
        <v>129</v>
      </c>
      <c r="B80" s="9">
        <v>0.05</v>
      </c>
      <c r="C80" s="9">
        <v>0.05</v>
      </c>
      <c r="D80" s="9">
        <v>0.05</v>
      </c>
      <c r="E80" s="9">
        <v>0.05</v>
      </c>
      <c r="F80" s="9">
        <v>0.1</v>
      </c>
      <c r="G80" s="9">
        <v>0.1</v>
      </c>
      <c r="H80" s="9">
        <v>0.1</v>
      </c>
      <c r="I80" s="13">
        <v>0.93</v>
      </c>
      <c r="J80" s="7">
        <f t="shared" si="33"/>
        <v>515000</v>
      </c>
      <c r="L80" s="11">
        <v>76983000000</v>
      </c>
      <c r="M80" s="38">
        <v>37000000</v>
      </c>
      <c r="O80">
        <f t="shared" si="34"/>
        <v>78127351500</v>
      </c>
      <c r="P80" s="29">
        <v>20</v>
      </c>
      <c r="T80" s="33"/>
      <c r="U80" s="7">
        <v>5745</v>
      </c>
      <c r="V80">
        <f t="shared" si="28"/>
        <v>8876025000</v>
      </c>
      <c r="W80">
        <f t="shared" si="35"/>
        <v>78127351500</v>
      </c>
      <c r="Z80">
        <v>17000000000</v>
      </c>
    </row>
    <row r="81" spans="1:26" x14ac:dyDescent="0.3">
      <c r="A81" s="2" t="s">
        <v>130</v>
      </c>
      <c r="B81" s="9">
        <v>0.05</v>
      </c>
      <c r="C81" s="9">
        <v>0.05</v>
      </c>
      <c r="D81" s="9">
        <v>0.05</v>
      </c>
      <c r="E81" s="9">
        <v>0.05</v>
      </c>
      <c r="F81" s="9">
        <v>0.1</v>
      </c>
      <c r="G81" s="9">
        <v>0.1</v>
      </c>
      <c r="H81" s="9">
        <v>0.1</v>
      </c>
      <c r="I81" s="13">
        <v>0.93</v>
      </c>
      <c r="J81" s="7">
        <f t="shared" si="33"/>
        <v>535000</v>
      </c>
      <c r="L81" s="11">
        <v>76983000000</v>
      </c>
      <c r="M81" s="37">
        <v>39000000</v>
      </c>
      <c r="O81">
        <f t="shared" si="34"/>
        <v>87348076500</v>
      </c>
      <c r="P81" s="29">
        <v>15</v>
      </c>
      <c r="T81" s="33"/>
      <c r="U81" s="7">
        <v>5745</v>
      </c>
      <c r="V81">
        <f t="shared" si="28"/>
        <v>9220725000</v>
      </c>
      <c r="W81">
        <f t="shared" si="35"/>
        <v>87348076500</v>
      </c>
      <c r="Z81">
        <v>18000000000</v>
      </c>
    </row>
  </sheetData>
  <mergeCells count="1">
    <mergeCell ref="O21:P2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DOKIM</dc:creator>
  <cp:lastModifiedBy>DOKIM</cp:lastModifiedBy>
  <dcterms:created xsi:type="dcterms:W3CDTF">2015-01-12T07:34:10Z</dcterms:created>
  <dcterms:modified xsi:type="dcterms:W3CDTF">2015-02-09T05:50:06Z</dcterms:modified>
</cp:coreProperties>
</file>